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drawings/drawing3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5.xml" ContentType="application/vnd.openxmlformats-officedocument.drawing+xml"/>
  <Override PartName="/xl/ctrlProps/ctrlProp12.xml" ContentType="application/vnd.ms-excel.controlproperties+xml"/>
  <Override PartName="/xl/pivotTables/pivotTable1.xml" ContentType="application/vnd.openxmlformats-officedocument.spreadsheetml.pivotTable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updateLinks="always" codeName="ThisWorkbook" hidePivotFieldList="1"/>
  <mc:AlternateContent xmlns:mc="http://schemas.openxmlformats.org/markup-compatibility/2006">
    <mc:Choice Requires="x15">
      <x15ac:absPath xmlns:x15ac="http://schemas.microsoft.com/office/spreadsheetml/2010/11/ac" url="I:\Websites\Pscweb\utilities\gas\23docs\2305706\"/>
    </mc:Choice>
  </mc:AlternateContent>
  <xr:revisionPtr revIDLastSave="0" documentId="8_{8DBD3670-189D-4A5D-9E68-0683DB97E089}" xr6:coauthVersionLast="47" xr6:coauthVersionMax="47" xr10:uidLastSave="{00000000-0000-0000-0000-000000000000}"/>
  <bookViews>
    <workbookView xWindow="1200" yWindow="630" windowWidth="21600" windowHeight="14850" tabRatio="901" xr2:uid="{00000000-000D-0000-FFFF-FFFF00000000}"/>
  </bookViews>
  <sheets>
    <sheet name="Control Panel" sheetId="1" r:id="rId1"/>
    <sheet name="Comp" sheetId="654" r:id="rId2"/>
    <sheet name="WYO DEPR EXPENSE" sheetId="653" r:id="rId3"/>
    <sheet name="Summaries" sheetId="5" r:id="rId4"/>
    <sheet name="Adjustments" sheetId="3" r:id="rId5"/>
    <sheet name="ROR-Model" sheetId="6" r:id="rId6"/>
    <sheet name="Report" sheetId="2" r:id="rId7"/>
    <sheet name="Taxes" sheetId="12" r:id="rId8"/>
    <sheet name="Rate Base" sheetId="4" r:id="rId9"/>
    <sheet name="Transition Costs" sheetId="647" state="hidden" r:id="rId10"/>
    <sheet name="EXPENSES" sheetId="139" r:id="rId11"/>
    <sheet name="ENERGY EFFICIENCY SERVICES ADJ" sheetId="548" r:id="rId12"/>
    <sheet name="Und Stor" sheetId="16" r:id="rId13"/>
    <sheet name="Wexpro" sheetId="17" r:id="rId14"/>
    <sheet name="RESERVE ACCRUAL" sheetId="137" r:id="rId15"/>
    <sheet name="Donations" sheetId="42" r:id="rId16"/>
    <sheet name="Advertising" sheetId="594" r:id="rId17"/>
    <sheet name="Incentive" sheetId="33" r:id="rId18"/>
    <sheet name="Sporting Events" sheetId="595" r:id="rId19"/>
    <sheet name="Pension Adjustment" sheetId="651" r:id="rId20"/>
    <sheet name="Revenue" sheetId="15" r:id="rId21"/>
    <sheet name="Booked June 2023 Rev" sheetId="641" r:id="rId22"/>
    <sheet name="Other Rev" sheetId="14" r:id="rId23"/>
    <sheet name="Lab Adj" sheetId="582" r:id="rId24"/>
    <sheet name="Corp Overhead Adj" sheetId="650" state="hidden" r:id="rId25"/>
    <sheet name="Bad Debt" sheetId="20" r:id="rId26"/>
    <sheet name="Capital Str" sheetId="49" r:id="rId27"/>
    <sheet name="Utah Allocation" sheetId="50" r:id="rId28"/>
    <sheet name="ALLOCATIONS&amp;PRETAX" sheetId="52" r:id="rId29"/>
  </sheets>
  <externalReferences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</externalReferences>
  <definedNames>
    <definedName name="_xlnm._FilterDatabase" localSheetId="16" hidden="1">Advertising!#REF!</definedName>
    <definedName name="_xlnm._FilterDatabase" localSheetId="18" hidden="1">'Sporting Events'!#REF!</definedName>
    <definedName name="Actual" localSheetId="2">#REF!,#REF!,#REF!,#REF!,#REF!,#REF!</definedName>
    <definedName name="Actual">#REF!,#REF!,#REF!,#REF!,#REF!,#REF!</definedName>
    <definedName name="Adjustments" localSheetId="23">'Control Panel'!$A$25:$F$38</definedName>
    <definedName name="Adjustments" localSheetId="2">'[1]Control Panel'!$A$25:$F$68</definedName>
    <definedName name="Adjustments">'Control Panel'!$A$25:$F$68</definedName>
    <definedName name="ADV_ADJ" localSheetId="23">'[2]19-Advertising'!$P$28</definedName>
    <definedName name="ADV_ADJ" localSheetId="2">#REF!</definedName>
    <definedName name="ADV_ADJ">#REF!</definedName>
    <definedName name="ADV_ADJ_UT" localSheetId="2">#REF!</definedName>
    <definedName name="ADV_ADJ_UT">#REF!</definedName>
    <definedName name="ADV_ADJ_WY" localSheetId="2">#REF!</definedName>
    <definedName name="ADV_ADJ_WY">#REF!</definedName>
    <definedName name="ADVERTISECORP" localSheetId="2">#REF!</definedName>
    <definedName name="ADVERTISECORP">#REF!</definedName>
    <definedName name="ADVERTISESUMMARY" localSheetId="2">#REF!</definedName>
    <definedName name="ADVERTISESUMMARY">#REF!</definedName>
    <definedName name="ADVERTISESUMMARY1">Advertising!$L$1:$S$39</definedName>
    <definedName name="ADVERTISEWP1" localSheetId="2">#REF!</definedName>
    <definedName name="ADVERTISEWP1">#REF!</definedName>
    <definedName name="ADVERTISEWP2" localSheetId="2">#REF!</definedName>
    <definedName name="ADVERTISEWP2">#REF!</definedName>
    <definedName name="ADVERTISEWP3" localSheetId="2">#REF!</definedName>
    <definedName name="ADVERTISEWP3">#REF!</definedName>
    <definedName name="ADVERTISEWP4" localSheetId="2">#REF!</definedName>
    <definedName name="ADVERTISEWP4">#REF!</definedName>
    <definedName name="advertisingscenario" localSheetId="23">'[2]19-Advertising'!$C$9:$E$172</definedName>
    <definedName name="Advertisingscenario" localSheetId="2">[1]Advertising!$D$10:$D$43</definedName>
    <definedName name="Advertisingscenario">Advertising!$D$10:$D$43</definedName>
    <definedName name="ADVERTISINGSUMMARY1" localSheetId="2">#REF!</definedName>
    <definedName name="ADVERTISINGSUMMARY1">#REF!</definedName>
    <definedName name="Affl_ROR_Adj" localSheetId="2">#REF!</definedName>
    <definedName name="Affl_ROR_Adj">#REF!</definedName>
    <definedName name="Affl_ROR_Adj_UT" localSheetId="2">#REF!</definedName>
    <definedName name="Affl_ROR_Adj_UT">#REF!</definedName>
    <definedName name="Affl_ROR_Adj_WY" localSheetId="2">#REF!</definedName>
    <definedName name="Affl_ROR_Adj_WY">#REF!</definedName>
    <definedName name="Aircraft" localSheetId="23">#REF!</definedName>
    <definedName name="Aircraft" localSheetId="2">#REF!</definedName>
    <definedName name="Aircraft">#REF!</definedName>
    <definedName name="AIRCRAFTSCENARIO" localSheetId="23">#REF!</definedName>
    <definedName name="AIRCRAFTSCENARIO" localSheetId="2">#REF!</definedName>
    <definedName name="AIRCRAFTSCENARIO">#REF!</definedName>
    <definedName name="ALLINONE" localSheetId="2">#REF!</definedName>
    <definedName name="ALLINONE">#REF!</definedName>
    <definedName name="Alloc_Cust_Assist" localSheetId="2">#REF!</definedName>
    <definedName name="Alloc_Cust_Assist">#REF!</definedName>
    <definedName name="Alloc_Deposits" localSheetId="2">#REF!</definedName>
    <definedName name="Alloc_Deposits">#REF!</definedName>
    <definedName name="Alloc_Dist_Throu" localSheetId="2">#REF!</definedName>
    <definedName name="Alloc_Dist_Throu">#REF!</definedName>
    <definedName name="ALLOC_FACTORS_DATA" localSheetId="2">#REF!</definedName>
    <definedName name="ALLOC_FACTORS_DATA">#REF!</definedName>
    <definedName name="ALLOC_FACTORS_DROP" localSheetId="2">#REF!</definedName>
    <definedName name="ALLOC_FACTORS_DROP">#REF!</definedName>
    <definedName name="Alloc_Meters_Regs" localSheetId="2">#REF!</definedName>
    <definedName name="Alloc_Meters_Regs">#REF!</definedName>
    <definedName name="Alloc_Peak_Day" localSheetId="2">#REF!</definedName>
    <definedName name="Alloc_Peak_Day">#REF!</definedName>
    <definedName name="Alloc_SD_Mains" localSheetId="2">#REF!</definedName>
    <definedName name="Alloc_SD_Mains">#REF!</definedName>
    <definedName name="Alloc_Serv_Lines" localSheetId="2">#REF!</definedName>
    <definedName name="Alloc_Serv_Lines">#REF!</definedName>
    <definedName name="AllocationFactors" localSheetId="2">#REF!</definedName>
    <definedName name="AllocationFactors">#REF!</definedName>
    <definedName name="ALLOCATIONS" localSheetId="23">'ALLOCATIONS&amp;PRETAX'!$B$6:$B$37</definedName>
    <definedName name="ALLOCATIONS" localSheetId="2">'[1]ALLOCATIONS&amp;PRETAX'!$B$6:$E$37</definedName>
    <definedName name="ALLOCATIONS">'ALLOCATIONS&amp;PRETAX'!$B$6:$E$37</definedName>
    <definedName name="ANN_DEP_ADJ_GEN" localSheetId="2">#REF!</definedName>
    <definedName name="ANN_DEP_ADJ_GEN">#REF!</definedName>
    <definedName name="ANN_DEP_ADJ_PROD" localSheetId="2">#REF!</definedName>
    <definedName name="ANN_DEP_ADJ_PROD">#REF!</definedName>
    <definedName name="ANN_DEP_ADJ_UT" localSheetId="2">#REF!</definedName>
    <definedName name="ANN_DEP_ADJ_UT">#REF!</definedName>
    <definedName name="ANN_DEP_ADJ_WY" localSheetId="2">#REF!</definedName>
    <definedName name="ANN_DEP_ADJ_WY">#REF!</definedName>
    <definedName name="AVE_101_WY" localSheetId="23">'Rate Base'!#REF!</definedName>
    <definedName name="AVE_101_WY" localSheetId="2">'[1]Rate Base'!#REF!</definedName>
    <definedName name="AVE_101_WY">'Rate Base'!#REF!</definedName>
    <definedName name="AVE_105_UT" localSheetId="23">'Rate Base'!#REF!</definedName>
    <definedName name="AVE_105_UT" localSheetId="2">'[1]Rate Base'!#REF!</definedName>
    <definedName name="AVE_105_UT">'Rate Base'!#REF!</definedName>
    <definedName name="AVE_106_GEN" localSheetId="23">'Rate Base'!#REF!</definedName>
    <definedName name="AVE_106_GEN" localSheetId="2">'[1]Rate Base'!#REF!</definedName>
    <definedName name="AVE_106_GEN">'Rate Base'!#REF!</definedName>
    <definedName name="AVE_106_PROD" localSheetId="23">'Rate Base'!#REF!</definedName>
    <definedName name="AVE_106_PROD" localSheetId="2">'[1]Rate Base'!#REF!</definedName>
    <definedName name="AVE_106_PROD">'Rate Base'!#REF!</definedName>
    <definedName name="AVE_106_UT" localSheetId="23">'Rate Base'!#REF!</definedName>
    <definedName name="AVE_106_UT" localSheetId="2">'[1]Rate Base'!#REF!</definedName>
    <definedName name="AVE_106_UT">'Rate Base'!#REF!</definedName>
    <definedName name="AVE_106_WY" localSheetId="23">'Rate Base'!#REF!</definedName>
    <definedName name="AVE_106_WY" localSheetId="2">'[1]Rate Base'!#REF!</definedName>
    <definedName name="AVE_106_WY">'Rate Base'!#REF!</definedName>
    <definedName name="AVE_108_GEN" localSheetId="23">'Rate Base'!#REF!</definedName>
    <definedName name="AVE_108_GEN" localSheetId="2">'[1]Rate Base'!#REF!</definedName>
    <definedName name="AVE_108_GEN">'Rate Base'!#REF!</definedName>
    <definedName name="AVE_108_PROD" localSheetId="23">'Rate Base'!#REF!</definedName>
    <definedName name="AVE_108_PROD" localSheetId="2">'[1]Rate Base'!#REF!</definedName>
    <definedName name="AVE_108_PROD">'Rate Base'!#REF!</definedName>
    <definedName name="AVE_108_UT" localSheetId="23">'Rate Base'!#REF!</definedName>
    <definedName name="AVE_108_UT" localSheetId="2">'[1]Rate Base'!#REF!</definedName>
    <definedName name="AVE_108_UT">'Rate Base'!#REF!</definedName>
    <definedName name="AVE_108_WY" localSheetId="23">'Rate Base'!#REF!</definedName>
    <definedName name="AVE_108_WY" localSheetId="2">'[1]Rate Base'!#REF!</definedName>
    <definedName name="AVE_108_WY">'Rate Base'!#REF!</definedName>
    <definedName name="AVE_111_GEN" localSheetId="23">'Rate Base'!#REF!</definedName>
    <definedName name="AVE_111_GEN" localSheetId="2">'[1]Rate Base'!#REF!</definedName>
    <definedName name="AVE_111_GEN">'Rate Base'!#REF!</definedName>
    <definedName name="AVE_111_PROD" localSheetId="23">'Rate Base'!#REF!</definedName>
    <definedName name="AVE_111_PROD" localSheetId="2">'[1]Rate Base'!#REF!</definedName>
    <definedName name="AVE_111_PROD">'Rate Base'!#REF!</definedName>
    <definedName name="AVE_111_UT" localSheetId="23">'Rate Base'!#REF!</definedName>
    <definedName name="AVE_111_UT" localSheetId="2">'[1]Rate Base'!#REF!</definedName>
    <definedName name="AVE_111_UT">'Rate Base'!#REF!</definedName>
    <definedName name="AVE_111_WY" localSheetId="23">'Rate Base'!#REF!</definedName>
    <definedName name="AVE_111_WY" localSheetId="2">'[1]Rate Base'!#REF!</definedName>
    <definedName name="AVE_111_WY">'Rate Base'!#REF!</definedName>
    <definedName name="AVE_154_WY" localSheetId="23">'Rate Base'!#REF!</definedName>
    <definedName name="AVE_154_WY" localSheetId="2">'[1]Rate Base'!#REF!</definedName>
    <definedName name="AVE_154_WY">'Rate Base'!#REF!</definedName>
    <definedName name="AVE_1641_PROD" localSheetId="23">'Rate Base'!#REF!</definedName>
    <definedName name="AVE_1641_PROD" localSheetId="2">'[1]Rate Base'!#REF!</definedName>
    <definedName name="AVE_1641_PROD">'Rate Base'!#REF!</definedName>
    <definedName name="AVE_165_GEN" localSheetId="23">'Rate Base'!#REF!</definedName>
    <definedName name="AVE_165_GEN" localSheetId="2">'[1]Rate Base'!#REF!</definedName>
    <definedName name="AVE_165_GEN">'Rate Base'!#REF!</definedName>
    <definedName name="AVE_2351_UT" localSheetId="23">'Rate Base'!#REF!</definedName>
    <definedName name="AVE_2351_UT" localSheetId="2">'[1]Rate Base'!#REF!</definedName>
    <definedName name="AVE_2351_UT">'Rate Base'!#REF!</definedName>
    <definedName name="AVE_2351_WY" localSheetId="23">'Rate Base'!#REF!</definedName>
    <definedName name="AVE_2351_WY" localSheetId="2">'[1]Rate Base'!#REF!</definedName>
    <definedName name="AVE_2351_WY">'Rate Base'!#REF!</definedName>
    <definedName name="AVE_2531_GEN" localSheetId="23">'Rate Base'!#REF!</definedName>
    <definedName name="AVE_2531_GEN" localSheetId="2">'[1]Rate Base'!#REF!</definedName>
    <definedName name="AVE_2531_GEN">'Rate Base'!#REF!</definedName>
    <definedName name="AVE_255_GEN" localSheetId="23">'Rate Base'!#REF!</definedName>
    <definedName name="AVE_255_GEN" localSheetId="2">'[1]Rate Base'!#REF!</definedName>
    <definedName name="AVE_255_GEN">'Rate Base'!#REF!</definedName>
    <definedName name="AVE_255_PROD" localSheetId="23">'Rate Base'!#REF!</definedName>
    <definedName name="AVE_255_PROD" localSheetId="2">'[1]Rate Base'!#REF!</definedName>
    <definedName name="AVE_255_PROD">'Rate Base'!#REF!</definedName>
    <definedName name="AVE_255_UT" localSheetId="23">'Rate Base'!#REF!</definedName>
    <definedName name="AVE_255_UT" localSheetId="2">'[1]Rate Base'!#REF!</definedName>
    <definedName name="AVE_255_UT">'Rate Base'!#REF!</definedName>
    <definedName name="AVE_255_WY" localSheetId="23">'Rate Base'!#REF!</definedName>
    <definedName name="AVE_255_WY" localSheetId="2">'[1]Rate Base'!#REF!</definedName>
    <definedName name="AVE_255_WY">'Rate Base'!#REF!</definedName>
    <definedName name="AVE_282_GEN" localSheetId="23">'Rate Base'!#REF!</definedName>
    <definedName name="AVE_282_GEN" localSheetId="2">'[1]Rate Base'!#REF!</definedName>
    <definedName name="AVE_282_GEN">'Rate Base'!#REF!</definedName>
    <definedName name="AVE_282_PROD" localSheetId="23">'Rate Base'!#REF!</definedName>
    <definedName name="AVE_282_PROD" localSheetId="2">'[1]Rate Base'!#REF!</definedName>
    <definedName name="AVE_282_PROD">'Rate Base'!#REF!</definedName>
    <definedName name="AVE_282_UT" localSheetId="23">'Rate Base'!#REF!</definedName>
    <definedName name="AVE_282_UT" localSheetId="2">'[1]Rate Base'!#REF!</definedName>
    <definedName name="AVE_282_UT">'Rate Base'!#REF!</definedName>
    <definedName name="AVE_282_WY" localSheetId="23">'Rate Base'!#REF!</definedName>
    <definedName name="AVE_282_WY" localSheetId="2">'[1]Rate Base'!#REF!</definedName>
    <definedName name="AVE_282_WY">'Rate Base'!#REF!</definedName>
    <definedName name="AVE_2821_GEN" localSheetId="23">'Rate Base'!#REF!</definedName>
    <definedName name="AVE_2821_GEN" localSheetId="2">'[1]Rate Base'!#REF!</definedName>
    <definedName name="AVE_2821_GEN">'Rate Base'!#REF!</definedName>
    <definedName name="AVE_2821_PROD" localSheetId="23">'Rate Base'!#REF!</definedName>
    <definedName name="AVE_2821_PROD" localSheetId="2">'[1]Rate Base'!#REF!</definedName>
    <definedName name="AVE_2821_PROD">'Rate Base'!#REF!</definedName>
    <definedName name="AVE_2821_UT" localSheetId="23">'Rate Base'!#REF!</definedName>
    <definedName name="AVE_2821_UT" localSheetId="2">'[1]Rate Base'!#REF!</definedName>
    <definedName name="AVE_2821_UT">'Rate Base'!#REF!</definedName>
    <definedName name="AVE_2821_WY" localSheetId="23">'Rate Base'!#REF!</definedName>
    <definedName name="AVE_2821_WY" localSheetId="2">'[1]Rate Base'!#REF!</definedName>
    <definedName name="AVE_2821_WY">'Rate Base'!#REF!</definedName>
    <definedName name="AVE_2826_GEN" localSheetId="23">'Rate Base'!#REF!</definedName>
    <definedName name="AVE_2826_GEN" localSheetId="2">'[1]Rate Base'!#REF!</definedName>
    <definedName name="AVE_2826_GEN">'Rate Base'!#REF!</definedName>
    <definedName name="ave_incentive">Incentive!#REF!</definedName>
    <definedName name="AVE_RB_101_PROD_ADJ" localSheetId="23">Adjustments!#REF!</definedName>
    <definedName name="AVE_RB_101_PROD_ADJ" localSheetId="2">[1]Adjustments!#REF!</definedName>
    <definedName name="AVE_RB_101_PROD_ADJ">Adjustments!#REF!</definedName>
    <definedName name="AVE_RB_108_PROD_ADJ" localSheetId="23">Adjustments!#REF!</definedName>
    <definedName name="AVE_RB_108_PROD_ADJ" localSheetId="2">[1]Adjustments!#REF!</definedName>
    <definedName name="AVE_RB_108_PROD_ADJ">Adjustments!#REF!</definedName>
    <definedName name="AVE_RB_111_PROD_ADJ" localSheetId="23">Adjustments!#REF!</definedName>
    <definedName name="AVE_RB_111_PROD_ADJ" localSheetId="2">[1]Adjustments!#REF!</definedName>
    <definedName name="AVE_RB_111_PROD_ADJ">Adjustments!#REF!</definedName>
    <definedName name="AVE_SEL_ADJ_101_PROD" localSheetId="23">Adjustments!#REF!</definedName>
    <definedName name="AVE_SEL_ADJ_101_PROD" localSheetId="2">[1]Adjustments!#REF!</definedName>
    <definedName name="AVE_SEL_ADJ_101_PROD">Adjustments!#REF!</definedName>
    <definedName name="AVE_SEL_ADJ_108_PROD" localSheetId="23">Adjustments!#REF!</definedName>
    <definedName name="AVE_SEL_ADJ_108_PROD" localSheetId="2">[1]Adjustments!#REF!</definedName>
    <definedName name="AVE_SEL_ADJ_108_PROD">Adjustments!#REF!</definedName>
    <definedName name="AVE_SEL_ADJ_111_PROD" localSheetId="23">Adjustments!#REF!</definedName>
    <definedName name="AVE_SEL_ADJ_111_PROD" localSheetId="2">[1]Adjustments!#REF!</definedName>
    <definedName name="AVE_SEL_ADJ_111_PROD">Adjustments!#REF!</definedName>
    <definedName name="AVE_UND_STO" localSheetId="23">'Und Stor'!#REF!</definedName>
    <definedName name="AVE_UND_STO" localSheetId="2">'[1]Und Stor'!#REF!</definedName>
    <definedName name="AVE_UND_STO">'Und Stor'!#REF!</definedName>
    <definedName name="AVG_154_UT" localSheetId="23">'Rate Base'!#REF!</definedName>
    <definedName name="AVG_154_UT" localSheetId="2">'[1]Rate Base'!#REF!</definedName>
    <definedName name="AVG_154_UT">'Rate Base'!#REF!</definedName>
    <definedName name="AVG_INCENTIVE" localSheetId="23">Incentive!#REF!</definedName>
    <definedName name="AVG_INCENTIVE" localSheetId="2">[1]Incentive!$AC$12:$AI$476</definedName>
    <definedName name="AVG_INCENTIVE">Incentive!#REF!</definedName>
    <definedName name="BAD_DEBT_ADJ_UT" localSheetId="2">'[1]Bad Debt'!#REF!</definedName>
    <definedName name="BAD_DEBT_ADJ_UT">'Bad Debt'!#REF!</definedName>
    <definedName name="BAD_DEBT_ADJ_WY" localSheetId="2">'[1]Bad Debt'!#REF!</definedName>
    <definedName name="BAD_DEBT_ADJ_WY">'Bad Debt'!#REF!</definedName>
    <definedName name="BadDebtScenario" localSheetId="23">'Bad Debt'!$E$5:$H$39</definedName>
    <definedName name="BadDebtScenario" localSheetId="2">'[1]Bad Debt'!$D$5:$D$39</definedName>
    <definedName name="BadDebtScenario">'Bad Debt'!$D$5:$D$39</definedName>
    <definedName name="BADDEBTSUMMARY1">'Bad Debt'!$C$1:$F$34</definedName>
    <definedName name="BADDEBTSUMMARY2">'Bad Debt'!$X$1:$AF$47</definedName>
    <definedName name="BANK_VAC" localSheetId="23">#REF!</definedName>
    <definedName name="BANK_VAC" localSheetId="2">#REF!</definedName>
    <definedName name="BANK_VAC">#REF!</definedName>
    <definedName name="BANKEDVACATION" localSheetId="2">#REF!</definedName>
    <definedName name="BANKEDVACATION">#REF!</definedName>
    <definedName name="baseenddate" localSheetId="23">'Control Panel'!#REF!</definedName>
    <definedName name="baseenddate" localSheetId="2">'[1]Control Panel'!#REF!</definedName>
    <definedName name="baseenddate">'Control Panel'!#REF!</definedName>
    <definedName name="Bill_Block_FT1ETempE" localSheetId="2">#REF!</definedName>
    <definedName name="Bill_Block_FT1ETempE">#REF!</definedName>
    <definedName name="Bill_Block_FT1ETempN" localSheetId="2">#REF!</definedName>
    <definedName name="Bill_Block_FT1ETempN">#REF!</definedName>
    <definedName name="Bill_Block_FT1NTempE" localSheetId="2">#REF!</definedName>
    <definedName name="Bill_Block_FT1NTempE">#REF!</definedName>
    <definedName name="Bill_Block_FT1NTempN" localSheetId="2">#REF!</definedName>
    <definedName name="Bill_Block_FT1NTempN">#REF!</definedName>
    <definedName name="billfactors" localSheetId="23">#REF!</definedName>
    <definedName name="billfactors" localSheetId="2">#REF!</definedName>
    <definedName name="billfactors">#REF!</definedName>
    <definedName name="billfactorscurrent" localSheetId="23">#REF!</definedName>
    <definedName name="billfactorscurrent" localSheetId="2">#REF!</definedName>
    <definedName name="billfactorscurrent">#REF!</definedName>
    <definedName name="BOOKED_DEC_2006">Revenue!$F$8:$F$371</definedName>
    <definedName name="CapStr" localSheetId="23">'Capital Str'!$C$22:$H$64</definedName>
    <definedName name="CapStr">'Capital Str'!$C$22:$E$64</definedName>
    <definedName name="CASE_ADJ_LABOR_WYO" localSheetId="2">#REF!</definedName>
    <definedName name="CASE_ADJ_LABOR_WYO">#REF!</definedName>
    <definedName name="CASE_LABOR_ADJ" localSheetId="2">#REF!</definedName>
    <definedName name="CASE_LABOR_ADJ">#REF!</definedName>
    <definedName name="CASEADJ_LABOR_UT" localSheetId="2">#REF!</definedName>
    <definedName name="CASEADJ_LABOR_UT">#REF!</definedName>
    <definedName name="CASERBSCENARIOS" localSheetId="23">'Rate Base'!#REF!</definedName>
    <definedName name="CASERBSCENARIOS" localSheetId="2">'[1]Rate Base'!#REF!</definedName>
    <definedName name="CASERBSCENARIOS">'Rate Base'!#REF!</definedName>
    <definedName name="CASEWCCFormula" localSheetId="2">#REF!</definedName>
    <definedName name="CASEWCCFormula">#REF!</definedName>
    <definedName name="CASEWCCNumber" localSheetId="2">#REF!</definedName>
    <definedName name="CASEWCCNumber">#REF!</definedName>
    <definedName name="CCSSUMMARY" localSheetId="2">#REF!</definedName>
    <definedName name="CCSSUMMARY">#REF!</definedName>
    <definedName name="CET">[3]CET!$A$1:$B$179</definedName>
    <definedName name="CET_PER1" localSheetId="23">#REF!</definedName>
    <definedName name="CET_PER1">[4]CRITERIA!$J$163:$Q$164</definedName>
    <definedName name="CET_PER10" localSheetId="23">#REF!</definedName>
    <definedName name="CET_PER10">[4]CRITERIA!$CM$163:$CT$164</definedName>
    <definedName name="CET_PER11" localSheetId="23">#REF!</definedName>
    <definedName name="CET_PER11">[4]CRITERIA!$CV$163:$DC$164</definedName>
    <definedName name="CET_PER12" localSheetId="23">#REF!</definedName>
    <definedName name="CET_PER12">[4]CRITERIA!$DE$163:$DL$164</definedName>
    <definedName name="CET_PER2" localSheetId="23">#REF!</definedName>
    <definedName name="CET_PER2">[4]CRITERIA!$S$163:$Z$164</definedName>
    <definedName name="CET_PER3" localSheetId="23">#REF!</definedName>
    <definedName name="CET_PER3">[4]CRITERIA!$AB$163:$AI$164</definedName>
    <definedName name="CET_PER4" localSheetId="23">#REF!</definedName>
    <definedName name="CET_PER4">[4]CRITERIA!$AK$163:$AR$164</definedName>
    <definedName name="CET_PER5" localSheetId="23">#REF!</definedName>
    <definedName name="CET_PER5">[4]CRITERIA!$AT$163:$BA$164</definedName>
    <definedName name="CET_PER6" localSheetId="23">#REF!</definedName>
    <definedName name="CET_PER6">[4]CRITERIA!$BC$163:$BJ$164</definedName>
    <definedName name="CET_PER7" localSheetId="23">#REF!</definedName>
    <definedName name="CET_PER7">[4]CRITERIA!$BL$163:$BS$164</definedName>
    <definedName name="CET_PER8" localSheetId="23">#REF!</definedName>
    <definedName name="CET_PER8">[4]CRITERIA!$BU$163:$CB$164</definedName>
    <definedName name="CET_PER9" localSheetId="23">#REF!</definedName>
    <definedName name="CET_PER9">[4]CRITERIA!$CD$163:$CK$164</definedName>
    <definedName name="CISRETIREMENT" localSheetId="2">#REF!</definedName>
    <definedName name="CISRETIREMENT">#REF!</definedName>
    <definedName name="CO_I4">[5]Criteria!$Q$26:$R$27</definedName>
    <definedName name="CO2_ADJ_UT" localSheetId="2">#REF!</definedName>
    <definedName name="CO2_ADJ_UT">#REF!</definedName>
    <definedName name="CO2_ADJ_WY" localSheetId="2">#REF!</definedName>
    <definedName name="CO2_ADJ_WY">#REF!</definedName>
    <definedName name="CO2_EXP_LIAB_UTAH" localSheetId="2">#REF!</definedName>
    <definedName name="CO2_EXP_LIAB_UTAH">#REF!</definedName>
    <definedName name="CO2_FTX_LIAB_UTAH" localSheetId="2">#REF!</definedName>
    <definedName name="CO2_FTX_LIAB_UTAH">#REF!</definedName>
    <definedName name="CO2_HOT" localSheetId="2">#REF!</definedName>
    <definedName name="CO2_HOT">#REF!</definedName>
    <definedName name="CO2_STTX_LIAB_UTAH" localSheetId="2">#REF!</definedName>
    <definedName name="CO2_STTX_LIAB_UTAH">#REF!</definedName>
    <definedName name="COI4CUSTOMERS">[6]CRITERIA!$B$685:$D$686</definedName>
    <definedName name="COI4DNG">[7]CRITERIA!$B$533:$D$534</definedName>
    <definedName name="COI4DTH">[7]CRITERIA!$B$530:$D$531</definedName>
    <definedName name="COI4GAS">[7]CRITERIA!$B$536:$D$537</definedName>
    <definedName name="COICCUSTOMERS">[6]CRITERIA!$B$699:$D$701</definedName>
    <definedName name="COICDNG">[7]CRITERIA!$B$544:$D$546</definedName>
    <definedName name="COICDTH">[7]CRITERIA!$B$540:$D$542</definedName>
    <definedName name="COICGAS">[7]CRITERIA!$B$548:$D$550</definedName>
    <definedName name="COMM_REV_CO" localSheetId="23">Revenue!$F$353</definedName>
    <definedName name="COMM_REV_CO" localSheetId="2">[1]Revenue!$F$354</definedName>
    <definedName name="COMM_REV_CO">Revenue!$F$354</definedName>
    <definedName name="COMM_REV_ID" localSheetId="23">Revenue!$F$230</definedName>
    <definedName name="COMM_REV_ID" localSheetId="2">[1]Revenue!$F$230</definedName>
    <definedName name="COMM_REV_ID">Revenue!$F$230</definedName>
    <definedName name="COMM_REV_UT" localSheetId="23">Revenue!$F$201</definedName>
    <definedName name="COMM_REV_UT" localSheetId="2">[1]Revenue!$F$201</definedName>
    <definedName name="COMM_REV_UT">Revenue!$F$201</definedName>
    <definedName name="COMM_REV_WY" localSheetId="23">Revenue!$F$325</definedName>
    <definedName name="COMM_REV_WY" localSheetId="2">[1]Revenue!$F$325</definedName>
    <definedName name="COMM_REV_WY">Revenue!$F$325</definedName>
    <definedName name="CONTROLPANEL">'Control Panel'!$A$1:$G$37</definedName>
    <definedName name="CORDAPTIX" localSheetId="2">#REF!</definedName>
    <definedName name="CORDAPTIX">#REF!</definedName>
    <definedName name="CORP_ROI" localSheetId="2">#REF!</definedName>
    <definedName name="CORP_ROI">#REF!</definedName>
    <definedName name="COSFactors" localSheetId="2">#REF!</definedName>
    <definedName name="COSFactors">#REF!</definedName>
    <definedName name="COSInput" localSheetId="2">#REF!</definedName>
    <definedName name="COSInput">#REF!</definedName>
    <definedName name="COSREVRUN" localSheetId="2">#REF!</definedName>
    <definedName name="COSREVRUN">#REF!</definedName>
    <definedName name="COSSummary" localSheetId="2">#REF!</definedName>
    <definedName name="COSSummary">#REF!</definedName>
    <definedName name="CostCurves" localSheetId="23">#REF!</definedName>
    <definedName name="CostCurves" localSheetId="2">#REF!</definedName>
    <definedName name="CostCurves">#REF!</definedName>
    <definedName name="currentrates" localSheetId="2">#REF!</definedName>
    <definedName name="currentrates">#REF!</definedName>
    <definedName name="dblink">'[3]QUERY_FOR PIVOT'!$A$1:$H$2559</definedName>
    <definedName name="Decouple" localSheetId="2">#REF!</definedName>
    <definedName name="Decouple">#REF!</definedName>
    <definedName name="Decouple1">'Rate Base'!$B:$AD</definedName>
    <definedName name="Decouple1a" localSheetId="23">'Rate Base'!#REF!</definedName>
    <definedName name="Decouple1a" localSheetId="2">'[1]Rate Base'!#REF!</definedName>
    <definedName name="Decouple1a">'Rate Base'!#REF!</definedName>
    <definedName name="Decouple2">'Other Rev'!$H:$H</definedName>
    <definedName name="Decouple2A">'Other Rev'!$AD:$AD</definedName>
    <definedName name="Decouple2B">'Other Rev'!$AP:$AP</definedName>
    <definedName name="Decouple3">'Bad Debt'!$I$12:$T$13</definedName>
    <definedName name="Decouple4" localSheetId="2">#REF!</definedName>
    <definedName name="Decouple4">#REF!</definedName>
    <definedName name="Decouple5" localSheetId="2">#REF!</definedName>
    <definedName name="Decouple5">#REF!</definedName>
    <definedName name="Decouple6" localSheetId="2">#REF!</definedName>
    <definedName name="Decouple6">#REF!</definedName>
    <definedName name="Decouple6a" localSheetId="2">#REF!</definedName>
    <definedName name="Decouple6a">#REF!</definedName>
    <definedName name="Decouple6B" localSheetId="2">#REF!</definedName>
    <definedName name="Decouple6B">#REF!</definedName>
    <definedName name="Decouple6c" localSheetId="2">#REF!</definedName>
    <definedName name="Decouple6c">#REF!</definedName>
    <definedName name="Decouple7" localSheetId="23">Incentive!#REF!</definedName>
    <definedName name="Decouple7" localSheetId="2">[1]Incentive!#REF!</definedName>
    <definedName name="Decouple7">Incentive!#REF!</definedName>
    <definedName name="Decouple8">'Capital Str'!$C$39:$H$64</definedName>
    <definedName name="Decouple9" localSheetId="2">#REF!</definedName>
    <definedName name="Decouple9">#REF!</definedName>
    <definedName name="DEP_TAX_ADJ" localSheetId="23">'Lab Adj'!$C$9:$C$38</definedName>
    <definedName name="DEP_TAX_ADJ" localSheetId="2">#REF!</definedName>
    <definedName name="DEP_TAX_ADJ">#REF!</definedName>
    <definedName name="DEPT" localSheetId="23">#REF!</definedName>
    <definedName name="DEPT" localSheetId="2">#REF!</definedName>
    <definedName name="DEPT">#REF!</definedName>
    <definedName name="DON_ADJ" localSheetId="23">Donations!#REF!</definedName>
    <definedName name="DON_ADJ" localSheetId="2">[1]Donations!#REF!</definedName>
    <definedName name="DON_ADJ">Donations!#REF!</definedName>
    <definedName name="DON_ADJ_UT">Donations!$L$15</definedName>
    <definedName name="DON_ADJ_WY">Donations!$L$16</definedName>
    <definedName name="DONATIONSCORP" localSheetId="2">[1]Donations!#REF!</definedName>
    <definedName name="DONATIONSCORP">Donations!#REF!</definedName>
    <definedName name="DONATIONSSCENARIO" localSheetId="23">Donations!$I$3:$J$36</definedName>
    <definedName name="DONATIONSSCENARIO" localSheetId="2">[1]Donations!$I$6:$K$39</definedName>
    <definedName name="DONATIONSSCENARIO">Donations!$I$6:$K$39</definedName>
    <definedName name="DONATIONSSUMMARY" localSheetId="23">Donations!#REF!</definedName>
    <definedName name="DONATIONSSUMMARY">Donations!$C$1:$L$21</definedName>
    <definedName name="DPUORIGINAL" localSheetId="23">Summaries!#REF!</definedName>
    <definedName name="DPUORIGINAL" localSheetId="2">[1]Summaries!#REF!</definedName>
    <definedName name="DPUORIGINAL">Summaries!#REF!</definedName>
    <definedName name="DPUORIGINAL1">Summaries!$V$1:$DK$75</definedName>
    <definedName name="DPUSUMMARY" localSheetId="2">#REF!</definedName>
    <definedName name="DPUSUMMARY">#REF!</definedName>
    <definedName name="DSM">'ENERGY EFFICIENCY SERVICES ADJ'!$E$7:$F$20</definedName>
    <definedName name="DSM_Accounting_Adjustment">'ENERGY EFFICIENCY SERVICES ADJ'!$A$1:$F$20</definedName>
    <definedName name="DSM_PER1" localSheetId="23">#REF!</definedName>
    <definedName name="DSM_PER1">[4]CRITERIA!$J$166:$Q$167</definedName>
    <definedName name="DSM_PER10" localSheetId="23">#REF!</definedName>
    <definedName name="DSM_PER10">[4]CRITERIA!$CM$166:$CT$167</definedName>
    <definedName name="DSM_PER11" localSheetId="23">#REF!</definedName>
    <definedName name="DSM_PER11">[4]CRITERIA!$CV$166:$DC$167</definedName>
    <definedName name="DSM_PER12" localSheetId="23">#REF!</definedName>
    <definedName name="DSM_PER12">[4]CRITERIA!$DE$166:$DL$167</definedName>
    <definedName name="DSM_PER2" localSheetId="23">#REF!</definedName>
    <definedName name="DSM_PER2">[4]CRITERIA!$S$166:$Z$167</definedName>
    <definedName name="DSM_PER3" localSheetId="23">#REF!</definedName>
    <definedName name="DSM_PER3">[4]CRITERIA!$AB$166:$AI$167</definedName>
    <definedName name="DSM_PER4" localSheetId="23">#REF!</definedName>
    <definedName name="DSM_PER4">[4]CRITERIA!$AK$166:$AR$167</definedName>
    <definedName name="DSM_PER5" localSheetId="23">#REF!</definedName>
    <definedName name="DSM_PER5">[4]CRITERIA!$AT$166:$BA$167</definedName>
    <definedName name="DSM_PER6" localSheetId="23">#REF!</definedName>
    <definedName name="DSM_PER6">[4]CRITERIA!$BC$166:$BJ$167</definedName>
    <definedName name="DSM_PER7" localSheetId="23">#REF!</definedName>
    <definedName name="DSM_PER7">[4]CRITERIA!$BL$166:$BS$167</definedName>
    <definedName name="DSM_PER8" localSheetId="23">#REF!</definedName>
    <definedName name="DSM_PER8">[4]CRITERIA!$BU$166:$CB$167</definedName>
    <definedName name="DSM_PER9" localSheetId="23">#REF!</definedName>
    <definedName name="DSM_PER9">[4]CRITERIA!$CD$166:$CK$167</definedName>
    <definedName name="DSMPRINT">'ENERGY EFFICIENCY SERVICES ADJ'!$A$1:$F$20</definedName>
    <definedName name="EVENT_ADJ" localSheetId="23">#REF!</definedName>
    <definedName name="EVENT_ADJ" localSheetId="2">#REF!</definedName>
    <definedName name="EVENT_ADJ">#REF!</definedName>
    <definedName name="EVENT_ADJ_UT" localSheetId="23">#REF!</definedName>
    <definedName name="EVENT_ADJ_UT" localSheetId="2">#REF!</definedName>
    <definedName name="EVENT_ADJ_UT">#REF!</definedName>
    <definedName name="EVENT_ADJ_WY" localSheetId="23">#REF!</definedName>
    <definedName name="EVENT_ADJ_WY" localSheetId="2">#REF!</definedName>
    <definedName name="EVENT_ADJ_WY">#REF!</definedName>
    <definedName name="events" localSheetId="2">'[1]Sporting Events'!$C$7:$C$16</definedName>
    <definedName name="events">'Sporting Events'!$C$7:$C$16</definedName>
    <definedName name="EXPENSE_SENARIOS">EXPENSES!$F$6:$H$431</definedName>
    <definedName name="EXPENSES" localSheetId="23">EXPENSES!#REF!</definedName>
    <definedName name="EXPENSES">EXPENSES!$G$6:$G$781</definedName>
    <definedName name="EXPENSESCENARIO" localSheetId="2">[1]EXPENSES!$F$6:$I$583</definedName>
    <definedName name="EXPENSESCENARIO">EXPENSES!$F$6:$I$583</definedName>
    <definedName name="F1_COM_UT_PER1" localSheetId="2">#REF!</definedName>
    <definedName name="F1_COM_UT_PER1">#REF!</definedName>
    <definedName name="F1_COM_UT_PER10" localSheetId="2">#REF!</definedName>
    <definedName name="F1_COM_UT_PER10">#REF!</definedName>
    <definedName name="F1_COM_UT_PER11" localSheetId="2">#REF!</definedName>
    <definedName name="F1_COM_UT_PER11">#REF!</definedName>
    <definedName name="F1_COM_UT_PER12" localSheetId="2">#REF!</definedName>
    <definedName name="F1_COM_UT_PER12">#REF!</definedName>
    <definedName name="F1_COM_UT_PER2" localSheetId="2">#REF!</definedName>
    <definedName name="F1_COM_UT_PER2">#REF!</definedName>
    <definedName name="F1_COM_UT_PER3" localSheetId="2">#REF!</definedName>
    <definedName name="F1_COM_UT_PER3">#REF!</definedName>
    <definedName name="F1_COM_UT_PER4" localSheetId="2">#REF!</definedName>
    <definedName name="F1_COM_UT_PER4">#REF!</definedName>
    <definedName name="F1_COM_UT_PER5" localSheetId="2">#REF!</definedName>
    <definedName name="F1_COM_UT_PER5">#REF!</definedName>
    <definedName name="F1_COM_UT_PER6" localSheetId="2">#REF!</definedName>
    <definedName name="F1_COM_UT_PER6">#REF!</definedName>
    <definedName name="F1_COM_UT_PER7" localSheetId="2">#REF!</definedName>
    <definedName name="F1_COM_UT_PER7">#REF!</definedName>
    <definedName name="F1_COM_UT_PER8" localSheetId="2">#REF!</definedName>
    <definedName name="F1_COM_UT_PER8">#REF!</definedName>
    <definedName name="F1_COM_UT_PER9" localSheetId="2">#REF!</definedName>
    <definedName name="F1_COM_UT_PER9">#REF!</definedName>
    <definedName name="F1_COM_WY_PER1" localSheetId="2">#REF!</definedName>
    <definedName name="F1_COM_WY_PER1">#REF!</definedName>
    <definedName name="F1_COM_WY_PER10" localSheetId="2">#REF!</definedName>
    <definedName name="F1_COM_WY_PER10">#REF!</definedName>
    <definedName name="F1_COM_WY_PER11" localSheetId="2">#REF!</definedName>
    <definedName name="F1_COM_WY_PER11">#REF!</definedName>
    <definedName name="F1_COM_WY_PER12" localSheetId="2">#REF!</definedName>
    <definedName name="F1_COM_WY_PER12">#REF!</definedName>
    <definedName name="F1_COM_WY_PER2" localSheetId="2">#REF!</definedName>
    <definedName name="F1_COM_WY_PER2">#REF!</definedName>
    <definedName name="F1_COM_WY_PER3" localSheetId="2">#REF!</definedName>
    <definedName name="F1_COM_WY_PER3">#REF!</definedName>
    <definedName name="F1_COM_WY_PER4" localSheetId="2">#REF!</definedName>
    <definedName name="F1_COM_WY_PER4">#REF!</definedName>
    <definedName name="F1_COM_WY_PER5" localSheetId="2">#REF!</definedName>
    <definedName name="F1_COM_WY_PER5">#REF!</definedName>
    <definedName name="F1_COM_WY_PER6" localSheetId="2">#REF!</definedName>
    <definedName name="F1_COM_WY_PER6">#REF!</definedName>
    <definedName name="F1_COM_WY_PER7" localSheetId="2">#REF!</definedName>
    <definedName name="F1_COM_WY_PER7">#REF!</definedName>
    <definedName name="F1_COM_WY_PER8" localSheetId="2">#REF!</definedName>
    <definedName name="F1_COM_WY_PER8">#REF!</definedName>
    <definedName name="F1_COM_WY_PER9" localSheetId="2">#REF!</definedName>
    <definedName name="F1_COM_WY_PER9">#REF!</definedName>
    <definedName name="F1_DNG_UT_PER1" localSheetId="2">#REF!</definedName>
    <definedName name="F1_DNG_UT_PER1">#REF!</definedName>
    <definedName name="F1_DNG_UT_PER10" localSheetId="2">#REF!</definedName>
    <definedName name="F1_DNG_UT_PER10">#REF!</definedName>
    <definedName name="F1_DNG_UT_PER11" localSheetId="2">#REF!</definedName>
    <definedName name="F1_DNG_UT_PER11">#REF!</definedName>
    <definedName name="F1_DNG_UT_PER12" localSheetId="2">#REF!</definedName>
    <definedName name="F1_DNG_UT_PER12">#REF!</definedName>
    <definedName name="F1_DNG_UT_PER2" localSheetId="2">#REF!</definedName>
    <definedName name="F1_DNG_UT_PER2">#REF!</definedName>
    <definedName name="F1_DNG_UT_PER3" localSheetId="2">#REF!</definedName>
    <definedName name="F1_DNG_UT_PER3">#REF!</definedName>
    <definedName name="F1_DNG_UT_PER4" localSheetId="2">#REF!</definedName>
    <definedName name="F1_DNG_UT_PER4">#REF!</definedName>
    <definedName name="F1_DNG_UT_PER5" localSheetId="2">#REF!</definedName>
    <definedName name="F1_DNG_UT_PER5">#REF!</definedName>
    <definedName name="F1_DNG_UT_PER6" localSheetId="2">#REF!</definedName>
    <definedName name="F1_DNG_UT_PER6">#REF!</definedName>
    <definedName name="F1_DNG_UT_PER7" localSheetId="2">#REF!</definedName>
    <definedName name="F1_DNG_UT_PER7">#REF!</definedName>
    <definedName name="F1_DNG_UT_PER8" localSheetId="2">#REF!</definedName>
    <definedName name="F1_DNG_UT_PER8">#REF!</definedName>
    <definedName name="F1_DNG_UT_PER9" localSheetId="2">#REF!</definedName>
    <definedName name="F1_DNG_UT_PER9">#REF!</definedName>
    <definedName name="F1_DNG_WY_PER1" localSheetId="2">#REF!</definedName>
    <definedName name="F1_DNG_WY_PER1">#REF!</definedName>
    <definedName name="F1_DNG_WY_PER10" localSheetId="2">#REF!</definedName>
    <definedName name="F1_DNG_WY_PER10">#REF!</definedName>
    <definedName name="F1_DNG_WY_PER11" localSheetId="2">#REF!</definedName>
    <definedName name="F1_DNG_WY_PER11">#REF!</definedName>
    <definedName name="F1_DNG_WY_PER12" localSheetId="2">#REF!</definedName>
    <definedName name="F1_DNG_WY_PER12">#REF!</definedName>
    <definedName name="F1_DNG_WY_PER2" localSheetId="2">#REF!</definedName>
    <definedName name="F1_DNG_WY_PER2">#REF!</definedName>
    <definedName name="F1_DNG_WY_PER3" localSheetId="2">#REF!</definedName>
    <definedName name="F1_DNG_WY_PER3">#REF!</definedName>
    <definedName name="F1_DNG_WY_PER4" localSheetId="2">#REF!</definedName>
    <definedName name="F1_DNG_WY_PER4">#REF!</definedName>
    <definedName name="F1_DNG_WY_PER5" localSheetId="2">#REF!</definedName>
    <definedName name="F1_DNG_WY_PER5">#REF!</definedName>
    <definedName name="F1_DNG_WY_PER6" localSheetId="2">#REF!</definedName>
    <definedName name="F1_DNG_WY_PER6">#REF!</definedName>
    <definedName name="F1_DNG_WY_PER7" localSheetId="2">#REF!</definedName>
    <definedName name="F1_DNG_WY_PER7">#REF!</definedName>
    <definedName name="F1_DNG_WY_PER8" localSheetId="2">#REF!</definedName>
    <definedName name="F1_DNG_WY_PER8">#REF!</definedName>
    <definedName name="F1_DNG_WY_PER9" localSheetId="2">#REF!</definedName>
    <definedName name="F1_DNG_WY_PER9">#REF!</definedName>
    <definedName name="F1_SNG_UT_PER1" localSheetId="2">#REF!</definedName>
    <definedName name="F1_SNG_UT_PER1">#REF!</definedName>
    <definedName name="F1_SNG_UT_PER10" localSheetId="2">#REF!</definedName>
    <definedName name="F1_SNG_UT_PER10">#REF!</definedName>
    <definedName name="F1_SNG_UT_PER11" localSheetId="2">#REF!</definedName>
    <definedName name="F1_SNG_UT_PER11">#REF!</definedName>
    <definedName name="F1_SNG_UT_PER12" localSheetId="2">#REF!</definedName>
    <definedName name="F1_SNG_UT_PER12">#REF!</definedName>
    <definedName name="F1_SNG_UT_PER2" localSheetId="2">#REF!</definedName>
    <definedName name="F1_SNG_UT_PER2">#REF!</definedName>
    <definedName name="F1_SNG_UT_PER3" localSheetId="2">#REF!</definedName>
    <definedName name="F1_SNG_UT_PER3">#REF!</definedName>
    <definedName name="F1_SNG_UT_PER4" localSheetId="2">#REF!</definedName>
    <definedName name="F1_SNG_UT_PER4">#REF!</definedName>
    <definedName name="F1_SNG_UT_PER5" localSheetId="2">#REF!</definedName>
    <definedName name="F1_SNG_UT_PER5">#REF!</definedName>
    <definedName name="F1_SNG_UT_PER6" localSheetId="2">#REF!</definedName>
    <definedName name="F1_SNG_UT_PER6">#REF!</definedName>
    <definedName name="F1_SNG_UT_PER7" localSheetId="2">#REF!</definedName>
    <definedName name="F1_SNG_UT_PER7">#REF!</definedName>
    <definedName name="F1_SNG_UT_PER8" localSheetId="2">#REF!</definedName>
    <definedName name="F1_SNG_UT_PER8">#REF!</definedName>
    <definedName name="F1_SNG_UT_PER9" localSheetId="2">#REF!</definedName>
    <definedName name="F1_SNG_UT_PER9">#REF!</definedName>
    <definedName name="F1_WNA_UT_PER1" localSheetId="2">#REF!</definedName>
    <definedName name="F1_WNA_UT_PER1">#REF!</definedName>
    <definedName name="F1_WNA_UT_PER10" localSheetId="2">#REF!</definedName>
    <definedName name="F1_WNA_UT_PER10">#REF!</definedName>
    <definedName name="F1_WNA_UT_PER11" localSheetId="2">#REF!</definedName>
    <definedName name="F1_WNA_UT_PER11">#REF!</definedName>
    <definedName name="F1_WNA_UT_PER12" localSheetId="2">#REF!</definedName>
    <definedName name="F1_WNA_UT_PER12">#REF!</definedName>
    <definedName name="F1_WNA_UT_PER2" localSheetId="2">#REF!</definedName>
    <definedName name="F1_WNA_UT_PER2">#REF!</definedName>
    <definedName name="F1_WNA_UT_PER3" localSheetId="2">#REF!</definedName>
    <definedName name="F1_WNA_UT_PER3">#REF!</definedName>
    <definedName name="F1_WNA_UT_PER4" localSheetId="2">#REF!</definedName>
    <definedName name="F1_WNA_UT_PER4">#REF!</definedName>
    <definedName name="F1_WNA_UT_PER5" localSheetId="2">#REF!</definedName>
    <definedName name="F1_WNA_UT_PER5">#REF!</definedName>
    <definedName name="F1_WNA_UT_PER6" localSheetId="2">#REF!</definedName>
    <definedName name="F1_WNA_UT_PER6">#REF!</definedName>
    <definedName name="F1_WNA_UT_PER7" localSheetId="2">#REF!</definedName>
    <definedName name="F1_WNA_UT_PER7">#REF!</definedName>
    <definedName name="F1_WNA_UT_PER8" localSheetId="2">#REF!</definedName>
    <definedName name="F1_WNA_UT_PER8">#REF!</definedName>
    <definedName name="F1_WNA_UT_PER9" localSheetId="2">#REF!</definedName>
    <definedName name="F1_WNA_UT_PER9">#REF!</definedName>
    <definedName name="F1T_DNG_WY_PER1">[8]CRITERIA!$J$175:$Q$176</definedName>
    <definedName name="F1T_DNG_WY_PER10">[8]CRITERIA!$CM$175:$CT$176</definedName>
    <definedName name="F1T_DNG_WY_PER11">[8]CRITERIA!$CV$175:$DC$176</definedName>
    <definedName name="F1T_DNG_WY_PER12">[8]CRITERIA!$DE$175:$DL$176</definedName>
    <definedName name="F1T_DNG_WY_PER2">[8]CRITERIA!$S$175:$Z$176</definedName>
    <definedName name="F1T_DNG_WY_PER3">[8]CRITERIA!$AB$175:$AI$176</definedName>
    <definedName name="F1T_DNG_WY_PER4">[8]CRITERIA!$AK$175:$AR$176</definedName>
    <definedName name="F1T_DNG_WY_PER5">[8]CRITERIA!$AT$175:$BA$176</definedName>
    <definedName name="F1T_DNG_WY_PER6">[8]CRITERIA!$BC$175:$BJ$176</definedName>
    <definedName name="F1T_DNG_WY_PER7">[8]CRITERIA!$BL$175:$BS$176</definedName>
    <definedName name="F1T_DNG_WY_PER8">[8]CRITERIA!$BU$175:$CB$176</definedName>
    <definedName name="F1T_DNG_WY_PER9">[8]CRITERIA!$CD$175:$CK$176</definedName>
    <definedName name="F3_COM_UT_PER1" localSheetId="2">#REF!</definedName>
    <definedName name="F3_COM_UT_PER1">#REF!</definedName>
    <definedName name="F3_COM_UT_PER10" localSheetId="2">#REF!</definedName>
    <definedName name="F3_COM_UT_PER10">#REF!</definedName>
    <definedName name="F3_COM_UT_PER11" localSheetId="2">#REF!</definedName>
    <definedName name="F3_COM_UT_PER11">#REF!</definedName>
    <definedName name="F3_COM_UT_PER12" localSheetId="2">#REF!</definedName>
    <definedName name="F3_COM_UT_PER12">#REF!</definedName>
    <definedName name="F3_COM_UT_PER2" localSheetId="2">#REF!</definedName>
    <definedName name="F3_COM_UT_PER2">#REF!</definedName>
    <definedName name="F3_COM_UT_PER3" localSheetId="2">#REF!</definedName>
    <definedName name="F3_COM_UT_PER3">#REF!</definedName>
    <definedName name="F3_COM_UT_PER4" localSheetId="2">#REF!</definedName>
    <definedName name="F3_COM_UT_PER4">#REF!</definedName>
    <definedName name="F3_COM_UT_PER5" localSheetId="2">#REF!</definedName>
    <definedName name="F3_COM_UT_PER5">#REF!</definedName>
    <definedName name="F3_COM_UT_PER6" localSheetId="2">#REF!</definedName>
    <definedName name="F3_COM_UT_PER6">#REF!</definedName>
    <definedName name="F3_COM_UT_PER7" localSheetId="2">#REF!</definedName>
    <definedName name="F3_COM_UT_PER7">#REF!</definedName>
    <definedName name="F3_COM_UT_PER8" localSheetId="2">#REF!</definedName>
    <definedName name="F3_COM_UT_PER8">#REF!</definedName>
    <definedName name="F3_COM_UT_PER9" localSheetId="2">#REF!</definedName>
    <definedName name="F3_COM_UT_PER9">#REF!</definedName>
    <definedName name="F3_DNG_UT_PER1" localSheetId="2">#REF!</definedName>
    <definedName name="F3_DNG_UT_PER1">#REF!</definedName>
    <definedName name="F3_DNG_UT_PER10" localSheetId="2">#REF!</definedName>
    <definedName name="F3_DNG_UT_PER10">#REF!</definedName>
    <definedName name="F3_DNG_UT_PER11" localSheetId="2">#REF!</definedName>
    <definedName name="F3_DNG_UT_PER11">#REF!</definedName>
    <definedName name="F3_DNG_UT_PER12" localSheetId="2">#REF!</definedName>
    <definedName name="F3_DNG_UT_PER12">#REF!</definedName>
    <definedName name="F3_DNG_UT_PER2" localSheetId="2">#REF!</definedName>
    <definedName name="F3_DNG_UT_PER2">#REF!</definedName>
    <definedName name="F3_DNG_UT_PER3" localSheetId="2">#REF!</definedName>
    <definedName name="F3_DNG_UT_PER3">#REF!</definedName>
    <definedName name="F3_DNG_UT_PER4" localSheetId="2">#REF!</definedName>
    <definedName name="F3_DNG_UT_PER4">#REF!</definedName>
    <definedName name="F3_DNG_UT_PER5" localSheetId="2">#REF!</definedName>
    <definedName name="F3_DNG_UT_PER5">#REF!</definedName>
    <definedName name="F3_DNG_UT_PER6" localSheetId="2">#REF!</definedName>
    <definedName name="F3_DNG_UT_PER6">#REF!</definedName>
    <definedName name="F3_DNG_UT_PER7" localSheetId="2">#REF!</definedName>
    <definedName name="F3_DNG_UT_PER7">#REF!</definedName>
    <definedName name="F3_DNG_UT_PER8" localSheetId="2">#REF!</definedName>
    <definedName name="F3_DNG_UT_PER8">#REF!</definedName>
    <definedName name="F3_DNG_UT_PER9" localSheetId="2">#REF!</definedName>
    <definedName name="F3_DNG_UT_PER9">#REF!</definedName>
    <definedName name="F3_SNG_UT_PER1" localSheetId="2">#REF!</definedName>
    <definedName name="F3_SNG_UT_PER1">#REF!</definedName>
    <definedName name="F3_SNG_UT_PER10" localSheetId="2">#REF!</definedName>
    <definedName name="F3_SNG_UT_PER10">#REF!</definedName>
    <definedName name="F3_SNG_UT_PER11" localSheetId="2">#REF!</definedName>
    <definedName name="F3_SNG_UT_PER11">#REF!</definedName>
    <definedName name="F3_SNG_UT_PER12" localSheetId="2">#REF!</definedName>
    <definedName name="F3_SNG_UT_PER12">#REF!</definedName>
    <definedName name="F3_SNG_UT_PER2" localSheetId="2">#REF!</definedName>
    <definedName name="F3_SNG_UT_PER2">#REF!</definedName>
    <definedName name="F3_SNG_UT_PER3" localSheetId="2">#REF!</definedName>
    <definedName name="F3_SNG_UT_PER3">#REF!</definedName>
    <definedName name="F3_SNG_UT_PER4" localSheetId="2">#REF!</definedName>
    <definedName name="F3_SNG_UT_PER4">#REF!</definedName>
    <definedName name="F3_SNG_UT_PER5" localSheetId="2">#REF!</definedName>
    <definedName name="F3_SNG_UT_PER5">#REF!</definedName>
    <definedName name="F3_SNG_UT_PER6" localSheetId="2">#REF!</definedName>
    <definedName name="F3_SNG_UT_PER6">#REF!</definedName>
    <definedName name="F3_SNG_UT_PER7" localSheetId="2">#REF!</definedName>
    <definedName name="F3_SNG_UT_PER7">#REF!</definedName>
    <definedName name="F3_SNG_UT_PER8" localSheetId="2">#REF!</definedName>
    <definedName name="F3_SNG_UT_PER8">#REF!</definedName>
    <definedName name="F3_SNG_UT_PER9" localSheetId="2">#REF!</definedName>
    <definedName name="F3_SNG_UT_PER9">#REF!</definedName>
    <definedName name="F4_COM_UT_PER1" localSheetId="2">#REF!</definedName>
    <definedName name="F4_COM_UT_PER1">#REF!</definedName>
    <definedName name="F4_COM_UT_PER10" localSheetId="2">#REF!</definedName>
    <definedName name="F4_COM_UT_PER10">#REF!</definedName>
    <definedName name="F4_COM_UT_PER11" localSheetId="2">#REF!</definedName>
    <definedName name="F4_COM_UT_PER11">#REF!</definedName>
    <definedName name="F4_COM_UT_PER12" localSheetId="2">#REF!</definedName>
    <definedName name="F4_COM_UT_PER12">#REF!</definedName>
    <definedName name="F4_COM_UT_PER2" localSheetId="2">#REF!</definedName>
    <definedName name="F4_COM_UT_PER2">#REF!</definedName>
    <definedName name="F4_COM_UT_PER3" localSheetId="2">#REF!</definedName>
    <definedName name="F4_COM_UT_PER3">#REF!</definedName>
    <definedName name="F4_COM_UT_PER4" localSheetId="2">#REF!</definedName>
    <definedName name="F4_COM_UT_PER4">#REF!</definedName>
    <definedName name="F4_COM_UT_PER5" localSheetId="2">#REF!</definedName>
    <definedName name="F4_COM_UT_PER5">#REF!</definedName>
    <definedName name="F4_COM_UT_PER6" localSheetId="2">#REF!</definedName>
    <definedName name="F4_COM_UT_PER6">#REF!</definedName>
    <definedName name="F4_COM_UT_PER7" localSheetId="2">#REF!</definedName>
    <definedName name="F4_COM_UT_PER7">#REF!</definedName>
    <definedName name="F4_COM_UT_PER8" localSheetId="2">#REF!</definedName>
    <definedName name="F4_COM_UT_PER8">#REF!</definedName>
    <definedName name="F4_COM_UT_PER9" localSheetId="2">#REF!</definedName>
    <definedName name="F4_COM_UT_PER9">#REF!</definedName>
    <definedName name="F4_DNG_UT_PER1" localSheetId="2">#REF!</definedName>
    <definedName name="F4_DNG_UT_PER1">#REF!</definedName>
    <definedName name="F4_DNG_UT_PER10" localSheetId="2">#REF!</definedName>
    <definedName name="F4_DNG_UT_PER10">#REF!</definedName>
    <definedName name="F4_DNG_UT_PER11" localSheetId="2">#REF!</definedName>
    <definedName name="F4_DNG_UT_PER11">#REF!</definedName>
    <definedName name="F4_DNG_UT_PER12" localSheetId="2">#REF!</definedName>
    <definedName name="F4_DNG_UT_PER12">#REF!</definedName>
    <definedName name="F4_DNG_UT_PER2" localSheetId="2">#REF!</definedName>
    <definedName name="F4_DNG_UT_PER2">#REF!</definedName>
    <definedName name="F4_DNG_UT_PER3" localSheetId="2">#REF!</definedName>
    <definedName name="F4_DNG_UT_PER3">#REF!</definedName>
    <definedName name="F4_DNG_UT_PER4" localSheetId="2">#REF!</definedName>
    <definedName name="F4_DNG_UT_PER4">#REF!</definedName>
    <definedName name="F4_DNG_UT_PER5" localSheetId="2">#REF!</definedName>
    <definedName name="F4_DNG_UT_PER5">#REF!</definedName>
    <definedName name="F4_DNG_UT_PER6" localSheetId="2">#REF!</definedName>
    <definedName name="F4_DNG_UT_PER6">#REF!</definedName>
    <definedName name="F4_DNG_UT_PER7" localSheetId="2">#REF!</definedName>
    <definedName name="F4_DNG_UT_PER7">#REF!</definedName>
    <definedName name="F4_DNG_UT_PER8" localSheetId="2">#REF!</definedName>
    <definedName name="F4_DNG_UT_PER8">#REF!</definedName>
    <definedName name="F4_DNG_UT_PER9" localSheetId="2">#REF!</definedName>
    <definedName name="F4_DNG_UT_PER9">#REF!</definedName>
    <definedName name="F4_SNG_UT_PER1" localSheetId="2">#REF!</definedName>
    <definedName name="F4_SNG_UT_PER1">#REF!</definedName>
    <definedName name="F4_SNG_UT_PER10" localSheetId="2">#REF!</definedName>
    <definedName name="F4_SNG_UT_PER10">#REF!</definedName>
    <definedName name="F4_SNG_UT_PER11" localSheetId="2">#REF!</definedName>
    <definedName name="F4_SNG_UT_PER11">#REF!</definedName>
    <definedName name="F4_SNG_UT_PER12" localSheetId="2">#REF!</definedName>
    <definedName name="F4_SNG_UT_PER12">#REF!</definedName>
    <definedName name="F4_SNG_UT_PER2" localSheetId="2">#REF!</definedName>
    <definedName name="F4_SNG_UT_PER2">#REF!</definedName>
    <definedName name="F4_SNG_UT_PER3" localSheetId="2">#REF!</definedName>
    <definedName name="F4_SNG_UT_PER3">#REF!</definedName>
    <definedName name="F4_SNG_UT_PER4" localSheetId="2">#REF!</definedName>
    <definedName name="F4_SNG_UT_PER4">#REF!</definedName>
    <definedName name="F4_SNG_UT_PER5" localSheetId="2">#REF!</definedName>
    <definedName name="F4_SNG_UT_PER5">#REF!</definedName>
    <definedName name="F4_SNG_UT_PER6" localSheetId="2">#REF!</definedName>
    <definedName name="F4_SNG_UT_PER6">#REF!</definedName>
    <definedName name="F4_SNG_UT_PER7" localSheetId="2">#REF!</definedName>
    <definedName name="F4_SNG_UT_PER7">#REF!</definedName>
    <definedName name="F4_SNG_UT_PER8" localSheetId="2">#REF!</definedName>
    <definedName name="F4_SNG_UT_PER8">#REF!</definedName>
    <definedName name="F4_SNG_UT_PER9" localSheetId="2">#REF!</definedName>
    <definedName name="F4_SNG_UT_PER9">#REF!</definedName>
    <definedName name="F4_WNA_UT_PER1" localSheetId="2">#REF!</definedName>
    <definedName name="F4_WNA_UT_PER1">#REF!</definedName>
    <definedName name="F4_WNA_UT_PER10" localSheetId="2">#REF!</definedName>
    <definedName name="F4_WNA_UT_PER10">#REF!</definedName>
    <definedName name="F4_WNA_UT_PER11" localSheetId="2">#REF!</definedName>
    <definedName name="F4_WNA_UT_PER11">#REF!</definedName>
    <definedName name="F4_WNA_UT_PER12" localSheetId="2">#REF!</definedName>
    <definedName name="F4_WNA_UT_PER12">#REF!</definedName>
    <definedName name="F4_WNA_UT_PER2" localSheetId="2">#REF!</definedName>
    <definedName name="F4_WNA_UT_PER2">#REF!</definedName>
    <definedName name="F4_WNA_UT_PER3" localSheetId="2">#REF!</definedName>
    <definedName name="F4_WNA_UT_PER3">#REF!</definedName>
    <definedName name="F4_WNA_UT_PER4" localSheetId="2">#REF!</definedName>
    <definedName name="F4_WNA_UT_PER4">#REF!</definedName>
    <definedName name="F4_WNA_UT_PER5" localSheetId="2">#REF!</definedName>
    <definedName name="F4_WNA_UT_PER5">#REF!</definedName>
    <definedName name="F4_WNA_UT_PER6" localSheetId="2">#REF!</definedName>
    <definedName name="F4_WNA_UT_PER6">#REF!</definedName>
    <definedName name="F4_WNA_UT_PER7" localSheetId="2">#REF!</definedName>
    <definedName name="F4_WNA_UT_PER7">#REF!</definedName>
    <definedName name="F4_WNA_UT_PER8" localSheetId="2">#REF!</definedName>
    <definedName name="F4_WNA_UT_PER8">#REF!</definedName>
    <definedName name="F4_WNA_UT_PER9" localSheetId="2">#REF!</definedName>
    <definedName name="F4_WNA_UT_PER9">#REF!</definedName>
    <definedName name="FS_FL_UT_PER1">[9]CRITERIA!$J$196:$Q$197</definedName>
    <definedName name="FS_FL_UT_PER10">[9]CRITERIA!$CM$196:$CT$197</definedName>
    <definedName name="FS_FL_UT_PER11">[9]CRITERIA!$CV$196:$DC$197</definedName>
    <definedName name="FS_FL_UT_PER12">[9]CRITERIA!$DE$196:$DL$197</definedName>
    <definedName name="FS_FL_UT_PER2">[9]CRITERIA!$S$196:$Z$197</definedName>
    <definedName name="FS_FL_UT_PER3">[9]CRITERIA!$AB$196:$AI$197</definedName>
    <definedName name="FS_FL_UT_PER4">[9]CRITERIA!$AK$196:$AR$197</definedName>
    <definedName name="FS_FL_UT_PER5">[9]CRITERIA!$AT$196:$BA$197</definedName>
    <definedName name="FS_FL_UT_PER6">[9]CRITERIA!$BC$196:$BJ$197</definedName>
    <definedName name="FS_FL_UT_PER7">[9]CRITERIA!$BL$196:$BS$197</definedName>
    <definedName name="FS_FL_UT_PER8">[9]CRITERIA!$BU$196:$CB$197</definedName>
    <definedName name="FS_FL_UT_PER9">[9]CRITERIA!$CD$196:$CK$197</definedName>
    <definedName name="FT_FL_UT_PER1">[9]CRITERIA!$J$202:$Q$203</definedName>
    <definedName name="FT_FL_UT_PER10">[9]CRITERIA!$CM$202:$CT$203</definedName>
    <definedName name="FT_FL_UT_PER11">[9]CRITERIA!$CV$202:$DC$203</definedName>
    <definedName name="FT_FL_UT_PER12">[9]CRITERIA!$DE$202:$DL$203</definedName>
    <definedName name="FT_FL_UT_PER2">[9]CRITERIA!$S$202:$Z$203</definedName>
    <definedName name="FT_FL_UT_PER3">[9]CRITERIA!$AB$202:$AI$203</definedName>
    <definedName name="FT_FL_UT_PER4">[9]CRITERIA!$AK$202:$AR$203</definedName>
    <definedName name="FT_FL_UT_PER5">[9]CRITERIA!$AT$202:$BA$203</definedName>
    <definedName name="FT_FL_UT_PER6">[9]CRITERIA!$BC$202:$BJ$203</definedName>
    <definedName name="FT_FL_UT_PER7">[9]CRITERIA!$BL$202:$BS$203</definedName>
    <definedName name="FT_FL_UT_PER8">[9]CRITERIA!$BU$202:$CB$203</definedName>
    <definedName name="FT_FL_UT_PER9">[9]CRITERIA!$CD$202:$CK$203</definedName>
    <definedName name="FT1_DNG_UT_PER1" localSheetId="2">#REF!</definedName>
    <definedName name="FT1_DNG_UT_PER1">#REF!</definedName>
    <definedName name="FT1_DNG_UT_PER10" localSheetId="2">#REF!</definedName>
    <definedName name="FT1_DNG_UT_PER10">#REF!</definedName>
    <definedName name="FT1_DNG_UT_PER11" localSheetId="2">#REF!</definedName>
    <definedName name="FT1_DNG_UT_PER11">#REF!</definedName>
    <definedName name="FT1_DNG_UT_PER12" localSheetId="2">#REF!</definedName>
    <definedName name="FT1_DNG_UT_PER12">#REF!</definedName>
    <definedName name="FT1_DNG_UT_PER2" localSheetId="2">#REF!</definedName>
    <definedName name="FT1_DNG_UT_PER2">#REF!</definedName>
    <definedName name="FT1_DNG_UT_PER3" localSheetId="2">#REF!</definedName>
    <definedName name="FT1_DNG_UT_PER3">#REF!</definedName>
    <definedName name="FT1_DNG_UT_PER4" localSheetId="2">#REF!</definedName>
    <definedName name="FT1_DNG_UT_PER4">#REF!</definedName>
    <definedName name="FT1_DNG_UT_PER5" localSheetId="2">#REF!</definedName>
    <definedName name="FT1_DNG_UT_PER5">#REF!</definedName>
    <definedName name="FT1_DNG_UT_PER6" localSheetId="2">#REF!</definedName>
    <definedName name="FT1_DNG_UT_PER6">#REF!</definedName>
    <definedName name="FT1_DNG_UT_PER7" localSheetId="2">#REF!</definedName>
    <definedName name="FT1_DNG_UT_PER7">#REF!</definedName>
    <definedName name="FT1_DNG_UT_PER8" localSheetId="2">#REF!</definedName>
    <definedName name="FT1_DNG_UT_PER8">#REF!</definedName>
    <definedName name="FT1_DNG_UT_PER9" localSheetId="2">#REF!</definedName>
    <definedName name="FT1_DNG_UT_PER9">#REF!</definedName>
    <definedName name="FT2_COMM_UT_PER1" localSheetId="23">#REF!</definedName>
    <definedName name="FT2_COMM_UT_PER1">[4]CRITERIA!$J$89:$Q$90</definedName>
    <definedName name="FT2_COMM_UT_PER10" localSheetId="23">#REF!</definedName>
    <definedName name="FT2_COMM_UT_PER10">[4]CRITERIA!$CM$89:$CT$90</definedName>
    <definedName name="FT2_COMM_UT_PER11" localSheetId="23">#REF!</definedName>
    <definedName name="FT2_COMM_UT_PER11">[4]CRITERIA!$CV$89:$DC$90</definedName>
    <definedName name="FT2_COMM_UT_PER12" localSheetId="23">#REF!</definedName>
    <definedName name="FT2_COMM_UT_PER12">[4]CRITERIA!$DE$89:$DL$90</definedName>
    <definedName name="FT2_COMM_UT_PER2" localSheetId="23">#REF!</definedName>
    <definedName name="FT2_COMM_UT_PER2">[4]CRITERIA!$S$89:$Z$90</definedName>
    <definedName name="FT2_COMM_UT_PER3" localSheetId="23">#REF!</definedName>
    <definedName name="FT2_COMM_UT_PER3">[4]CRITERIA!$AB$89:$AI$90</definedName>
    <definedName name="FT2_COMM_UT_PER4" localSheetId="23">#REF!</definedName>
    <definedName name="FT2_COMM_UT_PER4">[4]CRITERIA!$AK$89:$AR$90</definedName>
    <definedName name="FT2_COMM_UT_PER5" localSheetId="23">#REF!</definedName>
    <definedName name="FT2_COMM_UT_PER5">[4]CRITERIA!$AT$89:$BA$90</definedName>
    <definedName name="FT2_COMM_UT_PER6" localSheetId="23">#REF!</definedName>
    <definedName name="FT2_COMM_UT_PER6">[4]CRITERIA!$BC$89:$BJ$90</definedName>
    <definedName name="FT2_COMM_UT_PER7" localSheetId="23">#REF!</definedName>
    <definedName name="FT2_COMM_UT_PER7">[4]CRITERIA!$BL$89:$BS$90</definedName>
    <definedName name="FT2_COMM_UT_PER8" localSheetId="23">#REF!</definedName>
    <definedName name="FT2_COMM_UT_PER8">[4]CRITERIA!$BU$89:$CB$90</definedName>
    <definedName name="FT2_COMM_UT_PER9" localSheetId="23">#REF!</definedName>
    <definedName name="FT2_COMM_UT_PER9">[4]CRITERIA!$CD$89:$CK$90</definedName>
    <definedName name="FT2_DNG_UT_PER1" localSheetId="2">#REF!</definedName>
    <definedName name="FT2_DNG_UT_PER1">#REF!</definedName>
    <definedName name="FT2_DNG_UT_PER10" localSheetId="2">#REF!</definedName>
    <definedName name="FT2_DNG_UT_PER10">#REF!</definedName>
    <definedName name="FT2_DNG_UT_PER11" localSheetId="2">#REF!</definedName>
    <definedName name="FT2_DNG_UT_PER11">#REF!</definedName>
    <definedName name="FT2_DNG_UT_PER12" localSheetId="2">#REF!</definedName>
    <definedName name="FT2_DNG_UT_PER12">#REF!</definedName>
    <definedName name="FT2_DNG_UT_PER2" localSheetId="2">#REF!</definedName>
    <definedName name="FT2_DNG_UT_PER2">#REF!</definedName>
    <definedName name="FT2_DNG_UT_PER3" localSheetId="2">#REF!</definedName>
    <definedName name="FT2_DNG_UT_PER3">#REF!</definedName>
    <definedName name="FT2_DNG_UT_PER4" localSheetId="2">#REF!</definedName>
    <definedName name="FT2_DNG_UT_PER4">#REF!</definedName>
    <definedName name="FT2_DNG_UT_PER5" localSheetId="2">#REF!</definedName>
    <definedName name="FT2_DNG_UT_PER5">#REF!</definedName>
    <definedName name="FT2_DNG_UT_PER6" localSheetId="2">#REF!</definedName>
    <definedName name="FT2_DNG_UT_PER6">#REF!</definedName>
    <definedName name="FT2_DNG_UT_PER7" localSheetId="2">#REF!</definedName>
    <definedName name="FT2_DNG_UT_PER7">#REF!</definedName>
    <definedName name="FT2_DNG_UT_PER8" localSheetId="2">#REF!</definedName>
    <definedName name="FT2_DNG_UT_PER8">#REF!</definedName>
    <definedName name="FT2_DNG_UT_PER9" localSheetId="2">#REF!</definedName>
    <definedName name="FT2_DNG_UT_PER9">#REF!</definedName>
    <definedName name="FT2C_PER1">[8]CRITERIA!$J$172:$Q$173</definedName>
    <definedName name="FT2C_PER10">[8]CRITERIA!$CM$172:$CT$173</definedName>
    <definedName name="FT2C_PER11">[8]CRITERIA!$CV$172:$DC$173</definedName>
    <definedName name="FT2C_PER12">[8]CRITERIA!$DE$172:$DL$173</definedName>
    <definedName name="FT2C_PER2">[8]CRITERIA!$S$172:$Z$173</definedName>
    <definedName name="FT2C_PER3">[8]CRITERIA!$AB$172:$AI$173</definedName>
    <definedName name="FT2C_PER4">[8]CRITERIA!$AK$172:$AR$173</definedName>
    <definedName name="FT2C_PER5">[8]CRITERIA!$AT$172:$BA$173</definedName>
    <definedName name="FT2C_PER6">[8]CRITERIA!$BC$172:$BJ$173</definedName>
    <definedName name="FT2C_PER7">[8]CRITERIA!$BL$172:$BS$173</definedName>
    <definedName name="FT2C_PER8">[8]CRITERIA!$BU$172:$CB$173</definedName>
    <definedName name="FT2C_PER9">[8]CRITERIA!$CD$172:$CK$173</definedName>
    <definedName name="FT2RB1">'[10]Rates-Meter Categories-Charges'!$E$53</definedName>
    <definedName name="FT2RB2">'[10]Rates-Meter Categories-Charges'!$E$54</definedName>
    <definedName name="FT2RB3">'[10]Rates-Meter Categories-Charges'!$E$55</definedName>
    <definedName name="FT2RB4">'[10]Rates-Meter Categories-Charges'!$E$56</definedName>
    <definedName name="FUEL" localSheetId="2">'[1]ENERGY EFFICIENCY SERVICES ADJ'!#REF!</definedName>
    <definedName name="FUEL">'ENERGY EFFICIENCY SERVICES ADJ'!#REF!</definedName>
    <definedName name="GATHER" localSheetId="2">#REF!</definedName>
    <definedName name="GATHER">#REF!</definedName>
    <definedName name="GENPLANTADJ" localSheetId="2">#REF!</definedName>
    <definedName name="GENPLANTADJ">#REF!</definedName>
    <definedName name="GH" localSheetId="23">'Capital Str'!#REF!</definedName>
    <definedName name="GH" localSheetId="2">'[1]Capital Str'!#REF!</definedName>
    <definedName name="GH">'Capital Str'!#REF!</definedName>
    <definedName name="GrossPlantFormula">'Utah Allocation'!$D$18:$F$18</definedName>
    <definedName name="GrossPlantNumber">'Utah Allocation'!$D$17:$F$17</definedName>
    <definedName name="GS" localSheetId="23">#REF!</definedName>
    <definedName name="GS" localSheetId="2">#REF!</definedName>
    <definedName name="GS">#REF!</definedName>
    <definedName name="GS_FL_UT_PER1">[9]CRITERIA!$J$193:$Q$194</definedName>
    <definedName name="GS_FL_UT_PER10">[9]CRITERIA!$CM$193:$CT$194</definedName>
    <definedName name="GS_FL_UT_PER11">[9]CRITERIA!$CV$193:$DC$194</definedName>
    <definedName name="GS_FL_UT_PER12">[9]CRITERIA!$DE$193:$DL$194</definedName>
    <definedName name="GS_FL_UT_PER2">[9]CRITERIA!$S$193:$Z$194</definedName>
    <definedName name="GS_FL_UT_PER3">[9]CRITERIA!$AB$193:$AI$194</definedName>
    <definedName name="GS_FL_UT_PER4">[9]CRITERIA!$AK$193:$AR$194</definedName>
    <definedName name="GS_FL_UT_PER5">[9]CRITERIA!$AT$193:$BA$194</definedName>
    <definedName name="GS_FL_UT_PER6">[9]CRITERIA!$BC$193:$BJ$194</definedName>
    <definedName name="GS_FL_UT_PER7">[9]CRITERIA!$BL$193:$BS$194</definedName>
    <definedName name="GS_FL_UT_PER8">[9]CRITERIA!$BU$193:$CB$194</definedName>
    <definedName name="GS_FL_UT_PER9">[9]CRITERIA!$CD$193:$CK$194</definedName>
    <definedName name="GS1_COM_UT_PER1" localSheetId="2">#REF!</definedName>
    <definedName name="GS1_COM_UT_PER1">#REF!</definedName>
    <definedName name="GS1_COM_UT_PER10" localSheetId="2">#REF!</definedName>
    <definedName name="GS1_COM_UT_PER10">#REF!</definedName>
    <definedName name="GS1_COM_UT_PER11" localSheetId="2">#REF!</definedName>
    <definedName name="GS1_COM_UT_PER11">#REF!</definedName>
    <definedName name="GS1_COM_UT_PER12" localSheetId="2">#REF!</definedName>
    <definedName name="GS1_COM_UT_PER12">#REF!</definedName>
    <definedName name="GS1_COM_UT_PER2" localSheetId="2">#REF!</definedName>
    <definedName name="GS1_COM_UT_PER2">#REF!</definedName>
    <definedName name="GS1_COM_UT_PER3" localSheetId="2">#REF!</definedName>
    <definedName name="GS1_COM_UT_PER3">#REF!</definedName>
    <definedName name="GS1_COM_UT_PER4" localSheetId="2">#REF!</definedName>
    <definedName name="GS1_COM_UT_PER4">#REF!</definedName>
    <definedName name="GS1_COM_UT_PER5" localSheetId="2">#REF!</definedName>
    <definedName name="GS1_COM_UT_PER5">#REF!</definedName>
    <definedName name="GS1_COM_UT_PER6" localSheetId="2">#REF!</definedName>
    <definedName name="GS1_COM_UT_PER6">#REF!</definedName>
    <definedName name="GS1_COM_UT_PER7" localSheetId="2">#REF!</definedName>
    <definedName name="GS1_COM_UT_PER7">#REF!</definedName>
    <definedName name="GS1_COM_UT_PER8" localSheetId="2">#REF!</definedName>
    <definedName name="GS1_COM_UT_PER8">#REF!</definedName>
    <definedName name="GS1_COM_UT_PER9" localSheetId="2">#REF!</definedName>
    <definedName name="GS1_COM_UT_PER9">#REF!</definedName>
    <definedName name="GS1_COM_WY_PER1" localSheetId="2">#REF!</definedName>
    <definedName name="GS1_COM_WY_PER1">#REF!</definedName>
    <definedName name="GS1_COM_WY_PER10" localSheetId="2">#REF!</definedName>
    <definedName name="GS1_COM_WY_PER10">#REF!</definedName>
    <definedName name="GS1_COM_WY_PER11" localSheetId="2">#REF!</definedName>
    <definedName name="GS1_COM_WY_PER11">#REF!</definedName>
    <definedName name="GS1_COM_WY_PER12" localSheetId="2">#REF!</definedName>
    <definedName name="GS1_COM_WY_PER12">#REF!</definedName>
    <definedName name="GS1_COM_WY_PER2" localSheetId="2">#REF!</definedName>
    <definedName name="GS1_COM_WY_PER2">#REF!</definedName>
    <definedName name="GS1_COM_WY_PER3" localSheetId="2">#REF!</definedName>
    <definedName name="GS1_COM_WY_PER3">#REF!</definedName>
    <definedName name="GS1_COM_WY_PER4" localSheetId="2">#REF!</definedName>
    <definedName name="GS1_COM_WY_PER4">#REF!</definedName>
    <definedName name="GS1_COM_WY_PER5" localSheetId="2">#REF!</definedName>
    <definedName name="GS1_COM_WY_PER5">#REF!</definedName>
    <definedName name="GS1_COM_WY_PER6" localSheetId="2">#REF!</definedName>
    <definedName name="GS1_COM_WY_PER6">#REF!</definedName>
    <definedName name="GS1_COM_WY_PER7" localSheetId="2">#REF!</definedName>
    <definedName name="GS1_COM_WY_PER7">#REF!</definedName>
    <definedName name="GS1_COM_WY_PER8" localSheetId="2">#REF!</definedName>
    <definedName name="GS1_COM_WY_PER8">#REF!</definedName>
    <definedName name="GS1_COM_WY_PER9" localSheetId="2">#REF!</definedName>
    <definedName name="GS1_COM_WY_PER9">#REF!</definedName>
    <definedName name="GS1_DNG_UT_PER1" localSheetId="2">#REF!</definedName>
    <definedName name="GS1_DNG_UT_PER1">#REF!</definedName>
    <definedName name="GS1_DNG_UT_PER10" localSheetId="2">#REF!</definedName>
    <definedName name="GS1_DNG_UT_PER10">#REF!</definedName>
    <definedName name="GS1_DNG_UT_PER11" localSheetId="2">#REF!</definedName>
    <definedName name="GS1_DNG_UT_PER11">#REF!</definedName>
    <definedName name="GS1_DNG_UT_PER12" localSheetId="2">#REF!</definedName>
    <definedName name="GS1_DNG_UT_PER12">#REF!</definedName>
    <definedName name="GS1_DNG_UT_PER2" localSheetId="2">#REF!</definedName>
    <definedName name="GS1_DNG_UT_PER2">#REF!</definedName>
    <definedName name="GS1_DNG_UT_PER3" localSheetId="2">#REF!</definedName>
    <definedName name="GS1_DNG_UT_PER3">#REF!</definedName>
    <definedName name="GS1_DNG_UT_PER4" localSheetId="2">#REF!</definedName>
    <definedName name="GS1_DNG_UT_PER4">#REF!</definedName>
    <definedName name="GS1_DNG_UT_PER5" localSheetId="2">#REF!</definedName>
    <definedName name="GS1_DNG_UT_PER5">#REF!</definedName>
    <definedName name="GS1_DNG_UT_PER6" localSheetId="2">#REF!</definedName>
    <definedName name="GS1_DNG_UT_PER6">#REF!</definedName>
    <definedName name="GS1_DNG_UT_PER7" localSheetId="2">#REF!</definedName>
    <definedName name="GS1_DNG_UT_PER7">#REF!</definedName>
    <definedName name="GS1_DNG_UT_PER8" localSheetId="2">#REF!</definedName>
    <definedName name="GS1_DNG_UT_PER8">#REF!</definedName>
    <definedName name="GS1_DNG_UT_PER9" localSheetId="2">#REF!</definedName>
    <definedName name="GS1_DNG_UT_PER9">#REF!</definedName>
    <definedName name="GS1_DNG_WY_PER1" localSheetId="2">#REF!</definedName>
    <definedName name="GS1_DNG_WY_PER1">#REF!</definedName>
    <definedName name="GS1_DNG_WY_PER10" localSheetId="2">#REF!</definedName>
    <definedName name="GS1_DNG_WY_PER10">#REF!</definedName>
    <definedName name="GS1_DNG_WY_PER11" localSheetId="2">#REF!</definedName>
    <definedName name="GS1_DNG_WY_PER11">#REF!</definedName>
    <definedName name="GS1_DNG_WY_PER12" localSheetId="2">#REF!</definedName>
    <definedName name="GS1_DNG_WY_PER12">#REF!</definedName>
    <definedName name="GS1_DNG_WY_PER2" localSheetId="2">#REF!</definedName>
    <definedName name="GS1_DNG_WY_PER2">#REF!</definedName>
    <definedName name="GS1_DNG_WY_PER3" localSheetId="2">#REF!</definedName>
    <definedName name="GS1_DNG_WY_PER3">#REF!</definedName>
    <definedName name="GS1_DNG_WY_PER4" localSheetId="2">#REF!</definedName>
    <definedName name="GS1_DNG_WY_PER4">#REF!</definedName>
    <definedName name="GS1_DNG_WY_PER5" localSheetId="2">#REF!</definedName>
    <definedName name="GS1_DNG_WY_PER5">#REF!</definedName>
    <definedName name="GS1_DNG_WY_PER6" localSheetId="2">#REF!</definedName>
    <definedName name="GS1_DNG_WY_PER6">#REF!</definedName>
    <definedName name="GS1_DNG_WY_PER7" localSheetId="2">#REF!</definedName>
    <definedName name="GS1_DNG_WY_PER7">#REF!</definedName>
    <definedName name="GS1_DNG_WY_PER8" localSheetId="2">#REF!</definedName>
    <definedName name="GS1_DNG_WY_PER8">#REF!</definedName>
    <definedName name="GS1_DNG_WY_PER9" localSheetId="2">#REF!</definedName>
    <definedName name="GS1_DNG_WY_PER9">#REF!</definedName>
    <definedName name="GS1_SNG_UT_PER1" localSheetId="2">#REF!</definedName>
    <definedName name="GS1_SNG_UT_PER1">#REF!</definedName>
    <definedName name="GS1_SNG_UT_PER10" localSheetId="2">#REF!</definedName>
    <definedName name="GS1_SNG_UT_PER10">#REF!</definedName>
    <definedName name="GS1_SNG_UT_PER11" localSheetId="2">#REF!</definedName>
    <definedName name="GS1_SNG_UT_PER11">#REF!</definedName>
    <definedName name="GS1_SNG_UT_PER12" localSheetId="2">#REF!</definedName>
    <definedName name="GS1_SNG_UT_PER12">#REF!</definedName>
    <definedName name="GS1_SNG_UT_PER2" localSheetId="2">#REF!</definedName>
    <definedName name="GS1_SNG_UT_PER2">#REF!</definedName>
    <definedName name="GS1_SNG_UT_PER3" localSheetId="2">#REF!</definedName>
    <definedName name="GS1_SNG_UT_PER3">#REF!</definedName>
    <definedName name="GS1_SNG_UT_PER4" localSheetId="2">#REF!</definedName>
    <definedName name="GS1_SNG_UT_PER4">#REF!</definedName>
    <definedName name="GS1_SNG_UT_PER5" localSheetId="2">#REF!</definedName>
    <definedName name="GS1_SNG_UT_PER5">#REF!</definedName>
    <definedName name="GS1_SNG_UT_PER6" localSheetId="2">#REF!</definedName>
    <definedName name="GS1_SNG_UT_PER6">#REF!</definedName>
    <definedName name="GS1_SNG_UT_PER7" localSheetId="2">#REF!</definedName>
    <definedName name="GS1_SNG_UT_PER7">#REF!</definedName>
    <definedName name="GS1_SNG_UT_PER8" localSheetId="2">#REF!</definedName>
    <definedName name="GS1_SNG_UT_PER8">#REF!</definedName>
    <definedName name="GS1_SNG_UT_PER9" localSheetId="2">#REF!</definedName>
    <definedName name="GS1_SNG_UT_PER9">#REF!</definedName>
    <definedName name="GS1_WNA_UT_PER1" localSheetId="2">#REF!</definedName>
    <definedName name="GS1_WNA_UT_PER1">#REF!</definedName>
    <definedName name="GS1_WNA_UT_PER10" localSheetId="2">#REF!</definedName>
    <definedName name="GS1_WNA_UT_PER10">#REF!</definedName>
    <definedName name="GS1_WNA_UT_PER11" localSheetId="2">#REF!</definedName>
    <definedName name="GS1_WNA_UT_PER11">#REF!</definedName>
    <definedName name="GS1_WNA_UT_PER12" localSheetId="2">#REF!</definedName>
    <definedName name="GS1_WNA_UT_PER12">#REF!</definedName>
    <definedName name="GS1_WNA_UT_PER2" localSheetId="2">#REF!</definedName>
    <definedName name="GS1_WNA_UT_PER2">#REF!</definedName>
    <definedName name="GS1_WNA_UT_PER3" localSheetId="2">#REF!</definedName>
    <definedName name="GS1_WNA_UT_PER3">#REF!</definedName>
    <definedName name="GS1_WNA_UT_PER4" localSheetId="2">#REF!</definedName>
    <definedName name="GS1_WNA_UT_PER4">#REF!</definedName>
    <definedName name="GS1_WNA_UT_PER5" localSheetId="2">#REF!</definedName>
    <definedName name="GS1_WNA_UT_PER5">#REF!</definedName>
    <definedName name="GS1_WNA_UT_PER6" localSheetId="2">#REF!</definedName>
    <definedName name="GS1_WNA_UT_PER6">#REF!</definedName>
    <definedName name="GS1_WNA_UT_PER7" localSheetId="2">#REF!</definedName>
    <definedName name="GS1_WNA_UT_PER7">#REF!</definedName>
    <definedName name="GS1_WNA_UT_PER8" localSheetId="2">#REF!</definedName>
    <definedName name="GS1_WNA_UT_PER8">#REF!</definedName>
    <definedName name="GS1_WNA_UT_PER9" localSheetId="2">#REF!</definedName>
    <definedName name="GS1_WNA_UT_PER9">#REF!</definedName>
    <definedName name="GS1_WNA_WY_PER1" localSheetId="2">#REF!</definedName>
    <definedName name="GS1_WNA_WY_PER1">#REF!</definedName>
    <definedName name="GS1_WNA_WY_PER10" localSheetId="2">#REF!</definedName>
    <definedName name="GS1_WNA_WY_PER10">#REF!</definedName>
    <definedName name="GS1_WNA_WY_PER11" localSheetId="2">#REF!</definedName>
    <definedName name="GS1_WNA_WY_PER11">#REF!</definedName>
    <definedName name="GS1_WNA_WY_PER12" localSheetId="2">#REF!</definedName>
    <definedName name="GS1_WNA_WY_PER12">#REF!</definedName>
    <definedName name="GS1_WNA_WY_PER2" localSheetId="2">#REF!</definedName>
    <definedName name="GS1_WNA_WY_PER2">#REF!</definedName>
    <definedName name="GS1_WNA_WY_PER3" localSheetId="2">#REF!</definedName>
    <definedName name="GS1_WNA_WY_PER3">#REF!</definedName>
    <definedName name="GS1_WNA_WY_PER4" localSheetId="2">#REF!</definedName>
    <definedName name="GS1_WNA_WY_PER4">#REF!</definedName>
    <definedName name="GS1_WNA_WY_PER5" localSheetId="2">#REF!</definedName>
    <definedName name="GS1_WNA_WY_PER5">#REF!</definedName>
    <definedName name="GS1_WNA_WY_PER6" localSheetId="2">#REF!</definedName>
    <definedName name="GS1_WNA_WY_PER6">#REF!</definedName>
    <definedName name="GS1_WNA_WY_PER7" localSheetId="2">#REF!</definedName>
    <definedName name="GS1_WNA_WY_PER7">#REF!</definedName>
    <definedName name="GS1_WNA_WY_PER8" localSheetId="2">#REF!</definedName>
    <definedName name="GS1_WNA_WY_PER8">#REF!</definedName>
    <definedName name="GS1_WNA_WY_PER9" localSheetId="2">#REF!</definedName>
    <definedName name="GS1_WNA_WY_PER9">#REF!</definedName>
    <definedName name="GSS_COM_UT_PER1" localSheetId="2">#REF!</definedName>
    <definedName name="GSS_COM_UT_PER1">#REF!</definedName>
    <definedName name="GSS_COM_UT_PER10" localSheetId="2">#REF!</definedName>
    <definedName name="GSS_COM_UT_PER10">#REF!</definedName>
    <definedName name="GSS_COM_UT_PER11" localSheetId="2">#REF!</definedName>
    <definedName name="GSS_COM_UT_PER11">#REF!</definedName>
    <definedName name="GSS_COM_UT_PER12" localSheetId="2">#REF!</definedName>
    <definedName name="GSS_COM_UT_PER12">#REF!</definedName>
    <definedName name="GSS_COM_UT_PER2" localSheetId="2">#REF!</definedName>
    <definedName name="GSS_COM_UT_PER2">#REF!</definedName>
    <definedName name="GSS_COM_UT_PER3" localSheetId="2">#REF!</definedName>
    <definedName name="GSS_COM_UT_PER3">#REF!</definedName>
    <definedName name="GSS_COM_UT_PER4" localSheetId="2">#REF!</definedName>
    <definedName name="GSS_COM_UT_PER4">#REF!</definedName>
    <definedName name="GSS_COM_UT_PER5" localSheetId="2">#REF!</definedName>
    <definedName name="GSS_COM_UT_PER5">#REF!</definedName>
    <definedName name="GSS_COM_UT_PER6" localSheetId="2">#REF!</definedName>
    <definedName name="GSS_COM_UT_PER6">#REF!</definedName>
    <definedName name="GSS_COM_UT_PER7" localSheetId="2">#REF!</definedName>
    <definedName name="GSS_COM_UT_PER7">#REF!</definedName>
    <definedName name="GSS_COM_UT_PER8" localSheetId="2">#REF!</definedName>
    <definedName name="GSS_COM_UT_PER8">#REF!</definedName>
    <definedName name="GSS_COM_UT_PER9" localSheetId="2">#REF!</definedName>
    <definedName name="GSS_COM_UT_PER9">#REF!</definedName>
    <definedName name="GSS_COM_WY_PER1" localSheetId="2">#REF!</definedName>
    <definedName name="GSS_COM_WY_PER1">#REF!</definedName>
    <definedName name="GSS_COM_WY_PER10" localSheetId="2">#REF!</definedName>
    <definedName name="GSS_COM_WY_PER10">#REF!</definedName>
    <definedName name="GSS_COM_WY_PER11" localSheetId="2">#REF!</definedName>
    <definedName name="GSS_COM_WY_PER11">#REF!</definedName>
    <definedName name="GSS_COM_WY_PER12" localSheetId="2">#REF!</definedName>
    <definedName name="GSS_COM_WY_PER12">#REF!</definedName>
    <definedName name="GSS_COM_WY_PER2" localSheetId="2">#REF!</definedName>
    <definedName name="GSS_COM_WY_PER2">#REF!</definedName>
    <definedName name="GSS_COM_WY_PER3" localSheetId="2">#REF!</definedName>
    <definedName name="GSS_COM_WY_PER3">#REF!</definedName>
    <definedName name="GSS_COM_WY_PER4" localSheetId="2">#REF!</definedName>
    <definedName name="GSS_COM_WY_PER4">#REF!</definedName>
    <definedName name="GSS_COM_WY_PER5" localSheetId="2">#REF!</definedName>
    <definedName name="GSS_COM_WY_PER5">#REF!</definedName>
    <definedName name="GSS_COM_WY_PER6" localSheetId="2">#REF!</definedName>
    <definedName name="GSS_COM_WY_PER6">#REF!</definedName>
    <definedName name="GSS_COM_WY_PER7" localSheetId="2">#REF!</definedName>
    <definedName name="GSS_COM_WY_PER7">#REF!</definedName>
    <definedName name="GSS_COM_WY_PER8" localSheetId="2">#REF!</definedName>
    <definedName name="GSS_COM_WY_PER8">#REF!</definedName>
    <definedName name="GSS_COM_WY_PER9" localSheetId="2">#REF!</definedName>
    <definedName name="GSS_COM_WY_PER9">#REF!</definedName>
    <definedName name="GSS_DNG_UT_PER1" localSheetId="2">#REF!</definedName>
    <definedName name="GSS_DNG_UT_PER1">#REF!</definedName>
    <definedName name="GSS_DNG_UT_PER10" localSheetId="2">#REF!</definedName>
    <definedName name="GSS_DNG_UT_PER10">#REF!</definedName>
    <definedName name="GSS_DNG_UT_PER11" localSheetId="2">#REF!</definedName>
    <definedName name="GSS_DNG_UT_PER11">#REF!</definedName>
    <definedName name="GSS_DNG_UT_PER12" localSheetId="2">#REF!</definedName>
    <definedName name="GSS_DNG_UT_PER12">#REF!</definedName>
    <definedName name="GSS_DNG_UT_PER2" localSheetId="2">#REF!</definedName>
    <definedName name="GSS_DNG_UT_PER2">#REF!</definedName>
    <definedName name="GSS_DNG_UT_PER3" localSheetId="2">#REF!</definedName>
    <definedName name="GSS_DNG_UT_PER3">#REF!</definedName>
    <definedName name="GSS_DNG_UT_PER4" localSheetId="2">#REF!</definedName>
    <definedName name="GSS_DNG_UT_PER4">#REF!</definedName>
    <definedName name="GSS_DNG_UT_PER5" localSheetId="2">#REF!</definedName>
    <definedName name="GSS_DNG_UT_PER5">#REF!</definedName>
    <definedName name="GSS_DNG_UT_PER6" localSheetId="2">#REF!</definedName>
    <definedName name="GSS_DNG_UT_PER6">#REF!</definedName>
    <definedName name="GSS_DNG_UT_PER7" localSheetId="2">#REF!</definedName>
    <definedName name="GSS_DNG_UT_PER7">#REF!</definedName>
    <definedName name="GSS_DNG_UT_PER8" localSheetId="2">#REF!</definedName>
    <definedName name="GSS_DNG_UT_PER8">#REF!</definedName>
    <definedName name="GSS_DNG_UT_PER9" localSheetId="2">#REF!</definedName>
    <definedName name="GSS_DNG_UT_PER9">#REF!</definedName>
    <definedName name="GSS_DNG_WY_PER1" localSheetId="2">#REF!</definedName>
    <definedName name="GSS_DNG_WY_PER1">#REF!</definedName>
    <definedName name="GSS_DNG_WY_PER10" localSheetId="2">#REF!</definedName>
    <definedName name="GSS_DNG_WY_PER10">#REF!</definedName>
    <definedName name="GSS_DNG_WY_PER11" localSheetId="2">#REF!</definedName>
    <definedName name="GSS_DNG_WY_PER11">#REF!</definedName>
    <definedName name="GSS_DNG_WY_PER12" localSheetId="2">#REF!</definedName>
    <definedName name="GSS_DNG_WY_PER12">#REF!</definedName>
    <definedName name="GSS_DNG_WY_PER2" localSheetId="2">#REF!</definedName>
    <definedName name="GSS_DNG_WY_PER2">#REF!</definedName>
    <definedName name="GSS_DNG_WY_PER3" localSheetId="2">#REF!</definedName>
    <definedName name="GSS_DNG_WY_PER3">#REF!</definedName>
    <definedName name="GSS_DNG_WY_PER4" localSheetId="2">#REF!</definedName>
    <definedName name="GSS_DNG_WY_PER4">#REF!</definedName>
    <definedName name="GSS_DNG_WY_PER5" localSheetId="2">#REF!</definedName>
    <definedName name="GSS_DNG_WY_PER5">#REF!</definedName>
    <definedName name="GSS_DNG_WY_PER6" localSheetId="2">#REF!</definedName>
    <definedName name="GSS_DNG_WY_PER6">#REF!</definedName>
    <definedName name="GSS_DNG_WY_PER7" localSheetId="2">#REF!</definedName>
    <definedName name="GSS_DNG_WY_PER7">#REF!</definedName>
    <definedName name="GSS_DNG_WY_PER8" localSheetId="2">#REF!</definedName>
    <definedName name="GSS_DNG_WY_PER8">#REF!</definedName>
    <definedName name="GSS_DNG_WY_PER9" localSheetId="2">#REF!</definedName>
    <definedName name="GSS_DNG_WY_PER9">#REF!</definedName>
    <definedName name="GSS_SNG_UT_PER1" localSheetId="2">#REF!</definedName>
    <definedName name="GSS_SNG_UT_PER1">#REF!</definedName>
    <definedName name="GSS_SNG_UT_PER10" localSheetId="2">#REF!</definedName>
    <definedName name="GSS_SNG_UT_PER10">#REF!</definedName>
    <definedName name="GSS_SNG_UT_PER11" localSheetId="2">#REF!</definedName>
    <definedName name="GSS_SNG_UT_PER11">#REF!</definedName>
    <definedName name="GSS_SNG_UT_PER12" localSheetId="2">#REF!</definedName>
    <definedName name="GSS_SNG_UT_PER12">#REF!</definedName>
    <definedName name="GSS_SNG_UT_PER2" localSheetId="2">#REF!</definedName>
    <definedName name="GSS_SNG_UT_PER2">#REF!</definedName>
    <definedName name="GSS_SNG_UT_PER3" localSheetId="2">#REF!</definedName>
    <definedName name="GSS_SNG_UT_PER3">#REF!</definedName>
    <definedName name="GSS_SNG_UT_PER4" localSheetId="2">#REF!</definedName>
    <definedName name="GSS_SNG_UT_PER4">#REF!</definedName>
    <definedName name="GSS_SNG_UT_PER5" localSheetId="2">#REF!</definedName>
    <definedName name="GSS_SNG_UT_PER5">#REF!</definedName>
    <definedName name="GSS_SNG_UT_PER6" localSheetId="2">#REF!</definedName>
    <definedName name="GSS_SNG_UT_PER6">#REF!</definedName>
    <definedName name="GSS_SNG_UT_PER7" localSheetId="2">#REF!</definedName>
    <definedName name="GSS_SNG_UT_PER7">#REF!</definedName>
    <definedName name="GSS_SNG_UT_PER8" localSheetId="2">#REF!</definedName>
    <definedName name="GSS_SNG_UT_PER8">#REF!</definedName>
    <definedName name="GSS_SNG_UT_PER9" localSheetId="2">#REF!</definedName>
    <definedName name="GSS_SNG_UT_PER9">#REF!</definedName>
    <definedName name="GSS_WNA_UT_PER1" localSheetId="2">#REF!</definedName>
    <definedName name="GSS_WNA_UT_PER1">#REF!</definedName>
    <definedName name="GSS_WNA_UT_PER10" localSheetId="2">#REF!</definedName>
    <definedName name="GSS_WNA_UT_PER10">#REF!</definedName>
    <definedName name="GSS_WNA_UT_PER11" localSheetId="2">#REF!</definedName>
    <definedName name="GSS_WNA_UT_PER11">#REF!</definedName>
    <definedName name="GSS_WNA_UT_PER12" localSheetId="2">#REF!</definedName>
    <definedName name="GSS_WNA_UT_PER12">#REF!</definedName>
    <definedName name="GSS_WNA_UT_PER2" localSheetId="2">#REF!</definedName>
    <definedName name="GSS_WNA_UT_PER2">#REF!</definedName>
    <definedName name="GSS_WNA_UT_PER3" localSheetId="2">#REF!</definedName>
    <definedName name="GSS_WNA_UT_PER3">#REF!</definedName>
    <definedName name="GSS_WNA_UT_PER4" localSheetId="2">#REF!</definedName>
    <definedName name="GSS_WNA_UT_PER4">#REF!</definedName>
    <definedName name="GSS_WNA_UT_PER5" localSheetId="2">#REF!</definedName>
    <definedName name="GSS_WNA_UT_PER5">#REF!</definedName>
    <definedName name="GSS_WNA_UT_PER6" localSheetId="2">#REF!</definedName>
    <definedName name="GSS_WNA_UT_PER6">#REF!</definedName>
    <definedName name="GSS_WNA_UT_PER7" localSheetId="2">#REF!</definedName>
    <definedName name="GSS_WNA_UT_PER7">#REF!</definedName>
    <definedName name="GSS_WNA_UT_PER8" localSheetId="2">#REF!</definedName>
    <definedName name="GSS_WNA_UT_PER8">#REF!</definedName>
    <definedName name="GSS_WNA_UT_PER9" localSheetId="2">#REF!</definedName>
    <definedName name="GSS_WNA_UT_PER9">#REF!</definedName>
    <definedName name="GSW_WNA_PER1" localSheetId="23">#REF!</definedName>
    <definedName name="GSW_WNA_PER1">[4]CRITERIA!$J$135:$Q$136</definedName>
    <definedName name="GSW_WNA_PER10" localSheetId="23">#REF!</definedName>
    <definedName name="GSW_WNA_PER10">[4]CRITERIA!$CM$135:$CT$136</definedName>
    <definedName name="GSW_WNA_PER11" localSheetId="23">#REF!</definedName>
    <definedName name="GSW_WNA_PER11">[4]CRITERIA!$CV$135:$DC$136</definedName>
    <definedName name="GSW_WNA_PER12" localSheetId="23">#REF!</definedName>
    <definedName name="GSW_WNA_PER12">[4]CRITERIA!$DE$135:$DL$136</definedName>
    <definedName name="GSW_WNA_PER2" localSheetId="23">#REF!</definedName>
    <definedName name="GSW_WNA_PER2">[4]CRITERIA!$S$135:$Z$136</definedName>
    <definedName name="GSW_WNA_PER3" localSheetId="23">#REF!</definedName>
    <definedName name="GSW_WNA_PER3">[4]CRITERIA!$AB$135:$AI$136</definedName>
    <definedName name="GSW_WNA_PER4" localSheetId="23">#REF!</definedName>
    <definedName name="GSW_WNA_PER4">[4]CRITERIA!$AK$135:$AR$136</definedName>
    <definedName name="GSW_WNA_PER5" localSheetId="23">#REF!</definedName>
    <definedName name="GSW_WNA_PER5">[4]CRITERIA!$AT$135:$BA$136</definedName>
    <definedName name="GSW_WNA_PER6" localSheetId="23">#REF!</definedName>
    <definedName name="GSW_WNA_PER6">[4]CRITERIA!$BC$135:$BJ$136</definedName>
    <definedName name="GSW_WNA_PER7" localSheetId="23">#REF!</definedName>
    <definedName name="GSW_WNA_PER7">[4]CRITERIA!$BL$135:$BS$136</definedName>
    <definedName name="GSW_WNA_PER8" localSheetId="23">#REF!</definedName>
    <definedName name="GSW_WNA_PER8">[4]CRITERIA!$BU$135:$CB$136</definedName>
    <definedName name="GSW_WNA_PER9" localSheetId="23">#REF!</definedName>
    <definedName name="GSW_WNA_PER9">[4]CRITERIA!$CD$135:$CK$136</definedName>
    <definedName name="GTI_ADJ" localSheetId="2">#REF!</definedName>
    <definedName name="GTI_ADJ">#REF!</definedName>
    <definedName name="GTI_ADJ_UT" localSheetId="2">#REF!</definedName>
    <definedName name="GTI_ADJ_UT">#REF!</definedName>
    <definedName name="GTI_ADJ_WY" localSheetId="2">#REF!</definedName>
    <definedName name="GTI_ADJ_WY">#REF!</definedName>
    <definedName name="HIST_101_PROD" localSheetId="23">'Rate Base'!#REF!</definedName>
    <definedName name="HIST_101_PROD" localSheetId="2">'[1]Rate Base'!#REF!</definedName>
    <definedName name="HIST_101_PROD">'Rate Base'!#REF!</definedName>
    <definedName name="HIST_108_PROD" localSheetId="23">'Rate Base'!#REF!</definedName>
    <definedName name="HIST_108_PROD" localSheetId="2">'[1]Rate Base'!#REF!</definedName>
    <definedName name="HIST_108_PROD">'Rate Base'!#REF!</definedName>
    <definedName name="HIST_111_PROD" localSheetId="23">'Rate Base'!#REF!</definedName>
    <definedName name="HIST_111_PROD" localSheetId="2">'[1]Rate Base'!#REF!</definedName>
    <definedName name="HIST_111_PROD">'Rate Base'!#REF!</definedName>
    <definedName name="Home" localSheetId="23">'Control Panel'!#REF!</definedName>
    <definedName name="Home" localSheetId="2">'[1]Control Panel'!#REF!</definedName>
    <definedName name="Home">'Control Panel'!#REF!</definedName>
    <definedName name="I2_COM_UT_PER1" localSheetId="2">#REF!</definedName>
    <definedName name="I2_COM_UT_PER1">#REF!</definedName>
    <definedName name="I2_COM_UT_PER10" localSheetId="2">#REF!</definedName>
    <definedName name="I2_COM_UT_PER10">#REF!</definedName>
    <definedName name="I2_COM_UT_PER11" localSheetId="2">#REF!</definedName>
    <definedName name="I2_COM_UT_PER11">#REF!</definedName>
    <definedName name="I2_COM_UT_PER12" localSheetId="2">#REF!</definedName>
    <definedName name="I2_COM_UT_PER12">#REF!</definedName>
    <definedName name="I2_COM_UT_PER2" localSheetId="2">#REF!</definedName>
    <definedName name="I2_COM_UT_PER2">#REF!</definedName>
    <definedName name="I2_COM_UT_PER3" localSheetId="2">#REF!</definedName>
    <definedName name="I2_COM_UT_PER3">#REF!</definedName>
    <definedName name="I2_COM_UT_PER4" localSheetId="2">#REF!</definedName>
    <definedName name="I2_COM_UT_PER4">#REF!</definedName>
    <definedName name="I2_COM_UT_PER5" localSheetId="2">#REF!</definedName>
    <definedName name="I2_COM_UT_PER5">#REF!</definedName>
    <definedName name="I2_COM_UT_PER6" localSheetId="2">#REF!</definedName>
    <definedName name="I2_COM_UT_PER6">#REF!</definedName>
    <definedName name="I2_COM_UT_PER7" localSheetId="2">#REF!</definedName>
    <definedName name="I2_COM_UT_PER7">#REF!</definedName>
    <definedName name="I2_COM_UT_PER8" localSheetId="2">#REF!</definedName>
    <definedName name="I2_COM_UT_PER8">#REF!</definedName>
    <definedName name="I2_COM_UT_PER9" localSheetId="2">#REF!</definedName>
    <definedName name="I2_COM_UT_PER9">#REF!</definedName>
    <definedName name="I2_DNG_UT_PER1" localSheetId="2">#REF!</definedName>
    <definedName name="I2_DNG_UT_PER1">#REF!</definedName>
    <definedName name="I2_DNG_UT_PER10" localSheetId="2">#REF!</definedName>
    <definedName name="I2_DNG_UT_PER10">#REF!</definedName>
    <definedName name="I2_DNG_UT_PER11" localSheetId="2">#REF!</definedName>
    <definedName name="I2_DNG_UT_PER11">#REF!</definedName>
    <definedName name="I2_DNG_UT_PER12" localSheetId="2">#REF!</definedName>
    <definedName name="I2_DNG_UT_PER12">#REF!</definedName>
    <definedName name="I2_DNG_UT_PER2" localSheetId="2">#REF!</definedName>
    <definedName name="I2_DNG_UT_PER2">#REF!</definedName>
    <definedName name="I2_DNG_UT_PER3" localSheetId="2">#REF!</definedName>
    <definedName name="I2_DNG_UT_PER3">#REF!</definedName>
    <definedName name="I2_DNG_UT_PER4" localSheetId="2">#REF!</definedName>
    <definedName name="I2_DNG_UT_PER4">#REF!</definedName>
    <definedName name="I2_DNG_UT_PER5" localSheetId="2">#REF!</definedName>
    <definedName name="I2_DNG_UT_PER5">#REF!</definedName>
    <definedName name="I2_DNG_UT_PER6" localSheetId="2">#REF!</definedName>
    <definedName name="I2_DNG_UT_PER6">#REF!</definedName>
    <definedName name="I2_DNG_UT_PER7" localSheetId="2">#REF!</definedName>
    <definedName name="I2_DNG_UT_PER7">#REF!</definedName>
    <definedName name="I2_DNG_UT_PER8" localSheetId="2">#REF!</definedName>
    <definedName name="I2_DNG_UT_PER8">#REF!</definedName>
    <definedName name="I2_DNG_UT_PER9" localSheetId="2">#REF!</definedName>
    <definedName name="I2_DNG_UT_PER9">#REF!</definedName>
    <definedName name="I2_SNG_UT_PER1" localSheetId="2">#REF!</definedName>
    <definedName name="I2_SNG_UT_PER1">#REF!</definedName>
    <definedName name="I2_SNG_UT_PER10" localSheetId="2">#REF!</definedName>
    <definedName name="I2_SNG_UT_PER10">#REF!</definedName>
    <definedName name="I2_SNG_UT_PER11" localSheetId="2">#REF!</definedName>
    <definedName name="I2_SNG_UT_PER11">#REF!</definedName>
    <definedName name="I2_SNG_UT_PER12" localSheetId="2">#REF!</definedName>
    <definedName name="I2_SNG_UT_PER12">#REF!</definedName>
    <definedName name="I2_SNG_UT_PER2" localSheetId="2">#REF!</definedName>
    <definedName name="I2_SNG_UT_PER2">#REF!</definedName>
    <definedName name="I2_SNG_UT_PER3" localSheetId="2">#REF!</definedName>
    <definedName name="I2_SNG_UT_PER3">#REF!</definedName>
    <definedName name="I2_SNG_UT_PER4" localSheetId="2">#REF!</definedName>
    <definedName name="I2_SNG_UT_PER4">#REF!</definedName>
    <definedName name="I2_SNG_UT_PER5" localSheetId="2">#REF!</definedName>
    <definedName name="I2_SNG_UT_PER5">#REF!</definedName>
    <definedName name="I2_SNG_UT_PER6" localSheetId="2">#REF!</definedName>
    <definedName name="I2_SNG_UT_PER6">#REF!</definedName>
    <definedName name="I2_SNG_UT_PER7" localSheetId="2">#REF!</definedName>
    <definedName name="I2_SNG_UT_PER7">#REF!</definedName>
    <definedName name="I2_SNG_UT_PER8" localSheetId="2">#REF!</definedName>
    <definedName name="I2_SNG_UT_PER8">#REF!</definedName>
    <definedName name="I2_SNG_UT_PER9" localSheetId="2">#REF!</definedName>
    <definedName name="I2_SNG_UT_PER9">#REF!</definedName>
    <definedName name="I4_COM_UT_PER1" localSheetId="2">#REF!</definedName>
    <definedName name="I4_COM_UT_PER1">#REF!</definedName>
    <definedName name="I4_COM_UT_PER10" localSheetId="2">#REF!</definedName>
    <definedName name="I4_COM_UT_PER10">#REF!</definedName>
    <definedName name="I4_COM_UT_PER11" localSheetId="2">#REF!</definedName>
    <definedName name="I4_COM_UT_PER11">#REF!</definedName>
    <definedName name="I4_COM_UT_PER12" localSheetId="2">#REF!</definedName>
    <definedName name="I4_COM_UT_PER12">#REF!</definedName>
    <definedName name="I4_COM_UT_PER2" localSheetId="2">#REF!</definedName>
    <definedName name="I4_COM_UT_PER2">#REF!</definedName>
    <definedName name="I4_COM_UT_PER3" localSheetId="2">#REF!</definedName>
    <definedName name="I4_COM_UT_PER3">#REF!</definedName>
    <definedName name="I4_COM_UT_PER4" localSheetId="2">#REF!</definedName>
    <definedName name="I4_COM_UT_PER4">#REF!</definedName>
    <definedName name="I4_COM_UT_PER5" localSheetId="2">#REF!</definedName>
    <definedName name="I4_COM_UT_PER5">#REF!</definedName>
    <definedName name="I4_COM_UT_PER6" localSheetId="2">#REF!</definedName>
    <definedName name="I4_COM_UT_PER6">#REF!</definedName>
    <definedName name="I4_COM_UT_PER7" localSheetId="2">#REF!</definedName>
    <definedName name="I4_COM_UT_PER7">#REF!</definedName>
    <definedName name="I4_COM_UT_PER8" localSheetId="2">#REF!</definedName>
    <definedName name="I4_COM_UT_PER8">#REF!</definedName>
    <definedName name="I4_COM_UT_PER9" localSheetId="2">#REF!</definedName>
    <definedName name="I4_COM_UT_PER9">#REF!</definedName>
    <definedName name="I4_COM_WY_PER1" localSheetId="2">#REF!</definedName>
    <definedName name="I4_COM_WY_PER1">#REF!</definedName>
    <definedName name="I4_COM_WY_PER10" localSheetId="2">#REF!</definedName>
    <definedName name="I4_COM_WY_PER10">#REF!</definedName>
    <definedName name="I4_COM_WY_PER11" localSheetId="2">#REF!</definedName>
    <definedName name="I4_COM_WY_PER11">#REF!</definedName>
    <definedName name="I4_COM_WY_PER12" localSheetId="2">#REF!</definedName>
    <definedName name="I4_COM_WY_PER12">#REF!</definedName>
    <definedName name="I4_COM_WY_PER2" localSheetId="2">#REF!</definedName>
    <definedName name="I4_COM_WY_PER2">#REF!</definedName>
    <definedName name="I4_COM_WY_PER3" localSheetId="2">#REF!</definedName>
    <definedName name="I4_COM_WY_PER3">#REF!</definedName>
    <definedName name="I4_COM_WY_PER4" localSheetId="2">#REF!</definedName>
    <definedName name="I4_COM_WY_PER4">#REF!</definedName>
    <definedName name="I4_COM_WY_PER5" localSheetId="2">#REF!</definedName>
    <definedName name="I4_COM_WY_PER5">#REF!</definedName>
    <definedName name="I4_COM_WY_PER6" localSheetId="2">#REF!</definedName>
    <definedName name="I4_COM_WY_PER6">#REF!</definedName>
    <definedName name="I4_COM_WY_PER7" localSheetId="2">#REF!</definedName>
    <definedName name="I4_COM_WY_PER7">#REF!</definedName>
    <definedName name="I4_COM_WY_PER8" localSheetId="2">#REF!</definedName>
    <definedName name="I4_COM_WY_PER8">#REF!</definedName>
    <definedName name="I4_COM_WY_PER9" localSheetId="2">#REF!</definedName>
    <definedName name="I4_COM_WY_PER9">#REF!</definedName>
    <definedName name="I4_DNG_UT_PER1" localSheetId="2">#REF!</definedName>
    <definedName name="I4_DNG_UT_PER1">#REF!</definedName>
    <definedName name="I4_DNG_UT_PER10" localSheetId="2">#REF!</definedName>
    <definedName name="I4_DNG_UT_PER10">#REF!</definedName>
    <definedName name="I4_DNG_UT_PER11" localSheetId="2">#REF!</definedName>
    <definedName name="I4_DNG_UT_PER11">#REF!</definedName>
    <definedName name="I4_DNG_UT_PER12" localSheetId="2">#REF!</definedName>
    <definedName name="I4_DNG_UT_PER12">#REF!</definedName>
    <definedName name="I4_DNG_UT_PER2" localSheetId="2">#REF!</definedName>
    <definedName name="I4_DNG_UT_PER2">#REF!</definedName>
    <definedName name="I4_DNG_UT_PER3" localSheetId="2">#REF!</definedName>
    <definedName name="I4_DNG_UT_PER3">#REF!</definedName>
    <definedName name="I4_DNG_UT_PER4" localSheetId="2">#REF!</definedName>
    <definedName name="I4_DNG_UT_PER4">#REF!</definedName>
    <definedName name="I4_DNG_UT_PER5" localSheetId="2">#REF!</definedName>
    <definedName name="I4_DNG_UT_PER5">#REF!</definedName>
    <definedName name="I4_DNG_UT_PER6" localSheetId="2">#REF!</definedName>
    <definedName name="I4_DNG_UT_PER6">#REF!</definedName>
    <definedName name="I4_DNG_UT_PER7" localSheetId="2">#REF!</definedName>
    <definedName name="I4_DNG_UT_PER7">#REF!</definedName>
    <definedName name="I4_DNG_UT_PER8" localSheetId="2">#REF!</definedName>
    <definedName name="I4_DNG_UT_PER8">#REF!</definedName>
    <definedName name="I4_DNG_UT_PER9" localSheetId="2">#REF!</definedName>
    <definedName name="I4_DNG_UT_PER9">#REF!</definedName>
    <definedName name="I4_DNG_WY_PER1" localSheetId="2">#REF!</definedName>
    <definedName name="I4_DNG_WY_PER1">#REF!</definedName>
    <definedName name="I4_DNG_WY_PER10" localSheetId="2">#REF!</definedName>
    <definedName name="I4_DNG_WY_PER10">#REF!</definedName>
    <definedName name="I4_DNG_WY_PER11" localSheetId="2">#REF!</definedName>
    <definedName name="I4_DNG_WY_PER11">#REF!</definedName>
    <definedName name="I4_DNG_WY_PER12" localSheetId="2">#REF!</definedName>
    <definedName name="I4_DNG_WY_PER12">#REF!</definedName>
    <definedName name="I4_DNG_WY_PER2" localSheetId="2">#REF!</definedName>
    <definedName name="I4_DNG_WY_PER2">#REF!</definedName>
    <definedName name="I4_DNG_WY_PER3" localSheetId="2">#REF!</definedName>
    <definedName name="I4_DNG_WY_PER3">#REF!</definedName>
    <definedName name="I4_DNG_WY_PER4" localSheetId="2">#REF!</definedName>
    <definedName name="I4_DNG_WY_PER4">#REF!</definedName>
    <definedName name="I4_DNG_WY_PER5" localSheetId="2">#REF!</definedName>
    <definedName name="I4_DNG_WY_PER5">#REF!</definedName>
    <definedName name="I4_DNG_WY_PER6" localSheetId="2">#REF!</definedName>
    <definedName name="I4_DNG_WY_PER6">#REF!</definedName>
    <definedName name="I4_DNG_WY_PER7" localSheetId="2">#REF!</definedName>
    <definedName name="I4_DNG_WY_PER7">#REF!</definedName>
    <definedName name="I4_DNG_WY_PER8" localSheetId="2">#REF!</definedName>
    <definedName name="I4_DNG_WY_PER8">#REF!</definedName>
    <definedName name="I4_DNG_WY_PER9" localSheetId="2">#REF!</definedName>
    <definedName name="I4_DNG_WY_PER9">#REF!</definedName>
    <definedName name="I4_SNG_UT_PER1" localSheetId="2">#REF!</definedName>
    <definedName name="I4_SNG_UT_PER1">#REF!</definedName>
    <definedName name="I4_SNG_UT_PER10" localSheetId="2">#REF!</definedName>
    <definedName name="I4_SNG_UT_PER10">#REF!</definedName>
    <definedName name="I4_SNG_UT_PER11" localSheetId="2">#REF!</definedName>
    <definedName name="I4_SNG_UT_PER11">#REF!</definedName>
    <definedName name="I4_SNG_UT_PER12" localSheetId="2">#REF!</definedName>
    <definedName name="I4_SNG_UT_PER12">#REF!</definedName>
    <definedName name="I4_SNG_UT_PER2" localSheetId="2">#REF!</definedName>
    <definedName name="I4_SNG_UT_PER2">#REF!</definedName>
    <definedName name="I4_SNG_UT_PER3" localSheetId="2">#REF!</definedName>
    <definedName name="I4_SNG_UT_PER3">#REF!</definedName>
    <definedName name="I4_SNG_UT_PER4" localSheetId="2">#REF!</definedName>
    <definedName name="I4_SNG_UT_PER4">#REF!</definedName>
    <definedName name="I4_SNG_UT_PER5" localSheetId="2">#REF!</definedName>
    <definedName name="I4_SNG_UT_PER5">#REF!</definedName>
    <definedName name="I4_SNG_UT_PER6" localSheetId="2">#REF!</definedName>
    <definedName name="I4_SNG_UT_PER6">#REF!</definedName>
    <definedName name="I4_SNG_UT_PER7" localSheetId="2">#REF!</definedName>
    <definedName name="I4_SNG_UT_PER7">#REF!</definedName>
    <definedName name="I4_SNG_UT_PER8" localSheetId="2">#REF!</definedName>
    <definedName name="I4_SNG_UT_PER8">#REF!</definedName>
    <definedName name="I4_SNG_UT_PER9" localSheetId="2">#REF!</definedName>
    <definedName name="I4_SNG_UT_PER9">#REF!</definedName>
    <definedName name="I4_SNG_WY_PER1" localSheetId="2">#REF!</definedName>
    <definedName name="I4_SNG_WY_PER1">#REF!</definedName>
    <definedName name="I4_SNG_WY_PER10" localSheetId="2">#REF!</definedName>
    <definedName name="I4_SNG_WY_PER10">#REF!</definedName>
    <definedName name="I4_SNG_WY_PER11" localSheetId="2">#REF!</definedName>
    <definedName name="I4_SNG_WY_PER11">#REF!</definedName>
    <definedName name="I4_SNG_WY_PER12" localSheetId="2">#REF!</definedName>
    <definedName name="I4_SNG_WY_PER12">#REF!</definedName>
    <definedName name="I4_SNG_WY_PER2" localSheetId="2">#REF!</definedName>
    <definedName name="I4_SNG_WY_PER2">#REF!</definedName>
    <definedName name="I4_SNG_WY_PER3" localSheetId="2">#REF!</definedName>
    <definedName name="I4_SNG_WY_PER3">#REF!</definedName>
    <definedName name="I4_SNG_WY_PER4" localSheetId="2">#REF!</definedName>
    <definedName name="I4_SNG_WY_PER4">#REF!</definedName>
    <definedName name="I4_SNG_WY_PER5" localSheetId="2">#REF!</definedName>
    <definedName name="I4_SNG_WY_PER5">#REF!</definedName>
    <definedName name="I4_SNG_WY_PER6" localSheetId="2">#REF!</definedName>
    <definedName name="I4_SNG_WY_PER6">#REF!</definedName>
    <definedName name="I4_SNG_WY_PER7" localSheetId="2">#REF!</definedName>
    <definedName name="I4_SNG_WY_PER7">#REF!</definedName>
    <definedName name="I4_SNG_WY_PER8" localSheetId="2">#REF!</definedName>
    <definedName name="I4_SNG_WY_PER8">#REF!</definedName>
    <definedName name="I4_SNG_WY_PER9" localSheetId="2">#REF!</definedName>
    <definedName name="I4_SNG_WY_PER9">#REF!</definedName>
    <definedName name="I4_WNA_UT_PER1" localSheetId="2">#REF!</definedName>
    <definedName name="I4_WNA_UT_PER1">#REF!</definedName>
    <definedName name="I4_WNA_UT_PER10" localSheetId="2">#REF!</definedName>
    <definedName name="I4_WNA_UT_PER10">#REF!</definedName>
    <definedName name="I4_WNA_UT_PER11" localSheetId="2">#REF!</definedName>
    <definedName name="I4_WNA_UT_PER11">#REF!</definedName>
    <definedName name="I4_WNA_UT_PER12" localSheetId="2">#REF!</definedName>
    <definedName name="I4_WNA_UT_PER12">#REF!</definedName>
    <definedName name="I4_WNA_UT_PER2" localSheetId="2">#REF!</definedName>
    <definedName name="I4_WNA_UT_PER2">#REF!</definedName>
    <definedName name="I4_WNA_UT_PER3" localSheetId="2">#REF!</definedName>
    <definedName name="I4_WNA_UT_PER3">#REF!</definedName>
    <definedName name="I4_WNA_UT_PER4" localSheetId="2">#REF!</definedName>
    <definedName name="I4_WNA_UT_PER4">#REF!</definedName>
    <definedName name="I4_WNA_UT_PER5" localSheetId="2">#REF!</definedName>
    <definedName name="I4_WNA_UT_PER5">#REF!</definedName>
    <definedName name="I4_WNA_UT_PER6" localSheetId="2">#REF!</definedName>
    <definedName name="I4_WNA_UT_PER6">#REF!</definedName>
    <definedName name="I4_WNA_UT_PER7" localSheetId="2">#REF!</definedName>
    <definedName name="I4_WNA_UT_PER7">#REF!</definedName>
    <definedName name="I4_WNA_UT_PER8" localSheetId="2">#REF!</definedName>
    <definedName name="I4_WNA_UT_PER8">#REF!</definedName>
    <definedName name="I4_WNA_UT_PER9" localSheetId="2">#REF!</definedName>
    <definedName name="I4_WNA_UT_PER9">#REF!</definedName>
    <definedName name="I4_WNA_WY_PER1" localSheetId="2">#REF!</definedName>
    <definedName name="I4_WNA_WY_PER1">#REF!</definedName>
    <definedName name="I4_WNA_WY_PER10" localSheetId="2">#REF!</definedName>
    <definedName name="I4_WNA_WY_PER10">#REF!</definedName>
    <definedName name="I4_WNA_WY_PER11" localSheetId="2">#REF!</definedName>
    <definedName name="I4_WNA_WY_PER11">#REF!</definedName>
    <definedName name="I4_WNA_WY_PER12" localSheetId="2">#REF!</definedName>
    <definedName name="I4_WNA_WY_PER12">#REF!</definedName>
    <definedName name="I4_WNA_WY_PER2" localSheetId="2">#REF!</definedName>
    <definedName name="I4_WNA_WY_PER2">#REF!</definedName>
    <definedName name="I4_WNA_WY_PER3" localSheetId="2">#REF!</definedName>
    <definedName name="I4_WNA_WY_PER3">#REF!</definedName>
    <definedName name="I4_WNA_WY_PER4" localSheetId="2">#REF!</definedName>
    <definedName name="I4_WNA_WY_PER4">#REF!</definedName>
    <definedName name="I4_WNA_WY_PER5" localSheetId="2">#REF!</definedName>
    <definedName name="I4_WNA_WY_PER5">#REF!</definedName>
    <definedName name="I4_WNA_WY_PER6" localSheetId="2">#REF!</definedName>
    <definedName name="I4_WNA_WY_PER6">#REF!</definedName>
    <definedName name="I4_WNA_WY_PER7" localSheetId="2">#REF!</definedName>
    <definedName name="I4_WNA_WY_PER7">#REF!</definedName>
    <definedName name="I4_WNA_WY_PER8" localSheetId="2">#REF!</definedName>
    <definedName name="I4_WNA_WY_PER8">#REF!</definedName>
    <definedName name="I4_WNA_WY_PER9" localSheetId="2">#REF!</definedName>
    <definedName name="I4_WNA_WY_PER9">#REF!</definedName>
    <definedName name="IC_TRAN_WY_PER1" localSheetId="2">#REF!</definedName>
    <definedName name="IC_TRAN_WY_PER1">#REF!</definedName>
    <definedName name="IC_TRAN_WY_PER10" localSheetId="2">#REF!</definedName>
    <definedName name="IC_TRAN_WY_PER10">#REF!</definedName>
    <definedName name="IC_TRAN_WY_PER11" localSheetId="2">#REF!</definedName>
    <definedName name="IC_TRAN_WY_PER11">#REF!</definedName>
    <definedName name="IC_TRAN_WY_PER12" localSheetId="2">#REF!</definedName>
    <definedName name="IC_TRAN_WY_PER12">#REF!</definedName>
    <definedName name="IC_TRAN_WY_PER2" localSheetId="2">#REF!</definedName>
    <definedName name="IC_TRAN_WY_PER2">#REF!</definedName>
    <definedName name="IC_TRAN_WY_PER3" localSheetId="2">#REF!</definedName>
    <definedName name="IC_TRAN_WY_PER3">#REF!</definedName>
    <definedName name="IC_TRAN_WY_PER4" localSheetId="2">#REF!</definedName>
    <definedName name="IC_TRAN_WY_PER4">#REF!</definedName>
    <definedName name="IC_TRAN_WY_PER5" localSheetId="2">#REF!</definedName>
    <definedName name="IC_TRAN_WY_PER5">#REF!</definedName>
    <definedName name="IC_TRAN_WY_PER6" localSheetId="2">#REF!</definedName>
    <definedName name="IC_TRAN_WY_PER6">#REF!</definedName>
    <definedName name="IC_TRAN_WY_PER7" localSheetId="2">#REF!</definedName>
    <definedName name="IC_TRAN_WY_PER7">#REF!</definedName>
    <definedName name="IC_TRAN_WY_PER8" localSheetId="2">#REF!</definedName>
    <definedName name="IC_TRAN_WY_PER8">#REF!</definedName>
    <definedName name="IC_TRAN_WY_PER9" localSheetId="2">#REF!</definedName>
    <definedName name="IC_TRAN_WY_PER9">#REF!</definedName>
    <definedName name="IDGSDNG">[7]CRITERIA!$B$362:$D$363</definedName>
    <definedName name="IDGSDTH">[7]CRITERIA!$B$359:$D$360</definedName>
    <definedName name="IDGSGAS">[7]CRITERIA!$B$368:$D$369</definedName>
    <definedName name="IDGSSNG">[7]CRITERIA!$B$365:$D$366</definedName>
    <definedName name="IDIS2DNG">[7]CRITERIA!$B$376:$D$378</definedName>
    <definedName name="IDIS2DTH">[7]CRITERIA!$B$372:$D$374</definedName>
    <definedName name="IDIS2GAS">[7]CRITERIA!$B$384:$D$386</definedName>
    <definedName name="IDIS2SNG">[7]CRITERIA!$B$380:$D$382</definedName>
    <definedName name="INCENT_ADJ" localSheetId="23">Incentive!#REF!</definedName>
    <definedName name="INCENT_ADJ" localSheetId="2">[1]Incentive!#REF!</definedName>
    <definedName name="INCENT_ADJ">Incentive!#REF!</definedName>
    <definedName name="INCENT_ADJ_UT" localSheetId="23">Incentive!#REF!</definedName>
    <definedName name="INCENT_ADJ_UT" localSheetId="2">[1]Incentive!#REF!</definedName>
    <definedName name="INCENT_ADJ_UT">Incentive!#REF!</definedName>
    <definedName name="INCENT_ADJ_WY" localSheetId="23">Incentive!#REF!</definedName>
    <definedName name="INCENT_ADJ_WY" localSheetId="2">[1]Incentive!#REF!</definedName>
    <definedName name="INCENT_ADJ_WY">Incentive!#REF!</definedName>
    <definedName name="INCENTIVE">Incentive!#REF!</definedName>
    <definedName name="INCENTIVECORP">Incentive!#REF!</definedName>
    <definedName name="INCENTIVEPER1" localSheetId="2">[1]Incentive!#REF!</definedName>
    <definedName name="INCENTIVEPER1">Incentive!#REF!</definedName>
    <definedName name="INCENTIVEPER10" localSheetId="2">[1]Incentive!#REF!</definedName>
    <definedName name="INCENTIVEPER10">Incentive!#REF!</definedName>
    <definedName name="INCENTIVEPER11">Incentive!#REF!</definedName>
    <definedName name="INCENTIVEPER12">Incentive!#REF!</definedName>
    <definedName name="INCENTIVEPER2" localSheetId="2">[1]Incentive!#REF!</definedName>
    <definedName name="INCENTIVEPER2">Incentive!#REF!</definedName>
    <definedName name="INCENTIVEPER3" localSheetId="2">[1]Incentive!#REF!</definedName>
    <definedName name="INCENTIVEPER3">Incentive!#REF!</definedName>
    <definedName name="INCENTIVEPER4" localSheetId="2">[1]Incentive!#REF!</definedName>
    <definedName name="INCENTIVEPER4">Incentive!#REF!</definedName>
    <definedName name="INCENTIVEPER5" localSheetId="2">[1]Incentive!#REF!</definedName>
    <definedName name="INCENTIVEPER5">Incentive!#REF!</definedName>
    <definedName name="INCENTIVEPER6" localSheetId="2">[1]Incentive!#REF!</definedName>
    <definedName name="INCENTIVEPER6">Incentive!#REF!</definedName>
    <definedName name="INCENTIVEPER7" localSheetId="2">[1]Incentive!#REF!</definedName>
    <definedName name="INCENTIVEPER7">Incentive!#REF!</definedName>
    <definedName name="INCENTIVEPER8" localSheetId="2">[1]Incentive!#REF!</definedName>
    <definedName name="INCENTIVEPER8">Incentive!#REF!</definedName>
    <definedName name="INCENTIVEPER9" localSheetId="2">[1]Incentive!#REF!</definedName>
    <definedName name="INCENTIVEPER9">Incentive!#REF!</definedName>
    <definedName name="INCENTIVESUMMARY">Incentive!$A$1:$H$25</definedName>
    <definedName name="Ind_Cust" localSheetId="23">#REF!</definedName>
    <definedName name="Ind_Cust" localSheetId="2">#REF!</definedName>
    <definedName name="Ind_Cust">#REF!</definedName>
    <definedName name="INFOCOM_CREDIT" localSheetId="2">#REF!</definedName>
    <definedName name="INFOCOM_CREDIT">#REF!</definedName>
    <definedName name="INFOCOM_CREDIT1" localSheetId="2">#REF!</definedName>
    <definedName name="INFOCOM_CREDIT1">#REF!</definedName>
    <definedName name="INFOCOM_REFUND" localSheetId="2">#REF!</definedName>
    <definedName name="INFOCOM_REFUND">#REF!</definedName>
    <definedName name="INSENTIVEQGC">Incentive!#REF!</definedName>
    <definedName name="Insentives_QGC">'Control Panel'!$F$34</definedName>
    <definedName name="INSENTIVESCENARIO" localSheetId="23">Incentive!$D$3:$D$43</definedName>
    <definedName name="INSENTIVESCENARIO" localSheetId="2">[1]Incentive!$D$3:$D$43</definedName>
    <definedName name="INSENTIVESCENARIO">Incentive!$D$3:$D$43</definedName>
    <definedName name="INSENTIVESSCENARIO" localSheetId="23">Incentive!#REF!</definedName>
    <definedName name="INSENTIVESSCENARIO" localSheetId="2">[1]Incentive!#REF!</definedName>
    <definedName name="INSENTIVESSCENARIO">Incentive!#REF!</definedName>
    <definedName name="INTEGRITYSCENARIO" localSheetId="23">#REF!</definedName>
    <definedName name="INTEGRITYSCENARIO" localSheetId="2">#REF!</definedName>
    <definedName name="INTEGRITYSCENARIO">#REF!</definedName>
    <definedName name="IS_FL_UT_PER1">[9]CRITERIA!$J$199:$Q$200</definedName>
    <definedName name="IS_FL_UT_PER10">[9]CRITERIA!$CM$199:$CT$200</definedName>
    <definedName name="IS_FL_UT_PER11">[9]CRITERIA!$CV$199:$DC$200</definedName>
    <definedName name="IS_FL_UT_PER12">[9]CRITERIA!$DE$199:$DL$200</definedName>
    <definedName name="IS_FL_UT_PER2">[9]CRITERIA!$S$199:$Z$200</definedName>
    <definedName name="IS_FL_UT_PER3">[9]CRITERIA!$AB$199:$AI$200</definedName>
    <definedName name="IS_FL_UT_PER4">[9]CRITERIA!$AK$199:$AR$200</definedName>
    <definedName name="IS_FL_UT_PER5">[9]CRITERIA!$AT$199:$BA$200</definedName>
    <definedName name="IS_FL_UT_PER6">[9]CRITERIA!$BC$199:$BJ$200</definedName>
    <definedName name="IS_FL_UT_PER7">[9]CRITERIA!$BL$199:$BS$200</definedName>
    <definedName name="IS_FL_UT_PER8">[9]CRITERIA!$BU$199:$CB$200</definedName>
    <definedName name="IS_FL_UT_PER9">[9]CRITERIA!$CD$199:$CK$200</definedName>
    <definedName name="IS4_COM_UT_PER1" localSheetId="2">#REF!</definedName>
    <definedName name="IS4_COM_UT_PER1">#REF!</definedName>
    <definedName name="IS4_COM_UT_PER10" localSheetId="2">#REF!</definedName>
    <definedName name="IS4_COM_UT_PER10">#REF!</definedName>
    <definedName name="IS4_COM_UT_PER11" localSheetId="2">#REF!</definedName>
    <definedName name="IS4_COM_UT_PER11">#REF!</definedName>
    <definedName name="IS4_COM_UT_PER12" localSheetId="2">#REF!</definedName>
    <definedName name="IS4_COM_UT_PER12">#REF!</definedName>
    <definedName name="IS4_COM_UT_PER2" localSheetId="2">#REF!</definedName>
    <definedName name="IS4_COM_UT_PER2">#REF!</definedName>
    <definedName name="IS4_COM_UT_PER3" localSheetId="2">#REF!</definedName>
    <definedName name="IS4_COM_UT_PER3">#REF!</definedName>
    <definedName name="IS4_COM_UT_PER4" localSheetId="2">#REF!</definedName>
    <definedName name="IS4_COM_UT_PER4">#REF!</definedName>
    <definedName name="IS4_COM_UT_PER5" localSheetId="2">#REF!</definedName>
    <definedName name="IS4_COM_UT_PER5">#REF!</definedName>
    <definedName name="IS4_COM_UT_PER6" localSheetId="2">#REF!</definedName>
    <definedName name="IS4_COM_UT_PER6">#REF!</definedName>
    <definedName name="IS4_COM_UT_PER7" localSheetId="2">#REF!</definedName>
    <definedName name="IS4_COM_UT_PER7">#REF!</definedName>
    <definedName name="IS4_COM_UT_PER8" localSheetId="2">#REF!</definedName>
    <definedName name="IS4_COM_UT_PER8">#REF!</definedName>
    <definedName name="IS4_COM_UT_PER9" localSheetId="2">#REF!</definedName>
    <definedName name="IS4_COM_UT_PER9">#REF!</definedName>
    <definedName name="IS4_DNG_UT_PER1" localSheetId="2">#REF!</definedName>
    <definedName name="IS4_DNG_UT_PER1">#REF!</definedName>
    <definedName name="IS4_DNG_UT_PER10" localSheetId="2">#REF!</definedName>
    <definedName name="IS4_DNG_UT_PER10">#REF!</definedName>
    <definedName name="IS4_DNG_UT_PER11" localSheetId="2">#REF!</definedName>
    <definedName name="IS4_DNG_UT_PER11">#REF!</definedName>
    <definedName name="IS4_DNG_UT_PER12" localSheetId="2">#REF!</definedName>
    <definedName name="IS4_DNG_UT_PER12">#REF!</definedName>
    <definedName name="IS4_DNG_UT_PER2" localSheetId="2">#REF!</definedName>
    <definedName name="IS4_DNG_UT_PER2">#REF!</definedName>
    <definedName name="IS4_DNG_UT_PER3" localSheetId="2">#REF!</definedName>
    <definedName name="IS4_DNG_UT_PER3">#REF!</definedName>
    <definedName name="IS4_DNG_UT_PER4" localSheetId="2">#REF!</definedName>
    <definedName name="IS4_DNG_UT_PER4">#REF!</definedName>
    <definedName name="IS4_DNG_UT_PER5" localSheetId="2">#REF!</definedName>
    <definedName name="IS4_DNG_UT_PER5">#REF!</definedName>
    <definedName name="IS4_DNG_UT_PER6" localSheetId="2">#REF!</definedName>
    <definedName name="IS4_DNG_UT_PER6">#REF!</definedName>
    <definedName name="IS4_DNG_UT_PER7" localSheetId="2">#REF!</definedName>
    <definedName name="IS4_DNG_UT_PER7">#REF!</definedName>
    <definedName name="IS4_DNG_UT_PER8" localSheetId="2">#REF!</definedName>
    <definedName name="IS4_DNG_UT_PER8">#REF!</definedName>
    <definedName name="IS4_DNG_UT_PER9" localSheetId="2">#REF!</definedName>
    <definedName name="IS4_DNG_UT_PER9">#REF!</definedName>
    <definedName name="IS4_SNG_UT_PER1" localSheetId="2">#REF!</definedName>
    <definedName name="IS4_SNG_UT_PER1">#REF!</definedName>
    <definedName name="IS4_SNG_UT_PER10" localSheetId="2">#REF!</definedName>
    <definedName name="IS4_SNG_UT_PER10">#REF!</definedName>
    <definedName name="IS4_SNG_UT_PER11" localSheetId="2">#REF!</definedName>
    <definedName name="IS4_SNG_UT_PER11">#REF!</definedName>
    <definedName name="IS4_SNG_UT_PER12" localSheetId="2">#REF!</definedName>
    <definedName name="IS4_SNG_UT_PER12">#REF!</definedName>
    <definedName name="IS4_SNG_UT_PER2" localSheetId="2">#REF!</definedName>
    <definedName name="IS4_SNG_UT_PER2">#REF!</definedName>
    <definedName name="IS4_SNG_UT_PER3" localSheetId="2">#REF!</definedName>
    <definedName name="IS4_SNG_UT_PER3">#REF!</definedName>
    <definedName name="IS4_SNG_UT_PER4" localSheetId="2">#REF!</definedName>
    <definedName name="IS4_SNG_UT_PER4">#REF!</definedName>
    <definedName name="IS4_SNG_UT_PER5" localSheetId="2">#REF!</definedName>
    <definedName name="IS4_SNG_UT_PER5">#REF!</definedName>
    <definedName name="IS4_SNG_UT_PER6" localSheetId="2">#REF!</definedName>
    <definedName name="IS4_SNG_UT_PER6">#REF!</definedName>
    <definedName name="IS4_SNG_UT_PER7" localSheetId="2">#REF!</definedName>
    <definedName name="IS4_SNG_UT_PER7">#REF!</definedName>
    <definedName name="IS4_SNG_UT_PER8" localSheetId="2">#REF!</definedName>
    <definedName name="IS4_SNG_UT_PER8">#REF!</definedName>
    <definedName name="IS4_SNG_UT_PER9" localSheetId="2">#REF!</definedName>
    <definedName name="IS4_SNG_UT_PER9">#REF!</definedName>
    <definedName name="IS4_WNA_UT_PER1" localSheetId="2">#REF!</definedName>
    <definedName name="IS4_WNA_UT_PER1">#REF!</definedName>
    <definedName name="IS4_WNA_UT_PER10" localSheetId="2">#REF!</definedName>
    <definedName name="IS4_WNA_UT_PER10">#REF!</definedName>
    <definedName name="IS4_WNA_UT_PER11" localSheetId="2">#REF!</definedName>
    <definedName name="IS4_WNA_UT_PER11">#REF!</definedName>
    <definedName name="IS4_WNA_UT_PER12" localSheetId="2">#REF!</definedName>
    <definedName name="IS4_WNA_UT_PER12">#REF!</definedName>
    <definedName name="IS4_WNA_UT_PER2" localSheetId="2">#REF!</definedName>
    <definedName name="IS4_WNA_UT_PER2">#REF!</definedName>
    <definedName name="IS4_WNA_UT_PER3" localSheetId="2">#REF!</definedName>
    <definedName name="IS4_WNA_UT_PER3">#REF!</definedName>
    <definedName name="IS4_WNA_UT_PER4" localSheetId="2">#REF!</definedName>
    <definedName name="IS4_WNA_UT_PER4">#REF!</definedName>
    <definedName name="IS4_WNA_UT_PER5" localSheetId="2">#REF!</definedName>
    <definedName name="IS4_WNA_UT_PER5">#REF!</definedName>
    <definedName name="IS4_WNA_UT_PER6" localSheetId="2">#REF!</definedName>
    <definedName name="IS4_WNA_UT_PER6">#REF!</definedName>
    <definedName name="IS4_WNA_UT_PER7" localSheetId="2">#REF!</definedName>
    <definedName name="IS4_WNA_UT_PER7">#REF!</definedName>
    <definedName name="IS4_WNA_UT_PER8" localSheetId="2">#REF!</definedName>
    <definedName name="IS4_WNA_UT_PER8">#REF!</definedName>
    <definedName name="IS4_WNA_UT_PER9" localSheetId="2">#REF!</definedName>
    <definedName name="IS4_WNA_UT_PER9">#REF!</definedName>
    <definedName name="IT_COMM_UT_PER1" localSheetId="23">#REF!</definedName>
    <definedName name="IT_COMM_UT_PER1">[4]CRITERIA!$J$104:$Q$105</definedName>
    <definedName name="IT_COMM_UT_PER10" localSheetId="23">#REF!</definedName>
    <definedName name="IT_COMM_UT_PER10">[4]CRITERIA!$CM$104:$CT$105</definedName>
    <definedName name="IT_COMM_UT_PER11" localSheetId="23">#REF!</definedName>
    <definedName name="IT_COMM_UT_PER11">[4]CRITERIA!$CV$104:$DC$105</definedName>
    <definedName name="IT_COMM_UT_PER12" localSheetId="23">#REF!</definedName>
    <definedName name="IT_COMM_UT_PER12">[4]CRITERIA!$DE$104:$DL$105</definedName>
    <definedName name="IT_COMM_UT_PER2" localSheetId="23">#REF!</definedName>
    <definedName name="IT_COMM_UT_PER2">[4]CRITERIA!$S$104:$Z$105</definedName>
    <definedName name="IT_COMM_UT_PER3" localSheetId="23">#REF!</definedName>
    <definedName name="IT_COMM_UT_PER3">[4]CRITERIA!$AB$104:$AI$105</definedName>
    <definedName name="IT_COMM_UT_PER4" localSheetId="23">#REF!</definedName>
    <definedName name="IT_COMM_UT_PER4">[4]CRITERIA!$AK$104:$AR$105</definedName>
    <definedName name="IT_COMM_UT_PER5" localSheetId="23">#REF!</definedName>
    <definedName name="IT_COMM_UT_PER5">[4]CRITERIA!$AT$104:$BA$105</definedName>
    <definedName name="IT_COMM_UT_PER6" localSheetId="23">#REF!</definedName>
    <definedName name="IT_COMM_UT_PER6">[4]CRITERIA!$BC$104:$BJ$105</definedName>
    <definedName name="IT_COMM_UT_PER7" localSheetId="23">#REF!</definedName>
    <definedName name="IT_COMM_UT_PER7">[4]CRITERIA!$BL$104:$BS$105</definedName>
    <definedName name="IT_COMM_UT_PER8" localSheetId="23">#REF!</definedName>
    <definedName name="IT_COMM_UT_PER8">[4]CRITERIA!$BU$104:$CB$105</definedName>
    <definedName name="IT_COMM_UT_PER9" localSheetId="23">#REF!</definedName>
    <definedName name="IT_COMM_UT_PER9">[4]CRITERIA!$CD$104:$CK$105</definedName>
    <definedName name="IT_F3" localSheetId="2">#REF!</definedName>
    <definedName name="IT_F3">#REF!</definedName>
    <definedName name="IT_FT2" localSheetId="2">#REF!</definedName>
    <definedName name="IT_FT2">#REF!</definedName>
    <definedName name="IT_TRAN_UT_PER1" localSheetId="2">#REF!</definedName>
    <definedName name="IT_TRAN_UT_PER1">#REF!</definedName>
    <definedName name="IT_TRAN_UT_PER10" localSheetId="2">#REF!</definedName>
    <definedName name="IT_TRAN_UT_PER10">#REF!</definedName>
    <definedName name="IT_TRAN_UT_PER11" localSheetId="2">#REF!</definedName>
    <definedName name="IT_TRAN_UT_PER11">#REF!</definedName>
    <definedName name="IT_TRAN_UT_PER12" localSheetId="2">#REF!</definedName>
    <definedName name="IT_TRAN_UT_PER12">#REF!</definedName>
    <definedName name="IT_TRAN_UT_PER2" localSheetId="2">#REF!</definedName>
    <definedName name="IT_TRAN_UT_PER2">#REF!</definedName>
    <definedName name="IT_TRAN_UT_PER3" localSheetId="2">#REF!</definedName>
    <definedName name="IT_TRAN_UT_PER3">#REF!</definedName>
    <definedName name="IT_TRAN_UT_PER4" localSheetId="2">#REF!</definedName>
    <definedName name="IT_TRAN_UT_PER4">#REF!</definedName>
    <definedName name="IT_TRAN_UT_PER5" localSheetId="2">#REF!</definedName>
    <definedName name="IT_TRAN_UT_PER5">#REF!</definedName>
    <definedName name="IT_TRAN_UT_PER6" localSheetId="2">#REF!</definedName>
    <definedName name="IT_TRAN_UT_PER6">#REF!</definedName>
    <definedName name="IT_TRAN_UT_PER7" localSheetId="2">#REF!</definedName>
    <definedName name="IT_TRAN_UT_PER7">#REF!</definedName>
    <definedName name="IT_TRAN_UT_PER8" localSheetId="2">#REF!</definedName>
    <definedName name="IT_TRAN_UT_PER8">#REF!</definedName>
    <definedName name="IT_TRAN_UT_PER9" localSheetId="2">#REF!</definedName>
    <definedName name="IT_TRAN_UT_PER9">#REF!</definedName>
    <definedName name="IT_TRAN_WY_PER1" localSheetId="2">#REF!</definedName>
    <definedName name="IT_TRAN_WY_PER1">#REF!</definedName>
    <definedName name="IT_TRAN_WY_PER10" localSheetId="2">#REF!</definedName>
    <definedName name="IT_TRAN_WY_PER10">#REF!</definedName>
    <definedName name="IT_TRAN_WY_PER11" localSheetId="2">#REF!</definedName>
    <definedName name="IT_TRAN_WY_PER11">#REF!</definedName>
    <definedName name="IT_TRAN_WY_PER12" localSheetId="2">#REF!</definedName>
    <definedName name="IT_TRAN_WY_PER12">#REF!</definedName>
    <definedName name="IT_TRAN_WY_PER2" localSheetId="2">#REF!</definedName>
    <definedName name="IT_TRAN_WY_PER2">#REF!</definedName>
    <definedName name="IT_TRAN_WY_PER3" localSheetId="2">#REF!</definedName>
    <definedName name="IT_TRAN_WY_PER3">#REF!</definedName>
    <definedName name="IT_TRAN_WY_PER4" localSheetId="2">#REF!</definedName>
    <definedName name="IT_TRAN_WY_PER4">#REF!</definedName>
    <definedName name="IT_TRAN_WY_PER5" localSheetId="2">#REF!</definedName>
    <definedName name="IT_TRAN_WY_PER5">#REF!</definedName>
    <definedName name="IT_TRAN_WY_PER6" localSheetId="2">#REF!</definedName>
    <definedName name="IT_TRAN_WY_PER6">#REF!</definedName>
    <definedName name="IT_TRAN_WY_PER7" localSheetId="2">#REF!</definedName>
    <definedName name="IT_TRAN_WY_PER7">#REF!</definedName>
    <definedName name="IT_TRAN_WY_PER8" localSheetId="2">#REF!</definedName>
    <definedName name="IT_TRAN_WY_PER8">#REF!</definedName>
    <definedName name="IT_TRAN_WY_PER9" localSheetId="2">#REF!</definedName>
    <definedName name="IT_TRAN_WY_PER9">#REF!</definedName>
    <definedName name="JJIONJI">[11]Expenses!$G$372</definedName>
    <definedName name="JurisCASEFormula" localSheetId="2">#REF!</definedName>
    <definedName name="JurisCASEFormula">#REF!</definedName>
    <definedName name="JurisCASENumber" localSheetId="2">#REF!</definedName>
    <definedName name="JurisCASENumber">#REF!</definedName>
    <definedName name="JurisRORFormula" localSheetId="2">[1]Taxes!#REF!</definedName>
    <definedName name="JurisRORFormula">Taxes!#REF!</definedName>
    <definedName name="JurisRORNumber" localSheetId="23">Taxes!$D$42</definedName>
    <definedName name="JurisRORNumber">Taxes!$D$42</definedName>
    <definedName name="LAB_UT" localSheetId="2">#REF!</definedName>
    <definedName name="LAB_UT">#REF!</definedName>
    <definedName name="LABADJ2" localSheetId="2">#REF!</definedName>
    <definedName name="LABADJ2">#REF!</definedName>
    <definedName name="LABOR_ADJ" localSheetId="2">#REF!</definedName>
    <definedName name="LABOR_ADJ">#REF!</definedName>
    <definedName name="LABOR_ADJ_UT" localSheetId="2">#REF!</definedName>
    <definedName name="LABOR_ADJ_UT">#REF!</definedName>
    <definedName name="LABOR_ADJ_WY" localSheetId="2">#REF!</definedName>
    <definedName name="LABOR_ADJ_WY">#REF!</definedName>
    <definedName name="LABOR_SCENARIOS" localSheetId="2">#REF!</definedName>
    <definedName name="LABOR_SCENARIOS">#REF!</definedName>
    <definedName name="LABORADJ" localSheetId="2">#REF!</definedName>
    <definedName name="LABORADJ">#REF!</definedName>
    <definedName name="LABORSCENARIO" localSheetId="23">'Lab Adj'!$C$9:$D$20</definedName>
    <definedName name="LABORSCENARIO" localSheetId="2">#REF!</definedName>
    <definedName name="LABORSCENARIO">#REF!</definedName>
    <definedName name="LABORTAB">'Lab Adj'!$B$1</definedName>
    <definedName name="Mark1" localSheetId="2">#REF!</definedName>
    <definedName name="Mark1">#REF!</definedName>
    <definedName name="Mark2" localSheetId="2">#REF!</definedName>
    <definedName name="Mark2">#REF!</definedName>
    <definedName name="Mark3" localSheetId="2">#REF!</definedName>
    <definedName name="Mark3">#REF!</definedName>
    <definedName name="Mark4" localSheetId="2">#REF!</definedName>
    <definedName name="Mark4">#REF!</definedName>
    <definedName name="Marktot" localSheetId="2">#REF!</definedName>
    <definedName name="Marktot">#REF!</definedName>
    <definedName name="MIN_FT2" localSheetId="2">#REF!</definedName>
    <definedName name="MIN_FT2">#REF!</definedName>
    <definedName name="MIN_FTE" localSheetId="2">#REF!</definedName>
    <definedName name="MIN_FTE">#REF!</definedName>
    <definedName name="MIN_IC_WY" localSheetId="2">#REF!</definedName>
    <definedName name="MIN_IC_WY">#REF!</definedName>
    <definedName name="MINBILLSCENARIO" localSheetId="23">#REF!</definedName>
    <definedName name="MINBILLSCENARIO" localSheetId="2">#REF!</definedName>
    <definedName name="MINBILLSCENARIO">#REF!</definedName>
    <definedName name="MINIMUMBILLS" localSheetId="2">#REF!</definedName>
    <definedName name="MINIMUMBILLS">#REF!</definedName>
    <definedName name="MODEL">'ROR-Model'!$A$3</definedName>
    <definedName name="MT_FL_UT_PER1">[9]CRITERIA!$J$208:$Q$209</definedName>
    <definedName name="MT_FL_UT_PER10">[9]CRITERIA!$CM$208:$CT$209</definedName>
    <definedName name="MT_FL_UT_PER11">[9]CRITERIA!$CV$208:$DC$209</definedName>
    <definedName name="MT_FL_UT_PER12">[9]CRITERIA!$DE$208:$DL$209</definedName>
    <definedName name="MT_FL_UT_PER2">[9]CRITERIA!$S$208:$Z$209</definedName>
    <definedName name="MT_FL_UT_PER3">[9]CRITERIA!$AB$208:$AI$209</definedName>
    <definedName name="MT_FL_UT_PER4">[9]CRITERIA!$AK$208:$AR$209</definedName>
    <definedName name="MT_FL_UT_PER5">[9]CRITERIA!$AT$208:$BA$209</definedName>
    <definedName name="MT_FL_UT_PER6">[9]CRITERIA!$BC$208:$BJ$209</definedName>
    <definedName name="MT_FL_UT_PER7">[9]CRITERIA!$BL$208:$BS$209</definedName>
    <definedName name="MT_FL_UT_PER8">[9]CRITERIA!$BU$208:$CB$209</definedName>
    <definedName name="MT_FL_UT_PER9">[9]CRITERIA!$CD$208:$CK$209</definedName>
    <definedName name="MT_SNG_UT_PER1" localSheetId="23">#REF!</definedName>
    <definedName name="MT_SNG_UT_PER1">[4]CRITERIA!$J$98:$Q$99</definedName>
    <definedName name="MT_SNG_UT_PER10" localSheetId="23">#REF!</definedName>
    <definedName name="MT_SNG_UT_PER10">[4]CRITERIA!$CM$98:$CT$99</definedName>
    <definedName name="MT_SNG_UT_PER11" localSheetId="23">#REF!</definedName>
    <definedName name="MT_SNG_UT_PER11">[4]CRITERIA!$CV$98:$DC$99</definedName>
    <definedName name="MT_SNG_UT_PER12" localSheetId="23">#REF!</definedName>
    <definedName name="MT_SNG_UT_PER12">[4]CRITERIA!$DE$98:$DL$99</definedName>
    <definedName name="MT_SNG_UT_PER2" localSheetId="23">#REF!</definedName>
    <definedName name="MT_SNG_UT_PER2">[4]CRITERIA!$S$98:$Z$99</definedName>
    <definedName name="MT_SNG_UT_PER3" localSheetId="23">#REF!</definedName>
    <definedName name="MT_SNG_UT_PER3">[4]CRITERIA!$AB$98:$AI$99</definedName>
    <definedName name="MT_SNG_UT_PER4" localSheetId="23">#REF!</definedName>
    <definedName name="MT_SNG_UT_PER4">[4]CRITERIA!$AK$98:$AR$99</definedName>
    <definedName name="MT_SNG_UT_PER5" localSheetId="23">#REF!</definedName>
    <definedName name="MT_SNG_UT_PER5">[4]CRITERIA!$AT$98:$BA$99</definedName>
    <definedName name="MT_SNG_UT_PER6" localSheetId="23">#REF!</definedName>
    <definedName name="MT_SNG_UT_PER6">[4]CRITERIA!$BC$98:$BJ$99</definedName>
    <definedName name="MT_SNG_UT_PER7" localSheetId="23">#REF!</definedName>
    <definedName name="MT_SNG_UT_PER7">[4]CRITERIA!$BL$98:$BS$99</definedName>
    <definedName name="MT_SNG_UT_PER8" localSheetId="23">#REF!</definedName>
    <definedName name="MT_SNG_UT_PER8">[4]CRITERIA!$BU$98:$CB$99</definedName>
    <definedName name="MT_SNG_UT_PER9" localSheetId="23">#REF!</definedName>
    <definedName name="MT_SNG_UT_PER9">[4]CRITERIA!$CD$98:$CK$99</definedName>
    <definedName name="MT_TRAN_UT_PER1" localSheetId="2">#REF!</definedName>
    <definedName name="MT_TRAN_UT_PER1">#REF!</definedName>
    <definedName name="MT_TRAN_UT_PER10" localSheetId="2">#REF!</definedName>
    <definedName name="MT_TRAN_UT_PER10">#REF!</definedName>
    <definedName name="MT_TRAN_UT_PER11" localSheetId="2">#REF!</definedName>
    <definedName name="MT_TRAN_UT_PER11">#REF!</definedName>
    <definedName name="MT_TRAN_UT_PER12" localSheetId="2">#REF!</definedName>
    <definedName name="MT_TRAN_UT_PER12">#REF!</definedName>
    <definedName name="MT_TRAN_UT_PER2" localSheetId="2">#REF!</definedName>
    <definedName name="MT_TRAN_UT_PER2">#REF!</definedName>
    <definedName name="MT_TRAN_UT_PER3" localSheetId="2">#REF!</definedName>
    <definedName name="MT_TRAN_UT_PER3">#REF!</definedName>
    <definedName name="MT_TRAN_UT_PER4" localSheetId="2">#REF!</definedName>
    <definedName name="MT_TRAN_UT_PER4">#REF!</definedName>
    <definedName name="MT_TRAN_UT_PER5" localSheetId="2">#REF!</definedName>
    <definedName name="MT_TRAN_UT_PER5">#REF!</definedName>
    <definedName name="MT_TRAN_UT_PER6" localSheetId="2">#REF!</definedName>
    <definedName name="MT_TRAN_UT_PER6">#REF!</definedName>
    <definedName name="MT_TRAN_UT_PER7" localSheetId="2">#REF!</definedName>
    <definedName name="MT_TRAN_UT_PER7">#REF!</definedName>
    <definedName name="MT_TRAN_UT_PER8" localSheetId="2">#REF!</definedName>
    <definedName name="MT_TRAN_UT_PER8">#REF!</definedName>
    <definedName name="MT_TRAN_UT_PER9" localSheetId="2">#REF!</definedName>
    <definedName name="MT_TRAN_UT_PER9">#REF!</definedName>
    <definedName name="NGV" localSheetId="2">#REF!</definedName>
    <definedName name="NGV">#REF!</definedName>
    <definedName name="NGV_Accounting_Adjustment" localSheetId="2">#REF!</definedName>
    <definedName name="NGV_Accounting_Adjustment">#REF!</definedName>
    <definedName name="NGV_DATA">'[3]NGV REVENUES'!$BV$6:$IV$34</definedName>
    <definedName name="NGV_DSM" localSheetId="2">'[1]ENERGY EFFICIENCY SERVICES ADJ'!#REF!</definedName>
    <definedName name="NGV_DSM">'ENERGY EFFICIENCY SERVICES ADJ'!#REF!</definedName>
    <definedName name="NGV_per1" localSheetId="23">#REF!</definedName>
    <definedName name="NGV_per1">[4]CRITERIA!$J$169:$Q$170</definedName>
    <definedName name="NGV_PER10" localSheetId="23">#REF!</definedName>
    <definedName name="NGV_PER10">[4]CRITERIA!$CM$169:$CT$170</definedName>
    <definedName name="NGV_PER11" localSheetId="23">#REF!</definedName>
    <definedName name="NGV_PER11">[4]CRITERIA!$CV$169:$DC$170</definedName>
    <definedName name="NGV_PER12" localSheetId="23">#REF!</definedName>
    <definedName name="NGV_PER12">[4]CRITERIA!$DE$169:$DL$170</definedName>
    <definedName name="NGV_PER2" localSheetId="23">#REF!</definedName>
    <definedName name="NGV_PER2">[4]CRITERIA!$S$169:$Z$170</definedName>
    <definedName name="NGV_PER3" localSheetId="23">#REF!</definedName>
    <definedName name="NGV_PER3">[4]CRITERIA!$AB$169:$AI$170</definedName>
    <definedName name="NGV_PER4" localSheetId="23">#REF!</definedName>
    <definedName name="NGV_PER4">[4]CRITERIA!$AK$169:$AR$170</definedName>
    <definedName name="NGV_PER5" localSheetId="23">#REF!</definedName>
    <definedName name="NGV_PER5">[4]CRITERIA!$AT$169:$BA$170</definedName>
    <definedName name="NGV_PER6" localSheetId="23">#REF!</definedName>
    <definedName name="NGV_PER6">[4]CRITERIA!$BC$169:$BJ$170</definedName>
    <definedName name="NGV_PER7" localSheetId="23">#REF!</definedName>
    <definedName name="NGV_PER7">[4]CRITERIA!$BL$169:$BS$170</definedName>
    <definedName name="NGV_PER8" localSheetId="23">#REF!</definedName>
    <definedName name="NGV_PER8">[4]CRITERIA!$BU$169:$CB$170</definedName>
    <definedName name="NGV_PER9" localSheetId="23">#REF!</definedName>
    <definedName name="NGV_PER9">[4]CRITERIA!$CD$169:$CK$170</definedName>
    <definedName name="NGV_QUERY" localSheetId="23">'[12]NGV Query'!$A$1:$H$65536</definedName>
    <definedName name="NGV_QUERY">'[4]NGV Query'!$A$1:$H$65536</definedName>
    <definedName name="NGVINFRASTRUCTURE" localSheetId="2">#REF!</definedName>
    <definedName name="NGVINFRASTRUCTURE">#REF!</definedName>
    <definedName name="NGVPRINT" localSheetId="2">#REF!</definedName>
    <definedName name="NGVPRINT">#REF!</definedName>
    <definedName name="NGVWY_PER1" localSheetId="23">#REF!</definedName>
    <definedName name="NGVWY_PER1">[4]CRITERIA!$J$172:$Q$174</definedName>
    <definedName name="NGVWY_PER10" localSheetId="23">#REF!</definedName>
    <definedName name="NGVWY_PER10">[4]CRITERIA!$CM$172:$CT$174</definedName>
    <definedName name="NGVWY_PER11" localSheetId="23">#REF!</definedName>
    <definedName name="NGVWY_PER11">[4]CRITERIA!$CV$172:$DC$174</definedName>
    <definedName name="NGVWY_PER12" localSheetId="23">#REF!</definedName>
    <definedName name="NGVWY_PER12">[4]CRITERIA!$DE$172:$DL$174</definedName>
    <definedName name="NGVWY_PER2" localSheetId="23">#REF!</definedName>
    <definedName name="NGVWY_PER2">[4]CRITERIA!$S$172:$Z$174</definedName>
    <definedName name="NGVWY_PER3" localSheetId="23">#REF!</definedName>
    <definedName name="NGVWY_PER3">[4]CRITERIA!$AB$172:$AI$174</definedName>
    <definedName name="NGVWY_PER4" localSheetId="23">#REF!</definedName>
    <definedName name="NGVWY_PER4">[4]CRITERIA!$AK$172:$AR$174</definedName>
    <definedName name="NGVWY_PER5" localSheetId="23">#REF!</definedName>
    <definedName name="NGVWY_PER5">[4]CRITERIA!$AT$172:$BA$174</definedName>
    <definedName name="NGVWY_PER6" localSheetId="23">#REF!</definedName>
    <definedName name="NGVWY_PER6">[4]CRITERIA!$BC$172:$BJ$174</definedName>
    <definedName name="NGVWY_PER7" localSheetId="23">#REF!</definedName>
    <definedName name="NGVWY_PER7">[4]CRITERIA!$BL$172:$BS$174</definedName>
    <definedName name="NGVWY_PER8" localSheetId="23">#REF!</definedName>
    <definedName name="NGVWY_PER8">[4]CRITERIA!$BU$172:$CB$174</definedName>
    <definedName name="NGVWY_PER9" localSheetId="23">#REF!</definedName>
    <definedName name="NGVWY_PER9">[4]CRITERIA!$CD$172:$CK$174</definedName>
    <definedName name="OAK_CITY" localSheetId="23">#REF!</definedName>
    <definedName name="OAK_CITY" localSheetId="2">#REF!</definedName>
    <definedName name="OAK_CITY">#REF!</definedName>
    <definedName name="OAKSCENARIO" localSheetId="23">#REF!</definedName>
    <definedName name="OAKSCENARIO" localSheetId="2">#REF!</definedName>
    <definedName name="OAKSCENARIO">#REF!</definedName>
    <definedName name="OtherRevScenarios" localSheetId="2">'[1]Other Rev'!$H$7:$I$145</definedName>
    <definedName name="OtherRevScenarios">'Other Rev'!$H$7:$H$145</definedName>
    <definedName name="pension" localSheetId="2">#REF!</definedName>
    <definedName name="pension">#REF!</definedName>
    <definedName name="PHANTOMCORP" localSheetId="2">#REF!</definedName>
    <definedName name="PHANTOMCORP">#REF!</definedName>
    <definedName name="PHANTOMQGC" localSheetId="2">#REF!</definedName>
    <definedName name="PHANTOMQGC">#REF!</definedName>
    <definedName name="PHANTOMQRS" localSheetId="23">#REF!</definedName>
    <definedName name="PHANTOMQRS" localSheetId="2">#REF!</definedName>
    <definedName name="PHANTOMQRS">#REF!</definedName>
    <definedName name="PHANTOMSCENARIO" localSheetId="23">#REF!</definedName>
    <definedName name="PHANTOMSCENARIO" localSheetId="2">#REF!</definedName>
    <definedName name="PHANTOMSCENARIO">#REF!</definedName>
    <definedName name="PHANTOMSUMMARY" localSheetId="2">#REF!</definedName>
    <definedName name="PHANTOMSUMMARY">#REF!</definedName>
    <definedName name="PHTMSTK_ADJ" localSheetId="23">#REF!</definedName>
    <definedName name="PHTMSTK_ADJ" localSheetId="2">#REF!</definedName>
    <definedName name="PHTMSTK_ADJ">#REF!</definedName>
    <definedName name="PHTMSTK_ADJ_UT" localSheetId="23">#REF!</definedName>
    <definedName name="PHTMSTK_ADJ_UT" localSheetId="2">#REF!</definedName>
    <definedName name="PHTMSTK_ADJ_UT">#REF!</definedName>
    <definedName name="PHTMSTK_ADJ_WY" localSheetId="23">#REF!</definedName>
    <definedName name="PHTMSTK_ADJ_WY" localSheetId="2">#REF!</definedName>
    <definedName name="PHTMSTK_ADJ_WY">#REF!</definedName>
    <definedName name="Pipeline_Integrity" localSheetId="2">#REF!</definedName>
    <definedName name="Pipeline_Integrity">#REF!</definedName>
    <definedName name="POST_ADJ" localSheetId="2">#REF!</definedName>
    <definedName name="POST_ADJ">#REF!</definedName>
    <definedName name="POST_ADJ_UT" localSheetId="2">#REF!</definedName>
    <definedName name="POST_ADJ_UT">#REF!</definedName>
    <definedName name="POST_ADJ_WY" localSheetId="2">#REF!</definedName>
    <definedName name="POST_ADJ_WY">#REF!</definedName>
    <definedName name="Print" localSheetId="2">#REF!</definedName>
    <definedName name="Print">#REF!</definedName>
    <definedName name="_xlnm.Print_Area" localSheetId="4">Adjustments!$A:$T</definedName>
    <definedName name="_xlnm.Print_Area" localSheetId="16">Advertising!$A$1:$Y$29</definedName>
    <definedName name="_xlnm.Print_Area" localSheetId="28">'ALLOCATIONS&amp;PRETAX'!$J$1:$N$61</definedName>
    <definedName name="_xlnm.Print_Area" localSheetId="25">'Bad Debt'!$A$1:$R$48</definedName>
    <definedName name="_xlnm.Print_Area" localSheetId="21">'Booked June 2023 Rev'!$A$1:$T$371</definedName>
    <definedName name="_xlnm.Print_Area" localSheetId="26">'Capital Str'!$A$1:$H$65</definedName>
    <definedName name="_xlnm.Print_Area" localSheetId="0">'Control Panel'!$B$1:$Q$44</definedName>
    <definedName name="_xlnm.Print_Area" localSheetId="15">Donations!$A$1:$Z$29</definedName>
    <definedName name="_xlnm.Print_Area" localSheetId="11">'ENERGY EFFICIENCY SERVICES ADJ'!$A$1:$E$20</definedName>
    <definedName name="_xlnm.Print_Area" localSheetId="10">EXPENSES!$F$138:$K$430</definedName>
    <definedName name="_xlnm.Print_Area" localSheetId="17">Incentive!$A$1:$P$38</definedName>
    <definedName name="_xlnm.Print_Area" localSheetId="23">'Lab Adj'!$I$1:$L$50</definedName>
    <definedName name="_xlnm.Print_Area" localSheetId="22">'Other Rev'!$B$1:$U$147</definedName>
    <definedName name="_xlnm.Print_Area" localSheetId="8">'Rate Base'!$AH$2:$AN$279</definedName>
    <definedName name="_xlnm.Print_Area" localSheetId="6">Report!$A$1:$J$79</definedName>
    <definedName name="_xlnm.Print_Area" localSheetId="14">'RESERVE ACCRUAL'!$A$1:$D$28</definedName>
    <definedName name="_xlnm.Print_Area" localSheetId="20">Revenue!$F$7:$F$8</definedName>
    <definedName name="_xlnm.Print_Area" localSheetId="5">'ROR-Model'!$A$782:$W$795</definedName>
    <definedName name="_xlnm.Print_Area" localSheetId="18">'Sporting Events'!$A$1:$W$35</definedName>
    <definedName name="_xlnm.Print_Area" localSheetId="7">Taxes!$B$1:$G$75</definedName>
    <definedName name="_xlnm.Print_Area" localSheetId="9">'Transition Costs'!$A$1:$I$32</definedName>
    <definedName name="_xlnm.Print_Area" localSheetId="12">'Und Stor'!$A$1:$E$27</definedName>
    <definedName name="_xlnm.Print_Area" localSheetId="27">'Utah Allocation'!$A$1:$F$48</definedName>
    <definedName name="_xlnm.Print_Area" localSheetId="13">Wexpro!$A$1:$H$41</definedName>
    <definedName name="_xlnm.Print_Area" localSheetId="2">'WYO DEPR EXPENSE'!$A$1:$H$67</definedName>
    <definedName name="_xlnm.Print_Area">#REF!</definedName>
    <definedName name="print_files" localSheetId="2">#REF!</definedName>
    <definedName name="print_files">#REF!</definedName>
    <definedName name="_xlnm.Print_Titles" localSheetId="4">Adjustments!$A:$E,Adjustments!$1:$9</definedName>
    <definedName name="_xlnm.Print_Titles" localSheetId="21">'Booked June 2023 Rev'!$A:$C,'Booked June 2023 Rev'!$7:$9</definedName>
    <definedName name="_xlnm.Print_Titles" localSheetId="10">EXPENSES!$B:$E,EXPENSES!$1:$9</definedName>
    <definedName name="_xlnm.Print_Titles" localSheetId="22">'Other Rev'!$Y:$AB,'Other Rev'!$1:$10</definedName>
    <definedName name="_xlnm.Print_Titles" localSheetId="8">'Rate Base'!$AH:$AK,'Rate Base'!$1:$10</definedName>
    <definedName name="_xlnm.Print_Titles" localSheetId="20">Revenue!$A:$D,Revenue!$1:$9</definedName>
    <definedName name="_xlnm.Print_Titles" localSheetId="5">'ROR-Model'!$A:$D,'ROR-Model'!$1:$13</definedName>
    <definedName name="_xlnm.Print_Titles" localSheetId="3">Summaries!$A:$E,Summaries!$1:$6</definedName>
    <definedName name="PROPERTYINSURANCE" localSheetId="2">#REF!</definedName>
    <definedName name="PROPERTYINSURANCE">#REF!</definedName>
    <definedName name="PT_OTH_REV_UT" localSheetId="23">'Other Rev'!$G$136</definedName>
    <definedName name="PT_OTH_REV_UT" localSheetId="2">'[1]Other Rev'!$H$136</definedName>
    <definedName name="PT_OTH_REV_UT">'Other Rev'!$H$136</definedName>
    <definedName name="PT_OTH_REV_WY" localSheetId="23">'Other Rev'!$G$140</definedName>
    <definedName name="PT_OTH_REV_WY" localSheetId="2">'[1]Other Rev'!$H$140</definedName>
    <definedName name="PT_OTH_REV_WY">'Other Rev'!$H$140</definedName>
    <definedName name="PTOSCENARIO" localSheetId="23">#REF!</definedName>
    <definedName name="PTOSCENARIO" localSheetId="2">#REF!</definedName>
    <definedName name="PTOSCENARIO">#REF!</definedName>
    <definedName name="QES_ADJ" localSheetId="2">#REF!</definedName>
    <definedName name="QES_ADJ">#REF!</definedName>
    <definedName name="QES_ADJ_UT" localSheetId="2">#REF!</definedName>
    <definedName name="QES_ADJ_UT">#REF!</definedName>
    <definedName name="QES_ADJ_WY" localSheetId="2">#REF!</definedName>
    <definedName name="QES_ADJ_WY">#REF!</definedName>
    <definedName name="QESDETAIL1" localSheetId="2">#REF!</definedName>
    <definedName name="QESDETAIL1">#REF!</definedName>
    <definedName name="QESSUMMARY" localSheetId="2">#REF!</definedName>
    <definedName name="QESSUMMARY">#REF!</definedName>
    <definedName name="QGC_UTAH_Bad_Debt">'Bad Debt'!$E$5:$H$39</definedName>
    <definedName name="QGCDIRECT" localSheetId="2">#REF!</definedName>
    <definedName name="QGCDIRECT">#REF!</definedName>
    <definedName name="QGCMARKTOT" localSheetId="2">#REF!</definedName>
    <definedName name="QGCMARKTOT">#REF!</definedName>
    <definedName name="QGCSUMMARY" localSheetId="2">#REF!</definedName>
    <definedName name="QGCSUMMARY">#REF!</definedName>
    <definedName name="QPEC_UTAH" localSheetId="2">#REF!</definedName>
    <definedName name="QPEC_UTAH">#REF!</definedName>
    <definedName name="QPEC_WYO" localSheetId="2">#REF!</definedName>
    <definedName name="QPEC_WYO">#REF!</definedName>
    <definedName name="QRS_ROI" localSheetId="2">#REF!</definedName>
    <definedName name="QRS_ROI">#REF!</definedName>
    <definedName name="R_D_Funds_Adjustment" localSheetId="2">#REF!</definedName>
    <definedName name="R_D_Funds_Adjustment">#REF!</definedName>
    <definedName name="R_D_FUNDS_SCENARIO" localSheetId="23">#REF!</definedName>
    <definedName name="R_D_FUNDS_SCENARIO" localSheetId="2">#REF!</definedName>
    <definedName name="R_D_FUNDS_SCENARIO">#REF!</definedName>
    <definedName name="range" localSheetId="23">#REF!</definedName>
    <definedName name="range" localSheetId="2">#REF!</definedName>
    <definedName name="range">#REF!</definedName>
    <definedName name="RateBaseFormula">'Utah Allocation'!$D$35:$F$35</definedName>
    <definedName name="RateBaseNumber">'Utah Allocation'!$D$34:$F$34</definedName>
    <definedName name="RateBaseScenarios" localSheetId="23">'Rate Base'!$X$8:$AY$279</definedName>
    <definedName name="RateBaseScenarios" localSheetId="2">'[1]Rate Base'!$Y$8:$AB$279</definedName>
    <definedName name="RateBaseScenarios">'Rate Base'!$Y$8:$AB$279</definedName>
    <definedName name="rates" localSheetId="23">#REF!</definedName>
    <definedName name="rates" localSheetId="2">#REF!</definedName>
    <definedName name="rates">#REF!</definedName>
    <definedName name="rates2" localSheetId="23">#REF!</definedName>
    <definedName name="rates2" localSheetId="2">#REF!</definedName>
    <definedName name="rates2">#REF!</definedName>
    <definedName name="ratescurrent" localSheetId="23">#REF!</definedName>
    <definedName name="ratescurrent" localSheetId="2">#REF!</definedName>
    <definedName name="ratescurrent">#REF!</definedName>
    <definedName name="ratesformulas" localSheetId="23">#REF!</definedName>
    <definedName name="ratesformulas" localSheetId="2">#REF!</definedName>
    <definedName name="ratesformulas">#REF!</definedName>
    <definedName name="rateshardnumbers" localSheetId="23">#REF!</definedName>
    <definedName name="rateshardnumbers" localSheetId="2">#REF!</definedName>
    <definedName name="rateshardnumbers">#REF!</definedName>
    <definedName name="REALLOCATION" localSheetId="2">#REF!</definedName>
    <definedName name="REALLOCATION">#REF!</definedName>
    <definedName name="REALLOCATION2" localSheetId="2">#REF!</definedName>
    <definedName name="REALLOCATION2">#REF!</definedName>
    <definedName name="report">Report!$A$1:$L$79</definedName>
    <definedName name="REPORT1">Report!$A$1:$J$79</definedName>
    <definedName name="RES_ACC_ADJ" localSheetId="2">#REF!</definedName>
    <definedName name="RES_ACC_ADJ">#REF!</definedName>
    <definedName name="RES_ACC_ADJ_UT" localSheetId="2">#REF!</definedName>
    <definedName name="RES_ACC_ADJ_UT">#REF!</definedName>
    <definedName name="RES_ACC_ADJ_WY" localSheetId="2">#REF!</definedName>
    <definedName name="RES_ACC_ADJ_WY">#REF!</definedName>
    <definedName name="RESERVE">'RESERVE ACCRUAL'!$A$1:$F$28</definedName>
    <definedName name="Reserve_Accrual_Adjustment">'RESERVE ACCRUAL'!$A$1:$F$30</definedName>
    <definedName name="RESERVEACCRUALSCENARIO" localSheetId="23">'RESERVE ACCRUAL'!#REF!</definedName>
    <definedName name="RESERVEACCRUALSCENARIO" localSheetId="2">'[1]RESERVE ACCRUAL'!$D$6:$D$73</definedName>
    <definedName name="RESERVEACCRUALSCENARIO">'RESERVE ACCRUAL'!$D$6:$D$73</definedName>
    <definedName name="RevenueScenarios" localSheetId="23">Revenue!$F$8:$F$371</definedName>
    <definedName name="RevenueScenarios" localSheetId="2">[1]Revenue!$F$8:$F$452</definedName>
    <definedName name="RevenueScenarios">Revenue!$F$8:$F$452</definedName>
    <definedName name="REVSUMMARY1" localSheetId="23">#REF!</definedName>
    <definedName name="REVSUMMARY1" localSheetId="2">#REF!</definedName>
    <definedName name="REVSUMMARY1">#REF!</definedName>
    <definedName name="REVSUMMARY2" localSheetId="2">#REF!</definedName>
    <definedName name="REVSUMMARY2">#REF!</definedName>
    <definedName name="RORAIRCRAFT" localSheetId="2">#REF!</definedName>
    <definedName name="RORAIRCRAFT">#REF!</definedName>
    <definedName name="RORCORP" localSheetId="2">#REF!</definedName>
    <definedName name="RORCORP">#REF!</definedName>
    <definedName name="RORQIC" localSheetId="2">#REF!</definedName>
    <definedName name="RORQIC">#REF!</definedName>
    <definedName name="RORQRS" localSheetId="2">#REF!</definedName>
    <definedName name="RORQRS">#REF!</definedName>
    <definedName name="RORSUMMARY" localSheetId="2">#REF!</definedName>
    <definedName name="RORSUMMARY">#REF!</definedName>
    <definedName name="SalesFormula">'Utah Allocation'!$D$46:$F$46</definedName>
    <definedName name="SalesNumber">'Utah Allocation'!$D$45:$F$45</definedName>
    <definedName name="Scenarios" localSheetId="23">'Control Panel'!$H$10:$K$39</definedName>
    <definedName name="Scenarios" localSheetId="2">'[1]Control Panel'!$H$10:$M$68</definedName>
    <definedName name="Scenarios">'Control Panel'!$H$10:$Q$68</definedName>
    <definedName name="se5ry">'[8]QUERY_FOR PIVOT'!$A$1:$H$15062</definedName>
    <definedName name="Season" localSheetId="23">#REF!</definedName>
    <definedName name="Season" localSheetId="2">#REF!</definedName>
    <definedName name="Season">#REF!</definedName>
    <definedName name="SINGLEITEMCASE" localSheetId="2">#REF!</definedName>
    <definedName name="SINGLEITEMCASE">#REF!</definedName>
    <definedName name="SNG_REV_ID" localSheetId="23">Revenue!$F$229</definedName>
    <definedName name="SNG_REV_ID" localSheetId="2">[1]Revenue!$F$229</definedName>
    <definedName name="SNG_REV_ID">Revenue!$F$229</definedName>
    <definedName name="SNG_REV_UT" localSheetId="23">Revenue!$F$200</definedName>
    <definedName name="SNG_REV_UT" localSheetId="2">[1]Revenue!$F$200</definedName>
    <definedName name="SNG_REV_UT">Revenue!$F$200</definedName>
    <definedName name="SNG_REV_WY" localSheetId="23">Revenue!$F$323</definedName>
    <definedName name="SNG_REV_WY" localSheetId="2">[1]Revenue!$F$323</definedName>
    <definedName name="SNG_REV_WY">Revenue!$F$323</definedName>
    <definedName name="SOFTWAREADJUSTMENT" localSheetId="2">#REF!</definedName>
    <definedName name="SOFTWAREADJUSTMENT">#REF!</definedName>
    <definedName name="SPORTING" localSheetId="2">#REF!</definedName>
    <definedName name="SPORTING">#REF!</definedName>
    <definedName name="SPORTING2" localSheetId="2">#REF!</definedName>
    <definedName name="SPORTING2">#REF!</definedName>
    <definedName name="SPORTING3" localSheetId="2">#REF!</definedName>
    <definedName name="SPORTING3">#REF!</definedName>
    <definedName name="ST_TAX_ADJ" localSheetId="2">#REF!</definedName>
    <definedName name="ST_TAX_ADJ">#REF!</definedName>
    <definedName name="ST_TAX_ADJ_UT" localSheetId="23">Adjustments!#REF!</definedName>
    <definedName name="ST_TAX_ADJ_UT" localSheetId="2">[1]Adjustments!#REF!</definedName>
    <definedName name="ST_TAX_ADJ_UT">Adjustments!#REF!</definedName>
    <definedName name="ST_TAX_ADJ_WY" localSheetId="2">#REF!</definedName>
    <definedName name="ST_TAX_ADJ_WY">#REF!</definedName>
    <definedName name="Start_Print" localSheetId="2">#REF!</definedName>
    <definedName name="Start_Print">#REF!</definedName>
    <definedName name="STATE_TAX" localSheetId="2">#REF!</definedName>
    <definedName name="STATE_TAX">#REF!</definedName>
    <definedName name="STATETAX" localSheetId="2">#REF!</definedName>
    <definedName name="STATETAX">#REF!</definedName>
    <definedName name="STATETAXSCENARIO" localSheetId="23">#REF!</definedName>
    <definedName name="STATETAXSCENARIO" localSheetId="2">#REF!</definedName>
    <definedName name="STATETAXSCENARIO">#REF!</definedName>
    <definedName name="STOCKSUMMARY" localSheetId="2">#REF!</definedName>
    <definedName name="STOCKSUMMARY">#REF!</definedName>
    <definedName name="STOCKSUMMARYWP1" localSheetId="2">#REF!</definedName>
    <definedName name="STOCKSUMMARYWP1">#REF!</definedName>
    <definedName name="STOCKSUMMARYWP2" localSheetId="2">#REF!</definedName>
    <definedName name="STOCKSUMMARYWP2">#REF!</definedName>
    <definedName name="STTOCKSUMMARY1" localSheetId="2">#REF!</definedName>
    <definedName name="STTOCKSUMMARY1">#REF!</definedName>
    <definedName name="Summaries">Summaries!$A$1:$U$75</definedName>
    <definedName name="summarieswyo" localSheetId="2">#REF!</definedName>
    <definedName name="summarieswyo">#REF!</definedName>
    <definedName name="SUMMER_UT_F1" localSheetId="23">#REF!</definedName>
    <definedName name="SUMMER_UT_F1" localSheetId="2">#REF!</definedName>
    <definedName name="SUMMER_UT_F1">#REF!</definedName>
    <definedName name="SUMMER_UT_GSC" localSheetId="23">#REF!</definedName>
    <definedName name="SUMMER_UT_GSC" localSheetId="2">#REF!</definedName>
    <definedName name="SUMMER_UT_GSC">#REF!</definedName>
    <definedName name="Summer_UT_GSR" localSheetId="23">#REF!</definedName>
    <definedName name="Summer_UT_GSR" localSheetId="2">#REF!</definedName>
    <definedName name="Summer_UT_GSR">#REF!</definedName>
    <definedName name="Summer_UT_GSS" localSheetId="23">#REF!</definedName>
    <definedName name="Summer_UT_GSS" localSheetId="2">#REF!</definedName>
    <definedName name="Summer_UT_GSS">#REF!</definedName>
    <definedName name="SYSCASEFormula" localSheetId="2">#REF!</definedName>
    <definedName name="SYSCASEFormula">#REF!</definedName>
    <definedName name="SYSCASENumber" localSheetId="2">#REF!</definedName>
    <definedName name="SYSCASENumber">#REF!</definedName>
    <definedName name="SYSRORFormula" localSheetId="2">[1]Taxes!#REF!</definedName>
    <definedName name="SYSRORFormula">Taxes!#REF!</definedName>
    <definedName name="SYSRORNumber">Taxes!$C$42</definedName>
    <definedName name="Taxes" localSheetId="23">Taxes!$C$9:$E$75</definedName>
    <definedName name="Taxes" localSheetId="2">[1]Taxes!$C$9:$E$75</definedName>
    <definedName name="Taxes">Taxes!$C$9:$E$75</definedName>
    <definedName name="TICKETS" localSheetId="2">#REF!</definedName>
    <definedName name="TICKETS">#REF!</definedName>
    <definedName name="TICKETSCENARIO" localSheetId="23">#REF!</definedName>
    <definedName name="TICKETSCENARIO" localSheetId="2">#REF!</definedName>
    <definedName name="TICKETSCENARIO">#REF!</definedName>
    <definedName name="TITLE" localSheetId="23">'Control Panel'!#REF!</definedName>
    <definedName name="TITLE" localSheetId="2">'[1]Control Panel'!#REF!</definedName>
    <definedName name="TITLE">'Control Panel'!#REF!</definedName>
    <definedName name="TITLE2" localSheetId="23">'Control Panel'!#REF!</definedName>
    <definedName name="TITLE2" localSheetId="2">'[1]Control Panel'!#REF!</definedName>
    <definedName name="TITLE2">'Control Panel'!#REF!</definedName>
    <definedName name="TS_COMM_UT_PER1">[8]CRITERIA!$J$89:$Q$90</definedName>
    <definedName name="TS_COMM_UT_PER10">[8]CRITERIA!$CM$89:$CT$90</definedName>
    <definedName name="TS_COMM_UT_PER11">[8]CRITERIA!$CV$89:$DC$90</definedName>
    <definedName name="TS_COMM_UT_PER12">[8]CRITERIA!$DE$89:$DL$90</definedName>
    <definedName name="TS_COMM_UT_PER2">[8]CRITERIA!$S$89:$Z$90</definedName>
    <definedName name="TS_COMM_UT_PER3">[8]CRITERIA!$AB$89:$AI$90</definedName>
    <definedName name="TS_COMM_UT_PER4">[8]CRITERIA!$AK$89:$AR$90</definedName>
    <definedName name="TS_COMM_UT_PER5">[8]CRITERIA!$AT$89:$BA$90</definedName>
    <definedName name="TS_COMM_UT_PER6">[8]CRITERIA!$BC$89:$BJ$90</definedName>
    <definedName name="TS_COMM_UT_PER7">[8]CRITERIA!$BL$89:$BS$90</definedName>
    <definedName name="TS_COMM_UT_PER8">[8]CRITERIA!$BU$89:$CB$90</definedName>
    <definedName name="TS_COMM_UT_PER9">[8]CRITERIA!$CD$89:$CK$90</definedName>
    <definedName name="TS_DNG_UT_PER1">[8]CRITERIA!$J$92:$Q$93</definedName>
    <definedName name="TS_DNG_UT_PER10">[8]CRITERIA!$CM$92:$CT$93</definedName>
    <definedName name="TS_DNG_UT_PER11">[8]CRITERIA!$CV$92:$DC$93</definedName>
    <definedName name="TS_DNG_UT_PER12">[8]CRITERIA!$DE$92:$DL$93</definedName>
    <definedName name="TS_DNG_UT_PER2">[8]CRITERIA!$S$92:$Z$93</definedName>
    <definedName name="TS_DNG_UT_PER3">[8]CRITERIA!$AB$92:$AI$93</definedName>
    <definedName name="TS_DNG_UT_PER4">[8]CRITERIA!$AK$92:$AR$93</definedName>
    <definedName name="TS_DNG_UT_PER5">[8]CRITERIA!$AT$92:$BA$93</definedName>
    <definedName name="TS_DNG_UT_PER6">[8]CRITERIA!$BC$92:$BJ$93</definedName>
    <definedName name="TS_DNG_UT_PER7">[8]CRITERIA!$BL$92:$BS$93</definedName>
    <definedName name="TS_DNG_UT_PER8">[8]CRITERIA!$BU$92:$CB$93</definedName>
    <definedName name="TS_DNG_UT_PER9">[8]CRITERIA!$CD$92:$CK$93</definedName>
    <definedName name="TS_FL_UT_PER1">[9]CRITERIA!$J$205:$Q$206</definedName>
    <definedName name="TS_FL_UT_PER10">[9]CRITERIA!$CM$205:$CT$206</definedName>
    <definedName name="TS_FL_UT_PER11">[9]CRITERIA!$CV$205:$DC$206</definedName>
    <definedName name="TS_FL_UT_PER12">[9]CRITERIA!$DE$205:$DL$206</definedName>
    <definedName name="TS_FL_UT_PER2">[9]CRITERIA!$S$205:$Z$206</definedName>
    <definedName name="TS_FL_UT_PER3">[9]CRITERIA!$AB$205:$AI$206</definedName>
    <definedName name="TS_FL_UT_PER4">[9]CRITERIA!$AK$205:$AR$206</definedName>
    <definedName name="TS_FL_UT_PER5">[9]CRITERIA!$AT$205:$BA$206</definedName>
    <definedName name="TS_FL_UT_PER6">[9]CRITERIA!$BC$205:$BJ$206</definedName>
    <definedName name="TS_FL_UT_PER7">[9]CRITERIA!$BL$205:$BS$206</definedName>
    <definedName name="TS_FL_UT_PER8">[9]CRITERIA!$BU$205:$CB$206</definedName>
    <definedName name="TS_FL_UT_PER9">[9]CRITERIA!$CD$205:$CK$206</definedName>
    <definedName name="UNDERGROUND_STORAGE">'Und Stor'!$D$11:$G$24</definedName>
    <definedName name="UNDERGROUND_STORAGE_RANGE">'Und Stor'!$D$11:$E$24</definedName>
    <definedName name="UT" localSheetId="23">#REF!</definedName>
    <definedName name="UT" localSheetId="2">#REF!</definedName>
    <definedName name="UT">#REF!</definedName>
    <definedName name="UT_CIS_PER1">[8]CRITERIA!$J$190:$Q$191</definedName>
    <definedName name="UT_CIS_PER10">[8]CRITERIA!$CM$190:$CT$191</definedName>
    <definedName name="UT_CIS_PER11">[8]CRITERIA!$CV$190:$DC$191</definedName>
    <definedName name="UT_CIS_PER12">[8]CRITERIA!$DE$190:$DL$191</definedName>
    <definedName name="UT_CIS_PER2">[8]CRITERIA!$S$190:$Z$191</definedName>
    <definedName name="UT_CIS_PER3">[8]CRITERIA!$AB$190:$AI$191</definedName>
    <definedName name="UT_CIS_PER4">[8]CRITERIA!$AK$190:$AR$191</definedName>
    <definedName name="UT_CIS_PER5">[8]CRITERIA!$AT$190:$BA$191</definedName>
    <definedName name="UT_CIS_PER6">[8]CRITERIA!$BC$190:$BJ$191</definedName>
    <definedName name="UT_CIS_PER7">[8]CRITERIA!$BL$190:$BS$191</definedName>
    <definedName name="UT_CIS_PER8">[8]CRITERIA!$BU$190:$CB$191</definedName>
    <definedName name="UT_CIS_PER9">[8]CRITERIA!$CD$190:$CK$191</definedName>
    <definedName name="UT_E1" localSheetId="23">#REF!</definedName>
    <definedName name="UT_E1" localSheetId="2">#REF!</definedName>
    <definedName name="UT_E1">#REF!</definedName>
    <definedName name="UT_F1" localSheetId="23">#REF!</definedName>
    <definedName name="UT_F1" localSheetId="2">#REF!</definedName>
    <definedName name="UT_F1">#REF!</definedName>
    <definedName name="UT_F1_SUMMER">[5]Criteria!$E$10:$G$17</definedName>
    <definedName name="UT_F1_WINTER">[5]Criteria!$E$2:$G$7</definedName>
    <definedName name="UT_F1E" localSheetId="2">#REF!</definedName>
    <definedName name="UT_F1E">#REF!</definedName>
    <definedName name="UT_F1E_SUMMER">[5]Criteria!$E$28:$G$35</definedName>
    <definedName name="UT_F1E_WINTER">[5]Criteria!$E$20:$G$25</definedName>
    <definedName name="UT_F3" localSheetId="23">#REF!</definedName>
    <definedName name="UT_F3" localSheetId="2">#REF!</definedName>
    <definedName name="UT_F3">#REF!</definedName>
    <definedName name="UT_F4" localSheetId="23">#REF!</definedName>
    <definedName name="UT_F4" localSheetId="2">#REF!</definedName>
    <definedName name="UT_F4">#REF!</definedName>
    <definedName name="UT_FT1" localSheetId="23">#REF!</definedName>
    <definedName name="UT_FT1" localSheetId="2">#REF!</definedName>
    <definedName name="UT_FT1">#REF!</definedName>
    <definedName name="UT_FT1L" localSheetId="23">#REF!</definedName>
    <definedName name="UT_FT1L" localSheetId="2">#REF!</definedName>
    <definedName name="UT_FT1L">#REF!</definedName>
    <definedName name="UT_FT2" localSheetId="23">#REF!</definedName>
    <definedName name="UT_FT2" localSheetId="2">#REF!</definedName>
    <definedName name="UT_FT2">#REF!</definedName>
    <definedName name="UT_FT2C" localSheetId="23">#REF!</definedName>
    <definedName name="UT_FT2C" localSheetId="2">#REF!</definedName>
    <definedName name="UT_FT2C">#REF!</definedName>
    <definedName name="UT_FTE" localSheetId="2">#REF!</definedName>
    <definedName name="UT_FTE">#REF!</definedName>
    <definedName name="UT_GS_SUMMER">[5]Criteria!$A$10:$C$17</definedName>
    <definedName name="UT_GS_WINTER">[5]Criteria!$A$2:$C$7</definedName>
    <definedName name="UT_GS_WINTER_BLK1" localSheetId="23">#REF!</definedName>
    <definedName name="UT_GS_WINTER_BLK1" localSheetId="2">#REF!</definedName>
    <definedName name="UT_GS_WINTER_BLK1">#REF!</definedName>
    <definedName name="UT_GSC" localSheetId="23">#REF!</definedName>
    <definedName name="UT_GSC" localSheetId="2">#REF!</definedName>
    <definedName name="UT_GSC">#REF!</definedName>
    <definedName name="UT_GSC_SUMMER">[13]Criteria!$E$38:$G$45</definedName>
    <definedName name="UT_GSC_WINTER">[13]Criteria!$A$38:$C$43</definedName>
    <definedName name="UT_GSR" localSheetId="23">#REF!</definedName>
    <definedName name="UT_GSR" localSheetId="2">#REF!</definedName>
    <definedName name="UT_GSR">#REF!</definedName>
    <definedName name="UT_GSR_SUMMER">[13]Criteria!$A$10:$C$17</definedName>
    <definedName name="UT_GSR_WINTER">[13]Criteria!$A$2:$C$7</definedName>
    <definedName name="UT_GSS" localSheetId="23">#REF!</definedName>
    <definedName name="UT_GSS" localSheetId="2">#REF!</definedName>
    <definedName name="UT_GSS">#REF!</definedName>
    <definedName name="UT_GSS_SUMMER">[5]Criteria!$A$28:$C$35</definedName>
    <definedName name="UT_GSS_SUMMER_BLK1" localSheetId="23">#REF!</definedName>
    <definedName name="UT_GSS_SUMMER_BLK1" localSheetId="2">#REF!</definedName>
    <definedName name="UT_GSS_SUMMER_BLK1">#REF!</definedName>
    <definedName name="UT_GSS_WINTER">[5]Criteria!$A$20:$C$25</definedName>
    <definedName name="UT_GSS_WINTER_BLK1" localSheetId="23">#REF!</definedName>
    <definedName name="UT_GSS_WINTER_BLK1" localSheetId="2">#REF!</definedName>
    <definedName name="UT_GSS_WINTER_BLK1">#REF!</definedName>
    <definedName name="UT_I2">[5]Criteria!$L$2:$M$3</definedName>
    <definedName name="UT_I2I4" localSheetId="23">#REF!</definedName>
    <definedName name="UT_I2I4" localSheetId="2">#REF!</definedName>
    <definedName name="UT_I2I4">#REF!</definedName>
    <definedName name="UT_I4">[5]Criteria!$L$6:$M$7</definedName>
    <definedName name="UT_IS2">[5]Criteria!$L$10:$M$11</definedName>
    <definedName name="UT_IS2IS4" localSheetId="23">#REF!</definedName>
    <definedName name="UT_IS2IS4" localSheetId="2">#REF!</definedName>
    <definedName name="UT_IS2IS4">#REF!</definedName>
    <definedName name="UT_IS4">[5]Criteria!$L$14:$M$15</definedName>
    <definedName name="UT_IT" localSheetId="23">#REF!</definedName>
    <definedName name="UT_IT" localSheetId="2">#REF!</definedName>
    <definedName name="UT_IT">#REF!</definedName>
    <definedName name="UT_IT2">[5]Criteria!$L$22:$M$23</definedName>
    <definedName name="UT_ITS" localSheetId="23">#REF!</definedName>
    <definedName name="UT_ITS" localSheetId="2">#REF!</definedName>
    <definedName name="UT_ITS">#REF!</definedName>
    <definedName name="UT_MT" localSheetId="23">#REF!</definedName>
    <definedName name="UT_MT" localSheetId="2">#REF!</definedName>
    <definedName name="UT_MT">#REF!</definedName>
    <definedName name="UT_NGV" localSheetId="23">#REF!</definedName>
    <definedName name="UT_NGV" localSheetId="2">#REF!</definedName>
    <definedName name="UT_NGV">#REF!</definedName>
    <definedName name="UT_T1" localSheetId="2">#REF!</definedName>
    <definedName name="UT_T1">#REF!</definedName>
    <definedName name="UT_TSP" localSheetId="2">#REF!</definedName>
    <definedName name="UT_TSP">#REF!</definedName>
    <definedName name="Utah_Rates" localSheetId="23">'[12]NGV RATES'!$B$3:$U$6</definedName>
    <definedName name="Utah_Rates">'[4]NGV RATES'!$B$3:$U$6</definedName>
    <definedName name="UTAHSUMMARY">Summaries!$F$1:$P$75</definedName>
    <definedName name="UTCUSTOMERS">[6]CRITERIA!$B$447:$D$448</definedName>
    <definedName name="UTE1CUSTOMERS">[6]CRITERIA!$B$354:$D$355</definedName>
    <definedName name="UTE1DNG">[7]CRITERIA!$B$285:$D$286</definedName>
    <definedName name="UTE1DTH">[7]CRITERIA!$B$282:$D$283</definedName>
    <definedName name="UTE1GAS">[7]CRITERIA!$B$291:$D$292</definedName>
    <definedName name="UTE1SNG">[7]CRITERIA!$B$288:$D$289</definedName>
    <definedName name="UTF1CUSTOMERS">[6]CRITERIA!$B$61:$D$65</definedName>
    <definedName name="UTF1DNG">[7]CRITERIA!$B$71:$D$72</definedName>
    <definedName name="UTF1DTH">[7]CRITERIA!$B$68:$D$69</definedName>
    <definedName name="UTF1EDNG">[7]CRITERIA!$B$178:$D$179</definedName>
    <definedName name="UTF1EDTH">[7]CRITERIA!$B$175:$D$176</definedName>
    <definedName name="UTF1EGAS">[7]CRITERIA!$B$184:$D$185</definedName>
    <definedName name="UTF1ESNG">[7]CRITERIA!$B$181:$D$182</definedName>
    <definedName name="UTF1GAS">[7]CRITERIA!$B$77:$D$78</definedName>
    <definedName name="UTF1SNG">[7]CRITERIA!$B$74:$D$75</definedName>
    <definedName name="UTF3CUSTOMERS">[6]CRITERIA!$B$106:$D$107</definedName>
    <definedName name="UTF3DNG">[7]CRITERIA!$B$105:$D$106</definedName>
    <definedName name="UTF3DTH">[7]CRITERIA!$B$102:$D$103</definedName>
    <definedName name="UTF3GAS">[7]CRITERIA!$B$111:$D$112</definedName>
    <definedName name="UTF3SNG">[7]CRITERIA!$B$108:$D$109</definedName>
    <definedName name="UTF4CUSTOMERS">[6]CRITERIA!$B$122:$D$123</definedName>
    <definedName name="UTF4DNG">[6]CRITERIA!$B$125:$D$126</definedName>
    <definedName name="UTF4DTH">[6]CRITERIA!$B$119:$D$120</definedName>
    <definedName name="UTF4GAS">[6]CRITERIA!$B$131:$D$132</definedName>
    <definedName name="UTF4SNG">[6]CRITERIA!$B$128:$D$129</definedName>
    <definedName name="UTFT1CUSTOMERS">[6]CRITERIA!$B$254:$D$256</definedName>
    <definedName name="UTFT1DNG">[7]CRITERIA!$B$230:$D$232</definedName>
    <definedName name="UTFT1DTH">[7]CRITERIA!$B$226:$D$228</definedName>
    <definedName name="UTFT1GAS">[7]CRITERIA!$B$238:$D$240</definedName>
    <definedName name="UTFT1LDNG">[6]CRITERIA!$B$277:$D$278</definedName>
    <definedName name="UTFT1LDTH">[6]CRITERIA!$B$271:$D$272</definedName>
    <definedName name="UTFT1LGAS">[6]CRITERIA!$B$283:$D$284</definedName>
    <definedName name="UTFT1LSNG">[6]CRITERIA!$B$280:$D$281</definedName>
    <definedName name="UTFT1SNG">[7]CRITERIA!$B$234:$D$236</definedName>
    <definedName name="UTFT2CCUSTOMERS">[6]CRITERIA!$B$306:$D$307</definedName>
    <definedName name="UTFT2CDNG">[6]CRITERIA!$B$309:$D$310</definedName>
    <definedName name="UTFT2CDTH">[6]CRITERIA!$B$303:$D$304</definedName>
    <definedName name="UTFT2CGAS">[6]CRITERIA!$B$315:$D$316</definedName>
    <definedName name="UTFT2CSNG">[6]CRITERIA!$B$312:$D$313</definedName>
    <definedName name="UTFT2CUSTOMERS">[6]CRITERIA!$B$290:$D$291</definedName>
    <definedName name="UTFT2DNG">[7]CRITERIA!$B$246:$D$247</definedName>
    <definedName name="UTFT2DTH">[7]CRITERIA!$B$243:$D$244</definedName>
    <definedName name="UTFT2GAS">[7]CRITERIA!$B$252:$D$253</definedName>
    <definedName name="UTFT2SNG">[7]CRITERIA!$B$249:$D$250</definedName>
    <definedName name="UTFTECUSTOMERS">[6]CRITERIA!$B$322:$D$323</definedName>
    <definedName name="UTFTEDNG">[7]CRITERIA!$B$259:$D$260</definedName>
    <definedName name="UTFTEDTH">[7]CRITERIA!$B$256:$D$257</definedName>
    <definedName name="UTFTEGAS">[7]CRITERIA!$B$265:$D$266</definedName>
    <definedName name="UTFTESNG">[7]CRITERIA!$B$262:$D$263</definedName>
    <definedName name="UTGSCDNG">[6]CRITERIA!$B$29:$D$30</definedName>
    <definedName name="UTGSCDTH">[6]CRITERIA!$B$23:$D$24</definedName>
    <definedName name="UTGSCGAS">[6]CRITERIA!$B$35:$D$36</definedName>
    <definedName name="UTGSCSNG">[6]CRITERIA!$B$32:$D$33</definedName>
    <definedName name="UTGSCST">[7]CRITERIA!$B$10:$D$11</definedName>
    <definedName name="UTGSCUSTOMERS">[6]CRITERIA!$B$10:$D$11</definedName>
    <definedName name="UTGSDNG">[7]CRITERIA!$B$13:$D$14</definedName>
    <definedName name="UTGSDTH">[7]CRITERIA!$B$7:$D$8</definedName>
    <definedName name="UTGSECST">[7]CRITERIA!$B$31:$D$32</definedName>
    <definedName name="UTGSEDNG">[7]CRITERIA!$B$34:$D$35</definedName>
    <definedName name="UTGSEDTH">[7]CRITERIA!$B$28:$D$29</definedName>
    <definedName name="UTGSEGAS">[7]CRITERIA!$B$40:$D$41</definedName>
    <definedName name="UTGSESIF">[7]CRITERIA!$B$43:$D$44</definedName>
    <definedName name="UTGSESNG">[7]CRITERIA!$B$37:$D$38</definedName>
    <definedName name="UTGSGAS">[7]CRITERIA!$B$19:$D$20</definedName>
    <definedName name="UTGSRDNG">[6]CRITERIA!$F$13:$H$14</definedName>
    <definedName name="UTGSRDTH">[6]CRITERIA!$F$7:$H$8</definedName>
    <definedName name="UTGSRGAS">[6]CRITERIA!$F$19:$H$20</definedName>
    <definedName name="UTGSRSNG">[6]CRITERIA!$F$16:$H$17</definedName>
    <definedName name="UTGSSCST">[7]CRITERIA!$B$51:$D$52</definedName>
    <definedName name="UTGSSCUSTOMERS">[6]CRITERIA!$B$42:$D$43</definedName>
    <definedName name="UTGSSDNG">[7]CRITERIA!$B$54:$D$55</definedName>
    <definedName name="UTGSSDTH">[7]CRITERIA!$B$48:$D$49</definedName>
    <definedName name="UTGSSGAS">[7]CRITERIA!$B$60:$D$61</definedName>
    <definedName name="UTGSSIF">[7]CRITERIA!$B$23:$D$24</definedName>
    <definedName name="UTGSSNG">[7]CRITERIA!$B$16:$D$17</definedName>
    <definedName name="UTGSSSIF">[7]CRITERIA!$B$63:$D$64</definedName>
    <definedName name="UTGSSSNG">[7]CRITERIA!$B$57:$D$58</definedName>
    <definedName name="UTGSSSUMMER" localSheetId="23">#REF!</definedName>
    <definedName name="UTGSSSUMMER" localSheetId="2">#REF!</definedName>
    <definedName name="UTGSSSUMMER">#REF!</definedName>
    <definedName name="UTGSSUMMER" localSheetId="23">#REF!</definedName>
    <definedName name="UTGSSUMMER" localSheetId="2">#REF!</definedName>
    <definedName name="UTGSSUMMER">#REF!</definedName>
    <definedName name="UTGSSWINTER" localSheetId="23">#REF!</definedName>
    <definedName name="UTGSSWINTER" localSheetId="2">#REF!</definedName>
    <definedName name="UTGSSWINTER">#REF!</definedName>
    <definedName name="UTGSWINTER" localSheetId="23">#REF!</definedName>
    <definedName name="UTGSWINTER" localSheetId="2">#REF!</definedName>
    <definedName name="UTGSWINTER">#REF!</definedName>
    <definedName name="UTI2CUSTOMERS">[6]CRITERIA!$B$139:$D$140</definedName>
    <definedName name="UTI2DNG">[7]CRITERIA!$B$132:$D$134</definedName>
    <definedName name="UTI2DTH">[7]CRITERIA!$B$128:$D$130</definedName>
    <definedName name="UTI2GAS">[7]CRITERIA!$B$140:$D$142</definedName>
    <definedName name="UTI2SNG">[7]CRITERIA!$B$136:$D$138</definedName>
    <definedName name="UTI4CUSTOMERS">[6]CRITERIA!$B$420:$D$423</definedName>
    <definedName name="UTI4DNG">[7]CRITERIA!$B$342:$D$343</definedName>
    <definedName name="UTI4DTH">[7]CRITERIA!$B$339:$D$340</definedName>
    <definedName name="UTI4GAS">[7]CRITERIA!$B$348:$D$349</definedName>
    <definedName name="UTI4SNG">[7]CRITERIA!$B$345:$D$346</definedName>
    <definedName name="UTIS2CUSTOMERS">[6]CRITERIA!$B$159:$D$161</definedName>
    <definedName name="UTIS2DNG">[7]CRITERIA!$B$149:$D$151</definedName>
    <definedName name="UTIS2DTH">[7]CRITERIA!$B$145:$D$147</definedName>
    <definedName name="UTIS2GAS">[7]CRITERIA!$B$157:$D$159</definedName>
    <definedName name="UTIS2SNG">[7]CRITERIA!$B$153:$D$155</definedName>
    <definedName name="UTIS4CUSTOMERS">[6]CRITERIA!$B$179:$D$180</definedName>
    <definedName name="UTIS4DNG">[7]CRITERIA!$B$165:$D$166</definedName>
    <definedName name="UTIS4DTH">[7]CRITERIA!$B$162:$D$163</definedName>
    <definedName name="UTIS4GAS">[7]CRITERIA!$B$171:$D$172</definedName>
    <definedName name="UTIS4SNG">[7]CRITERIA!$B$168:$D$169</definedName>
    <definedName name="UTITCUSTOMERS">[6]CRITERIA!$B$213:$D$216</definedName>
    <definedName name="UTITDNG">[7]CRITERIA!$B$196:$D$198</definedName>
    <definedName name="UTITDTH">[7]CRITERIA!$B$192:$D$194</definedName>
    <definedName name="UTITGAS">[7]CRITERIA!$B$204:$D$206</definedName>
    <definedName name="UTITSCUSTOMERS">[6]CRITERIA!$B$237:$D$238</definedName>
    <definedName name="UTITSDNG">[7]CRITERIA!$B$213:$D$215</definedName>
    <definedName name="UTITSDTH">[7]CRITERIA!$B$209:$D$211</definedName>
    <definedName name="UTITSGAS">[7]CRITERIA!$B$221:$D$223</definedName>
    <definedName name="UTITSNG">[7]CRITERIA!$B$200:$D$202</definedName>
    <definedName name="UTITSSNG">[7]CRITERIA!$B$217:$D$219</definedName>
    <definedName name="UTMTCUSTOMERS">[6]CRITERIA!$B$338:$D$339</definedName>
    <definedName name="UTMTDNG">[7]CRITERIA!$B$272:$D$273</definedName>
    <definedName name="UTMTDTH">[7]CRITERIA!$B$269:$D$270</definedName>
    <definedName name="UTMTGAS">[7]CRITERIA!$B$278:$D$279</definedName>
    <definedName name="UTMTSNG">[7]CRITERIA!$B$275:$D$276</definedName>
    <definedName name="UTNGVCUSTOMERS">[6]CRITERIA!$B$90:$D$91</definedName>
    <definedName name="UTNGVDNG">[7]CRITERIA!$B$88:$D$89</definedName>
    <definedName name="UTNGVDTH">[7]CRITERIA!$B$85:$D$86</definedName>
    <definedName name="UTNGVGAS">[7]CRITERIA!$B$94:$D$95</definedName>
    <definedName name="UTNGVSNG">[7]CRITERIA!$B$91:$D$92</definedName>
    <definedName name="UTP1CUSTOMERS">[6]CRITERIA!$B$370:$D$371</definedName>
    <definedName name="UTP1DNG">[7]CRITERIA!$B$303:$D$304</definedName>
    <definedName name="UTP1DTH">[7]CRITERIA!$B$300:$D$301</definedName>
    <definedName name="UTP1GAS">[7]CRITERIA!$B$309:$D$310</definedName>
    <definedName name="UTP1SNG">[7]CRITERIA!$B$306:$D$307</definedName>
    <definedName name="WCCFormula">'ROR-Model'!$I$1263</definedName>
    <definedName name="WCCNumber" localSheetId="2">'[1]ROR-Model'!#REF!</definedName>
    <definedName name="WCCNumber">'ROR-Model'!#REF!</definedName>
    <definedName name="WEX_ADJ_101_PROD">Wexpro!$H$12</definedName>
    <definedName name="WEX_ADJ_108_PROD" localSheetId="23">Wexpro!$H$22</definedName>
    <definedName name="WEX_ADJ_108_PROD" localSheetId="2">[1]Wexpro!$H$22</definedName>
    <definedName name="WEX_ADJ_108_PROD">Wexpro!$H$22</definedName>
    <definedName name="WEX_ADJ_111_PROD" localSheetId="23">Wexpro!$H$23</definedName>
    <definedName name="WEX_ADJ_111_PROD" localSheetId="2">[1]Wexpro!$H$23</definedName>
    <definedName name="WEX_ADJ_111_PROD">Wexpro!$H$23</definedName>
    <definedName name="Winter" localSheetId="23">#REF!</definedName>
    <definedName name="Winter" localSheetId="2">#REF!</definedName>
    <definedName name="Winter">#REF!</definedName>
    <definedName name="WINTER_UT_F1" localSheetId="23">#REF!</definedName>
    <definedName name="WINTER_UT_F1" localSheetId="2">#REF!</definedName>
    <definedName name="WINTER_UT_F1">#REF!</definedName>
    <definedName name="WINTER_UT_GSC" localSheetId="23">#REF!</definedName>
    <definedName name="WINTER_UT_GSC" localSheetId="2">#REF!</definedName>
    <definedName name="WINTER_UT_GSC">#REF!</definedName>
    <definedName name="Winter_UT_GSR" localSheetId="23">#REF!</definedName>
    <definedName name="Winter_UT_GSR" localSheetId="2">#REF!</definedName>
    <definedName name="Winter_UT_GSR">#REF!</definedName>
    <definedName name="Winter_UT_GSS" localSheetId="23">#REF!</definedName>
    <definedName name="Winter_UT_GSS" localSheetId="2">#REF!</definedName>
    <definedName name="Winter_UT_GSS">#REF!</definedName>
    <definedName name="WY_CET_PER1">[8]CRITERIA!$J$184:$Q$185</definedName>
    <definedName name="WY_CET_PER10">[8]CRITERIA!$CM$184:$CT$185</definedName>
    <definedName name="WY_CET_PER11">[8]CRITERIA!$CV$184:$DC$185</definedName>
    <definedName name="WY_CET_PER12">[8]CRITERIA!$DE$184:$DL$185</definedName>
    <definedName name="WY_CET_PER2">[8]CRITERIA!$S$184:$Z$185</definedName>
    <definedName name="WY_CET_PER3">[8]CRITERIA!$AB$184:$AI$185</definedName>
    <definedName name="WY_CET_PER4">[8]CRITERIA!$AK$184:$AR$185</definedName>
    <definedName name="WY_CET_PER5">[8]CRITERIA!$AT$184:$BA$185</definedName>
    <definedName name="WY_CET_PER6">[8]CRITERIA!$BC$184:$BJ$185</definedName>
    <definedName name="WY_CET_PER7">[8]CRITERIA!$BL$184:$BS$185</definedName>
    <definedName name="WY_CET_PER8">[8]CRITERIA!$BU$184:$CB$185</definedName>
    <definedName name="WY_CET_PER9">[8]CRITERIA!$CD$184:$CK$185</definedName>
    <definedName name="WY_CIS_PER1">[9]CRITERIA!$J$211:$Q$212</definedName>
    <definedName name="WY_CIS_PER10">[9]CRITERIA!$CM$211:$CT$212</definedName>
    <definedName name="WY_CIS_PER11">[9]CRITERIA!$CV$211:$DC$212</definedName>
    <definedName name="WY_CIS_PER12">[9]CRITERIA!$DE$211:$DL$212</definedName>
    <definedName name="WY_CIS_PER2">[9]CRITERIA!$S$211:$Z$212</definedName>
    <definedName name="WY_CIS_PER3">[9]CRITERIA!$AB$211:$AI$212</definedName>
    <definedName name="WY_CIS_PER4">[9]CRITERIA!$AK$211:$AR$212</definedName>
    <definedName name="WY_CIS_PER5">[9]CRITERIA!$AT$211:$BA$212</definedName>
    <definedName name="WY_CIS_PER6">[9]CRITERIA!$BC$211:$BJ$212</definedName>
    <definedName name="WY_CIS_PER7">[9]CRITERIA!$BL$211:$BS$212</definedName>
    <definedName name="WY_CIS_PER8">[9]CRITERIA!$BU$211:$CB$212</definedName>
    <definedName name="WY_CIS_PER9">[9]CRITERIA!$CD$211:$CK$212</definedName>
    <definedName name="WY_DSM_PER1">[8]CRITERIA!$J$187:$Q$188</definedName>
    <definedName name="WY_DSM_PER10">[8]CRITERIA!$CM$187:$CT$188</definedName>
    <definedName name="WY_DSM_PER11">[8]CRITERIA!$CV$187:$DC$188</definedName>
    <definedName name="WY_DSM_PER12">[8]CRITERIA!$DE$187:$DL$188</definedName>
    <definedName name="WY_DSM_PER2">[8]CRITERIA!$S$187:$Z$188</definedName>
    <definedName name="WY_DSM_PER3">[8]CRITERIA!$AB$187:$AI$188</definedName>
    <definedName name="WY_DSM_PER4">[8]CRITERIA!$AK$187:$AR$188</definedName>
    <definedName name="WY_DSM_PER5">[8]CRITERIA!$AT$187:$BA$188</definedName>
    <definedName name="WY_DSM_PER6">[8]CRITERIA!$BC$187:$BJ$188</definedName>
    <definedName name="WY_DSM_PER7">[8]CRITERIA!$BL$187:$BS$188</definedName>
    <definedName name="WY_DSM_PER8">[8]CRITERIA!$BU$187:$CB$188</definedName>
    <definedName name="WY_DSM_PER9">[8]CRITERIA!$CD$187:$CK$188</definedName>
    <definedName name="WY_F1">[5]Criteria!$O$10:$P$11</definedName>
    <definedName name="WY_GS">[5]Criteria!$O$2:$P$3</definedName>
    <definedName name="WY_GSW">[5]Criteria!$O$14:$P$15</definedName>
    <definedName name="WY_I2">[5]Criteria!$Q$2:$R$3</definedName>
    <definedName name="WY_I4">[5]Criteria!$Q$6:$R$7</definedName>
    <definedName name="WY_IC">[5]Criteria!$Q$10:$R$11</definedName>
    <definedName name="WY_IC1">[5]Criteria!$Q$14:$R$15</definedName>
    <definedName name="WY_IC2">[5]Criteria!$Q$18:$R$19</definedName>
    <definedName name="WY_IC3">[5]Criteria!$Q$14:$R$15</definedName>
    <definedName name="WY_IC8">[5]Criteria!$Q$18:$R$19</definedName>
    <definedName name="WY_IT">[5]Criteria!$Q$22:$R$23</definedName>
    <definedName name="WY_NGV">[5]Criteria!$O$6:$P$7</definedName>
    <definedName name="WYCUSTOMERS">[6]CRITERIA!$B$677:$D$678</definedName>
    <definedName name="WYF1CUSTOMERS">[6]CRITERIA!$B$515:$D$519</definedName>
    <definedName name="WYF1DNG">[7]CRITERIA!$B$413:$D$414</definedName>
    <definedName name="WYF1DTH">[7]CRITERIA!$B$410:$D$411</definedName>
    <definedName name="WYF1GAS">[7]CRITERIA!$B$416:$D$417</definedName>
    <definedName name="WYGSCUSTOMERS">[6]CRITERIA!$B$499:$D$500</definedName>
    <definedName name="WYGSDNG">[7]CRITERIA!$B$400:$D$401</definedName>
    <definedName name="WYGSDTH">[7]CRITERIA!$B$397:$D$398</definedName>
    <definedName name="WYGSGAS">[7]CRITERIA!$B$403:$D$404</definedName>
    <definedName name="WYGSSIF">[7]CRITERIA!$B$406:$D$407</definedName>
    <definedName name="WYGSWCUSTOMERS">[6]CRITERIA!$B$550:$D$551</definedName>
    <definedName name="WYGSWDNG">[7]CRITERIA!$B$433:$D$434</definedName>
    <definedName name="WYGSWDTH">[7]CRITERIA!$B$430:$D$431</definedName>
    <definedName name="WYGSWGAS">[7]CRITERIA!$B$436:$D$437</definedName>
    <definedName name="WYI2CUSTOMERS">[6]CRITERIA!$B$589:$D$590</definedName>
    <definedName name="WYI2DNG">[7]CRITERIA!$B$463:$D$464</definedName>
    <definedName name="WYI2DTH">[7]CRITERIA!$B$460:$D$461</definedName>
    <definedName name="WYI2GAS">[7]CRITERIA!$B$469:$D$470</definedName>
    <definedName name="WYI2SNG">[7]CRITERIA!$B$466:$D$467</definedName>
    <definedName name="WYI4CUSTOMERS">[6]CRITERIA!$B$606:$D$608</definedName>
    <definedName name="WYI4DNG">[7]CRITERIA!$B$476:$D$477</definedName>
    <definedName name="WYI4DTH">[7]CRITERIA!$B$473:$D$474</definedName>
    <definedName name="WYI4GAS">[7]CRITERIA!$B$482:$D$483</definedName>
    <definedName name="WYI4SNG">[7]CRITERIA!$B$479:$D$480</definedName>
    <definedName name="WYICCUSTOMERS">[6]CRITERIA!$B$647:$D$652</definedName>
    <definedName name="WYICDNG">[7]CRITERIA!$B$506:$D$511</definedName>
    <definedName name="WYICDTH">[7]CRITERIA!$B$499:$D$504</definedName>
    <definedName name="WYICGAS">[7]CRITERIA!$B$513:$D$520</definedName>
    <definedName name="WYICSDNG">[7]CRITERIA!$B$453:$D$454</definedName>
    <definedName name="WYICSDTH">[7]CRITERIA!$B$450:$D$451</definedName>
    <definedName name="WYICSGAS">[7]CRITERIA!$B$456:$D$457</definedName>
    <definedName name="WYITCUSTOMERS">[6]CRITERIA!$B$627:$D$629</definedName>
    <definedName name="WYITDNG">[7]CRITERIA!$B$490:$D$492</definedName>
    <definedName name="WYITDTH">[7]CRITERIA!$B$486:$D$488</definedName>
    <definedName name="WYITGAS">[7]CRITERIA!$B$494:$D$496</definedName>
    <definedName name="Wym_Rates" localSheetId="23">'[12]NGV RATES'!$B$11:$U$13</definedName>
    <definedName name="Wym_Rates">'[4]NGV RATES'!$B$11:$U$13</definedName>
    <definedName name="WYNGVCUSTOMERS">[6]CRITERIA!$B$537:$D$538</definedName>
    <definedName name="WYNGVDNG">[7]CRITERIA!$B$423:$D$424</definedName>
    <definedName name="WYNGVDTH">[7]CRITERIA!$B$420:$D$421</definedName>
    <definedName name="WYNGVGAS">[7]CRITERIA!$B$426:$D$427</definedName>
    <definedName name="Wyo_Bad_Debt_Position" localSheetId="2">#REF!</definedName>
    <definedName name="Wyo_Bad_Debt_Position">#REF!</definedName>
    <definedName name="X" localSheetId="23">#REF!</definedName>
    <definedName name="X">[4]CRITERIA!$J$3:$Q$4</definedName>
    <definedName name="YEDEPRADJUSTMENT" localSheetId="2">#REF!</definedName>
    <definedName name="YEDEPRADJUSTMENT">#REF!</definedName>
  </definedNames>
  <calcPr calcId="191029"/>
  <pivotCaches>
    <pivotCache cacheId="0" r:id="rId69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1104" i="6" l="1"/>
  <c r="U1104" i="6"/>
  <c r="T1104" i="6"/>
  <c r="R1104" i="6"/>
  <c r="Q1104" i="6"/>
  <c r="N1104" i="6"/>
  <c r="M1104" i="6"/>
  <c r="U968" i="6"/>
  <c r="R968" i="6"/>
  <c r="I143" i="4"/>
  <c r="J143" i="4"/>
  <c r="K143" i="4"/>
  <c r="L143" i="4"/>
  <c r="M143" i="4"/>
  <c r="N143" i="4"/>
  <c r="O143" i="4"/>
  <c r="P143" i="4"/>
  <c r="Q143" i="4"/>
  <c r="R143" i="4"/>
  <c r="T143" i="4"/>
  <c r="H143" i="4"/>
  <c r="Y17" i="4"/>
  <c r="AB17" i="4"/>
  <c r="T17" i="4" l="1"/>
  <c r="F968" i="6" s="1"/>
  <c r="S17" i="4"/>
  <c r="S143" i="4" s="1"/>
  <c r="R17" i="4"/>
  <c r="Q17" i="4"/>
  <c r="P17" i="4"/>
  <c r="O17" i="4"/>
  <c r="N17" i="4"/>
  <c r="M17" i="4"/>
  <c r="L17" i="4"/>
  <c r="K17" i="4"/>
  <c r="J17" i="4"/>
  <c r="I17" i="4"/>
  <c r="H17" i="4"/>
  <c r="V17" i="4" l="1"/>
  <c r="Z17" i="4" s="1"/>
  <c r="X14" i="654"/>
  <c r="X13" i="654"/>
  <c r="F22" i="653"/>
  <c r="F21" i="653"/>
  <c r="F20" i="653"/>
  <c r="V18" i="4" l="1"/>
  <c r="AA17" i="4"/>
  <c r="F19" i="653"/>
  <c r="Y14" i="654"/>
  <c r="Y15" i="654"/>
  <c r="Y16" i="654"/>
  <c r="Y19" i="654"/>
  <c r="Y20" i="654"/>
  <c r="Y21" i="654"/>
  <c r="Y22" i="654"/>
  <c r="Y23" i="654"/>
  <c r="Y25" i="654"/>
  <c r="Y26" i="654"/>
  <c r="Y33" i="654"/>
  <c r="Y34" i="654"/>
  <c r="Y39" i="654"/>
  <c r="Y40" i="654"/>
  <c r="Y42" i="654"/>
  <c r="Y43" i="654"/>
  <c r="Y45" i="654"/>
  <c r="Y46" i="654"/>
  <c r="Y47" i="654"/>
  <c r="Y48" i="654"/>
  <c r="Y49" i="654"/>
  <c r="Y57" i="654"/>
  <c r="Y58" i="654"/>
  <c r="Y72" i="654"/>
  <c r="Y73" i="654"/>
  <c r="Y75" i="654"/>
  <c r="Y76" i="654"/>
  <c r="Y78" i="654"/>
  <c r="U367" i="641" l="1"/>
  <c r="V367" i="641" s="1"/>
  <c r="W367" i="641" s="1"/>
  <c r="L40" i="548" l="1"/>
  <c r="L39" i="548" l="1"/>
  <c r="L38" i="548" l="1"/>
  <c r="L37" i="548" l="1"/>
  <c r="L36" i="548" l="1"/>
  <c r="L35" i="548" l="1"/>
  <c r="L34" i="548" l="1"/>
  <c r="L33" i="548"/>
  <c r="L32" i="548"/>
  <c r="L31" i="548"/>
  <c r="L30" i="548"/>
  <c r="L29" i="548"/>
  <c r="H134" i="14"/>
  <c r="H132" i="14"/>
  <c r="H131" i="14"/>
  <c r="H130" i="14"/>
  <c r="H112" i="14"/>
  <c r="H111" i="14"/>
  <c r="H110" i="14"/>
  <c r="H102" i="14"/>
  <c r="H101" i="14"/>
  <c r="H100" i="14"/>
  <c r="H87" i="14"/>
  <c r="H86" i="14"/>
  <c r="H85" i="14"/>
  <c r="H82" i="14"/>
  <c r="H81" i="14"/>
  <c r="H80" i="14"/>
  <c r="H77" i="14"/>
  <c r="H76" i="14"/>
  <c r="H75" i="14"/>
  <c r="H72" i="14"/>
  <c r="H71" i="14"/>
  <c r="H70" i="14"/>
  <c r="H67" i="14"/>
  <c r="H66" i="14"/>
  <c r="H65" i="14"/>
  <c r="H62" i="14"/>
  <c r="H61" i="14"/>
  <c r="H60" i="14"/>
  <c r="H57" i="14"/>
  <c r="H56" i="14"/>
  <c r="H55" i="14"/>
  <c r="H52" i="14"/>
  <c r="H51" i="14"/>
  <c r="H50" i="14"/>
  <c r="H47" i="14"/>
  <c r="H46" i="14"/>
  <c r="H45" i="14"/>
  <c r="H42" i="14"/>
  <c r="H41" i="14"/>
  <c r="H40" i="14"/>
  <c r="H37" i="14"/>
  <c r="H36" i="14"/>
  <c r="H35" i="14"/>
  <c r="H32" i="14"/>
  <c r="H31" i="14"/>
  <c r="H30" i="14"/>
  <c r="R16" i="42"/>
  <c r="T260" i="4" l="1"/>
  <c r="T256" i="4"/>
  <c r="T255" i="4"/>
  <c r="T254" i="4"/>
  <c r="T253" i="4"/>
  <c r="T249" i="4"/>
  <c r="T248" i="4"/>
  <c r="T247" i="4"/>
  <c r="T246" i="4"/>
  <c r="T242" i="4"/>
  <c r="T241" i="4"/>
  <c r="T240" i="4"/>
  <c r="T239" i="4"/>
  <c r="T235" i="4"/>
  <c r="T231" i="4"/>
  <c r="T230" i="4"/>
  <c r="T226" i="4"/>
  <c r="T225" i="4"/>
  <c r="T221" i="4"/>
  <c r="T220" i="4"/>
  <c r="T219" i="4"/>
  <c r="T218" i="4"/>
  <c r="T214" i="4"/>
  <c r="T213" i="4"/>
  <c r="T212" i="4"/>
  <c r="T211" i="4"/>
  <c r="T207" i="4"/>
  <c r="T203" i="4"/>
  <c r="T199" i="4"/>
  <c r="T198" i="4"/>
  <c r="T181" i="4"/>
  <c r="T180" i="4"/>
  <c r="T179" i="4"/>
  <c r="T178" i="4"/>
  <c r="T174" i="4"/>
  <c r="T173" i="4"/>
  <c r="T172" i="4"/>
  <c r="T171" i="4"/>
  <c r="T167" i="4"/>
  <c r="T166" i="4"/>
  <c r="T165" i="4"/>
  <c r="T164" i="4"/>
  <c r="T160" i="4"/>
  <c r="T159" i="4"/>
  <c r="T158" i="4"/>
  <c r="T153" i="4"/>
  <c r="T140" i="4"/>
  <c r="T139" i="4"/>
  <c r="T138" i="4"/>
  <c r="T134" i="4"/>
  <c r="T133" i="4"/>
  <c r="T129" i="4"/>
  <c r="T128" i="4"/>
  <c r="T127" i="4"/>
  <c r="T123" i="4"/>
  <c r="T122" i="4"/>
  <c r="T121" i="4"/>
  <c r="T117" i="4"/>
  <c r="T116" i="4"/>
  <c r="T115" i="4"/>
  <c r="T111" i="4"/>
  <c r="T110" i="4"/>
  <c r="T106" i="4"/>
  <c r="T105" i="4"/>
  <c r="T104" i="4"/>
  <c r="T100" i="4"/>
  <c r="T99" i="4"/>
  <c r="T98" i="4"/>
  <c r="T94" i="4"/>
  <c r="T93" i="4"/>
  <c r="T92" i="4"/>
  <c r="T88" i="4"/>
  <c r="T87" i="4"/>
  <c r="T80" i="4"/>
  <c r="T79" i="4"/>
  <c r="T75" i="4"/>
  <c r="T74" i="4"/>
  <c r="T70" i="4"/>
  <c r="T69" i="4"/>
  <c r="T65" i="4"/>
  <c r="T64" i="4"/>
  <c r="T60" i="4"/>
  <c r="T59" i="4"/>
  <c r="T55" i="4"/>
  <c r="T54" i="4"/>
  <c r="T50" i="4"/>
  <c r="T46" i="4"/>
  <c r="T39" i="4"/>
  <c r="T38" i="4"/>
  <c r="T34" i="4"/>
  <c r="T33" i="4"/>
  <c r="T27" i="4"/>
  <c r="T26" i="4"/>
  <c r="T25" i="4"/>
  <c r="T24" i="4"/>
  <c r="T23" i="4"/>
  <c r="T22" i="4"/>
  <c r="T21" i="4"/>
  <c r="T16" i="4"/>
  <c r="T15" i="4"/>
  <c r="T9" i="4"/>
  <c r="S260" i="4"/>
  <c r="S256" i="4"/>
  <c r="S255" i="4"/>
  <c r="S254" i="4"/>
  <c r="S253" i="4"/>
  <c r="S249" i="4"/>
  <c r="S248" i="4"/>
  <c r="S247" i="4"/>
  <c r="S246" i="4"/>
  <c r="S242" i="4"/>
  <c r="S241" i="4"/>
  <c r="S240" i="4"/>
  <c r="S239" i="4"/>
  <c r="S235" i="4"/>
  <c r="S231" i="4"/>
  <c r="S230" i="4"/>
  <c r="S226" i="4"/>
  <c r="S225" i="4"/>
  <c r="S221" i="4"/>
  <c r="S220" i="4"/>
  <c r="S219" i="4"/>
  <c r="S218" i="4"/>
  <c r="S214" i="4"/>
  <c r="S213" i="4"/>
  <c r="S212" i="4"/>
  <c r="S211" i="4"/>
  <c r="S207" i="4"/>
  <c r="S203" i="4"/>
  <c r="S199" i="4"/>
  <c r="S198" i="4"/>
  <c r="S181" i="4"/>
  <c r="S180" i="4"/>
  <c r="S179" i="4"/>
  <c r="S178" i="4"/>
  <c r="S174" i="4"/>
  <c r="S173" i="4"/>
  <c r="S172" i="4"/>
  <c r="S171" i="4"/>
  <c r="S167" i="4"/>
  <c r="S166" i="4"/>
  <c r="S165" i="4"/>
  <c r="S164" i="4"/>
  <c r="S160" i="4"/>
  <c r="S159" i="4"/>
  <c r="S158" i="4"/>
  <c r="S153" i="4"/>
  <c r="S140" i="4"/>
  <c r="S139" i="4"/>
  <c r="S138" i="4"/>
  <c r="S134" i="4"/>
  <c r="S133" i="4"/>
  <c r="S129" i="4"/>
  <c r="S128" i="4"/>
  <c r="S127" i="4"/>
  <c r="S123" i="4"/>
  <c r="S122" i="4"/>
  <c r="S121" i="4"/>
  <c r="S117" i="4"/>
  <c r="S116" i="4"/>
  <c r="S115" i="4"/>
  <c r="S111" i="4"/>
  <c r="S110" i="4"/>
  <c r="S106" i="4"/>
  <c r="S105" i="4"/>
  <c r="S104" i="4"/>
  <c r="S100" i="4"/>
  <c r="S99" i="4"/>
  <c r="S98" i="4"/>
  <c r="S94" i="4"/>
  <c r="S93" i="4"/>
  <c r="S92" i="4"/>
  <c r="S88" i="4"/>
  <c r="S87" i="4"/>
  <c r="S80" i="4"/>
  <c r="S79" i="4"/>
  <c r="S75" i="4"/>
  <c r="S74" i="4"/>
  <c r="S70" i="4"/>
  <c r="S69" i="4"/>
  <c r="S65" i="4"/>
  <c r="S64" i="4"/>
  <c r="S60" i="4"/>
  <c r="S59" i="4"/>
  <c r="S55" i="4"/>
  <c r="S54" i="4"/>
  <c r="S50" i="4"/>
  <c r="S46" i="4"/>
  <c r="S39" i="4"/>
  <c r="S38" i="4"/>
  <c r="S34" i="4"/>
  <c r="S33" i="4"/>
  <c r="S27" i="4"/>
  <c r="S26" i="4"/>
  <c r="S25" i="4"/>
  <c r="S24" i="4"/>
  <c r="S23" i="4"/>
  <c r="S22" i="4"/>
  <c r="S21" i="4"/>
  <c r="S16" i="4"/>
  <c r="S15" i="4"/>
  <c r="S9" i="4"/>
  <c r="R260" i="4"/>
  <c r="R256" i="4"/>
  <c r="R255" i="4"/>
  <c r="R254" i="4"/>
  <c r="R253" i="4"/>
  <c r="R249" i="4"/>
  <c r="R248" i="4"/>
  <c r="R247" i="4"/>
  <c r="R246" i="4"/>
  <c r="R242" i="4"/>
  <c r="R241" i="4"/>
  <c r="R240" i="4"/>
  <c r="R239" i="4"/>
  <c r="R235" i="4"/>
  <c r="R231" i="4"/>
  <c r="R230" i="4"/>
  <c r="R226" i="4"/>
  <c r="R225" i="4"/>
  <c r="R221" i="4"/>
  <c r="R220" i="4"/>
  <c r="R219" i="4"/>
  <c r="R218" i="4"/>
  <c r="R214" i="4"/>
  <c r="R213" i="4"/>
  <c r="R212" i="4"/>
  <c r="R211" i="4"/>
  <c r="R207" i="4"/>
  <c r="R203" i="4"/>
  <c r="R199" i="4"/>
  <c r="R198" i="4"/>
  <c r="R181" i="4"/>
  <c r="R180" i="4"/>
  <c r="R179" i="4"/>
  <c r="R178" i="4"/>
  <c r="R174" i="4"/>
  <c r="R173" i="4"/>
  <c r="R172" i="4"/>
  <c r="R171" i="4"/>
  <c r="R167" i="4"/>
  <c r="R166" i="4"/>
  <c r="R165" i="4"/>
  <c r="R164" i="4"/>
  <c r="R160" i="4"/>
  <c r="R159" i="4"/>
  <c r="R158" i="4"/>
  <c r="R153" i="4"/>
  <c r="R140" i="4"/>
  <c r="R139" i="4"/>
  <c r="R138" i="4"/>
  <c r="R134" i="4"/>
  <c r="R133" i="4"/>
  <c r="R129" i="4"/>
  <c r="R128" i="4"/>
  <c r="R127" i="4"/>
  <c r="R123" i="4"/>
  <c r="R122" i="4"/>
  <c r="R121" i="4"/>
  <c r="R117" i="4"/>
  <c r="R116" i="4"/>
  <c r="R115" i="4"/>
  <c r="R111" i="4"/>
  <c r="R110" i="4"/>
  <c r="R106" i="4"/>
  <c r="R105" i="4"/>
  <c r="R104" i="4"/>
  <c r="R100" i="4"/>
  <c r="R99" i="4"/>
  <c r="R98" i="4"/>
  <c r="R94" i="4"/>
  <c r="R93" i="4"/>
  <c r="R92" i="4"/>
  <c r="R88" i="4"/>
  <c r="R87" i="4"/>
  <c r="R80" i="4"/>
  <c r="R79" i="4"/>
  <c r="R75" i="4"/>
  <c r="R74" i="4"/>
  <c r="R70" i="4"/>
  <c r="R69" i="4"/>
  <c r="R65" i="4"/>
  <c r="R64" i="4"/>
  <c r="R60" i="4"/>
  <c r="R59" i="4"/>
  <c r="R55" i="4"/>
  <c r="R54" i="4"/>
  <c r="R50" i="4"/>
  <c r="R46" i="4"/>
  <c r="R39" i="4"/>
  <c r="R38" i="4"/>
  <c r="R34" i="4"/>
  <c r="R33" i="4"/>
  <c r="R27" i="4"/>
  <c r="R26" i="4"/>
  <c r="R25" i="4"/>
  <c r="R24" i="4"/>
  <c r="R23" i="4"/>
  <c r="R22" i="4"/>
  <c r="R21" i="4"/>
  <c r="R16" i="4"/>
  <c r="R15" i="4"/>
  <c r="R9" i="4"/>
  <c r="Q260" i="4"/>
  <c r="Q256" i="4"/>
  <c r="Q255" i="4"/>
  <c r="Q254" i="4"/>
  <c r="Q253" i="4"/>
  <c r="Q249" i="4"/>
  <c r="Q248" i="4"/>
  <c r="Q247" i="4"/>
  <c r="Q246" i="4"/>
  <c r="Q242" i="4"/>
  <c r="Q241" i="4"/>
  <c r="Q240" i="4"/>
  <c r="Q239" i="4"/>
  <c r="Q235" i="4"/>
  <c r="Q231" i="4"/>
  <c r="Q230" i="4"/>
  <c r="Q226" i="4"/>
  <c r="Q225" i="4"/>
  <c r="Q221" i="4"/>
  <c r="Q220" i="4"/>
  <c r="Q219" i="4"/>
  <c r="Q218" i="4"/>
  <c r="Q214" i="4"/>
  <c r="Q213" i="4"/>
  <c r="Q212" i="4"/>
  <c r="Q211" i="4"/>
  <c r="Q207" i="4"/>
  <c r="Q203" i="4"/>
  <c r="Q199" i="4"/>
  <c r="Q181" i="4"/>
  <c r="Q180" i="4"/>
  <c r="Q179" i="4"/>
  <c r="Q178" i="4"/>
  <c r="Q174" i="4"/>
  <c r="Q173" i="4"/>
  <c r="Q172" i="4"/>
  <c r="Q171" i="4"/>
  <c r="Q167" i="4"/>
  <c r="Q166" i="4"/>
  <c r="Q165" i="4"/>
  <c r="Q164" i="4"/>
  <c r="Q160" i="4"/>
  <c r="Q159" i="4"/>
  <c r="Q158" i="4"/>
  <c r="Q153" i="4"/>
  <c r="Q140" i="4"/>
  <c r="Q139" i="4"/>
  <c r="Q138" i="4"/>
  <c r="Q134" i="4"/>
  <c r="Q133" i="4"/>
  <c r="Q129" i="4"/>
  <c r="Q128" i="4"/>
  <c r="Q127" i="4"/>
  <c r="Q123" i="4"/>
  <c r="Q122" i="4"/>
  <c r="Q121" i="4"/>
  <c r="Q117" i="4"/>
  <c r="Q116" i="4"/>
  <c r="Q115" i="4"/>
  <c r="Q111" i="4"/>
  <c r="Q110" i="4"/>
  <c r="Q106" i="4"/>
  <c r="Q105" i="4"/>
  <c r="Q104" i="4"/>
  <c r="Q100" i="4"/>
  <c r="Q99" i="4"/>
  <c r="Q98" i="4"/>
  <c r="Q94" i="4"/>
  <c r="Q93" i="4"/>
  <c r="Q92" i="4"/>
  <c r="Q88" i="4"/>
  <c r="Q87" i="4"/>
  <c r="Q80" i="4"/>
  <c r="Q79" i="4"/>
  <c r="Q75" i="4"/>
  <c r="Q74" i="4"/>
  <c r="Q70" i="4"/>
  <c r="Q69" i="4"/>
  <c r="Q65" i="4"/>
  <c r="Q64" i="4"/>
  <c r="Q60" i="4"/>
  <c r="Q59" i="4"/>
  <c r="Q55" i="4"/>
  <c r="Q54" i="4"/>
  <c r="Q50" i="4"/>
  <c r="Q46" i="4"/>
  <c r="Q39" i="4"/>
  <c r="Q38" i="4"/>
  <c r="Q34" i="4"/>
  <c r="Q33" i="4"/>
  <c r="Q27" i="4"/>
  <c r="Q26" i="4"/>
  <c r="Q25" i="4"/>
  <c r="Q24" i="4"/>
  <c r="Q23" i="4"/>
  <c r="Q22" i="4"/>
  <c r="Q21" i="4"/>
  <c r="Q16" i="4"/>
  <c r="Q15" i="4"/>
  <c r="Q9" i="4"/>
  <c r="P242" i="4"/>
  <c r="P241" i="4"/>
  <c r="P240" i="4"/>
  <c r="P239" i="4"/>
  <c r="P235" i="4"/>
  <c r="P231" i="4"/>
  <c r="P230" i="4"/>
  <c r="P9" i="4"/>
  <c r="O260" i="4"/>
  <c r="O256" i="4"/>
  <c r="O255" i="4"/>
  <c r="O254" i="4"/>
  <c r="O253" i="4"/>
  <c r="O249" i="4"/>
  <c r="O248" i="4"/>
  <c r="O247" i="4"/>
  <c r="O246" i="4"/>
  <c r="O242" i="4"/>
  <c r="O241" i="4"/>
  <c r="O240" i="4"/>
  <c r="O239" i="4"/>
  <c r="O235" i="4"/>
  <c r="O231" i="4"/>
  <c r="O230" i="4"/>
  <c r="O226" i="4"/>
  <c r="O225" i="4"/>
  <c r="O221" i="4"/>
  <c r="O220" i="4"/>
  <c r="O219" i="4"/>
  <c r="O218" i="4"/>
  <c r="O214" i="4"/>
  <c r="O213" i="4"/>
  <c r="O212" i="4"/>
  <c r="O211" i="4"/>
  <c r="O207" i="4"/>
  <c r="O203" i="4"/>
  <c r="O199" i="4"/>
  <c r="O198" i="4"/>
  <c r="O181" i="4"/>
  <c r="O180" i="4"/>
  <c r="O179" i="4"/>
  <c r="O178" i="4"/>
  <c r="O174" i="4"/>
  <c r="O173" i="4"/>
  <c r="O172" i="4"/>
  <c r="O171" i="4"/>
  <c r="O167" i="4"/>
  <c r="O166" i="4"/>
  <c r="O165" i="4"/>
  <c r="O164" i="4"/>
  <c r="O160" i="4"/>
  <c r="O159" i="4"/>
  <c r="O158" i="4"/>
  <c r="O157" i="4"/>
  <c r="O153" i="4"/>
  <c r="O140" i="4"/>
  <c r="O139" i="4"/>
  <c r="O138" i="4"/>
  <c r="O134" i="4"/>
  <c r="O133" i="4"/>
  <c r="O129" i="4"/>
  <c r="O128" i="4"/>
  <c r="O127" i="4"/>
  <c r="O123" i="4"/>
  <c r="O122" i="4"/>
  <c r="O121" i="4"/>
  <c r="O117" i="4"/>
  <c r="O116" i="4"/>
  <c r="O115" i="4"/>
  <c r="O111" i="4"/>
  <c r="O110" i="4"/>
  <c r="O106" i="4"/>
  <c r="O105" i="4"/>
  <c r="O104" i="4"/>
  <c r="O100" i="4"/>
  <c r="O99" i="4"/>
  <c r="O98" i="4"/>
  <c r="O94" i="4"/>
  <c r="O93" i="4"/>
  <c r="O92" i="4"/>
  <c r="O88" i="4"/>
  <c r="O87" i="4"/>
  <c r="O80" i="4"/>
  <c r="O79" i="4"/>
  <c r="O75" i="4"/>
  <c r="O74" i="4"/>
  <c r="O70" i="4"/>
  <c r="O69" i="4"/>
  <c r="O65" i="4"/>
  <c r="O64" i="4"/>
  <c r="O60" i="4"/>
  <c r="O59" i="4"/>
  <c r="O55" i="4"/>
  <c r="O54" i="4"/>
  <c r="O50" i="4"/>
  <c r="O46" i="4"/>
  <c r="O39" i="4"/>
  <c r="O38" i="4"/>
  <c r="O34" i="4"/>
  <c r="O33" i="4"/>
  <c r="O27" i="4"/>
  <c r="O26" i="4"/>
  <c r="O25" i="4"/>
  <c r="O24" i="4"/>
  <c r="O23" i="4"/>
  <c r="O22" i="4"/>
  <c r="O21" i="4"/>
  <c r="O16" i="4"/>
  <c r="O15" i="4"/>
  <c r="O9" i="4"/>
  <c r="N260" i="4"/>
  <c r="N256" i="4"/>
  <c r="N255" i="4"/>
  <c r="N254" i="4"/>
  <c r="N253" i="4"/>
  <c r="N249" i="4"/>
  <c r="N248" i="4"/>
  <c r="N247" i="4"/>
  <c r="N246" i="4"/>
  <c r="N242" i="4"/>
  <c r="N241" i="4"/>
  <c r="N240" i="4"/>
  <c r="N239" i="4"/>
  <c r="N235" i="4"/>
  <c r="N231" i="4"/>
  <c r="N230" i="4"/>
  <c r="N226" i="4"/>
  <c r="N225" i="4"/>
  <c r="N221" i="4"/>
  <c r="N220" i="4"/>
  <c r="N219" i="4"/>
  <c r="N218" i="4"/>
  <c r="N214" i="4"/>
  <c r="N213" i="4"/>
  <c r="N212" i="4"/>
  <c r="N211" i="4"/>
  <c r="N207" i="4"/>
  <c r="N203" i="4"/>
  <c r="N199" i="4"/>
  <c r="N198" i="4"/>
  <c r="N181" i="4"/>
  <c r="N180" i="4"/>
  <c r="N179" i="4"/>
  <c r="N178" i="4"/>
  <c r="N174" i="4"/>
  <c r="N173" i="4"/>
  <c r="N172" i="4"/>
  <c r="N171" i="4"/>
  <c r="N167" i="4"/>
  <c r="N166" i="4"/>
  <c r="N165" i="4"/>
  <c r="N164" i="4"/>
  <c r="N160" i="4"/>
  <c r="N159" i="4"/>
  <c r="N158" i="4"/>
  <c r="N157" i="4"/>
  <c r="N153" i="4"/>
  <c r="N140" i="4"/>
  <c r="N139" i="4"/>
  <c r="N138" i="4"/>
  <c r="N134" i="4"/>
  <c r="N133" i="4"/>
  <c r="N129" i="4"/>
  <c r="N128" i="4"/>
  <c r="N127" i="4"/>
  <c r="N123" i="4"/>
  <c r="N122" i="4"/>
  <c r="N121" i="4"/>
  <c r="N117" i="4"/>
  <c r="N116" i="4"/>
  <c r="N115" i="4"/>
  <c r="N111" i="4"/>
  <c r="N110" i="4"/>
  <c r="N106" i="4"/>
  <c r="N105" i="4"/>
  <c r="N104" i="4"/>
  <c r="N100" i="4"/>
  <c r="N99" i="4"/>
  <c r="N98" i="4"/>
  <c r="N94" i="4"/>
  <c r="N93" i="4"/>
  <c r="N92" i="4"/>
  <c r="N88" i="4"/>
  <c r="N87" i="4"/>
  <c r="N80" i="4"/>
  <c r="N79" i="4"/>
  <c r="N75" i="4"/>
  <c r="N74" i="4"/>
  <c r="N70" i="4"/>
  <c r="N69" i="4"/>
  <c r="N65" i="4"/>
  <c r="N64" i="4"/>
  <c r="N60" i="4"/>
  <c r="N59" i="4"/>
  <c r="N55" i="4"/>
  <c r="N54" i="4"/>
  <c r="N50" i="4"/>
  <c r="N46" i="4"/>
  <c r="N39" i="4"/>
  <c r="N38" i="4"/>
  <c r="N34" i="4"/>
  <c r="N33" i="4"/>
  <c r="N27" i="4"/>
  <c r="N26" i="4"/>
  <c r="N25" i="4"/>
  <c r="N24" i="4"/>
  <c r="N23" i="4"/>
  <c r="N22" i="4"/>
  <c r="N21" i="4"/>
  <c r="N16" i="4"/>
  <c r="N15" i="4"/>
  <c r="N9" i="4"/>
  <c r="M260" i="4"/>
  <c r="M256" i="4"/>
  <c r="M255" i="4"/>
  <c r="M254" i="4"/>
  <c r="M253" i="4"/>
  <c r="M249" i="4"/>
  <c r="M248" i="4"/>
  <c r="M247" i="4"/>
  <c r="M246" i="4"/>
  <c r="M242" i="4"/>
  <c r="M241" i="4"/>
  <c r="M240" i="4"/>
  <c r="M239" i="4"/>
  <c r="M235" i="4"/>
  <c r="M231" i="4"/>
  <c r="M230" i="4"/>
  <c r="M226" i="4"/>
  <c r="M225" i="4"/>
  <c r="M221" i="4"/>
  <c r="M220" i="4"/>
  <c r="M219" i="4"/>
  <c r="M218" i="4"/>
  <c r="M214" i="4"/>
  <c r="M213" i="4"/>
  <c r="M212" i="4"/>
  <c r="M211" i="4"/>
  <c r="M207" i="4"/>
  <c r="M203" i="4"/>
  <c r="M199" i="4"/>
  <c r="M198" i="4"/>
  <c r="M181" i="4"/>
  <c r="M180" i="4"/>
  <c r="M179" i="4"/>
  <c r="M178" i="4"/>
  <c r="M174" i="4"/>
  <c r="M173" i="4"/>
  <c r="M172" i="4"/>
  <c r="M171" i="4"/>
  <c r="M167" i="4"/>
  <c r="M166" i="4"/>
  <c r="M165" i="4"/>
  <c r="M164" i="4"/>
  <c r="M160" i="4"/>
  <c r="M159" i="4"/>
  <c r="M158" i="4"/>
  <c r="M157" i="4"/>
  <c r="M153" i="4"/>
  <c r="M140" i="4"/>
  <c r="M139" i="4"/>
  <c r="M138" i="4"/>
  <c r="M134" i="4"/>
  <c r="M133" i="4"/>
  <c r="M129" i="4"/>
  <c r="M128" i="4"/>
  <c r="M127" i="4"/>
  <c r="M123" i="4"/>
  <c r="M122" i="4"/>
  <c r="M121" i="4"/>
  <c r="M117" i="4"/>
  <c r="M116" i="4"/>
  <c r="M115" i="4"/>
  <c r="M111" i="4"/>
  <c r="M110" i="4"/>
  <c r="M106" i="4"/>
  <c r="M105" i="4"/>
  <c r="M104" i="4"/>
  <c r="M100" i="4"/>
  <c r="M99" i="4"/>
  <c r="M98" i="4"/>
  <c r="M94" i="4"/>
  <c r="M93" i="4"/>
  <c r="M92" i="4"/>
  <c r="M88" i="4"/>
  <c r="M87" i="4"/>
  <c r="M80" i="4"/>
  <c r="M79" i="4"/>
  <c r="M75" i="4"/>
  <c r="M74" i="4"/>
  <c r="M70" i="4"/>
  <c r="M69" i="4"/>
  <c r="M65" i="4"/>
  <c r="M64" i="4"/>
  <c r="M60" i="4"/>
  <c r="M59" i="4"/>
  <c r="M55" i="4"/>
  <c r="M54" i="4"/>
  <c r="M50" i="4"/>
  <c r="M46" i="4"/>
  <c r="M39" i="4"/>
  <c r="M38" i="4"/>
  <c r="M34" i="4"/>
  <c r="M33" i="4"/>
  <c r="M27" i="4"/>
  <c r="M26" i="4"/>
  <c r="M25" i="4"/>
  <c r="M24" i="4"/>
  <c r="M23" i="4"/>
  <c r="M22" i="4"/>
  <c r="M21" i="4"/>
  <c r="M16" i="4"/>
  <c r="M15" i="4"/>
  <c r="M9" i="4"/>
  <c r="L260" i="4"/>
  <c r="L256" i="4"/>
  <c r="L255" i="4"/>
  <c r="L254" i="4"/>
  <c r="L253" i="4"/>
  <c r="L249" i="4"/>
  <c r="L248" i="4"/>
  <c r="L247" i="4"/>
  <c r="L246" i="4"/>
  <c r="L242" i="4"/>
  <c r="L241" i="4"/>
  <c r="L240" i="4"/>
  <c r="L239" i="4"/>
  <c r="L235" i="4"/>
  <c r="L231" i="4"/>
  <c r="L230" i="4"/>
  <c r="L226" i="4"/>
  <c r="L225" i="4"/>
  <c r="L221" i="4"/>
  <c r="L220" i="4"/>
  <c r="L219" i="4"/>
  <c r="L218" i="4"/>
  <c r="L214" i="4"/>
  <c r="L213" i="4"/>
  <c r="L212" i="4"/>
  <c r="L211" i="4"/>
  <c r="L207" i="4"/>
  <c r="L203" i="4"/>
  <c r="L199" i="4"/>
  <c r="L198" i="4"/>
  <c r="L181" i="4"/>
  <c r="L180" i="4"/>
  <c r="L179" i="4"/>
  <c r="L178" i="4"/>
  <c r="L174" i="4"/>
  <c r="L173" i="4"/>
  <c r="L172" i="4"/>
  <c r="L171" i="4"/>
  <c r="L167" i="4"/>
  <c r="L166" i="4"/>
  <c r="L165" i="4"/>
  <c r="L164" i="4"/>
  <c r="L160" i="4"/>
  <c r="L159" i="4"/>
  <c r="L158" i="4"/>
  <c r="L157" i="4"/>
  <c r="L153" i="4"/>
  <c r="L140" i="4"/>
  <c r="L139" i="4"/>
  <c r="L138" i="4"/>
  <c r="L134" i="4"/>
  <c r="L133" i="4"/>
  <c r="L129" i="4"/>
  <c r="L128" i="4"/>
  <c r="L127" i="4"/>
  <c r="L123" i="4"/>
  <c r="L122" i="4"/>
  <c r="L121" i="4"/>
  <c r="L117" i="4"/>
  <c r="L116" i="4"/>
  <c r="L115" i="4"/>
  <c r="L111" i="4"/>
  <c r="L110" i="4"/>
  <c r="L106" i="4"/>
  <c r="L105" i="4"/>
  <c r="L104" i="4"/>
  <c r="L100" i="4"/>
  <c r="L99" i="4"/>
  <c r="L98" i="4"/>
  <c r="L94" i="4"/>
  <c r="L93" i="4"/>
  <c r="L92" i="4"/>
  <c r="L88" i="4"/>
  <c r="L87" i="4"/>
  <c r="L80" i="4"/>
  <c r="L79" i="4"/>
  <c r="L75" i="4"/>
  <c r="L74" i="4"/>
  <c r="L70" i="4"/>
  <c r="L69" i="4"/>
  <c r="L65" i="4"/>
  <c r="L64" i="4"/>
  <c r="L60" i="4"/>
  <c r="L59" i="4"/>
  <c r="L55" i="4"/>
  <c r="L54" i="4"/>
  <c r="L50" i="4"/>
  <c r="L46" i="4"/>
  <c r="L39" i="4"/>
  <c r="L38" i="4"/>
  <c r="L34" i="4"/>
  <c r="L33" i="4"/>
  <c r="L27" i="4"/>
  <c r="L26" i="4"/>
  <c r="L25" i="4"/>
  <c r="L24" i="4"/>
  <c r="L23" i="4"/>
  <c r="L22" i="4"/>
  <c r="L21" i="4"/>
  <c r="L16" i="4"/>
  <c r="L15" i="4"/>
  <c r="L9" i="4"/>
  <c r="K260" i="4"/>
  <c r="K256" i="4"/>
  <c r="K255" i="4"/>
  <c r="K254" i="4"/>
  <c r="K253" i="4"/>
  <c r="K249" i="4"/>
  <c r="K248" i="4"/>
  <c r="K247" i="4"/>
  <c r="K246" i="4"/>
  <c r="K242" i="4"/>
  <c r="K241" i="4"/>
  <c r="K240" i="4"/>
  <c r="K239" i="4"/>
  <c r="K235" i="4"/>
  <c r="K231" i="4"/>
  <c r="K230" i="4"/>
  <c r="K226" i="4"/>
  <c r="K225" i="4"/>
  <c r="K221" i="4"/>
  <c r="K220" i="4"/>
  <c r="K219" i="4"/>
  <c r="K218" i="4"/>
  <c r="K214" i="4"/>
  <c r="K213" i="4"/>
  <c r="K212" i="4"/>
  <c r="K211" i="4"/>
  <c r="K207" i="4"/>
  <c r="K203" i="4"/>
  <c r="K199" i="4"/>
  <c r="K198" i="4"/>
  <c r="K181" i="4"/>
  <c r="K180" i="4"/>
  <c r="K179" i="4"/>
  <c r="K178" i="4"/>
  <c r="K174" i="4"/>
  <c r="K173" i="4"/>
  <c r="K172" i="4"/>
  <c r="K171" i="4"/>
  <c r="K167" i="4"/>
  <c r="K166" i="4"/>
  <c r="K165" i="4"/>
  <c r="K164" i="4"/>
  <c r="K160" i="4"/>
  <c r="K159" i="4"/>
  <c r="K158" i="4"/>
  <c r="K157" i="4"/>
  <c r="K153" i="4"/>
  <c r="K140" i="4"/>
  <c r="K139" i="4"/>
  <c r="K138" i="4"/>
  <c r="K134" i="4"/>
  <c r="K133" i="4"/>
  <c r="K129" i="4"/>
  <c r="K128" i="4"/>
  <c r="K127" i="4"/>
  <c r="K123" i="4"/>
  <c r="K122" i="4"/>
  <c r="K121" i="4"/>
  <c r="K117" i="4"/>
  <c r="K116" i="4"/>
  <c r="K115" i="4"/>
  <c r="K111" i="4"/>
  <c r="K110" i="4"/>
  <c r="K106" i="4"/>
  <c r="K105" i="4"/>
  <c r="K104" i="4"/>
  <c r="K100" i="4"/>
  <c r="K99" i="4"/>
  <c r="K98" i="4"/>
  <c r="K94" i="4"/>
  <c r="K93" i="4"/>
  <c r="K92" i="4"/>
  <c r="K88" i="4"/>
  <c r="K87" i="4"/>
  <c r="K80" i="4"/>
  <c r="K79" i="4"/>
  <c r="K75" i="4"/>
  <c r="K74" i="4"/>
  <c r="K70" i="4"/>
  <c r="K69" i="4"/>
  <c r="K65" i="4"/>
  <c r="K64" i="4"/>
  <c r="K60" i="4"/>
  <c r="K59" i="4"/>
  <c r="K55" i="4"/>
  <c r="K54" i="4"/>
  <c r="K50" i="4"/>
  <c r="K46" i="4"/>
  <c r="K39" i="4"/>
  <c r="K38" i="4"/>
  <c r="K34" i="4"/>
  <c r="K33" i="4"/>
  <c r="K27" i="4"/>
  <c r="K26" i="4"/>
  <c r="K25" i="4"/>
  <c r="K24" i="4"/>
  <c r="K23" i="4"/>
  <c r="K22" i="4"/>
  <c r="K21" i="4"/>
  <c r="K16" i="4"/>
  <c r="K15" i="4"/>
  <c r="K9" i="4"/>
  <c r="J260" i="4"/>
  <c r="J256" i="4"/>
  <c r="J255" i="4"/>
  <c r="J254" i="4"/>
  <c r="J253" i="4"/>
  <c r="J249" i="4"/>
  <c r="J248" i="4"/>
  <c r="J247" i="4"/>
  <c r="J246" i="4"/>
  <c r="J242" i="4"/>
  <c r="J241" i="4"/>
  <c r="J240" i="4"/>
  <c r="J239" i="4"/>
  <c r="J235" i="4"/>
  <c r="J231" i="4"/>
  <c r="J230" i="4"/>
  <c r="J226" i="4"/>
  <c r="J225" i="4"/>
  <c r="J221" i="4"/>
  <c r="J220" i="4"/>
  <c r="J219" i="4"/>
  <c r="J218" i="4"/>
  <c r="J214" i="4"/>
  <c r="J213" i="4"/>
  <c r="J212" i="4"/>
  <c r="J211" i="4"/>
  <c r="J207" i="4"/>
  <c r="J203" i="4"/>
  <c r="J199" i="4"/>
  <c r="J198" i="4"/>
  <c r="J181" i="4"/>
  <c r="J180" i="4"/>
  <c r="J179" i="4"/>
  <c r="J178" i="4"/>
  <c r="J174" i="4"/>
  <c r="J173" i="4"/>
  <c r="J172" i="4"/>
  <c r="J171" i="4"/>
  <c r="J167" i="4"/>
  <c r="J166" i="4"/>
  <c r="J165" i="4"/>
  <c r="J164" i="4"/>
  <c r="J160" i="4"/>
  <c r="J159" i="4"/>
  <c r="J158" i="4"/>
  <c r="J157" i="4"/>
  <c r="J153" i="4"/>
  <c r="J140" i="4"/>
  <c r="J139" i="4"/>
  <c r="J138" i="4"/>
  <c r="J134" i="4"/>
  <c r="J133" i="4"/>
  <c r="J129" i="4"/>
  <c r="J128" i="4"/>
  <c r="J127" i="4"/>
  <c r="J123" i="4"/>
  <c r="J122" i="4"/>
  <c r="J121" i="4"/>
  <c r="J117" i="4"/>
  <c r="J116" i="4"/>
  <c r="J115" i="4"/>
  <c r="J111" i="4"/>
  <c r="J110" i="4"/>
  <c r="J106" i="4"/>
  <c r="J105" i="4"/>
  <c r="J104" i="4"/>
  <c r="J100" i="4"/>
  <c r="J99" i="4"/>
  <c r="J98" i="4"/>
  <c r="J94" i="4"/>
  <c r="J93" i="4"/>
  <c r="J92" i="4"/>
  <c r="J88" i="4"/>
  <c r="J87" i="4"/>
  <c r="J80" i="4"/>
  <c r="J79" i="4"/>
  <c r="J75" i="4"/>
  <c r="J74" i="4"/>
  <c r="J70" i="4"/>
  <c r="J69" i="4"/>
  <c r="J65" i="4"/>
  <c r="J64" i="4"/>
  <c r="J60" i="4"/>
  <c r="J59" i="4"/>
  <c r="J55" i="4"/>
  <c r="J54" i="4"/>
  <c r="J50" i="4"/>
  <c r="J46" i="4"/>
  <c r="J39" i="4"/>
  <c r="J38" i="4"/>
  <c r="J34" i="4"/>
  <c r="J33" i="4"/>
  <c r="J27" i="4"/>
  <c r="J26" i="4"/>
  <c r="J25" i="4"/>
  <c r="J24" i="4"/>
  <c r="J23" i="4"/>
  <c r="J22" i="4"/>
  <c r="J21" i="4"/>
  <c r="J16" i="4"/>
  <c r="J15" i="4"/>
  <c r="J9" i="4"/>
  <c r="I260" i="4"/>
  <c r="I256" i="4"/>
  <c r="I255" i="4"/>
  <c r="I254" i="4"/>
  <c r="I253" i="4"/>
  <c r="I249" i="4"/>
  <c r="I248" i="4"/>
  <c r="I247" i="4"/>
  <c r="I246" i="4"/>
  <c r="I242" i="4"/>
  <c r="I241" i="4"/>
  <c r="I240" i="4"/>
  <c r="I239" i="4"/>
  <c r="I235" i="4"/>
  <c r="I231" i="4"/>
  <c r="I230" i="4"/>
  <c r="I226" i="4"/>
  <c r="I225" i="4"/>
  <c r="I221" i="4"/>
  <c r="I220" i="4"/>
  <c r="I219" i="4"/>
  <c r="I218" i="4"/>
  <c r="I214" i="4"/>
  <c r="I213" i="4"/>
  <c r="I212" i="4"/>
  <c r="I211" i="4"/>
  <c r="I207" i="4"/>
  <c r="I203" i="4"/>
  <c r="I199" i="4"/>
  <c r="I198" i="4"/>
  <c r="I181" i="4"/>
  <c r="I180" i="4"/>
  <c r="I179" i="4"/>
  <c r="I178" i="4"/>
  <c r="I174" i="4"/>
  <c r="I173" i="4"/>
  <c r="I172" i="4"/>
  <c r="I171" i="4"/>
  <c r="I167" i="4"/>
  <c r="I166" i="4"/>
  <c r="I165" i="4"/>
  <c r="I164" i="4"/>
  <c r="I160" i="4"/>
  <c r="I159" i="4"/>
  <c r="I158" i="4"/>
  <c r="I157" i="4"/>
  <c r="I153" i="4"/>
  <c r="I140" i="4"/>
  <c r="I139" i="4"/>
  <c r="I138" i="4"/>
  <c r="I134" i="4"/>
  <c r="I133" i="4"/>
  <c r="I129" i="4"/>
  <c r="I128" i="4"/>
  <c r="I127" i="4"/>
  <c r="I123" i="4"/>
  <c r="I122" i="4"/>
  <c r="I121" i="4"/>
  <c r="I117" i="4"/>
  <c r="I116" i="4"/>
  <c r="I115" i="4"/>
  <c r="I111" i="4"/>
  <c r="I110" i="4"/>
  <c r="I106" i="4"/>
  <c r="I105" i="4"/>
  <c r="I104" i="4"/>
  <c r="I100" i="4"/>
  <c r="I99" i="4"/>
  <c r="I98" i="4"/>
  <c r="I94" i="4"/>
  <c r="I93" i="4"/>
  <c r="I92" i="4"/>
  <c r="I88" i="4"/>
  <c r="I87" i="4"/>
  <c r="I80" i="4"/>
  <c r="I79" i="4"/>
  <c r="I75" i="4"/>
  <c r="I74" i="4"/>
  <c r="I70" i="4"/>
  <c r="I69" i="4"/>
  <c r="I65" i="4"/>
  <c r="I64" i="4"/>
  <c r="I60" i="4"/>
  <c r="I59" i="4"/>
  <c r="I55" i="4"/>
  <c r="I54" i="4"/>
  <c r="I50" i="4"/>
  <c r="I46" i="4"/>
  <c r="I39" i="4"/>
  <c r="I38" i="4"/>
  <c r="I34" i="4"/>
  <c r="I33" i="4"/>
  <c r="I27" i="4"/>
  <c r="I26" i="4"/>
  <c r="I25" i="4"/>
  <c r="I24" i="4"/>
  <c r="I23" i="4"/>
  <c r="I22" i="4"/>
  <c r="I21" i="4"/>
  <c r="I16" i="4"/>
  <c r="I15" i="4"/>
  <c r="I18" i="4" s="1"/>
  <c r="I9" i="4"/>
  <c r="H260" i="4"/>
  <c r="H256" i="4"/>
  <c r="H255" i="4"/>
  <c r="H254" i="4"/>
  <c r="H253" i="4"/>
  <c r="H249" i="4"/>
  <c r="H248" i="4"/>
  <c r="H247" i="4"/>
  <c r="H246" i="4"/>
  <c r="H242" i="4"/>
  <c r="H241" i="4"/>
  <c r="H240" i="4"/>
  <c r="H239" i="4"/>
  <c r="H235" i="4"/>
  <c r="H231" i="4"/>
  <c r="H230" i="4"/>
  <c r="H226" i="4"/>
  <c r="H225" i="4"/>
  <c r="H221" i="4"/>
  <c r="H220" i="4"/>
  <c r="H219" i="4"/>
  <c r="H218" i="4"/>
  <c r="H214" i="4"/>
  <c r="H213" i="4"/>
  <c r="H212" i="4"/>
  <c r="H211" i="4"/>
  <c r="H207" i="4"/>
  <c r="H203" i="4"/>
  <c r="H199" i="4"/>
  <c r="H198" i="4"/>
  <c r="H181" i="4"/>
  <c r="H180" i="4"/>
  <c r="H179" i="4"/>
  <c r="H178" i="4"/>
  <c r="H174" i="4"/>
  <c r="H173" i="4"/>
  <c r="H172" i="4"/>
  <c r="H171" i="4"/>
  <c r="H167" i="4"/>
  <c r="H166" i="4"/>
  <c r="H165" i="4"/>
  <c r="H164" i="4"/>
  <c r="H160" i="4"/>
  <c r="H159" i="4"/>
  <c r="H158" i="4"/>
  <c r="H157" i="4"/>
  <c r="H153" i="4"/>
  <c r="H140" i="4"/>
  <c r="H139" i="4"/>
  <c r="H138" i="4"/>
  <c r="H134" i="4"/>
  <c r="H133" i="4"/>
  <c r="H129" i="4"/>
  <c r="H128" i="4"/>
  <c r="H127" i="4"/>
  <c r="H123" i="4"/>
  <c r="H122" i="4"/>
  <c r="H121" i="4"/>
  <c r="H117" i="4"/>
  <c r="H116" i="4"/>
  <c r="H115" i="4"/>
  <c r="H111" i="4"/>
  <c r="H110" i="4"/>
  <c r="H106" i="4"/>
  <c r="H105" i="4"/>
  <c r="H104" i="4"/>
  <c r="H100" i="4"/>
  <c r="H99" i="4"/>
  <c r="H98" i="4"/>
  <c r="H94" i="4"/>
  <c r="H93" i="4"/>
  <c r="H92" i="4"/>
  <c r="H88" i="4"/>
  <c r="H87" i="4"/>
  <c r="H80" i="4"/>
  <c r="H79" i="4"/>
  <c r="H75" i="4"/>
  <c r="H74" i="4"/>
  <c r="H70" i="4"/>
  <c r="H69" i="4"/>
  <c r="H65" i="4"/>
  <c r="H64" i="4"/>
  <c r="H60" i="4"/>
  <c r="H59" i="4"/>
  <c r="H55" i="4"/>
  <c r="H54" i="4"/>
  <c r="H50" i="4"/>
  <c r="H46" i="4"/>
  <c r="H39" i="4"/>
  <c r="H38" i="4"/>
  <c r="H34" i="4"/>
  <c r="H33" i="4"/>
  <c r="H27" i="4"/>
  <c r="H26" i="4"/>
  <c r="H25" i="4"/>
  <c r="H24" i="4"/>
  <c r="H23" i="4"/>
  <c r="H22" i="4"/>
  <c r="H21" i="4"/>
  <c r="H16" i="4"/>
  <c r="H15" i="4"/>
  <c r="H18" i="4" s="1"/>
  <c r="H9" i="4"/>
  <c r="F423" i="139" l="1"/>
  <c r="F421" i="139"/>
  <c r="F419" i="139"/>
  <c r="F319" i="139"/>
  <c r="F318" i="139"/>
  <c r="F291" i="139"/>
  <c r="F290" i="139"/>
  <c r="F285" i="139"/>
  <c r="F284" i="139"/>
  <c r="F280" i="139"/>
  <c r="F279" i="139"/>
  <c r="F237" i="139"/>
  <c r="F236" i="139"/>
  <c r="F232" i="139"/>
  <c r="F231" i="139"/>
  <c r="F157" i="139"/>
  <c r="F156" i="139"/>
  <c r="F119" i="139"/>
  <c r="F118" i="139"/>
  <c r="F109" i="139"/>
  <c r="F108" i="139"/>
  <c r="F104" i="139"/>
  <c r="F103" i="139"/>
  <c r="F69" i="139"/>
  <c r="F68" i="139"/>
  <c r="F64" i="139"/>
  <c r="F63" i="139"/>
  <c r="F49" i="139"/>
  <c r="F48" i="139"/>
  <c r="F44" i="139"/>
  <c r="F43" i="139"/>
  <c r="F39" i="139"/>
  <c r="F38" i="139"/>
  <c r="F34" i="139"/>
  <c r="F31" i="139"/>
  <c r="F21" i="139"/>
  <c r="D22" i="33" l="1"/>
  <c r="P28" i="33"/>
  <c r="P27" i="33"/>
  <c r="P26" i="33"/>
  <c r="A22" i="33"/>
  <c r="C21" i="651" l="1"/>
  <c r="G16" i="651" l="1"/>
  <c r="Q23" i="20" l="1"/>
  <c r="Q22" i="20"/>
  <c r="P23" i="20"/>
  <c r="P22" i="20"/>
  <c r="O23" i="20" l="1"/>
  <c r="O22" i="20"/>
  <c r="G11" i="137"/>
  <c r="G12" i="137" s="1"/>
  <c r="G13" i="137" s="1"/>
  <c r="G14" i="137" s="1"/>
  <c r="G15" i="137" s="1"/>
  <c r="G16" i="137" s="1"/>
  <c r="G17" i="137" s="1"/>
  <c r="G18" i="137" s="1"/>
  <c r="G19" i="137" s="1"/>
  <c r="G20" i="137" s="1"/>
  <c r="G21" i="137" s="1"/>
  <c r="G22" i="137" s="1"/>
  <c r="G23" i="137" s="1"/>
  <c r="G24" i="137" s="1"/>
  <c r="G25" i="137" s="1"/>
  <c r="G26" i="137" s="1"/>
  <c r="D16" i="137"/>
  <c r="D17" i="137"/>
  <c r="P15" i="33" l="1"/>
  <c r="P16" i="33"/>
  <c r="M23" i="33"/>
  <c r="P13" i="33"/>
  <c r="P12" i="33"/>
  <c r="P54" i="33"/>
  <c r="P53" i="33"/>
  <c r="T375" i="641" l="1"/>
  <c r="T376" i="641"/>
  <c r="T377" i="641"/>
  <c r="K43" i="582" l="1"/>
  <c r="K42" i="582"/>
  <c r="L11" i="582" l="1"/>
  <c r="L27" i="582" l="1"/>
  <c r="L28" i="582"/>
  <c r="L31" i="582"/>
  <c r="L32" i="582"/>
  <c r="L16" i="582"/>
  <c r="L20" i="582"/>
  <c r="L13" i="582"/>
  <c r="L10" i="582"/>
  <c r="L29" i="582"/>
  <c r="L30" i="582"/>
  <c r="L19" i="582" l="1"/>
  <c r="L12" i="582"/>
  <c r="O14" i="654" l="1"/>
  <c r="O15" i="654"/>
  <c r="O16" i="654"/>
  <c r="O19" i="654"/>
  <c r="O20" i="654"/>
  <c r="O21" i="654"/>
  <c r="O22" i="654"/>
  <c r="O23" i="654"/>
  <c r="O25" i="654"/>
  <c r="O26" i="654"/>
  <c r="O33" i="654"/>
  <c r="O34" i="654"/>
  <c r="O39" i="654"/>
  <c r="O40" i="654"/>
  <c r="O42" i="654"/>
  <c r="O43" i="654"/>
  <c r="O45" i="654"/>
  <c r="O46" i="654"/>
  <c r="O47" i="654"/>
  <c r="O48" i="654"/>
  <c r="O49" i="654"/>
  <c r="O57" i="654"/>
  <c r="O58" i="654"/>
  <c r="O72" i="654"/>
  <c r="O73" i="654"/>
  <c r="O75" i="654"/>
  <c r="O76" i="654"/>
  <c r="O78" i="654"/>
  <c r="N78" i="654"/>
  <c r="N76" i="654"/>
  <c r="M76" i="654" s="1"/>
  <c r="M75" i="654"/>
  <c r="N73" i="654"/>
  <c r="M73" i="654" s="1"/>
  <c r="N72" i="654"/>
  <c r="M72" i="654" s="1"/>
  <c r="K71" i="654"/>
  <c r="H69" i="654"/>
  <c r="H68" i="654"/>
  <c r="H67" i="654"/>
  <c r="H66" i="654"/>
  <c r="H65" i="654"/>
  <c r="H64" i="654"/>
  <c r="H63" i="654"/>
  <c r="H62" i="654"/>
  <c r="H61" i="654"/>
  <c r="H60" i="654"/>
  <c r="H59" i="654"/>
  <c r="M58" i="654"/>
  <c r="M57" i="654"/>
  <c r="K56" i="654"/>
  <c r="H55" i="654"/>
  <c r="H54" i="654"/>
  <c r="H53" i="654"/>
  <c r="H52" i="654"/>
  <c r="H51" i="654"/>
  <c r="H50" i="654"/>
  <c r="H56" i="654" s="1"/>
  <c r="M45" i="654"/>
  <c r="N43" i="654"/>
  <c r="M43" i="654" s="1"/>
  <c r="N42" i="654"/>
  <c r="M42" i="654" s="1"/>
  <c r="N40" i="654"/>
  <c r="M40" i="654" s="1"/>
  <c r="N39" i="654"/>
  <c r="M39" i="654" s="1"/>
  <c r="H36" i="654"/>
  <c r="G36" i="654"/>
  <c r="H35" i="654"/>
  <c r="N34" i="654"/>
  <c r="M34" i="654" s="1"/>
  <c r="N33" i="654"/>
  <c r="M33" i="654" s="1"/>
  <c r="H31" i="654"/>
  <c r="H30" i="654"/>
  <c r="H29" i="654"/>
  <c r="H28" i="654"/>
  <c r="G28" i="654"/>
  <c r="H27" i="654"/>
  <c r="G27" i="654"/>
  <c r="N26" i="654"/>
  <c r="M26" i="654" s="1"/>
  <c r="N25" i="654"/>
  <c r="M25" i="654" s="1"/>
  <c r="E25" i="654"/>
  <c r="K24" i="654"/>
  <c r="J24" i="654"/>
  <c r="L23" i="654"/>
  <c r="H23" i="654"/>
  <c r="L22" i="654"/>
  <c r="L24" i="654" s="1"/>
  <c r="H22" i="654"/>
  <c r="N21" i="654"/>
  <c r="M21" i="654" s="1"/>
  <c r="N20" i="654"/>
  <c r="M20" i="654" s="1"/>
  <c r="N19" i="654"/>
  <c r="M19" i="654" s="1"/>
  <c r="H17" i="654"/>
  <c r="G17" i="654"/>
  <c r="L16" i="654"/>
  <c r="H16" i="654"/>
  <c r="G16" i="654"/>
  <c r="L15" i="654"/>
  <c r="H15" i="654"/>
  <c r="L14" i="654"/>
  <c r="H14" i="654"/>
  <c r="H13" i="654"/>
  <c r="A12" i="654"/>
  <c r="A13" i="654" s="1"/>
  <c r="A14" i="654" s="1"/>
  <c r="A15" i="654" s="1"/>
  <c r="A16" i="654" s="1"/>
  <c r="A17" i="654" s="1"/>
  <c r="A18" i="654" s="1"/>
  <c r="A20" i="654" s="1"/>
  <c r="A21" i="654" s="1"/>
  <c r="A22" i="654" s="1"/>
  <c r="A23" i="654" s="1"/>
  <c r="A24" i="654" s="1"/>
  <c r="A26" i="654" s="1"/>
  <c r="A27" i="654" s="1"/>
  <c r="A28" i="654" s="1"/>
  <c r="A29" i="654" s="1"/>
  <c r="A30" i="654" s="1"/>
  <c r="A31" i="654" s="1"/>
  <c r="A32" i="654" s="1"/>
  <c r="A34" i="654" s="1"/>
  <c r="A35" i="654" s="1"/>
  <c r="A36" i="654" s="1"/>
  <c r="A37" i="654" s="1"/>
  <c r="A38" i="654" s="1"/>
  <c r="A41" i="654" s="1"/>
  <c r="A44" i="654" s="1"/>
  <c r="A47" i="654" s="1"/>
  <c r="A49" i="654" s="1"/>
  <c r="A50" i="654" s="1"/>
  <c r="A51" i="654" s="1"/>
  <c r="A52" i="654" s="1"/>
  <c r="A53" i="654" s="1"/>
  <c r="A54" i="654" s="1"/>
  <c r="A55" i="654" s="1"/>
  <c r="A56" i="654" s="1"/>
  <c r="A58" i="654" s="1"/>
  <c r="A59" i="654" s="1"/>
  <c r="A60" i="654" s="1"/>
  <c r="A61" i="654" s="1"/>
  <c r="A62" i="654" s="1"/>
  <c r="A63" i="654" s="1"/>
  <c r="A64" i="654" s="1"/>
  <c r="A65" i="654" s="1"/>
  <c r="A66" i="654" s="1"/>
  <c r="A67" i="654" s="1"/>
  <c r="A68" i="654" s="1"/>
  <c r="A69" i="654" s="1"/>
  <c r="A70" i="654" s="1"/>
  <c r="A71" i="654" s="1"/>
  <c r="A74" i="654" s="1"/>
  <c r="A77" i="654" s="1"/>
  <c r="A79" i="654" s="1"/>
  <c r="I8" i="654"/>
  <c r="H8" i="654"/>
  <c r="I7" i="654"/>
  <c r="H7" i="654"/>
  <c r="F7" i="654"/>
  <c r="I6" i="654"/>
  <c r="H6" i="654"/>
  <c r="F6" i="654"/>
  <c r="A1" i="654"/>
  <c r="O24" i="654" l="1"/>
  <c r="Y24" i="654"/>
  <c r="H24" i="654"/>
  <c r="H32" i="654"/>
  <c r="H18" i="654"/>
  <c r="D60" i="49" l="1"/>
  <c r="D59" i="49"/>
  <c r="D58" i="49"/>
  <c r="D57" i="49"/>
  <c r="D50" i="49"/>
  <c r="D49" i="49"/>
  <c r="D44" i="49"/>
  <c r="D43" i="49"/>
  <c r="D42" i="49"/>
  <c r="D41" i="49"/>
  <c r="C60" i="49"/>
  <c r="C59" i="49"/>
  <c r="C58" i="49"/>
  <c r="C57" i="49"/>
  <c r="C50" i="49"/>
  <c r="C49" i="49"/>
  <c r="C43" i="49"/>
  <c r="C42" i="49"/>
  <c r="C41" i="49"/>
  <c r="R227" i="4" l="1"/>
  <c r="R208" i="4"/>
  <c r="R154" i="4"/>
  <c r="Q261" i="4"/>
  <c r="Q236" i="4"/>
  <c r="Q266" i="4"/>
  <c r="Q154" i="4"/>
  <c r="P236" i="4"/>
  <c r="O261" i="4"/>
  <c r="O204" i="4"/>
  <c r="O154" i="4"/>
  <c r="N261" i="4"/>
  <c r="N236" i="4"/>
  <c r="N208" i="4"/>
  <c r="N204" i="4"/>
  <c r="N154" i="4"/>
  <c r="T236" i="4"/>
  <c r="T208" i="4"/>
  <c r="T204" i="4"/>
  <c r="S261" i="4"/>
  <c r="S236" i="4"/>
  <c r="S208" i="4"/>
  <c r="S204" i="4"/>
  <c r="S154" i="4"/>
  <c r="M261" i="4"/>
  <c r="M236" i="4"/>
  <c r="M208" i="4"/>
  <c r="M154" i="4"/>
  <c r="L261" i="4"/>
  <c r="L236" i="4"/>
  <c r="L204" i="4"/>
  <c r="L154" i="4"/>
  <c r="K261" i="4"/>
  <c r="K236" i="4"/>
  <c r="K208" i="4"/>
  <c r="K204" i="4"/>
  <c r="K154" i="4"/>
  <c r="J261" i="4"/>
  <c r="J236" i="4"/>
  <c r="J204" i="4"/>
  <c r="J154" i="4"/>
  <c r="I261" i="4"/>
  <c r="I236" i="4"/>
  <c r="I208" i="4"/>
  <c r="I154" i="4"/>
  <c r="T154" i="4"/>
  <c r="R261" i="4"/>
  <c r="R236" i="4"/>
  <c r="Q208" i="4"/>
  <c r="R257" i="4" l="1"/>
  <c r="R266" i="4"/>
  <c r="R250" i="4"/>
  <c r="O232" i="4"/>
  <c r="R40" i="4"/>
  <c r="R101" i="4"/>
  <c r="R118" i="4"/>
  <c r="S40" i="4"/>
  <c r="T232" i="4"/>
  <c r="S227" i="4"/>
  <c r="T112" i="4"/>
  <c r="R141" i="4"/>
  <c r="T89" i="4"/>
  <c r="Q89" i="4"/>
  <c r="R107" i="4"/>
  <c r="T261" i="4"/>
  <c r="F1222" i="6"/>
  <c r="L61" i="4"/>
  <c r="N227" i="4"/>
  <c r="S101" i="4"/>
  <c r="S118" i="4"/>
  <c r="S141" i="4"/>
  <c r="N101" i="4"/>
  <c r="N118" i="4"/>
  <c r="N141" i="4"/>
  <c r="T18" i="4"/>
  <c r="I227" i="4"/>
  <c r="J112" i="4"/>
  <c r="J135" i="4"/>
  <c r="K141" i="4"/>
  <c r="K227" i="4"/>
  <c r="L112" i="4"/>
  <c r="L135" i="4"/>
  <c r="L232" i="4"/>
  <c r="M227" i="4"/>
  <c r="S89" i="4"/>
  <c r="S107" i="4"/>
  <c r="S124" i="4"/>
  <c r="N89" i="4"/>
  <c r="N124" i="4"/>
  <c r="Q112" i="4"/>
  <c r="M18" i="4"/>
  <c r="S95" i="4"/>
  <c r="S112" i="4"/>
  <c r="S135" i="4"/>
  <c r="S168" i="4"/>
  <c r="S175" i="4"/>
  <c r="S182" i="4"/>
  <c r="S266" i="4"/>
  <c r="S222" i="4"/>
  <c r="S243" i="4"/>
  <c r="S250" i="4"/>
  <c r="S257" i="4"/>
  <c r="T141" i="4"/>
  <c r="T175" i="4"/>
  <c r="T182" i="4"/>
  <c r="T227" i="4"/>
  <c r="T257" i="4"/>
  <c r="N95" i="4"/>
  <c r="N112" i="4"/>
  <c r="N135" i="4"/>
  <c r="N161" i="4"/>
  <c r="N168" i="4"/>
  <c r="N175" i="4"/>
  <c r="N182" i="4"/>
  <c r="N215" i="4"/>
  <c r="N222" i="4"/>
  <c r="N243" i="4"/>
  <c r="N250" i="4"/>
  <c r="N257" i="4"/>
  <c r="O107" i="4"/>
  <c r="O124" i="4"/>
  <c r="O227" i="4"/>
  <c r="O267" i="4"/>
  <c r="P243" i="4"/>
  <c r="Q107" i="4"/>
  <c r="Q124" i="4"/>
  <c r="Q175" i="4"/>
  <c r="Q227" i="4"/>
  <c r="R95" i="4"/>
  <c r="R112" i="4"/>
  <c r="R135" i="4"/>
  <c r="R168" i="4"/>
  <c r="R175" i="4"/>
  <c r="L81" i="4"/>
  <c r="T76" i="4"/>
  <c r="J35" i="4"/>
  <c r="J56" i="4"/>
  <c r="J76" i="4"/>
  <c r="K56" i="4"/>
  <c r="K66" i="4"/>
  <c r="K76" i="4"/>
  <c r="K130" i="4"/>
  <c r="R264" i="4"/>
  <c r="R89" i="4"/>
  <c r="R76" i="4"/>
  <c r="J18" i="4"/>
  <c r="R222" i="4"/>
  <c r="R124" i="4"/>
  <c r="I81" i="4"/>
  <c r="J81" i="4"/>
  <c r="L76" i="4"/>
  <c r="J227" i="4"/>
  <c r="S76" i="4"/>
  <c r="R182" i="4"/>
  <c r="I266" i="4"/>
  <c r="L107" i="4"/>
  <c r="K147" i="4"/>
  <c r="K187" i="4" s="1"/>
  <c r="K51" i="4"/>
  <c r="K71" i="4"/>
  <c r="L35" i="4"/>
  <c r="L56" i="4"/>
  <c r="O18" i="4"/>
  <c r="O56" i="4"/>
  <c r="O66" i="4"/>
  <c r="O76" i="4"/>
  <c r="Q76" i="4"/>
  <c r="S18" i="4"/>
  <c r="T81" i="4"/>
  <c r="I107" i="4"/>
  <c r="L51" i="4"/>
  <c r="N76" i="4"/>
  <c r="K112" i="4"/>
  <c r="K232" i="4"/>
  <c r="Q250" i="4"/>
  <c r="L18" i="4"/>
  <c r="K257" i="4"/>
  <c r="L257" i="4"/>
  <c r="M89" i="4"/>
  <c r="M141" i="4"/>
  <c r="M175" i="4"/>
  <c r="I76" i="4"/>
  <c r="J51" i="4"/>
  <c r="J71" i="4"/>
  <c r="M29" i="4"/>
  <c r="M146" i="4" s="1"/>
  <c r="M186" i="4" s="1"/>
  <c r="M35" i="4"/>
  <c r="M56" i="4"/>
  <c r="M76" i="4"/>
  <c r="N147" i="4"/>
  <c r="N187" i="4" s="1"/>
  <c r="O71" i="4"/>
  <c r="O236" i="4"/>
  <c r="Q18" i="4"/>
  <c r="Q81" i="4"/>
  <c r="R18" i="4"/>
  <c r="R81" i="4"/>
  <c r="J124" i="4"/>
  <c r="L89" i="4"/>
  <c r="L267" i="4"/>
  <c r="T51" i="4"/>
  <c r="I51" i="4"/>
  <c r="I71" i="4"/>
  <c r="I130" i="4"/>
  <c r="J29" i="4"/>
  <c r="J146" i="4" s="1"/>
  <c r="J186" i="4" s="1"/>
  <c r="N81" i="4"/>
  <c r="Q56" i="4"/>
  <c r="Q66" i="4"/>
  <c r="R56" i="4"/>
  <c r="R66" i="4"/>
  <c r="S81" i="4"/>
  <c r="T35" i="4"/>
  <c r="T56" i="4"/>
  <c r="T66" i="4"/>
  <c r="I101" i="4"/>
  <c r="I118" i="4"/>
  <c r="I141" i="4"/>
  <c r="I264" i="4"/>
  <c r="I222" i="4"/>
  <c r="J101" i="4"/>
  <c r="J168" i="4"/>
  <c r="K101" i="4"/>
  <c r="K118" i="4"/>
  <c r="K264" i="4"/>
  <c r="M40" i="4"/>
  <c r="M101" i="4"/>
  <c r="M118" i="4"/>
  <c r="M264" i="4"/>
  <c r="T40" i="4"/>
  <c r="O40" i="4"/>
  <c r="Q40" i="4"/>
  <c r="K148" i="4"/>
  <c r="K188" i="4" s="1"/>
  <c r="L29" i="4"/>
  <c r="L146" i="4" s="1"/>
  <c r="L186" i="4" s="1"/>
  <c r="Q51" i="4"/>
  <c r="Q71" i="4"/>
  <c r="R51" i="4"/>
  <c r="R71" i="4"/>
  <c r="T71" i="4"/>
  <c r="I29" i="4"/>
  <c r="I146" i="4" s="1"/>
  <c r="I186" i="4" s="1"/>
  <c r="I35" i="4"/>
  <c r="I56" i="4"/>
  <c r="I66" i="4"/>
  <c r="L147" i="4"/>
  <c r="L187" i="4" s="1"/>
  <c r="M148" i="4"/>
  <c r="M188" i="4" s="1"/>
  <c r="M61" i="4"/>
  <c r="M130" i="4"/>
  <c r="N18" i="4"/>
  <c r="N56" i="4"/>
  <c r="N66" i="4"/>
  <c r="Q148" i="4"/>
  <c r="Q188" i="4" s="1"/>
  <c r="Q275" i="4" s="1"/>
  <c r="R148" i="4"/>
  <c r="R188" i="4" s="1"/>
  <c r="R275" i="4" s="1"/>
  <c r="R204" i="4"/>
  <c r="S56" i="4"/>
  <c r="S66" i="4"/>
  <c r="T29" i="4"/>
  <c r="T146" i="4" s="1"/>
  <c r="I89" i="4"/>
  <c r="I95" i="4"/>
  <c r="I124" i="4"/>
  <c r="I161" i="4"/>
  <c r="J107" i="4"/>
  <c r="J266" i="4"/>
  <c r="J222" i="4"/>
  <c r="J243" i="4"/>
  <c r="K89" i="4"/>
  <c r="K107" i="4"/>
  <c r="K124" i="4"/>
  <c r="K175" i="4"/>
  <c r="K182" i="4"/>
  <c r="K250" i="4"/>
  <c r="L124" i="4"/>
  <c r="L182" i="4"/>
  <c r="L227" i="4"/>
  <c r="M107" i="4"/>
  <c r="M124" i="4"/>
  <c r="M250" i="4"/>
  <c r="O89" i="4"/>
  <c r="J66" i="4"/>
  <c r="J130" i="4"/>
  <c r="K18" i="4"/>
  <c r="K29" i="4"/>
  <c r="K146" i="4" s="1"/>
  <c r="K186" i="4" s="1"/>
  <c r="K35" i="4"/>
  <c r="L71" i="4"/>
  <c r="M51" i="4"/>
  <c r="Q130" i="4"/>
  <c r="R130" i="4"/>
  <c r="T130" i="4"/>
  <c r="J40" i="4"/>
  <c r="J95" i="4"/>
  <c r="J118" i="4"/>
  <c r="J141" i="4"/>
  <c r="J161" i="4"/>
  <c r="J175" i="4"/>
  <c r="J182" i="4"/>
  <c r="J215" i="4"/>
  <c r="J250" i="4"/>
  <c r="J257" i="4"/>
  <c r="L95" i="4"/>
  <c r="L101" i="4"/>
  <c r="L118" i="4"/>
  <c r="L141" i="4"/>
  <c r="L161" i="4"/>
  <c r="L168" i="4"/>
  <c r="L175" i="4"/>
  <c r="L266" i="4"/>
  <c r="L222" i="4"/>
  <c r="L250" i="4"/>
  <c r="N232" i="4"/>
  <c r="N107" i="4"/>
  <c r="K61" i="4"/>
  <c r="L66" i="4"/>
  <c r="M71" i="4"/>
  <c r="M81" i="4"/>
  <c r="N51" i="4"/>
  <c r="N130" i="4"/>
  <c r="O51" i="4"/>
  <c r="O61" i="4"/>
  <c r="O130" i="4"/>
  <c r="S51" i="4"/>
  <c r="S130" i="4"/>
  <c r="J89" i="4"/>
  <c r="J267" i="4"/>
  <c r="T95" i="4"/>
  <c r="T101" i="4"/>
  <c r="T118" i="4"/>
  <c r="T135" i="4"/>
  <c r="T168" i="4"/>
  <c r="T266" i="4"/>
  <c r="T222" i="4"/>
  <c r="T243" i="4"/>
  <c r="T250" i="4"/>
  <c r="O95" i="4"/>
  <c r="O101" i="4"/>
  <c r="O112" i="4"/>
  <c r="O118" i="4"/>
  <c r="O135" i="4"/>
  <c r="O141" i="4"/>
  <c r="O161" i="4"/>
  <c r="O168" i="4"/>
  <c r="O175" i="4"/>
  <c r="O182" i="4"/>
  <c r="O266" i="4"/>
  <c r="O222" i="4"/>
  <c r="O243" i="4"/>
  <c r="O250" i="4"/>
  <c r="O257" i="4"/>
  <c r="Q95" i="4"/>
  <c r="Q101" i="4"/>
  <c r="Q118" i="4"/>
  <c r="Q135" i="4"/>
  <c r="Q141" i="4"/>
  <c r="Q168" i="4"/>
  <c r="Q182" i="4"/>
  <c r="Q264" i="4"/>
  <c r="Q222" i="4"/>
  <c r="Q257" i="4"/>
  <c r="I61" i="4"/>
  <c r="J61" i="4"/>
  <c r="K81" i="4"/>
  <c r="L148" i="4"/>
  <c r="L188" i="4" s="1"/>
  <c r="L130" i="4"/>
  <c r="M66" i="4"/>
  <c r="N29" i="4"/>
  <c r="N146" i="4" s="1"/>
  <c r="N186" i="4" s="1"/>
  <c r="N35" i="4"/>
  <c r="N61" i="4"/>
  <c r="N71" i="4"/>
  <c r="O29" i="4"/>
  <c r="O146" i="4" s="1"/>
  <c r="O186" i="4" s="1"/>
  <c r="O35" i="4"/>
  <c r="O81" i="4"/>
  <c r="Q29" i="4"/>
  <c r="Q146" i="4" s="1"/>
  <c r="Q35" i="4"/>
  <c r="Q61" i="4"/>
  <c r="R29" i="4"/>
  <c r="R146" i="4" s="1"/>
  <c r="R35" i="4"/>
  <c r="R61" i="4"/>
  <c r="S29" i="4"/>
  <c r="S146" i="4" s="1"/>
  <c r="S35" i="4"/>
  <c r="S61" i="4"/>
  <c r="S71" i="4"/>
  <c r="T61" i="4"/>
  <c r="I148" i="4"/>
  <c r="I188" i="4" s="1"/>
  <c r="I112" i="4"/>
  <c r="I135" i="4"/>
  <c r="I168" i="4"/>
  <c r="I175" i="4"/>
  <c r="I182" i="4"/>
  <c r="I215" i="4"/>
  <c r="I232" i="4"/>
  <c r="I250" i="4"/>
  <c r="I257" i="4"/>
  <c r="K95" i="4"/>
  <c r="K135" i="4"/>
  <c r="K161" i="4"/>
  <c r="K168" i="4"/>
  <c r="K266" i="4"/>
  <c r="K222" i="4"/>
  <c r="M95" i="4"/>
  <c r="M112" i="4"/>
  <c r="M135" i="4"/>
  <c r="M161" i="4"/>
  <c r="M168" i="4"/>
  <c r="M182" i="4"/>
  <c r="M266" i="4"/>
  <c r="M222" i="4"/>
  <c r="M257" i="4"/>
  <c r="T107" i="4"/>
  <c r="T124" i="4"/>
  <c r="R232" i="4"/>
  <c r="R215" i="4"/>
  <c r="O215" i="4"/>
  <c r="N266" i="4"/>
  <c r="T215" i="4"/>
  <c r="T148" i="4"/>
  <c r="T188" i="4" s="1"/>
  <c r="S148" i="4"/>
  <c r="S188" i="4" s="1"/>
  <c r="S232" i="4"/>
  <c r="S215" i="4"/>
  <c r="Q215" i="4"/>
  <c r="Q232" i="4"/>
  <c r="Q204" i="4"/>
  <c r="P232" i="4"/>
  <c r="O148" i="4"/>
  <c r="O188" i="4" s="1"/>
  <c r="N148" i="4"/>
  <c r="N188" i="4" s="1"/>
  <c r="M215" i="4"/>
  <c r="M232" i="4"/>
  <c r="M204" i="4"/>
  <c r="L215" i="4"/>
  <c r="L264" i="4"/>
  <c r="K215" i="4"/>
  <c r="J232" i="4"/>
  <c r="J148" i="4"/>
  <c r="J188" i="4" s="1"/>
  <c r="I40" i="4"/>
  <c r="I204" i="4"/>
  <c r="T147" i="4"/>
  <c r="T187" i="4" s="1"/>
  <c r="T267" i="4"/>
  <c r="T264" i="4"/>
  <c r="S147" i="4"/>
  <c r="S187" i="4" s="1"/>
  <c r="S267" i="4"/>
  <c r="S264" i="4"/>
  <c r="R147" i="4"/>
  <c r="R187" i="4" s="1"/>
  <c r="R243" i="4"/>
  <c r="R267" i="4"/>
  <c r="Q147" i="4"/>
  <c r="Q187" i="4" s="1"/>
  <c r="Q243" i="4"/>
  <c r="Q267" i="4"/>
  <c r="O147" i="4"/>
  <c r="O187" i="4" s="1"/>
  <c r="O208" i="4"/>
  <c r="O264" i="4"/>
  <c r="N267" i="4"/>
  <c r="N264" i="4"/>
  <c r="N40" i="4"/>
  <c r="M147" i="4"/>
  <c r="M187" i="4" s="1"/>
  <c r="M243" i="4"/>
  <c r="M267" i="4"/>
  <c r="L243" i="4"/>
  <c r="L208" i="4"/>
  <c r="L40" i="4"/>
  <c r="K243" i="4"/>
  <c r="K267" i="4"/>
  <c r="K40" i="4"/>
  <c r="J208" i="4"/>
  <c r="J264" i="4"/>
  <c r="J147" i="4"/>
  <c r="J187" i="4" s="1"/>
  <c r="I243" i="4"/>
  <c r="I267" i="4"/>
  <c r="I147" i="4"/>
  <c r="I187" i="4" s="1"/>
  <c r="L275" i="4" l="1"/>
  <c r="S275" i="4"/>
  <c r="S149" i="4"/>
  <c r="S189" i="4" s="1"/>
  <c r="I275" i="4"/>
  <c r="R149" i="4"/>
  <c r="R189" i="4" s="1"/>
  <c r="R276" i="4" s="1"/>
  <c r="J275" i="4"/>
  <c r="N149" i="4"/>
  <c r="N189" i="4" s="1"/>
  <c r="N192" i="4" s="1"/>
  <c r="O83" i="4"/>
  <c r="Q149" i="4"/>
  <c r="Q189" i="4" s="1"/>
  <c r="Q276" i="4" s="1"/>
  <c r="J149" i="4"/>
  <c r="J189" i="4" s="1"/>
  <c r="J276" i="4" s="1"/>
  <c r="M275" i="4"/>
  <c r="I83" i="4"/>
  <c r="M83" i="4"/>
  <c r="K83" i="4"/>
  <c r="K149" i="4"/>
  <c r="K189" i="4" s="1"/>
  <c r="K192" i="4" s="1"/>
  <c r="T83" i="4"/>
  <c r="L83" i="4"/>
  <c r="O275" i="4"/>
  <c r="T149" i="4"/>
  <c r="T189" i="4" s="1"/>
  <c r="T276" i="4" s="1"/>
  <c r="M149" i="4"/>
  <c r="M189" i="4" s="1"/>
  <c r="M276" i="4" s="1"/>
  <c r="K275" i="4"/>
  <c r="I149" i="4"/>
  <c r="I189" i="4" s="1"/>
  <c r="I276" i="4" s="1"/>
  <c r="S83" i="4"/>
  <c r="Q83" i="4"/>
  <c r="J83" i="4"/>
  <c r="O149" i="4"/>
  <c r="O189" i="4" s="1"/>
  <c r="O276" i="4" s="1"/>
  <c r="L149" i="4"/>
  <c r="L189" i="4" s="1"/>
  <c r="L276" i="4" s="1"/>
  <c r="R83" i="4"/>
  <c r="T275" i="4"/>
  <c r="N83" i="4"/>
  <c r="N275" i="4"/>
  <c r="O273" i="4"/>
  <c r="N273" i="4"/>
  <c r="M273" i="4"/>
  <c r="L273" i="4"/>
  <c r="K273" i="4"/>
  <c r="J273" i="4"/>
  <c r="I273" i="4"/>
  <c r="R150" i="4" l="1"/>
  <c r="I150" i="4"/>
  <c r="S276" i="4"/>
  <c r="S150" i="4"/>
  <c r="N150" i="4"/>
  <c r="K150" i="4"/>
  <c r="T150" i="4"/>
  <c r="K276" i="4"/>
  <c r="M192" i="4"/>
  <c r="J150" i="4"/>
  <c r="Q150" i="4"/>
  <c r="M150" i="4"/>
  <c r="J192" i="4"/>
  <c r="L150" i="4"/>
  <c r="I192" i="4"/>
  <c r="O150" i="4"/>
  <c r="N276" i="4"/>
  <c r="L192" i="4"/>
  <c r="O192" i="4"/>
  <c r="I19" i="139" l="1"/>
  <c r="I20" i="139"/>
  <c r="I24" i="139"/>
  <c r="I25" i="139"/>
  <c r="I29" i="139"/>
  <c r="I30" i="139"/>
  <c r="I32" i="139"/>
  <c r="I33" i="139"/>
  <c r="I35" i="139"/>
  <c r="I36" i="139"/>
  <c r="I37" i="139"/>
  <c r="I41" i="139"/>
  <c r="I42" i="139"/>
  <c r="I46" i="139"/>
  <c r="I47" i="139"/>
  <c r="I51" i="139"/>
  <c r="I52" i="139"/>
  <c r="I56" i="139"/>
  <c r="I57" i="139"/>
  <c r="I61" i="139"/>
  <c r="I62" i="139"/>
  <c r="I66" i="139"/>
  <c r="I67" i="139"/>
  <c r="I71" i="139"/>
  <c r="I72" i="139"/>
  <c r="I76" i="139"/>
  <c r="I77" i="139"/>
  <c r="I81" i="139"/>
  <c r="I82" i="139"/>
  <c r="I86" i="139"/>
  <c r="I87" i="139"/>
  <c r="I91" i="139"/>
  <c r="I92" i="139"/>
  <c r="I96" i="139"/>
  <c r="I97" i="139"/>
  <c r="I101" i="139"/>
  <c r="I102" i="139"/>
  <c r="I106" i="139"/>
  <c r="I107" i="139"/>
  <c r="I111" i="139"/>
  <c r="I112" i="139"/>
  <c r="I116" i="139"/>
  <c r="I117" i="139"/>
  <c r="I121" i="139"/>
  <c r="I122" i="139"/>
  <c r="I127" i="139"/>
  <c r="I129" i="139"/>
  <c r="I130" i="139"/>
  <c r="I132" i="139"/>
  <c r="I133" i="139"/>
  <c r="I134" i="139"/>
  <c r="I135" i="139"/>
  <c r="I136" i="139"/>
  <c r="I137" i="139"/>
  <c r="I140" i="139"/>
  <c r="I142" i="139"/>
  <c r="I143" i="139"/>
  <c r="I144" i="139"/>
  <c r="I145" i="139"/>
  <c r="I149" i="139"/>
  <c r="I150" i="139"/>
  <c r="I154" i="139"/>
  <c r="I155" i="139"/>
  <c r="I159" i="139"/>
  <c r="I160" i="139"/>
  <c r="I164" i="139"/>
  <c r="I165" i="139"/>
  <c r="I169" i="139"/>
  <c r="I170" i="139"/>
  <c r="I174" i="139"/>
  <c r="I175" i="139"/>
  <c r="I179" i="139"/>
  <c r="I180" i="139"/>
  <c r="I184" i="139"/>
  <c r="I185" i="139"/>
  <c r="I189" i="139"/>
  <c r="I190" i="139"/>
  <c r="I194" i="139"/>
  <c r="I195" i="139"/>
  <c r="I199" i="139"/>
  <c r="I200" i="139"/>
  <c r="I204" i="139"/>
  <c r="I205" i="139"/>
  <c r="I209" i="139"/>
  <c r="I210" i="139"/>
  <c r="I214" i="139"/>
  <c r="I215" i="139"/>
  <c r="I219" i="139"/>
  <c r="I220" i="139"/>
  <c r="I224" i="139"/>
  <c r="I225" i="139"/>
  <c r="I229" i="139"/>
  <c r="I230" i="139"/>
  <c r="I234" i="139"/>
  <c r="I235" i="139"/>
  <c r="I239" i="139"/>
  <c r="I240" i="139"/>
  <c r="I243" i="139"/>
  <c r="I245" i="139"/>
  <c r="I246" i="139"/>
  <c r="I247" i="139"/>
  <c r="I248" i="139"/>
  <c r="I252" i="139"/>
  <c r="I253" i="139"/>
  <c r="I257" i="139"/>
  <c r="I258" i="139"/>
  <c r="I262" i="139"/>
  <c r="I263" i="139"/>
  <c r="I267" i="139"/>
  <c r="I268" i="139"/>
  <c r="I272" i="139"/>
  <c r="I273" i="139"/>
  <c r="I277" i="139"/>
  <c r="I278" i="139"/>
  <c r="I282" i="139"/>
  <c r="I283" i="139"/>
  <c r="I287" i="139"/>
  <c r="I288" i="139"/>
  <c r="I289" i="139"/>
  <c r="I293" i="139"/>
  <c r="I294" i="139"/>
  <c r="I297" i="139"/>
  <c r="I299" i="139"/>
  <c r="I300" i="139"/>
  <c r="I301" i="139"/>
  <c r="I302" i="139"/>
  <c r="I306" i="139"/>
  <c r="I307" i="139"/>
  <c r="I311" i="139"/>
  <c r="I312" i="139"/>
  <c r="I316" i="139"/>
  <c r="I317" i="139"/>
  <c r="I321" i="139"/>
  <c r="I322" i="139"/>
  <c r="I325" i="139"/>
  <c r="I327" i="139"/>
  <c r="I328" i="139"/>
  <c r="I329" i="139"/>
  <c r="I330" i="139"/>
  <c r="I334" i="139"/>
  <c r="I338" i="139"/>
  <c r="I342" i="139"/>
  <c r="I346" i="139"/>
  <c r="I350" i="139"/>
  <c r="I354" i="139"/>
  <c r="I358" i="139"/>
  <c r="I362" i="139"/>
  <c r="I366" i="139"/>
  <c r="I370" i="139"/>
  <c r="I374" i="139"/>
  <c r="I378" i="139"/>
  <c r="I379" i="139"/>
  <c r="I384" i="139"/>
  <c r="I385" i="139"/>
  <c r="I386" i="139"/>
  <c r="I387" i="139"/>
  <c r="I393" i="139"/>
  <c r="I394" i="139"/>
  <c r="I400" i="139"/>
  <c r="I402" i="139"/>
  <c r="I403" i="139"/>
  <c r="I404" i="139"/>
  <c r="I410" i="139"/>
  <c r="I412" i="139"/>
  <c r="I414" i="139"/>
  <c r="I416" i="139"/>
  <c r="I418" i="139"/>
  <c r="I420" i="139"/>
  <c r="I422" i="139"/>
  <c r="I424" i="139"/>
  <c r="I426" i="139"/>
  <c r="I427" i="139"/>
  <c r="I429" i="139"/>
  <c r="H130" i="4" l="1"/>
  <c r="F12" i="1" l="1"/>
  <c r="I423" i="139" l="1"/>
  <c r="I421" i="139"/>
  <c r="I419" i="139"/>
  <c r="I319" i="139"/>
  <c r="I318" i="139"/>
  <c r="I291" i="139"/>
  <c r="I290" i="139"/>
  <c r="I285" i="139"/>
  <c r="I284" i="139"/>
  <c r="I280" i="139"/>
  <c r="I279" i="139"/>
  <c r="I237" i="139"/>
  <c r="I236" i="139"/>
  <c r="I232" i="139"/>
  <c r="I231" i="139"/>
  <c r="I157" i="139"/>
  <c r="I156" i="139"/>
  <c r="I119" i="139"/>
  <c r="I118" i="139"/>
  <c r="I109" i="139"/>
  <c r="I108" i="139"/>
  <c r="I104" i="139"/>
  <c r="I103" i="139"/>
  <c r="I69" i="139"/>
  <c r="I68" i="139"/>
  <c r="I64" i="139"/>
  <c r="I63" i="139"/>
  <c r="I49" i="139"/>
  <c r="I48" i="139"/>
  <c r="I44" i="139"/>
  <c r="I43" i="139"/>
  <c r="I39" i="139"/>
  <c r="I38" i="139"/>
  <c r="I34" i="139"/>
  <c r="I31" i="139"/>
  <c r="L10" i="548"/>
  <c r="L11" i="548"/>
  <c r="L12" i="548"/>
  <c r="L13" i="548"/>
  <c r="L14" i="548"/>
  <c r="L15" i="548"/>
  <c r="L16" i="548"/>
  <c r="L17" i="548"/>
  <c r="F195" i="15" l="1"/>
  <c r="H257" i="4" l="1"/>
  <c r="H243" i="4"/>
  <c r="H236" i="4"/>
  <c r="H232" i="4"/>
  <c r="H222" i="4"/>
  <c r="H204" i="4"/>
  <c r="H182" i="4"/>
  <c r="H168" i="4"/>
  <c r="H154" i="4"/>
  <c r="H141" i="4"/>
  <c r="H135" i="4"/>
  <c r="H118" i="4"/>
  <c r="H112" i="4"/>
  <c r="H101" i="4"/>
  <c r="H95" i="4"/>
  <c r="H81" i="4"/>
  <c r="H71" i="4"/>
  <c r="H61" i="4"/>
  <c r="H51" i="4"/>
  <c r="H148" i="4"/>
  <c r="H188" i="4" s="1"/>
  <c r="H29" i="4"/>
  <c r="H146" i="4" s="1"/>
  <c r="H261" i="4"/>
  <c r="H227" i="4"/>
  <c r="H208" i="4"/>
  <c r="H124" i="4"/>
  <c r="H107" i="4"/>
  <c r="H40" i="4"/>
  <c r="H56" i="4" l="1"/>
  <c r="H66" i="4"/>
  <c r="H76" i="4"/>
  <c r="H89" i="4"/>
  <c r="H149" i="4" s="1"/>
  <c r="H189" i="4" s="1"/>
  <c r="H35" i="4"/>
  <c r="H186" i="4"/>
  <c r="H147" i="4"/>
  <c r="H187" i="4" s="1"/>
  <c r="H161" i="4"/>
  <c r="H175" i="4"/>
  <c r="H266" i="4"/>
  <c r="H275" i="4" s="1"/>
  <c r="H215" i="4"/>
  <c r="H250" i="4"/>
  <c r="H267" i="4"/>
  <c r="H264" i="4"/>
  <c r="H83" i="4" l="1"/>
  <c r="H273" i="4"/>
  <c r="H192" i="4"/>
  <c r="H276" i="4"/>
  <c r="H150" i="4"/>
  <c r="F233" i="139" l="1"/>
  <c r="I233" i="139" s="1"/>
  <c r="F120" i="139"/>
  <c r="I120" i="139" s="1"/>
  <c r="F105" i="139"/>
  <c r="I105" i="139" s="1"/>
  <c r="F65" i="139"/>
  <c r="I65" i="139" s="1"/>
  <c r="F45" i="139"/>
  <c r="I45" i="139" s="1"/>
  <c r="F40" i="139"/>
  <c r="I40" i="139" s="1"/>
  <c r="F123" i="139"/>
  <c r="I123" i="139" s="1"/>
  <c r="F127" i="139"/>
  <c r="F22" i="139"/>
  <c r="I22" i="139" s="1"/>
  <c r="I21" i="139"/>
  <c r="F281" i="139" l="1"/>
  <c r="I281" i="139" s="1"/>
  <c r="F292" i="139"/>
  <c r="I292" i="139" s="1"/>
  <c r="F320" i="139"/>
  <c r="I320" i="139" s="1"/>
  <c r="F23" i="139"/>
  <c r="I23" i="139" s="1"/>
  <c r="F158" i="139"/>
  <c r="I158" i="139" s="1"/>
  <c r="F238" i="139"/>
  <c r="I238" i="139" s="1"/>
  <c r="F286" i="139"/>
  <c r="I286" i="139" s="1"/>
  <c r="F50" i="139"/>
  <c r="I50" i="139" s="1"/>
  <c r="F70" i="139"/>
  <c r="I70" i="139" s="1"/>
  <c r="F110" i="139"/>
  <c r="I110" i="139" s="1"/>
  <c r="F125" i="139"/>
  <c r="I125" i="139" s="1"/>
  <c r="N430" i="139" l="1"/>
  <c r="N425" i="139"/>
  <c r="N428" i="139" s="1"/>
  <c r="N401" i="139"/>
  <c r="N381" i="139"/>
  <c r="N382" i="139" s="1"/>
  <c r="N383" i="139" s="1"/>
  <c r="N380" i="139"/>
  <c r="N324" i="139"/>
  <c r="N323" i="139"/>
  <c r="N326" i="139" s="1"/>
  <c r="N296" i="139"/>
  <c r="N295" i="139"/>
  <c r="N298" i="139" s="1"/>
  <c r="N244" i="139"/>
  <c r="N242" i="139"/>
  <c r="N241" i="139"/>
  <c r="N141" i="139"/>
  <c r="N131" i="139"/>
  <c r="N126" i="139"/>
  <c r="N125" i="139"/>
  <c r="N124" i="139"/>
  <c r="N132" i="139" s="1"/>
  <c r="N123" i="139"/>
  <c r="N431" i="139" l="1"/>
  <c r="S4" i="5" l="1"/>
  <c r="H70" i="5"/>
  <c r="I70" i="5"/>
  <c r="J70" i="5"/>
  <c r="K70" i="5"/>
  <c r="L70" i="5"/>
  <c r="M70" i="5"/>
  <c r="N70" i="5"/>
  <c r="O70" i="5"/>
  <c r="P70" i="5"/>
  <c r="Q70" i="5"/>
  <c r="R70" i="5"/>
  <c r="A71" i="5"/>
  <c r="A70" i="5"/>
  <c r="Z203" i="4" l="1"/>
  <c r="U985" i="6" l="1"/>
  <c r="U984" i="6"/>
  <c r="U990" i="6"/>
  <c r="U989" i="6"/>
  <c r="R985" i="6"/>
  <c r="R984" i="6"/>
  <c r="R990" i="6"/>
  <c r="R989" i="6"/>
  <c r="W975" i="3"/>
  <c r="W974" i="3"/>
  <c r="W973" i="3"/>
  <c r="W970" i="3"/>
  <c r="W969" i="3"/>
  <c r="W968" i="3"/>
  <c r="T975" i="3"/>
  <c r="T974" i="3"/>
  <c r="T973" i="3"/>
  <c r="V973" i="3" s="1"/>
  <c r="G989" i="6" s="1"/>
  <c r="T970" i="3"/>
  <c r="T969" i="3"/>
  <c r="T968" i="3"/>
  <c r="V968" i="3" s="1"/>
  <c r="G984" i="6" s="1"/>
  <c r="V975" i="3"/>
  <c r="V974" i="3"/>
  <c r="G990" i="6" s="1"/>
  <c r="V970" i="3"/>
  <c r="G986" i="6" s="1"/>
  <c r="V969" i="3"/>
  <c r="G985" i="6" s="1"/>
  <c r="G991" i="6"/>
  <c r="F991" i="6"/>
  <c r="I991" i="6" s="1"/>
  <c r="J991" i="6" s="1"/>
  <c r="F990" i="6"/>
  <c r="I990" i="6" s="1"/>
  <c r="F989" i="6"/>
  <c r="I989" i="6" s="1"/>
  <c r="F986" i="6"/>
  <c r="I986" i="6" s="1"/>
  <c r="J986" i="6" s="1"/>
  <c r="F985" i="6"/>
  <c r="I985" i="6" s="1"/>
  <c r="F984" i="6"/>
  <c r="I984" i="6" s="1"/>
  <c r="Y993" i="6"/>
  <c r="Y983" i="6"/>
  <c r="Y984" i="6" s="1"/>
  <c r="Y985" i="6" s="1"/>
  <c r="Y986" i="6" s="1"/>
  <c r="Y987" i="6" s="1"/>
  <c r="Y988" i="6" s="1"/>
  <c r="Y989" i="6" s="1"/>
  <c r="Y990" i="6" s="1"/>
  <c r="Y991" i="6" s="1"/>
  <c r="Y992" i="6" s="1"/>
  <c r="J992" i="6"/>
  <c r="J988" i="6"/>
  <c r="J987" i="6"/>
  <c r="J983" i="6"/>
  <c r="J57" i="52"/>
  <c r="J56" i="52"/>
  <c r="N989" i="6" l="1"/>
  <c r="T989" i="6" s="1"/>
  <c r="J989" i="6"/>
  <c r="J985" i="6"/>
  <c r="N985" i="6"/>
  <c r="T985" i="6" s="1"/>
  <c r="M985" i="6"/>
  <c r="Q985" i="6" s="1"/>
  <c r="J984" i="6"/>
  <c r="M984" i="6"/>
  <c r="Q984" i="6" s="1"/>
  <c r="N984" i="6"/>
  <c r="T984" i="6" s="1"/>
  <c r="N990" i="6"/>
  <c r="T990" i="6" s="1"/>
  <c r="M990" i="6"/>
  <c r="Q990" i="6" s="1"/>
  <c r="J990" i="6"/>
  <c r="M989" i="6"/>
  <c r="Q989" i="6" s="1"/>
  <c r="L39" i="582"/>
  <c r="L37" i="582"/>
  <c r="L35" i="582"/>
  <c r="Q26" i="20"/>
  <c r="P26" i="20"/>
  <c r="O26" i="20"/>
  <c r="D40" i="49"/>
  <c r="C44" i="49"/>
  <c r="C40" i="49"/>
  <c r="N29" i="12"/>
  <c r="L29" i="12"/>
  <c r="T18" i="12"/>
  <c r="S18" i="12"/>
  <c r="R18" i="12"/>
  <c r="Q18" i="12"/>
  <c r="P18" i="12"/>
  <c r="O18" i="12"/>
  <c r="N18" i="12"/>
  <c r="T11" i="12"/>
  <c r="S11" i="12"/>
  <c r="R11" i="12"/>
  <c r="Q11" i="12"/>
  <c r="P11" i="12"/>
  <c r="O11" i="12"/>
  <c r="N11" i="12"/>
  <c r="S17" i="42"/>
  <c r="S16" i="42"/>
  <c r="R17" i="42"/>
  <c r="E38" i="548" l="1"/>
  <c r="M41" i="548"/>
  <c r="L41" i="548"/>
  <c r="E31" i="548" s="1"/>
  <c r="N40" i="548"/>
  <c r="N39" i="548"/>
  <c r="N38" i="548"/>
  <c r="N37" i="548"/>
  <c r="N36" i="548"/>
  <c r="N35" i="548"/>
  <c r="N34" i="548"/>
  <c r="N33" i="548"/>
  <c r="N32" i="548"/>
  <c r="N31" i="548"/>
  <c r="N30" i="548"/>
  <c r="N29" i="548"/>
  <c r="E37" i="548" l="1"/>
  <c r="E39" i="548" s="1"/>
  <c r="E33" i="548"/>
  <c r="N41" i="548"/>
  <c r="AB236" i="4" l="1"/>
  <c r="AB235" i="4"/>
  <c r="AB227" i="4"/>
  <c r="AB226" i="4"/>
  <c r="AB225" i="4"/>
  <c r="AB208" i="4"/>
  <c r="AB207" i="4"/>
  <c r="AB199" i="4"/>
  <c r="F11" i="1" l="1"/>
  <c r="Q34" i="49" l="1"/>
  <c r="Q30" i="49"/>
  <c r="Q29" i="49"/>
  <c r="Q28" i="49"/>
  <c r="Q33" i="49"/>
  <c r="Q32" i="49"/>
  <c r="P33" i="49"/>
  <c r="P32" i="49"/>
  <c r="L35" i="49"/>
  <c r="L34" i="49"/>
  <c r="L33" i="49"/>
  <c r="L32" i="49"/>
  <c r="L31" i="49"/>
  <c r="L30" i="49"/>
  <c r="L29" i="49"/>
  <c r="L28" i="49"/>
  <c r="L27" i="49"/>
  <c r="L26" i="49"/>
  <c r="L25" i="49"/>
  <c r="L36" i="49" s="1"/>
  <c r="L24" i="49"/>
  <c r="M26" i="49"/>
  <c r="M25" i="49"/>
  <c r="M24" i="49"/>
  <c r="K36" i="49"/>
  <c r="M27" i="49"/>
  <c r="M28" i="49" s="1"/>
  <c r="M29" i="49" s="1"/>
  <c r="M30" i="49" s="1"/>
  <c r="M31" i="49" s="1"/>
  <c r="M32" i="49" s="1"/>
  <c r="M33" i="49" s="1"/>
  <c r="M34" i="49" s="1"/>
  <c r="M35" i="49" s="1"/>
  <c r="H21" i="647" l="1"/>
  <c r="BB43" i="42" l="1"/>
  <c r="BB42" i="42"/>
  <c r="BB41" i="42"/>
  <c r="BB40" i="42"/>
  <c r="BB39" i="42"/>
  <c r="BB38" i="42"/>
  <c r="BB36" i="42"/>
  <c r="BB35" i="42"/>
  <c r="BB34" i="42"/>
  <c r="BB33" i="42"/>
  <c r="BB32" i="42"/>
  <c r="BB31" i="42"/>
  <c r="BB30" i="42"/>
  <c r="BB29" i="42"/>
  <c r="BB28" i="42"/>
  <c r="BB27" i="42"/>
  <c r="BB26" i="42"/>
  <c r="BB25" i="42"/>
  <c r="BB24" i="42"/>
  <c r="BB23" i="42"/>
  <c r="BB22" i="42"/>
  <c r="BB21" i="42"/>
  <c r="BB20" i="42"/>
  <c r="BC47" i="42"/>
  <c r="P24" i="20" l="1"/>
  <c r="P27" i="20" s="1"/>
  <c r="P29" i="20" s="1"/>
  <c r="O24" i="20"/>
  <c r="O27" i="20" s="1"/>
  <c r="O29" i="20" s="1"/>
  <c r="F60" i="49" l="1"/>
  <c r="F59" i="49"/>
  <c r="F58" i="49"/>
  <c r="F57" i="49"/>
  <c r="F50" i="49"/>
  <c r="F49" i="49"/>
  <c r="F44" i="49"/>
  <c r="F43" i="49"/>
  <c r="F42" i="49"/>
  <c r="F41" i="49"/>
  <c r="F40" i="49"/>
  <c r="F45" i="49" l="1"/>
  <c r="E59" i="49"/>
  <c r="E60" i="49"/>
  <c r="E58" i="49"/>
  <c r="E57" i="49"/>
  <c r="E50" i="49"/>
  <c r="E49" i="49"/>
  <c r="E44" i="49"/>
  <c r="E43" i="49"/>
  <c r="E42" i="49"/>
  <c r="E41" i="49"/>
  <c r="E40" i="49"/>
  <c r="E51" i="49" l="1"/>
  <c r="E45" i="49"/>
  <c r="E61" i="49"/>
  <c r="E64" i="49" l="1"/>
  <c r="E53" i="49"/>
  <c r="AP53" i="42" l="1"/>
  <c r="AV50" i="42"/>
  <c r="U322" i="641" l="1"/>
  <c r="C18" i="594" l="1"/>
  <c r="C17" i="594"/>
  <c r="C16" i="594"/>
  <c r="C15" i="594"/>
  <c r="C14" i="594"/>
  <c r="M12" i="15" l="1"/>
  <c r="M13" i="15"/>
  <c r="M14" i="15"/>
  <c r="M16" i="15"/>
  <c r="M18" i="15"/>
  <c r="M21" i="15"/>
  <c r="M23" i="15"/>
  <c r="M25" i="15"/>
  <c r="M27" i="15"/>
  <c r="M30" i="15"/>
  <c r="M32" i="15"/>
  <c r="M34" i="15"/>
  <c r="M36" i="15"/>
  <c r="M39" i="15"/>
  <c r="M41" i="15"/>
  <c r="M43" i="15"/>
  <c r="M45" i="15"/>
  <c r="M48" i="15"/>
  <c r="M50" i="15"/>
  <c r="M57" i="15"/>
  <c r="M59" i="15"/>
  <c r="M61" i="15"/>
  <c r="M63" i="15"/>
  <c r="M66" i="15"/>
  <c r="M68" i="15"/>
  <c r="M70" i="15"/>
  <c r="M72" i="15"/>
  <c r="M75" i="15"/>
  <c r="M77" i="15"/>
  <c r="M79" i="15"/>
  <c r="M81" i="15"/>
  <c r="M84" i="15"/>
  <c r="M86" i="15"/>
  <c r="M88" i="15"/>
  <c r="M90" i="15"/>
  <c r="M93" i="15"/>
  <c r="M95" i="15"/>
  <c r="M97" i="15"/>
  <c r="M99" i="15"/>
  <c r="M102" i="15"/>
  <c r="M104" i="15"/>
  <c r="M106" i="15"/>
  <c r="M108" i="15"/>
  <c r="M111" i="15"/>
  <c r="M113" i="15"/>
  <c r="M115" i="15"/>
  <c r="M117" i="15"/>
  <c r="M120" i="15"/>
  <c r="M122" i="15"/>
  <c r="M124" i="15"/>
  <c r="M126" i="15"/>
  <c r="M129" i="15"/>
  <c r="M131" i="15"/>
  <c r="M133" i="15"/>
  <c r="M135" i="15"/>
  <c r="M138" i="15"/>
  <c r="M140" i="15"/>
  <c r="M142" i="15"/>
  <c r="M144" i="15"/>
  <c r="M147" i="15"/>
  <c r="M149" i="15"/>
  <c r="M151" i="15"/>
  <c r="M153" i="15"/>
  <c r="M156" i="15"/>
  <c r="M158" i="15"/>
  <c r="M160" i="15"/>
  <c r="M162" i="15"/>
  <c r="M165" i="15"/>
  <c r="M167" i="15"/>
  <c r="M169" i="15"/>
  <c r="M171" i="15"/>
  <c r="M174" i="15"/>
  <c r="M176" i="15"/>
  <c r="M178" i="15"/>
  <c r="M180" i="15"/>
  <c r="M183" i="15"/>
  <c r="M185" i="15"/>
  <c r="M187" i="15"/>
  <c r="M189" i="15"/>
  <c r="M192" i="15"/>
  <c r="M194" i="15"/>
  <c r="M197" i="15"/>
  <c r="M198" i="15"/>
  <c r="M203" i="15"/>
  <c r="M207" i="15"/>
  <c r="M208" i="15"/>
  <c r="M210" i="15"/>
  <c r="M212" i="15"/>
  <c r="M215" i="15"/>
  <c r="M217" i="15"/>
  <c r="M219" i="15"/>
  <c r="M221" i="15"/>
  <c r="M224" i="15"/>
  <c r="M226" i="15"/>
  <c r="M232" i="15"/>
  <c r="M236" i="15"/>
  <c r="M237" i="15"/>
  <c r="M239" i="15"/>
  <c r="M240" i="15"/>
  <c r="M241" i="15"/>
  <c r="M244" i="15"/>
  <c r="M246" i="15"/>
  <c r="M248" i="15"/>
  <c r="M249" i="15"/>
  <c r="M250" i="15"/>
  <c r="M253" i="15"/>
  <c r="M255" i="15"/>
  <c r="M257" i="15"/>
  <c r="M258" i="15"/>
  <c r="M259" i="15"/>
  <c r="M262" i="15"/>
  <c r="M264" i="15"/>
  <c r="M266" i="15"/>
  <c r="M267" i="15"/>
  <c r="M268" i="15"/>
  <c r="M271" i="15"/>
  <c r="M273" i="15"/>
  <c r="M275" i="15"/>
  <c r="M277" i="15"/>
  <c r="M280" i="15"/>
  <c r="M282" i="15"/>
  <c r="M284" i="15"/>
  <c r="M286" i="15"/>
  <c r="M289" i="15"/>
  <c r="M291" i="15"/>
  <c r="M293" i="15"/>
  <c r="M294" i="15"/>
  <c r="M295" i="15"/>
  <c r="M298" i="15"/>
  <c r="M299" i="15"/>
  <c r="M300" i="15"/>
  <c r="M302" i="15"/>
  <c r="M303" i="15"/>
  <c r="M304" i="15"/>
  <c r="M307" i="15"/>
  <c r="M309" i="15"/>
  <c r="M311" i="15"/>
  <c r="M312" i="15"/>
  <c r="M313" i="15"/>
  <c r="M316" i="15"/>
  <c r="M318" i="15"/>
  <c r="M321" i="15"/>
  <c r="M327" i="15"/>
  <c r="M331" i="15"/>
  <c r="M332" i="15"/>
  <c r="M334" i="15"/>
  <c r="M335" i="15"/>
  <c r="M336" i="15"/>
  <c r="M339" i="15"/>
  <c r="M341" i="15"/>
  <c r="M343" i="15"/>
  <c r="M344" i="15"/>
  <c r="M345" i="15"/>
  <c r="M348" i="15"/>
  <c r="M351" i="15"/>
  <c r="M355" i="15"/>
  <c r="M359" i="15"/>
  <c r="M360" i="15"/>
  <c r="M361" i="15"/>
  <c r="M366" i="15"/>
  <c r="M368" i="15"/>
  <c r="L353" i="15"/>
  <c r="L350" i="15"/>
  <c r="L349" i="15"/>
  <c r="L346" i="15"/>
  <c r="L342" i="15"/>
  <c r="L340" i="15"/>
  <c r="L337" i="15"/>
  <c r="L333" i="15"/>
  <c r="L320" i="15"/>
  <c r="L319" i="15"/>
  <c r="L317" i="15"/>
  <c r="L315" i="15"/>
  <c r="L314" i="15"/>
  <c r="L310" i="15"/>
  <c r="L308" i="15"/>
  <c r="L306" i="15"/>
  <c r="L305" i="15"/>
  <c r="L301" i="15"/>
  <c r="L297" i="15"/>
  <c r="L296" i="15"/>
  <c r="L292" i="15"/>
  <c r="L290" i="15"/>
  <c r="L288" i="15"/>
  <c r="L287" i="15"/>
  <c r="L285" i="15"/>
  <c r="L283" i="15"/>
  <c r="L281" i="15"/>
  <c r="L279" i="15"/>
  <c r="L278" i="15"/>
  <c r="L276" i="15"/>
  <c r="L274" i="15"/>
  <c r="L272" i="15"/>
  <c r="L270" i="15"/>
  <c r="L269" i="15"/>
  <c r="L265" i="15"/>
  <c r="L263" i="15"/>
  <c r="L261" i="15"/>
  <c r="L260" i="15"/>
  <c r="L256" i="15"/>
  <c r="L254" i="15"/>
  <c r="L252" i="15"/>
  <c r="L251" i="15"/>
  <c r="L247" i="15"/>
  <c r="L245" i="15"/>
  <c r="L243" i="15"/>
  <c r="L242" i="15"/>
  <c r="L238" i="15"/>
  <c r="L235" i="15"/>
  <c r="L234" i="15"/>
  <c r="L233" i="15"/>
  <c r="L231" i="15"/>
  <c r="L230" i="15"/>
  <c r="L229" i="15"/>
  <c r="L228" i="15"/>
  <c r="L227" i="15"/>
  <c r="L225" i="15"/>
  <c r="L223" i="15"/>
  <c r="L222" i="15"/>
  <c r="L220" i="15"/>
  <c r="L218" i="15"/>
  <c r="L216" i="15"/>
  <c r="L214" i="15"/>
  <c r="L213" i="15"/>
  <c r="L211" i="15"/>
  <c r="L209" i="15"/>
  <c r="L196" i="15"/>
  <c r="L195" i="15"/>
  <c r="L193" i="15"/>
  <c r="L191" i="15"/>
  <c r="L190" i="15"/>
  <c r="L188" i="15"/>
  <c r="L186" i="15"/>
  <c r="L184" i="15"/>
  <c r="L182" i="15"/>
  <c r="L181" i="15"/>
  <c r="L179" i="15"/>
  <c r="L177" i="15"/>
  <c r="L175" i="15"/>
  <c r="L173" i="15"/>
  <c r="L172" i="15"/>
  <c r="L170" i="15"/>
  <c r="L168" i="15"/>
  <c r="L166" i="15"/>
  <c r="L164" i="15"/>
  <c r="L163" i="15"/>
  <c r="L161" i="15"/>
  <c r="L159" i="15"/>
  <c r="L157" i="15"/>
  <c r="L155" i="15"/>
  <c r="L154" i="15"/>
  <c r="L152" i="15"/>
  <c r="L150" i="15"/>
  <c r="L148" i="15"/>
  <c r="L146" i="15"/>
  <c r="L145" i="15"/>
  <c r="L143" i="15"/>
  <c r="L141" i="15"/>
  <c r="L139" i="15"/>
  <c r="L137" i="15"/>
  <c r="L136" i="15"/>
  <c r="L134" i="15"/>
  <c r="L132" i="15"/>
  <c r="L130" i="15"/>
  <c r="L128" i="15"/>
  <c r="L127" i="15"/>
  <c r="L125" i="15"/>
  <c r="L123" i="15"/>
  <c r="L121" i="15"/>
  <c r="L119" i="15"/>
  <c r="L118" i="15"/>
  <c r="L116" i="15"/>
  <c r="L114" i="15"/>
  <c r="L112" i="15"/>
  <c r="L110" i="15"/>
  <c r="L109" i="15"/>
  <c r="L107" i="15"/>
  <c r="L105" i="15"/>
  <c r="L103" i="15"/>
  <c r="L101" i="15"/>
  <c r="L100" i="15"/>
  <c r="L98" i="15"/>
  <c r="L96" i="15"/>
  <c r="L94" i="15"/>
  <c r="L92" i="15"/>
  <c r="L91" i="15"/>
  <c r="L89" i="15"/>
  <c r="L87" i="15"/>
  <c r="L85" i="15"/>
  <c r="L83" i="15"/>
  <c r="L82" i="15"/>
  <c r="L80" i="15"/>
  <c r="L78" i="15"/>
  <c r="L76" i="15"/>
  <c r="L74" i="15"/>
  <c r="L73" i="15"/>
  <c r="L71" i="15"/>
  <c r="L69" i="15"/>
  <c r="L67" i="15"/>
  <c r="L65" i="15"/>
  <c r="L64" i="15"/>
  <c r="L62" i="15"/>
  <c r="L60" i="15"/>
  <c r="L58" i="15"/>
  <c r="L56" i="15"/>
  <c r="L55" i="15"/>
  <c r="L54" i="15"/>
  <c r="L53" i="15"/>
  <c r="L52" i="15"/>
  <c r="L51" i="15"/>
  <c r="L49" i="15"/>
  <c r="L47" i="15"/>
  <c r="L46" i="15"/>
  <c r="L44" i="15"/>
  <c r="L42" i="15"/>
  <c r="L40" i="15"/>
  <c r="L38" i="15"/>
  <c r="L37" i="15"/>
  <c r="L35" i="15"/>
  <c r="L33" i="15"/>
  <c r="L31" i="15"/>
  <c r="L29" i="15"/>
  <c r="L28" i="15"/>
  <c r="L26" i="15"/>
  <c r="L24" i="15"/>
  <c r="L22" i="15"/>
  <c r="L20" i="15"/>
  <c r="L19" i="15"/>
  <c r="L17" i="15"/>
  <c r="L15" i="15"/>
  <c r="L329" i="15" l="1"/>
  <c r="L199" i="15"/>
  <c r="L206" i="15"/>
  <c r="L326" i="15"/>
  <c r="L325" i="15"/>
  <c r="L347" i="15"/>
  <c r="L323" i="15"/>
  <c r="L322" i="15"/>
  <c r="L200" i="15"/>
  <c r="L328" i="15"/>
  <c r="L330" i="15"/>
  <c r="L357" i="15"/>
  <c r="L202" i="15"/>
  <c r="L205" i="15"/>
  <c r="L324" i="15"/>
  <c r="L358" i="15"/>
  <c r="L201" i="15"/>
  <c r="L338" i="15"/>
  <c r="L356" i="15"/>
  <c r="L352" i="15"/>
  <c r="L204" i="15"/>
  <c r="L370" i="15" l="1"/>
  <c r="L362" i="15"/>
  <c r="L365" i="15"/>
  <c r="L364" i="15"/>
  <c r="L363" i="15"/>
  <c r="L354" i="15"/>
  <c r="L371" i="15"/>
  <c r="L369" i="15"/>
  <c r="L11" i="15" l="1"/>
  <c r="L367" i="15"/>
  <c r="S66" i="5" l="1"/>
  <c r="R4" i="5" l="1"/>
  <c r="R66" i="5"/>
  <c r="J2" i="33" l="1"/>
  <c r="B3" i="653"/>
  <c r="F23" i="653" l="1"/>
  <c r="G22" i="653"/>
  <c r="G21" i="653"/>
  <c r="G20" i="653"/>
  <c r="G23" i="653" l="1"/>
  <c r="I61" i="49" l="1"/>
  <c r="I62" i="49" s="1"/>
  <c r="I63" i="49" s="1"/>
  <c r="I64" i="49" s="1"/>
  <c r="F61" i="49"/>
  <c r="F64" i="49" s="1"/>
  <c r="F51" i="49"/>
  <c r="F53" i="49" s="1"/>
  <c r="U164" i="641" l="1"/>
  <c r="U165" i="641" s="1"/>
  <c r="U147" i="641"/>
  <c r="U128" i="641"/>
  <c r="U129" i="641" s="1"/>
  <c r="T2" i="594" l="1"/>
  <c r="K2" i="594"/>
  <c r="Z2" i="594" s="1"/>
  <c r="V107" i="594"/>
  <c r="V31" i="594"/>
  <c r="V18" i="594"/>
  <c r="V19" i="594" s="1"/>
  <c r="W19" i="594" s="1"/>
  <c r="X19" i="594" s="1"/>
  <c r="Q17" i="594" s="1"/>
  <c r="R17" i="594" s="1"/>
  <c r="AH16" i="594"/>
  <c r="AH17" i="594" s="1"/>
  <c r="AI17" i="594" s="1"/>
  <c r="AJ17" i="594" s="1"/>
  <c r="AB16" i="594"/>
  <c r="R14" i="594"/>
  <c r="T12" i="594"/>
  <c r="T13" i="594" s="1"/>
  <c r="T14" i="594" s="1"/>
  <c r="T15" i="594" s="1"/>
  <c r="T16" i="594" s="1"/>
  <c r="T17" i="594" s="1"/>
  <c r="T18" i="594" s="1"/>
  <c r="T19" i="594" s="1"/>
  <c r="T20" i="594" s="1"/>
  <c r="T21" i="594" s="1"/>
  <c r="T22" i="594" s="1"/>
  <c r="T23" i="594" s="1"/>
  <c r="T24" i="594" s="1"/>
  <c r="T25" i="594" s="1"/>
  <c r="T26" i="594" s="1"/>
  <c r="T27" i="594" s="1"/>
  <c r="T28" i="594" s="1"/>
  <c r="T29" i="594" s="1"/>
  <c r="T30" i="594" s="1"/>
  <c r="T31" i="594" s="1"/>
  <c r="T32" i="594" s="1"/>
  <c r="AB9" i="594"/>
  <c r="N16" i="594"/>
  <c r="AF2" i="594"/>
  <c r="AF1" i="594"/>
  <c r="Z1" i="594"/>
  <c r="Q14" i="594" l="1"/>
  <c r="AB17" i="594"/>
  <c r="AC17" i="594" s="1"/>
  <c r="AD17" i="594" s="1"/>
  <c r="Q15" i="594"/>
  <c r="N20" i="594"/>
  <c r="R15" i="594"/>
  <c r="O20" i="594"/>
  <c r="W25" i="594"/>
  <c r="V32" i="594" s="1"/>
  <c r="W32" i="594" s="1"/>
  <c r="X32" i="594" s="1"/>
  <c r="P16" i="594" s="1"/>
  <c r="P20" i="594" l="1"/>
  <c r="R16" i="594" l="1"/>
  <c r="R20" i="594" s="1"/>
  <c r="R23" i="594" s="1"/>
  <c r="Q20" i="594"/>
  <c r="R26" i="594" l="1"/>
  <c r="R25" i="594"/>
  <c r="R27" i="594" l="1"/>
  <c r="M22" i="33" l="1"/>
  <c r="M24" i="33" s="1"/>
  <c r="E34" i="49"/>
  <c r="O23" i="33" l="1"/>
  <c r="O22" i="33"/>
  <c r="N23" i="33"/>
  <c r="N22" i="33"/>
  <c r="N24" i="33" s="1"/>
  <c r="P23" i="33" l="1"/>
  <c r="O24" i="33"/>
  <c r="P22" i="33"/>
  <c r="P24" i="33" l="1"/>
  <c r="D13" i="33"/>
  <c r="T17" i="42" l="1"/>
  <c r="T16" i="42"/>
  <c r="T18" i="42"/>
  <c r="T15" i="42"/>
  <c r="T13" i="42"/>
  <c r="L22" i="582" l="1"/>
  <c r="L42" i="582"/>
  <c r="L33" i="582"/>
  <c r="L14" i="582"/>
  <c r="L17" i="582" s="1"/>
  <c r="L43" i="582"/>
  <c r="L46" i="582" l="1"/>
  <c r="T14" i="42"/>
  <c r="D15" i="33"/>
  <c r="D18" i="33" l="1"/>
  <c r="M10" i="548" l="1"/>
  <c r="M11" i="548"/>
  <c r="M12" i="548"/>
  <c r="M13" i="548"/>
  <c r="M14" i="548"/>
  <c r="M15" i="548"/>
  <c r="M16" i="548"/>
  <c r="M17" i="548"/>
  <c r="L18" i="548"/>
  <c r="M18" i="548"/>
  <c r="L19" i="548"/>
  <c r="M19" i="548"/>
  <c r="L20" i="548"/>
  <c r="M20" i="548"/>
  <c r="L21" i="548"/>
  <c r="M21" i="548"/>
  <c r="N20" i="548" l="1"/>
  <c r="N21" i="548"/>
  <c r="N16" i="548"/>
  <c r="N17" i="548"/>
  <c r="N18" i="548"/>
  <c r="N14" i="548"/>
  <c r="N11" i="548"/>
  <c r="N13" i="548"/>
  <c r="N19" i="548"/>
  <c r="N10" i="548"/>
  <c r="N15" i="548"/>
  <c r="N12" i="548"/>
  <c r="C45" i="49" l="1"/>
  <c r="C61" i="49"/>
  <c r="C64" i="49" l="1"/>
  <c r="L20" i="12"/>
  <c r="C26" i="49" l="1"/>
  <c r="C24" i="49" s="1"/>
  <c r="R1209" i="3"/>
  <c r="R1208" i="3"/>
  <c r="R1207" i="3"/>
  <c r="R1206" i="3"/>
  <c r="R1203" i="3"/>
  <c r="R1199" i="3"/>
  <c r="R1192" i="3"/>
  <c r="R1185" i="3"/>
  <c r="R68" i="5" s="1"/>
  <c r="R1178" i="3"/>
  <c r="R67" i="5" s="1"/>
  <c r="R1169" i="3"/>
  <c r="R65" i="5" s="1"/>
  <c r="R1164" i="3"/>
  <c r="R1157" i="3"/>
  <c r="R1150" i="3"/>
  <c r="R63" i="5" s="1"/>
  <c r="R1146" i="3"/>
  <c r="R62" i="5" s="1"/>
  <c r="R1142" i="3"/>
  <c r="R61" i="5" s="1"/>
  <c r="R1124" i="3"/>
  <c r="R57" i="5" s="1"/>
  <c r="R1117" i="3"/>
  <c r="R56" i="5" s="1"/>
  <c r="R1110" i="3"/>
  <c r="R55" i="5" s="1"/>
  <c r="R1103" i="3"/>
  <c r="R54" i="5" s="1"/>
  <c r="R1096" i="3"/>
  <c r="R53" i="5" s="1"/>
  <c r="R802" i="3"/>
  <c r="R794" i="3"/>
  <c r="R789" i="3"/>
  <c r="R634" i="3"/>
  <c r="R633" i="3"/>
  <c r="R25" i="5" s="1"/>
  <c r="R632" i="3"/>
  <c r="R628" i="3"/>
  <c r="R631" i="3" s="1"/>
  <c r="R24" i="5" s="1"/>
  <c r="R623" i="3"/>
  <c r="R618" i="3"/>
  <c r="R359" i="3"/>
  <c r="R358" i="3"/>
  <c r="R357" i="3"/>
  <c r="R354" i="3"/>
  <c r="R353" i="3"/>
  <c r="R348" i="3"/>
  <c r="R339" i="3"/>
  <c r="R316" i="3"/>
  <c r="R307" i="3"/>
  <c r="R298" i="3"/>
  <c r="R289" i="3"/>
  <c r="R280" i="3"/>
  <c r="R271" i="3"/>
  <c r="R262" i="3"/>
  <c r="R253" i="3"/>
  <c r="R244" i="3"/>
  <c r="R236" i="3"/>
  <c r="R234" i="3"/>
  <c r="R231" i="3"/>
  <c r="R230" i="3"/>
  <c r="R229" i="3"/>
  <c r="R224" i="3"/>
  <c r="R215" i="3"/>
  <c r="R200" i="3"/>
  <c r="R192" i="3"/>
  <c r="R183" i="3"/>
  <c r="R174" i="3"/>
  <c r="R165" i="3"/>
  <c r="R156" i="3"/>
  <c r="R147" i="3"/>
  <c r="R138" i="3"/>
  <c r="R129" i="3"/>
  <c r="R120" i="3"/>
  <c r="R111" i="3"/>
  <c r="R102" i="3"/>
  <c r="R93" i="3"/>
  <c r="R84" i="3"/>
  <c r="R75" i="3"/>
  <c r="R66" i="3"/>
  <c r="R57" i="3"/>
  <c r="R48" i="3"/>
  <c r="R39" i="3"/>
  <c r="R30" i="3"/>
  <c r="R21" i="3"/>
  <c r="R69" i="5" l="1"/>
  <c r="R64" i="5"/>
  <c r="R355" i="3"/>
  <c r="R1212" i="3"/>
  <c r="R232" i="3"/>
  <c r="R203" i="3"/>
  <c r="F7" i="650" l="1"/>
  <c r="F6" i="650"/>
  <c r="F18" i="650"/>
  <c r="K4" i="5" l="1"/>
  <c r="L4" i="5"/>
  <c r="M4" i="5"/>
  <c r="N4" i="5"/>
  <c r="O4" i="5"/>
  <c r="P4" i="5"/>
  <c r="Q4" i="5"/>
  <c r="K66" i="5"/>
  <c r="L66" i="5"/>
  <c r="M66" i="5"/>
  <c r="N66" i="5"/>
  <c r="O66" i="5"/>
  <c r="P66" i="5"/>
  <c r="Q66" i="5"/>
  <c r="A28" i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T1250" i="3" l="1"/>
  <c r="T1249" i="3"/>
  <c r="T1233" i="3"/>
  <c r="T1232" i="3"/>
  <c r="T1231" i="3"/>
  <c r="T1228" i="3"/>
  <c r="T931" i="3"/>
  <c r="T929" i="3"/>
  <c r="T927" i="3"/>
  <c r="T925" i="3"/>
  <c r="T883" i="3" l="1"/>
  <c r="T882" i="3"/>
  <c r="T879" i="3"/>
  <c r="T878" i="3"/>
  <c r="T871" i="3"/>
  <c r="T870" i="3"/>
  <c r="T867" i="3"/>
  <c r="T866" i="3"/>
  <c r="T859" i="3"/>
  <c r="T858" i="3"/>
  <c r="T855" i="3"/>
  <c r="T854" i="3"/>
  <c r="T851" i="3"/>
  <c r="T850" i="3"/>
  <c r="T847" i="3"/>
  <c r="T846" i="3"/>
  <c r="T826" i="3"/>
  <c r="T825" i="3"/>
  <c r="T811" i="3"/>
  <c r="T810" i="3"/>
  <c r="T798" i="3"/>
  <c r="T797" i="3"/>
  <c r="T778" i="3"/>
  <c r="T777" i="3"/>
  <c r="T773" i="3"/>
  <c r="T772" i="3"/>
  <c r="T768" i="3"/>
  <c r="T767" i="3"/>
  <c r="T763" i="3"/>
  <c r="T762" i="3"/>
  <c r="T758" i="3"/>
  <c r="T757" i="3"/>
  <c r="T745" i="3"/>
  <c r="T744" i="3"/>
  <c r="T740" i="3"/>
  <c r="T739" i="3"/>
  <c r="T735" i="3"/>
  <c r="T734" i="3"/>
  <c r="T730" i="3"/>
  <c r="T729" i="3"/>
  <c r="T725" i="3"/>
  <c r="T724" i="3"/>
  <c r="T720" i="3"/>
  <c r="T719" i="3"/>
  <c r="T715" i="3"/>
  <c r="T714" i="3"/>
  <c r="T710" i="3"/>
  <c r="T709" i="3"/>
  <c r="T705" i="3"/>
  <c r="T704" i="3"/>
  <c r="T700" i="3"/>
  <c r="T699" i="3"/>
  <c r="T695" i="3"/>
  <c r="T694" i="3"/>
  <c r="T690" i="3"/>
  <c r="T689" i="3"/>
  <c r="T685" i="3"/>
  <c r="T684" i="3"/>
  <c r="T680" i="3"/>
  <c r="T679" i="3"/>
  <c r="T675" i="3"/>
  <c r="T674" i="3"/>
  <c r="T670" i="3"/>
  <c r="T669" i="3"/>
  <c r="T665" i="3"/>
  <c r="T664" i="3"/>
  <c r="T660" i="3"/>
  <c r="T659" i="3"/>
  <c r="T655" i="3"/>
  <c r="T654" i="3"/>
  <c r="T647" i="3"/>
  <c r="T646" i="3"/>
  <c r="T627" i="3"/>
  <c r="T626" i="3"/>
  <c r="T622" i="3"/>
  <c r="T621" i="3"/>
  <c r="T617" i="3"/>
  <c r="T616" i="3"/>
  <c r="T612" i="3"/>
  <c r="T611" i="3"/>
  <c r="T607" i="3"/>
  <c r="T606" i="3"/>
  <c r="T602" i="3"/>
  <c r="T601" i="3"/>
  <c r="T597" i="3"/>
  <c r="T596" i="3"/>
  <c r="T592" i="3"/>
  <c r="T591" i="3"/>
  <c r="T587" i="3"/>
  <c r="T586" i="3"/>
  <c r="T582" i="3"/>
  <c r="T581" i="3"/>
  <c r="T577" i="3"/>
  <c r="T576" i="3"/>
  <c r="T572" i="3"/>
  <c r="T571" i="3"/>
  <c r="T567" i="3"/>
  <c r="T566" i="3"/>
  <c r="T562" i="3"/>
  <c r="T561" i="3"/>
  <c r="T557" i="3"/>
  <c r="T556" i="3"/>
  <c r="T552" i="3"/>
  <c r="T551" i="3"/>
  <c r="T547" i="3"/>
  <c r="T546" i="3"/>
  <c r="T542" i="3"/>
  <c r="T541" i="3"/>
  <c r="T537" i="3"/>
  <c r="T536" i="3"/>
  <c r="T532" i="3"/>
  <c r="T531" i="3"/>
  <c r="T527" i="3"/>
  <c r="T526" i="3"/>
  <c r="T522" i="3"/>
  <c r="T521" i="3"/>
  <c r="T496" i="3"/>
  <c r="T495" i="3"/>
  <c r="T491" i="3"/>
  <c r="T490" i="3"/>
  <c r="T486" i="3"/>
  <c r="T485" i="3"/>
  <c r="T481" i="3"/>
  <c r="T480" i="3"/>
  <c r="T476" i="3"/>
  <c r="T475" i="3"/>
  <c r="T471" i="3"/>
  <c r="T470" i="3"/>
  <c r="T466" i="3"/>
  <c r="T465" i="3"/>
  <c r="T461" i="3"/>
  <c r="T460" i="3"/>
  <c r="T456" i="3"/>
  <c r="T455" i="3"/>
  <c r="T451" i="3"/>
  <c r="T450" i="3"/>
  <c r="T446" i="3"/>
  <c r="T445" i="3"/>
  <c r="T441" i="3"/>
  <c r="T440" i="3"/>
  <c r="T436" i="3"/>
  <c r="T435" i="3"/>
  <c r="T431" i="3"/>
  <c r="T430" i="3"/>
  <c r="T426" i="3"/>
  <c r="T425" i="3"/>
  <c r="T421" i="3"/>
  <c r="T420" i="3"/>
  <c r="T416" i="3"/>
  <c r="T415" i="3"/>
  <c r="T411" i="3"/>
  <c r="T410" i="3"/>
  <c r="T406" i="3"/>
  <c r="T405" i="3"/>
  <c r="T401" i="3"/>
  <c r="T400" i="3"/>
  <c r="T396" i="3"/>
  <c r="T395" i="3"/>
  <c r="T391" i="3"/>
  <c r="T390" i="3"/>
  <c r="T386" i="3"/>
  <c r="T385" i="3"/>
  <c r="T381" i="3"/>
  <c r="T380" i="3"/>
  <c r="T345" i="3"/>
  <c r="T336" i="3"/>
  <c r="T318" i="3"/>
  <c r="T313" i="3"/>
  <c r="T304" i="3"/>
  <c r="T295" i="3"/>
  <c r="T268" i="3"/>
  <c r="T259" i="3"/>
  <c r="T250" i="3"/>
  <c r="T241" i="3"/>
  <c r="T55" i="3"/>
  <c r="T53" i="3"/>
  <c r="F8" i="650" l="1"/>
  <c r="K1209" i="3" l="1"/>
  <c r="K1208" i="3"/>
  <c r="K1207" i="3"/>
  <c r="K1206" i="3"/>
  <c r="K1203" i="3"/>
  <c r="K1199" i="3"/>
  <c r="K1192" i="3"/>
  <c r="K1185" i="3"/>
  <c r="K68" i="5" s="1"/>
  <c r="K1178" i="3"/>
  <c r="K67" i="5" s="1"/>
  <c r="K1169" i="3"/>
  <c r="K65" i="5" s="1"/>
  <c r="K1164" i="3"/>
  <c r="K1157" i="3"/>
  <c r="K1150" i="3"/>
  <c r="K63" i="5" s="1"/>
  <c r="K1146" i="3"/>
  <c r="K62" i="5" s="1"/>
  <c r="K1142" i="3"/>
  <c r="K61" i="5" s="1"/>
  <c r="K1124" i="3"/>
  <c r="K57" i="5" s="1"/>
  <c r="K1117" i="3"/>
  <c r="K56" i="5" s="1"/>
  <c r="K1110" i="3"/>
  <c r="K55" i="5" s="1"/>
  <c r="K1103" i="3"/>
  <c r="K54" i="5" s="1"/>
  <c r="K1096" i="3"/>
  <c r="K53" i="5" s="1"/>
  <c r="K802" i="3"/>
  <c r="K794" i="3"/>
  <c r="K789" i="3"/>
  <c r="K634" i="3"/>
  <c r="K633" i="3"/>
  <c r="K25" i="5" s="1"/>
  <c r="K632" i="3"/>
  <c r="K628" i="3"/>
  <c r="K631" i="3" s="1"/>
  <c r="K24" i="5" s="1"/>
  <c r="K623" i="3"/>
  <c r="K618" i="3"/>
  <c r="K359" i="3"/>
  <c r="K358" i="3"/>
  <c r="K357" i="3"/>
  <c r="K354" i="3"/>
  <c r="K353" i="3"/>
  <c r="K348" i="3"/>
  <c r="K339" i="3"/>
  <c r="K316" i="3"/>
  <c r="K307" i="3"/>
  <c r="K298" i="3"/>
  <c r="K289" i="3"/>
  <c r="K280" i="3"/>
  <c r="K271" i="3"/>
  <c r="K262" i="3"/>
  <c r="K253" i="3"/>
  <c r="K244" i="3"/>
  <c r="K236" i="3"/>
  <c r="K234" i="3"/>
  <c r="K231" i="3"/>
  <c r="K230" i="3"/>
  <c r="K229" i="3"/>
  <c r="K224" i="3"/>
  <c r="K215" i="3"/>
  <c r="K200" i="3"/>
  <c r="K192" i="3"/>
  <c r="K183" i="3"/>
  <c r="K174" i="3"/>
  <c r="K165" i="3"/>
  <c r="K156" i="3"/>
  <c r="K147" i="3"/>
  <c r="K138" i="3"/>
  <c r="K129" i="3"/>
  <c r="K120" i="3"/>
  <c r="K111" i="3"/>
  <c r="K102" i="3"/>
  <c r="K93" i="3"/>
  <c r="K84" i="3"/>
  <c r="K75" i="3"/>
  <c r="K66" i="3"/>
  <c r="K57" i="3"/>
  <c r="K48" i="3"/>
  <c r="K39" i="3"/>
  <c r="K30" i="3"/>
  <c r="K21" i="3"/>
  <c r="K64" i="5" l="1"/>
  <c r="K26" i="5"/>
  <c r="K69" i="5"/>
  <c r="K232" i="3"/>
  <c r="K203" i="3"/>
  <c r="K355" i="3"/>
  <c r="K1212" i="3"/>
  <c r="D13" i="52" l="1"/>
  <c r="C13" i="52"/>
  <c r="B13" i="52"/>
  <c r="N16" i="1" l="1"/>
  <c r="O10" i="1"/>
  <c r="L16" i="1"/>
  <c r="M10" i="1"/>
  <c r="D22" i="137" l="1"/>
  <c r="Q22" i="595"/>
  <c r="Q21" i="595"/>
  <c r="Q20" i="595"/>
  <c r="I4" i="5" l="1"/>
  <c r="J4" i="5"/>
  <c r="I66" i="5"/>
  <c r="J66" i="5"/>
  <c r="H4" i="5"/>
  <c r="J38" i="52" l="1"/>
  <c r="J39" i="52" s="1"/>
  <c r="J40" i="52" s="1"/>
  <c r="J41" i="52" s="1"/>
  <c r="J42" i="52" s="1"/>
  <c r="J46" i="52" s="1"/>
  <c r="J47" i="52" s="1"/>
  <c r="J48" i="52" s="1"/>
  <c r="J50" i="52" s="1"/>
  <c r="J54" i="52" s="1"/>
  <c r="J55" i="52" s="1"/>
  <c r="J58" i="52" s="1"/>
  <c r="J61" i="52" s="1"/>
  <c r="I23" i="49"/>
  <c r="I24" i="49" s="1"/>
  <c r="I25" i="49" s="1"/>
  <c r="I26" i="49" s="1"/>
  <c r="I27" i="49" s="1"/>
  <c r="I28" i="49" s="1"/>
  <c r="I29" i="49" s="1"/>
  <c r="I30" i="49" s="1"/>
  <c r="I31" i="49" s="1"/>
  <c r="I32" i="49" s="1"/>
  <c r="I33" i="49" s="1"/>
  <c r="I34" i="49" s="1"/>
  <c r="I35" i="49" s="1"/>
  <c r="I36" i="49" s="1"/>
  <c r="I37" i="49" s="1"/>
  <c r="I38" i="49" s="1"/>
  <c r="I39" i="49" s="1"/>
  <c r="I40" i="49" s="1"/>
  <c r="I41" i="49" s="1"/>
  <c r="I42" i="49" s="1"/>
  <c r="I43" i="49" s="1"/>
  <c r="I44" i="49" s="1"/>
  <c r="I45" i="49" s="1"/>
  <c r="I46" i="49" s="1"/>
  <c r="I47" i="49" s="1"/>
  <c r="I48" i="49" s="1"/>
  <c r="I49" i="49" s="1"/>
  <c r="I50" i="49" s="1"/>
  <c r="I51" i="49" s="1"/>
  <c r="I52" i="49" s="1"/>
  <c r="I53" i="49" s="1"/>
  <c r="I54" i="49" s="1"/>
  <c r="I55" i="49" s="1"/>
  <c r="I56" i="49" s="1"/>
  <c r="I57" i="49" s="1"/>
  <c r="I58" i="49" s="1"/>
  <c r="I59" i="49" s="1"/>
  <c r="A13" i="20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O21" i="595"/>
  <c r="O22" i="595" s="1"/>
  <c r="O23" i="595" s="1"/>
  <c r="O24" i="595" s="1"/>
  <c r="O25" i="595" s="1"/>
  <c r="O26" i="595" s="1"/>
  <c r="O27" i="595" s="1"/>
  <c r="O28" i="595" s="1"/>
  <c r="O29" i="595" s="1"/>
  <c r="O30" i="595" s="1"/>
  <c r="O31" i="595" s="1"/>
  <c r="O32" i="595" s="1"/>
  <c r="O33" i="595" s="1"/>
  <c r="O34" i="595" s="1"/>
  <c r="O35" i="595" s="1"/>
  <c r="I15" i="595"/>
  <c r="I16" i="595" s="1"/>
  <c r="I17" i="595" s="1"/>
  <c r="I18" i="595" s="1"/>
  <c r="I19" i="595" s="1"/>
  <c r="I20" i="595" s="1"/>
  <c r="I21" i="595" s="1"/>
  <c r="I22" i="595" s="1"/>
  <c r="I23" i="595" s="1"/>
  <c r="I24" i="595" s="1"/>
  <c r="I25" i="595" s="1"/>
  <c r="I26" i="595" s="1"/>
  <c r="I27" i="595" s="1"/>
  <c r="I28" i="595" s="1"/>
  <c r="I29" i="595" s="1"/>
  <c r="I30" i="595" s="1"/>
  <c r="I31" i="595" s="1"/>
  <c r="I32" i="595" s="1"/>
  <c r="I33" i="595" s="1"/>
  <c r="A8" i="595"/>
  <c r="A9" i="595" s="1"/>
  <c r="A10" i="595" s="1"/>
  <c r="A11" i="595" s="1"/>
  <c r="A12" i="595" s="1"/>
  <c r="A13" i="595" s="1"/>
  <c r="A14" i="595" s="1"/>
  <c r="A15" i="595" s="1"/>
  <c r="H1110" i="6" l="1"/>
  <c r="H1109" i="6"/>
  <c r="AE658" i="6" l="1"/>
  <c r="AE659" i="6"/>
  <c r="AE663" i="6"/>
  <c r="AE664" i="6"/>
  <c r="AE668" i="6"/>
  <c r="AE669" i="6"/>
  <c r="AE673" i="6"/>
  <c r="AE674" i="6"/>
  <c r="AE678" i="6"/>
  <c r="AE679" i="6"/>
  <c r="AE683" i="6"/>
  <c r="AE684" i="6"/>
  <c r="AE688" i="6"/>
  <c r="AE689" i="6"/>
  <c r="AE693" i="6"/>
  <c r="AE694" i="6"/>
  <c r="AE698" i="6"/>
  <c r="AE699" i="6"/>
  <c r="AE703" i="6"/>
  <c r="AE704" i="6"/>
  <c r="AE708" i="6"/>
  <c r="AE709" i="6"/>
  <c r="AE713" i="6"/>
  <c r="AE714" i="6"/>
  <c r="AE718" i="6"/>
  <c r="AE719" i="6"/>
  <c r="AE723" i="6"/>
  <c r="AE724" i="6"/>
  <c r="AE728" i="6"/>
  <c r="AE729" i="6"/>
  <c r="AE733" i="6"/>
  <c r="AE734" i="6"/>
  <c r="AE738" i="6"/>
  <c r="AE739" i="6"/>
  <c r="AE743" i="6"/>
  <c r="AE744" i="6"/>
  <c r="AE748" i="6"/>
  <c r="AE749" i="6"/>
  <c r="AE754" i="6"/>
  <c r="AE755" i="6"/>
  <c r="AE756" i="6"/>
  <c r="AE757" i="6"/>
  <c r="AE761" i="6"/>
  <c r="AE762" i="6"/>
  <c r="AE766" i="6"/>
  <c r="AE767" i="6"/>
  <c r="AE771" i="6"/>
  <c r="AE772" i="6"/>
  <c r="AE776" i="6"/>
  <c r="AE777" i="6"/>
  <c r="AE781" i="6"/>
  <c r="AE782" i="6"/>
  <c r="AE786" i="6"/>
  <c r="AE787" i="6"/>
  <c r="AE791" i="6"/>
  <c r="AE792" i="6"/>
  <c r="AE796" i="6"/>
  <c r="AE797" i="6"/>
  <c r="AE801" i="6"/>
  <c r="AE802" i="6"/>
  <c r="AE805" i="6"/>
  <c r="AE807" i="6"/>
  <c r="AE808" i="6"/>
  <c r="AE809" i="6"/>
  <c r="AE810" i="6"/>
  <c r="AE814" i="6"/>
  <c r="AE815" i="6"/>
  <c r="AE819" i="6"/>
  <c r="AE820" i="6"/>
  <c r="AE824" i="6"/>
  <c r="AE825" i="6"/>
  <c r="AE829" i="6"/>
  <c r="AE830" i="6"/>
  <c r="AE833" i="6"/>
  <c r="AE835" i="6"/>
  <c r="AE836" i="6"/>
  <c r="AE837" i="6"/>
  <c r="AE838" i="6"/>
  <c r="AE842" i="6"/>
  <c r="AE843" i="6"/>
  <c r="AE847" i="6"/>
  <c r="AE848" i="6"/>
  <c r="AE852" i="6"/>
  <c r="AE853" i="6"/>
  <c r="AE857" i="6"/>
  <c r="AE858" i="6"/>
  <c r="AE862" i="6"/>
  <c r="AE863" i="6"/>
  <c r="AE867" i="6"/>
  <c r="AE868" i="6"/>
  <c r="AE872" i="6"/>
  <c r="AE873" i="6"/>
  <c r="AE877" i="6"/>
  <c r="AE878" i="6"/>
  <c r="AE882" i="6"/>
  <c r="AE883" i="6"/>
  <c r="AE887" i="6"/>
  <c r="AE888" i="6"/>
  <c r="AE892" i="6"/>
  <c r="AE893" i="6"/>
  <c r="AE897" i="6"/>
  <c r="AE898" i="6"/>
  <c r="AE901" i="6"/>
  <c r="AE903" i="6"/>
  <c r="AE904" i="6"/>
  <c r="AE906" i="6"/>
  <c r="AE907" i="6"/>
  <c r="AE908" i="6"/>
  <c r="AE909" i="6"/>
  <c r="AE910" i="6"/>
  <c r="AE911" i="6"/>
  <c r="AE912" i="6"/>
  <c r="AE918" i="6"/>
  <c r="AE919" i="6"/>
  <c r="AE925" i="6"/>
  <c r="AE927" i="6"/>
  <c r="AE928" i="6"/>
  <c r="AE935" i="6"/>
  <c r="AE937" i="6"/>
  <c r="AE939" i="6"/>
  <c r="AE941" i="6"/>
  <c r="AE943" i="6"/>
  <c r="AE945" i="6"/>
  <c r="AE946" i="6"/>
  <c r="AE947" i="6"/>
  <c r="AE948" i="6"/>
  <c r="AE949" i="6"/>
  <c r="AE951" i="6"/>
  <c r="AE952" i="6"/>
  <c r="AE954" i="6"/>
  <c r="AE955" i="6"/>
  <c r="AE957" i="6"/>
  <c r="AE958" i="6"/>
  <c r="AE959" i="6"/>
  <c r="AE960" i="6"/>
  <c r="AE961" i="6"/>
  <c r="AE962" i="6"/>
  <c r="AE963" i="6"/>
  <c r="AE964" i="6"/>
  <c r="AE965" i="6"/>
  <c r="AE968" i="6"/>
  <c r="AE970" i="6"/>
  <c r="AE971" i="6"/>
  <c r="AE979" i="6"/>
  <c r="AE981" i="6"/>
  <c r="AE982" i="6"/>
  <c r="AE993" i="6"/>
  <c r="AE997" i="6"/>
  <c r="AE998" i="6"/>
  <c r="AE1002" i="6"/>
  <c r="AE1003" i="6"/>
  <c r="AE1004" i="6"/>
  <c r="AE1005" i="6"/>
  <c r="AE1006" i="6"/>
  <c r="AE1008" i="6"/>
  <c r="AE1009" i="6"/>
  <c r="AE1010" i="6"/>
  <c r="AE1013" i="6"/>
  <c r="AE1014" i="6"/>
  <c r="AE1018" i="6"/>
  <c r="AE1019" i="6"/>
  <c r="AE1023" i="6"/>
  <c r="AE1024" i="6"/>
  <c r="AE1028" i="6"/>
  <c r="AE1029" i="6"/>
  <c r="AE1033" i="6"/>
  <c r="AE1034" i="6"/>
  <c r="AE1038" i="6"/>
  <c r="AE1039" i="6"/>
  <c r="AE1043" i="6"/>
  <c r="AE1046" i="6"/>
  <c r="AE1051" i="6"/>
  <c r="AE1052" i="6"/>
  <c r="AE1057" i="6"/>
  <c r="AE1063" i="6"/>
  <c r="AE1069" i="6"/>
  <c r="AE1074" i="6"/>
  <c r="AE1075" i="6"/>
  <c r="AE1080" i="6"/>
  <c r="AE1086" i="6"/>
  <c r="AE1087" i="6"/>
  <c r="AE1092" i="6"/>
  <c r="AE1097" i="6"/>
  <c r="AE1098" i="6"/>
  <c r="AE1103" i="6"/>
  <c r="AE1105" i="6"/>
  <c r="AE1106" i="6"/>
  <c r="AE1113" i="6"/>
  <c r="AE1114" i="6"/>
  <c r="AE1117" i="6"/>
  <c r="AE1118" i="6"/>
  <c r="AE1124" i="6"/>
  <c r="AE1125" i="6"/>
  <c r="AE1132" i="6"/>
  <c r="AE1139" i="6"/>
  <c r="AE1146" i="6"/>
  <c r="AE1147" i="6"/>
  <c r="AE1153" i="6"/>
  <c r="AE1156" i="6"/>
  <c r="AE1157" i="6"/>
  <c r="AE1158" i="6"/>
  <c r="AE1159" i="6"/>
  <c r="AE1163" i="6"/>
  <c r="AE1164" i="6"/>
  <c r="AE1167" i="6"/>
  <c r="AE1168" i="6"/>
  <c r="AE1172" i="6"/>
  <c r="AE1178" i="6"/>
  <c r="AE1179" i="6"/>
  <c r="AE1185" i="6"/>
  <c r="AE1186" i="6"/>
  <c r="AE1190" i="6"/>
  <c r="AE1191" i="6"/>
  <c r="AE1195" i="6"/>
  <c r="AE1196" i="6"/>
  <c r="AE1199" i="6"/>
  <c r="AE1206" i="6"/>
  <c r="AE1207" i="6"/>
  <c r="AE1214" i="6"/>
  <c r="AE1221" i="6"/>
  <c r="AE1224" i="6"/>
  <c r="AE1225" i="6"/>
  <c r="AE1231" i="6"/>
  <c r="AE1233" i="6"/>
  <c r="AE1234" i="6"/>
  <c r="AE1239" i="6"/>
  <c r="AE1242" i="6"/>
  <c r="AE1244" i="6"/>
  <c r="AE1245" i="6"/>
  <c r="AE1246" i="6"/>
  <c r="AE1248" i="6"/>
  <c r="AE1250" i="6"/>
  <c r="AE1251" i="6"/>
  <c r="AE1253" i="6"/>
  <c r="AE1254" i="6"/>
  <c r="AE1255" i="6"/>
  <c r="AE1256" i="6"/>
  <c r="AE1257" i="6"/>
  <c r="AE1258" i="6"/>
  <c r="AE1259" i="6"/>
  <c r="AE1260" i="6"/>
  <c r="AE1261" i="6"/>
  <c r="AE1262" i="6"/>
  <c r="AE1264" i="6"/>
  <c r="AE1265" i="6"/>
  <c r="AE1266" i="6"/>
  <c r="AE1271" i="6"/>
  <c r="AE1272" i="6"/>
  <c r="AE19" i="6"/>
  <c r="AE22" i="6"/>
  <c r="AE24" i="6"/>
  <c r="AE26" i="6"/>
  <c r="AE28" i="6"/>
  <c r="AE31" i="6"/>
  <c r="AE33" i="6"/>
  <c r="AE35" i="6"/>
  <c r="AE37" i="6"/>
  <c r="AE40" i="6"/>
  <c r="AE42" i="6"/>
  <c r="AE44" i="6"/>
  <c r="AE46" i="6"/>
  <c r="AE49" i="6"/>
  <c r="AE51" i="6"/>
  <c r="AE58" i="6"/>
  <c r="AE67" i="6"/>
  <c r="AE69" i="6"/>
  <c r="AE71" i="6"/>
  <c r="AE73" i="6"/>
  <c r="AE76" i="6"/>
  <c r="AE78" i="6"/>
  <c r="AE80" i="6"/>
  <c r="AE82" i="6"/>
  <c r="AE85" i="6"/>
  <c r="AE87" i="6"/>
  <c r="AE89" i="6"/>
  <c r="AE91" i="6"/>
  <c r="AE94" i="6"/>
  <c r="AE96" i="6"/>
  <c r="AE98" i="6"/>
  <c r="AE100" i="6"/>
  <c r="AE103" i="6"/>
  <c r="AE105" i="6"/>
  <c r="AE107" i="6"/>
  <c r="AE109" i="6"/>
  <c r="AE112" i="6"/>
  <c r="AE114" i="6"/>
  <c r="AE116" i="6"/>
  <c r="AE118" i="6"/>
  <c r="AE121" i="6"/>
  <c r="AE123" i="6"/>
  <c r="AE125" i="6"/>
  <c r="AE127" i="6"/>
  <c r="AE130" i="6"/>
  <c r="AE132" i="6"/>
  <c r="AE134" i="6"/>
  <c r="AE136" i="6"/>
  <c r="AE139" i="6"/>
  <c r="AE141" i="6"/>
  <c r="AE143" i="6"/>
  <c r="AE145" i="6"/>
  <c r="AE148" i="6"/>
  <c r="AE150" i="6"/>
  <c r="AE152" i="6"/>
  <c r="AE154" i="6"/>
  <c r="AE157" i="6"/>
  <c r="AE159" i="6"/>
  <c r="AE161" i="6"/>
  <c r="AE163" i="6"/>
  <c r="AE166" i="6"/>
  <c r="AE168" i="6"/>
  <c r="AE170" i="6"/>
  <c r="AE172" i="6"/>
  <c r="AE175" i="6"/>
  <c r="AE177" i="6"/>
  <c r="AE179" i="6"/>
  <c r="AE181" i="6"/>
  <c r="AE184" i="6"/>
  <c r="AE186" i="6"/>
  <c r="AE188" i="6"/>
  <c r="AE190" i="6"/>
  <c r="AE193" i="6"/>
  <c r="AE195" i="6"/>
  <c r="AE198" i="6"/>
  <c r="AE199" i="6"/>
  <c r="AE204" i="6"/>
  <c r="AE208" i="6"/>
  <c r="AE209" i="6"/>
  <c r="AE211" i="6"/>
  <c r="AE213" i="6"/>
  <c r="AE216" i="6"/>
  <c r="AE218" i="6"/>
  <c r="AE220" i="6"/>
  <c r="AE222" i="6"/>
  <c r="AE225" i="6"/>
  <c r="AE227" i="6"/>
  <c r="AE228" i="6"/>
  <c r="AE233" i="6"/>
  <c r="AE237" i="6"/>
  <c r="AE238" i="6"/>
  <c r="AE240" i="6"/>
  <c r="AE241" i="6"/>
  <c r="AE242" i="6"/>
  <c r="AE245" i="6"/>
  <c r="AE247" i="6"/>
  <c r="AE249" i="6"/>
  <c r="AE250" i="6"/>
  <c r="AE251" i="6"/>
  <c r="AE254" i="6"/>
  <c r="AE256" i="6"/>
  <c r="AE258" i="6"/>
  <c r="AE259" i="6"/>
  <c r="AE260" i="6"/>
  <c r="AE263" i="6"/>
  <c r="AE265" i="6"/>
  <c r="AE267" i="6"/>
  <c r="AE268" i="6"/>
  <c r="AE269" i="6"/>
  <c r="AE272" i="6"/>
  <c r="AE274" i="6"/>
  <c r="AE276" i="6"/>
  <c r="AE277" i="6"/>
  <c r="AE278" i="6"/>
  <c r="AE281" i="6"/>
  <c r="AE283" i="6"/>
  <c r="AE285" i="6"/>
  <c r="AE287" i="6"/>
  <c r="AE290" i="6"/>
  <c r="AE292" i="6"/>
  <c r="AE294" i="6"/>
  <c r="AE295" i="6"/>
  <c r="AE296" i="6"/>
  <c r="AE299" i="6"/>
  <c r="AE301" i="6"/>
  <c r="AE303" i="6"/>
  <c r="AE304" i="6"/>
  <c r="AE305" i="6"/>
  <c r="AE308" i="6"/>
  <c r="AE310" i="6"/>
  <c r="AE312" i="6"/>
  <c r="AE313" i="6"/>
  <c r="AE314" i="6"/>
  <c r="AE317" i="6"/>
  <c r="AE319" i="6"/>
  <c r="AE322" i="6"/>
  <c r="AE328" i="6"/>
  <c r="AE332" i="6"/>
  <c r="AE333" i="6"/>
  <c r="AE335" i="6"/>
  <c r="AE336" i="6"/>
  <c r="AE337" i="6"/>
  <c r="AE340" i="6"/>
  <c r="AE342" i="6"/>
  <c r="AE344" i="6"/>
  <c r="AE345" i="6"/>
  <c r="AE346" i="6"/>
  <c r="AE349" i="6"/>
  <c r="AE351" i="6"/>
  <c r="AE352" i="6"/>
  <c r="AE356" i="6"/>
  <c r="AE360" i="6"/>
  <c r="AE361" i="6"/>
  <c r="AE362" i="6"/>
  <c r="AE367" i="6"/>
  <c r="AE369" i="6"/>
  <c r="AE373" i="6"/>
  <c r="AE374" i="6"/>
  <c r="AE375" i="6"/>
  <c r="AE376" i="6"/>
  <c r="AE377" i="6"/>
  <c r="AE378" i="6"/>
  <c r="AE379" i="6"/>
  <c r="AE383" i="6"/>
  <c r="AE384" i="6"/>
  <c r="AE388" i="6"/>
  <c r="AE389" i="6"/>
  <c r="AE393" i="6"/>
  <c r="AE394" i="6"/>
  <c r="AE398" i="6"/>
  <c r="AE399" i="6"/>
  <c r="AE403" i="6"/>
  <c r="AE404" i="6"/>
  <c r="AE408" i="6"/>
  <c r="AE409" i="6"/>
  <c r="AE413" i="6"/>
  <c r="AE414" i="6"/>
  <c r="AE418" i="6"/>
  <c r="AE419" i="6"/>
  <c r="AE423" i="6"/>
  <c r="AE424" i="6"/>
  <c r="AE428" i="6"/>
  <c r="AE429" i="6"/>
  <c r="AE433" i="6"/>
  <c r="AE434" i="6"/>
  <c r="AE438" i="6"/>
  <c r="AE439" i="6"/>
  <c r="AE443" i="6"/>
  <c r="AE444" i="6"/>
  <c r="AE448" i="6"/>
  <c r="AE449" i="6"/>
  <c r="AE453" i="6"/>
  <c r="AE454" i="6"/>
  <c r="AE458" i="6"/>
  <c r="AE459" i="6"/>
  <c r="AE463" i="6"/>
  <c r="AE464" i="6"/>
  <c r="AE468" i="6"/>
  <c r="AE469" i="6"/>
  <c r="AE473" i="6"/>
  <c r="AE474" i="6"/>
  <c r="AE478" i="6"/>
  <c r="AE479" i="6"/>
  <c r="AE483" i="6"/>
  <c r="AE484" i="6"/>
  <c r="AE488" i="6"/>
  <c r="AE489" i="6"/>
  <c r="AE493" i="6"/>
  <c r="AE494" i="6"/>
  <c r="AE498" i="6"/>
  <c r="AE499" i="6"/>
  <c r="AE500" i="6"/>
  <c r="AE504" i="6"/>
  <c r="AE508" i="6"/>
  <c r="AE510" i="6"/>
  <c r="AE511" i="6"/>
  <c r="AE513" i="6"/>
  <c r="AE514" i="6"/>
  <c r="AE515" i="6"/>
  <c r="AE516" i="6"/>
  <c r="AE517" i="6"/>
  <c r="AE518" i="6"/>
  <c r="AE519" i="6"/>
  <c r="AE520" i="6"/>
  <c r="AE521" i="6"/>
  <c r="AE525" i="6"/>
  <c r="AE526" i="6"/>
  <c r="AE530" i="6"/>
  <c r="AE531" i="6"/>
  <c r="AE535" i="6"/>
  <c r="AE536" i="6"/>
  <c r="AE540" i="6"/>
  <c r="AE541" i="6"/>
  <c r="AE545" i="6"/>
  <c r="AE546" i="6"/>
  <c r="AE550" i="6"/>
  <c r="AE551" i="6"/>
  <c r="AE555" i="6"/>
  <c r="AE556" i="6"/>
  <c r="AE560" i="6"/>
  <c r="AE561" i="6"/>
  <c r="AE565" i="6"/>
  <c r="AE566" i="6"/>
  <c r="AE570" i="6"/>
  <c r="AE571" i="6"/>
  <c r="AE575" i="6"/>
  <c r="AE576" i="6"/>
  <c r="AE580" i="6"/>
  <c r="AE581" i="6"/>
  <c r="AE585" i="6"/>
  <c r="AE586" i="6"/>
  <c r="AE590" i="6"/>
  <c r="AE591" i="6"/>
  <c r="AE595" i="6"/>
  <c r="AE596" i="6"/>
  <c r="AE600" i="6"/>
  <c r="AE601" i="6"/>
  <c r="AE605" i="6"/>
  <c r="AE606" i="6"/>
  <c r="AE610" i="6"/>
  <c r="AE611" i="6"/>
  <c r="AE615" i="6"/>
  <c r="AE616" i="6"/>
  <c r="AE620" i="6"/>
  <c r="AE621" i="6"/>
  <c r="AE625" i="6"/>
  <c r="AE626" i="6"/>
  <c r="AE630" i="6"/>
  <c r="AE631" i="6"/>
  <c r="AE634" i="6"/>
  <c r="AE638" i="6"/>
  <c r="AE639" i="6"/>
  <c r="AE641" i="6"/>
  <c r="AE642" i="6"/>
  <c r="AE643" i="6"/>
  <c r="AE644" i="6"/>
  <c r="AE645" i="6"/>
  <c r="AE646" i="6"/>
  <c r="AE651" i="6"/>
  <c r="AE652" i="6"/>
  <c r="AE653" i="6"/>
  <c r="AE654" i="6"/>
  <c r="AE17" i="6"/>
  <c r="AC1272" i="6"/>
  <c r="AC1271" i="6"/>
  <c r="AC1266" i="6"/>
  <c r="AC1265" i="6"/>
  <c r="AC1264" i="6"/>
  <c r="AC1262" i="6"/>
  <c r="AC1261" i="6"/>
  <c r="AC1260" i="6"/>
  <c r="AC1259" i="6"/>
  <c r="AC1258" i="6"/>
  <c r="AC1257" i="6"/>
  <c r="AC1256" i="6"/>
  <c r="AC1255" i="6"/>
  <c r="AC1254" i="6"/>
  <c r="AC1253" i="6"/>
  <c r="AC1252" i="6"/>
  <c r="AE1252" i="6" s="1"/>
  <c r="AC1251" i="6"/>
  <c r="AC1250" i="6"/>
  <c r="AC1249" i="6"/>
  <c r="AE1249" i="6" s="1"/>
  <c r="AC1248" i="6"/>
  <c r="AC1247" i="6"/>
  <c r="AE1247" i="6" s="1"/>
  <c r="AC1246" i="6"/>
  <c r="AC1245" i="6"/>
  <c r="AC1244" i="6"/>
  <c r="AC1243" i="6"/>
  <c r="AE1243" i="6" s="1"/>
  <c r="AC1242" i="6"/>
  <c r="AC1240" i="6"/>
  <c r="AE1240" i="6" s="1"/>
  <c r="AC1239" i="6"/>
  <c r="AC1234" i="6"/>
  <c r="AC1233" i="6"/>
  <c r="AC1231" i="6"/>
  <c r="AC1230" i="6"/>
  <c r="AE1230" i="6" s="1"/>
  <c r="AC1225" i="6"/>
  <c r="AC1224" i="6"/>
  <c r="AC1221" i="6"/>
  <c r="AC1220" i="6"/>
  <c r="AE1220" i="6" s="1"/>
  <c r="AC1214" i="6"/>
  <c r="AC1213" i="6"/>
  <c r="AE1213" i="6" s="1"/>
  <c r="AC1207" i="6"/>
  <c r="AC1206" i="6"/>
  <c r="AC1200" i="6"/>
  <c r="AE1200" i="6" s="1"/>
  <c r="AC1199" i="6"/>
  <c r="AC1196" i="6"/>
  <c r="AC1195" i="6"/>
  <c r="AC1191" i="6"/>
  <c r="AC1190" i="6"/>
  <c r="AC1186" i="6"/>
  <c r="AC1185" i="6"/>
  <c r="AC1179" i="6"/>
  <c r="AC1178" i="6"/>
  <c r="AC1172" i="6"/>
  <c r="AC1171" i="6"/>
  <c r="AE1171" i="6" s="1"/>
  <c r="AC1168" i="6"/>
  <c r="AC1167" i="6"/>
  <c r="AC1164" i="6"/>
  <c r="AC1163" i="6"/>
  <c r="AC1159" i="6"/>
  <c r="AC1158" i="6"/>
  <c r="AC1157" i="6"/>
  <c r="AC1156" i="6"/>
  <c r="AC1155" i="6"/>
  <c r="AE1155" i="6" s="1"/>
  <c r="AC1153" i="6"/>
  <c r="AC1152" i="6"/>
  <c r="AE1152" i="6" s="1"/>
  <c r="AC1147" i="6"/>
  <c r="AC1146" i="6"/>
  <c r="AC1145" i="6"/>
  <c r="AE1145" i="6" s="1"/>
  <c r="AC1139" i="6"/>
  <c r="AC1138" i="6"/>
  <c r="AE1138" i="6" s="1"/>
  <c r="AC1132" i="6"/>
  <c r="AC1131" i="6"/>
  <c r="AE1131" i="6" s="1"/>
  <c r="AC1125" i="6"/>
  <c r="AC1124" i="6"/>
  <c r="AC1118" i="6"/>
  <c r="AC1117" i="6"/>
  <c r="AC1114" i="6"/>
  <c r="AC1113" i="6"/>
  <c r="AC1107" i="6"/>
  <c r="AE1107" i="6" s="1"/>
  <c r="AC1106" i="6"/>
  <c r="AC1105" i="6"/>
  <c r="AC1103" i="6"/>
  <c r="AC1098" i="6"/>
  <c r="AC1097" i="6"/>
  <c r="AC1093" i="6"/>
  <c r="AE1093" i="6" s="1"/>
  <c r="AC1092" i="6"/>
  <c r="AC1087" i="6"/>
  <c r="AC1086" i="6"/>
  <c r="AC1081" i="6"/>
  <c r="AE1081" i="6" s="1"/>
  <c r="AC1080" i="6"/>
  <c r="AC1075" i="6"/>
  <c r="AC1074" i="6"/>
  <c r="AC1070" i="6"/>
  <c r="AE1070" i="6" s="1"/>
  <c r="AC1069" i="6"/>
  <c r="AC1064" i="6"/>
  <c r="AE1064" i="6" s="1"/>
  <c r="AC1063" i="6"/>
  <c r="AC1058" i="6"/>
  <c r="AE1058" i="6" s="1"/>
  <c r="AC1057" i="6"/>
  <c r="AC1052" i="6"/>
  <c r="AC1051" i="6"/>
  <c r="AC1047" i="6"/>
  <c r="AE1047" i="6" s="1"/>
  <c r="AC1046" i="6"/>
  <c r="AC1045" i="6"/>
  <c r="AE1045" i="6" s="1"/>
  <c r="AC1043" i="6"/>
  <c r="AC1039" i="6"/>
  <c r="AC1038" i="6"/>
  <c r="AC1034" i="6"/>
  <c r="AC1033" i="6"/>
  <c r="AC1029" i="6"/>
  <c r="AC1028" i="6"/>
  <c r="AC1024" i="6"/>
  <c r="AC1023" i="6"/>
  <c r="AC1019" i="6"/>
  <c r="AC1018" i="6"/>
  <c r="AC1014" i="6"/>
  <c r="AC1013" i="6"/>
  <c r="AC1010" i="6"/>
  <c r="AC1009" i="6"/>
  <c r="AC1008" i="6"/>
  <c r="AC1006" i="6"/>
  <c r="AC1005" i="6"/>
  <c r="AC1004" i="6"/>
  <c r="AC1003" i="6"/>
  <c r="AC1002" i="6"/>
  <c r="AC998" i="6"/>
  <c r="AC997" i="6"/>
  <c r="AC993" i="6"/>
  <c r="AC982" i="6"/>
  <c r="AC981" i="6"/>
  <c r="AC979" i="6"/>
  <c r="AC971" i="6"/>
  <c r="AC970" i="6"/>
  <c r="AC968" i="6"/>
  <c r="AC965" i="6"/>
  <c r="AC964" i="6"/>
  <c r="AC963" i="6"/>
  <c r="AC962" i="6"/>
  <c r="AC961" i="6"/>
  <c r="AC960" i="6"/>
  <c r="AC959" i="6"/>
  <c r="AC958" i="6"/>
  <c r="AC957" i="6"/>
  <c r="AC955" i="6"/>
  <c r="AC954" i="6"/>
  <c r="AC952" i="6"/>
  <c r="AC951" i="6"/>
  <c r="AC949" i="6"/>
  <c r="AC948" i="6"/>
  <c r="AC947" i="6"/>
  <c r="AC946" i="6"/>
  <c r="AC945" i="6"/>
  <c r="AC943" i="6"/>
  <c r="AC941" i="6"/>
  <c r="AC939" i="6"/>
  <c r="AC937" i="6"/>
  <c r="AC935" i="6"/>
  <c r="AC928" i="6"/>
  <c r="AC927" i="6"/>
  <c r="AC925" i="6"/>
  <c r="AC919" i="6"/>
  <c r="AC918" i="6"/>
  <c r="AC912" i="6"/>
  <c r="AC911" i="6"/>
  <c r="AC910" i="6"/>
  <c r="AC909" i="6"/>
  <c r="AC908" i="6"/>
  <c r="AC907" i="6"/>
  <c r="AC906" i="6"/>
  <c r="AC904" i="6"/>
  <c r="AC903" i="6"/>
  <c r="AC901" i="6"/>
  <c r="AC898" i="6"/>
  <c r="AC897" i="6"/>
  <c r="AC893" i="6"/>
  <c r="AC892" i="6"/>
  <c r="AC888" i="6"/>
  <c r="AC887" i="6"/>
  <c r="AC883" i="6"/>
  <c r="AC882" i="6"/>
  <c r="AC878" i="6"/>
  <c r="AC877" i="6"/>
  <c r="AC873" i="6"/>
  <c r="AC872" i="6"/>
  <c r="AC868" i="6"/>
  <c r="AC867" i="6"/>
  <c r="AC863" i="6"/>
  <c r="AC862" i="6"/>
  <c r="AC858" i="6"/>
  <c r="AC857" i="6"/>
  <c r="AC853" i="6"/>
  <c r="AC852" i="6"/>
  <c r="AC848" i="6"/>
  <c r="AC847" i="6"/>
  <c r="AC843" i="6"/>
  <c r="AC842" i="6"/>
  <c r="AC838" i="6"/>
  <c r="AC837" i="6"/>
  <c r="AC836" i="6"/>
  <c r="AC835" i="6"/>
  <c r="AC833" i="6"/>
  <c r="AC830" i="6"/>
  <c r="AC829" i="6"/>
  <c r="AC825" i="6"/>
  <c r="AC824" i="6"/>
  <c r="AC820" i="6"/>
  <c r="AC819" i="6"/>
  <c r="AC815" i="6"/>
  <c r="AC814" i="6"/>
  <c r="AC810" i="6"/>
  <c r="AC809" i="6"/>
  <c r="AC808" i="6"/>
  <c r="AC807" i="6"/>
  <c r="AC805" i="6"/>
  <c r="AC802" i="6"/>
  <c r="AC801" i="6"/>
  <c r="AC797" i="6"/>
  <c r="AC796" i="6"/>
  <c r="AC792" i="6"/>
  <c r="AC791" i="6"/>
  <c r="AC787" i="6"/>
  <c r="AC786" i="6"/>
  <c r="AC782" i="6"/>
  <c r="AC781" i="6"/>
  <c r="AC777" i="6"/>
  <c r="AC776" i="6"/>
  <c r="AC772" i="6"/>
  <c r="AC771" i="6"/>
  <c r="AC767" i="6"/>
  <c r="AC766" i="6"/>
  <c r="AC762" i="6"/>
  <c r="AC761" i="6"/>
  <c r="AC757" i="6"/>
  <c r="AC756" i="6"/>
  <c r="AC755" i="6"/>
  <c r="AC754" i="6"/>
  <c r="AC749" i="6"/>
  <c r="AC748" i="6"/>
  <c r="AC744" i="6"/>
  <c r="AC743" i="6"/>
  <c r="AC739" i="6"/>
  <c r="AC738" i="6"/>
  <c r="AC734" i="6"/>
  <c r="AC733" i="6"/>
  <c r="AC729" i="6"/>
  <c r="AC728" i="6"/>
  <c r="AC724" i="6"/>
  <c r="AC723" i="6"/>
  <c r="AC719" i="6"/>
  <c r="AC718" i="6"/>
  <c r="AC714" i="6"/>
  <c r="AC713" i="6"/>
  <c r="AC709" i="6"/>
  <c r="AC708" i="6"/>
  <c r="AC704" i="6"/>
  <c r="AC703" i="6"/>
  <c r="AC699" i="6"/>
  <c r="AC698" i="6"/>
  <c r="AC694" i="6"/>
  <c r="AC693" i="6"/>
  <c r="AC689" i="6"/>
  <c r="AC688" i="6"/>
  <c r="AC684" i="6"/>
  <c r="AC683" i="6"/>
  <c r="AC679" i="6"/>
  <c r="AC678" i="6"/>
  <c r="AC674" i="6"/>
  <c r="AC673" i="6"/>
  <c r="AC669" i="6"/>
  <c r="AC668" i="6"/>
  <c r="AC664" i="6"/>
  <c r="AC663" i="6"/>
  <c r="AC659" i="6"/>
  <c r="AC658" i="6"/>
  <c r="AC654" i="6"/>
  <c r="AC653" i="6"/>
  <c r="AC652" i="6"/>
  <c r="AC651" i="6"/>
  <c r="AC646" i="6"/>
  <c r="AC645" i="6"/>
  <c r="AC644" i="6"/>
  <c r="AC643" i="6"/>
  <c r="AC642" i="6"/>
  <c r="AC641" i="6"/>
  <c r="AC639" i="6"/>
  <c r="AC638" i="6"/>
  <c r="AC634" i="6"/>
  <c r="AC631" i="6"/>
  <c r="AC630" i="6"/>
  <c r="AC626" i="6"/>
  <c r="AC625" i="6"/>
  <c r="AC621" i="6"/>
  <c r="AC620" i="6"/>
  <c r="AC616" i="6"/>
  <c r="AC615" i="6"/>
  <c r="AC611" i="6"/>
  <c r="AC610" i="6"/>
  <c r="AC606" i="6"/>
  <c r="AC605" i="6"/>
  <c r="AC601" i="6"/>
  <c r="AC600" i="6"/>
  <c r="AC596" i="6"/>
  <c r="AC595" i="6"/>
  <c r="AC591" i="6"/>
  <c r="AC590" i="6"/>
  <c r="AC586" i="6"/>
  <c r="AC585" i="6"/>
  <c r="AC581" i="6"/>
  <c r="AC580" i="6"/>
  <c r="AC576" i="6"/>
  <c r="AC575" i="6"/>
  <c r="AC571" i="6"/>
  <c r="AC570" i="6"/>
  <c r="AC566" i="6"/>
  <c r="AC565" i="6"/>
  <c r="AC561" i="6"/>
  <c r="AC560" i="6"/>
  <c r="AC556" i="6"/>
  <c r="AC555" i="6"/>
  <c r="AC551" i="6"/>
  <c r="AC550" i="6"/>
  <c r="AC546" i="6"/>
  <c r="AC545" i="6"/>
  <c r="AC541" i="6"/>
  <c r="AC540" i="6"/>
  <c r="AC536" i="6"/>
  <c r="AC535" i="6"/>
  <c r="AC531" i="6"/>
  <c r="AC530" i="6"/>
  <c r="AC526" i="6"/>
  <c r="AC525" i="6"/>
  <c r="AC521" i="6"/>
  <c r="AC520" i="6"/>
  <c r="AC519" i="6"/>
  <c r="AC518" i="6"/>
  <c r="AC517" i="6"/>
  <c r="AC516" i="6"/>
  <c r="AC515" i="6"/>
  <c r="AC514" i="6"/>
  <c r="AC513" i="6"/>
  <c r="AC511" i="6"/>
  <c r="AC510" i="6"/>
  <c r="AC508" i="6"/>
  <c r="AC504" i="6"/>
  <c r="AC500" i="6"/>
  <c r="AC499" i="6"/>
  <c r="AC498" i="6"/>
  <c r="AC494" i="6"/>
  <c r="AC493" i="6"/>
  <c r="AC489" i="6"/>
  <c r="AC488" i="6"/>
  <c r="AC484" i="6"/>
  <c r="AC483" i="6"/>
  <c r="AC479" i="6"/>
  <c r="AC478" i="6"/>
  <c r="AC474" i="6"/>
  <c r="AC473" i="6"/>
  <c r="AC469" i="6"/>
  <c r="AC468" i="6"/>
  <c r="AC464" i="6"/>
  <c r="AC463" i="6"/>
  <c r="AC459" i="6"/>
  <c r="AC458" i="6"/>
  <c r="AC454" i="6"/>
  <c r="AC453" i="6"/>
  <c r="AC449" i="6"/>
  <c r="AC448" i="6"/>
  <c r="AC444" i="6"/>
  <c r="AC443" i="6"/>
  <c r="AC439" i="6"/>
  <c r="AC438" i="6"/>
  <c r="AC434" i="6"/>
  <c r="AC433" i="6"/>
  <c r="AC429" i="6"/>
  <c r="AC428" i="6"/>
  <c r="AC424" i="6"/>
  <c r="AC423" i="6"/>
  <c r="AC419" i="6"/>
  <c r="AC418" i="6"/>
  <c r="AC414" i="6"/>
  <c r="AC413" i="6"/>
  <c r="AC409" i="6"/>
  <c r="AC408" i="6"/>
  <c r="AC404" i="6"/>
  <c r="AC403" i="6"/>
  <c r="AC399" i="6"/>
  <c r="AC398" i="6"/>
  <c r="AC394" i="6"/>
  <c r="AC393" i="6"/>
  <c r="AC389" i="6"/>
  <c r="AC388" i="6"/>
  <c r="AC384" i="6"/>
  <c r="AC383" i="6"/>
  <c r="AC379" i="6"/>
  <c r="AC378" i="6"/>
  <c r="AC377" i="6"/>
  <c r="AC376" i="6"/>
  <c r="AC375" i="6"/>
  <c r="AC374" i="6"/>
  <c r="AC373" i="6"/>
  <c r="AC369" i="6"/>
  <c r="AC367" i="6"/>
  <c r="AC362" i="6"/>
  <c r="AC361" i="6"/>
  <c r="AC360" i="6"/>
  <c r="AC356" i="6"/>
  <c r="AC352" i="6"/>
  <c r="AC351" i="6"/>
  <c r="AC349" i="6"/>
  <c r="AC346" i="6"/>
  <c r="AC345" i="6"/>
  <c r="AC344" i="6"/>
  <c r="AC342" i="6"/>
  <c r="AC340" i="6"/>
  <c r="AC337" i="6"/>
  <c r="AC336" i="6"/>
  <c r="AC335" i="6"/>
  <c r="AC333" i="6"/>
  <c r="AC332" i="6"/>
  <c r="AC328" i="6"/>
  <c r="AC322" i="6"/>
  <c r="AC319" i="6"/>
  <c r="AC317" i="6"/>
  <c r="AC314" i="6"/>
  <c r="AC313" i="6"/>
  <c r="AC312" i="6"/>
  <c r="AC310" i="6"/>
  <c r="AC308" i="6"/>
  <c r="AC305" i="6"/>
  <c r="AC304" i="6"/>
  <c r="AC303" i="6"/>
  <c r="AC301" i="6"/>
  <c r="AC299" i="6"/>
  <c r="AC296" i="6"/>
  <c r="AC295" i="6"/>
  <c r="AC294" i="6"/>
  <c r="AC292" i="6"/>
  <c r="AC290" i="6"/>
  <c r="AC287" i="6"/>
  <c r="AC285" i="6"/>
  <c r="AC283" i="6"/>
  <c r="AC281" i="6"/>
  <c r="AC278" i="6"/>
  <c r="AC277" i="6"/>
  <c r="AC276" i="6"/>
  <c r="AC274" i="6"/>
  <c r="AC272" i="6"/>
  <c r="AC269" i="6"/>
  <c r="AC268" i="6"/>
  <c r="AC267" i="6"/>
  <c r="AC265" i="6"/>
  <c r="AC263" i="6"/>
  <c r="AC260" i="6"/>
  <c r="AC259" i="6"/>
  <c r="AC258" i="6"/>
  <c r="AC256" i="6"/>
  <c r="AC254" i="6"/>
  <c r="AC251" i="6"/>
  <c r="AC250" i="6"/>
  <c r="AC249" i="6"/>
  <c r="AC247" i="6"/>
  <c r="AC245" i="6"/>
  <c r="AC242" i="6"/>
  <c r="AC241" i="6"/>
  <c r="AC240" i="6"/>
  <c r="AC238" i="6"/>
  <c r="AC237" i="6"/>
  <c r="AC233" i="6"/>
  <c r="AC228" i="6"/>
  <c r="AC227" i="6"/>
  <c r="AC225" i="6"/>
  <c r="AC222" i="6"/>
  <c r="AC220" i="6"/>
  <c r="AC218" i="6"/>
  <c r="AC216" i="6"/>
  <c r="AC213" i="6"/>
  <c r="AC211" i="6"/>
  <c r="AC209" i="6"/>
  <c r="AC208" i="6"/>
  <c r="AC204" i="6"/>
  <c r="AC199" i="6"/>
  <c r="AC198" i="6"/>
  <c r="AC195" i="6"/>
  <c r="AC193" i="6"/>
  <c r="AC190" i="6"/>
  <c r="AC188" i="6"/>
  <c r="AC186" i="6"/>
  <c r="AC184" i="6"/>
  <c r="AC181" i="6"/>
  <c r="AC179" i="6"/>
  <c r="AC177" i="6"/>
  <c r="AC175" i="6"/>
  <c r="AC172" i="6"/>
  <c r="AC170" i="6"/>
  <c r="AC168" i="6"/>
  <c r="AC166" i="6"/>
  <c r="AC163" i="6"/>
  <c r="AC161" i="6"/>
  <c r="AC159" i="6"/>
  <c r="AC157" i="6"/>
  <c r="AC154" i="6"/>
  <c r="AC152" i="6"/>
  <c r="AC150" i="6"/>
  <c r="AC148" i="6"/>
  <c r="AC145" i="6"/>
  <c r="AC143" i="6"/>
  <c r="AC141" i="6"/>
  <c r="AC139" i="6"/>
  <c r="AC136" i="6"/>
  <c r="AC134" i="6"/>
  <c r="AC132" i="6"/>
  <c r="AC130" i="6"/>
  <c r="AC127" i="6"/>
  <c r="AC125" i="6"/>
  <c r="AC123" i="6"/>
  <c r="AC121" i="6"/>
  <c r="AC118" i="6"/>
  <c r="AC116" i="6"/>
  <c r="AC114" i="6"/>
  <c r="AC112" i="6"/>
  <c r="AC109" i="6"/>
  <c r="AC107" i="6"/>
  <c r="AC105" i="6"/>
  <c r="AC103" i="6"/>
  <c r="AC100" i="6"/>
  <c r="AC98" i="6"/>
  <c r="AC96" i="6"/>
  <c r="AC94" i="6"/>
  <c r="AC91" i="6"/>
  <c r="AC89" i="6"/>
  <c r="AC87" i="6"/>
  <c r="AC85" i="6"/>
  <c r="AC82" i="6"/>
  <c r="AC80" i="6"/>
  <c r="AC78" i="6"/>
  <c r="AC76" i="6"/>
  <c r="AC73" i="6"/>
  <c r="AC71" i="6"/>
  <c r="AC69" i="6"/>
  <c r="AC67" i="6"/>
  <c r="AC58" i="6"/>
  <c r="AC51" i="6"/>
  <c r="AC49" i="6"/>
  <c r="AC46" i="6"/>
  <c r="AC44" i="6"/>
  <c r="AC42" i="6"/>
  <c r="AC40" i="6"/>
  <c r="AC37" i="6"/>
  <c r="AC35" i="6"/>
  <c r="AC33" i="6"/>
  <c r="AC31" i="6"/>
  <c r="AC28" i="6"/>
  <c r="AC26" i="6"/>
  <c r="AC24" i="6"/>
  <c r="AC22" i="6"/>
  <c r="AC19" i="6"/>
  <c r="AC17" i="6"/>
  <c r="R19" i="42" l="1"/>
  <c r="T19" i="42"/>
  <c r="T21" i="42" s="1"/>
  <c r="L18" i="12" l="1"/>
  <c r="AA251" i="4" l="1"/>
  <c r="Z251" i="4" l="1"/>
  <c r="S33" i="595" l="1"/>
  <c r="Q34" i="595"/>
  <c r="W67" i="52" l="1"/>
  <c r="X54" i="52" s="1"/>
  <c r="AC67" i="52"/>
  <c r="AD54" i="52" s="1"/>
  <c r="Z67" i="52"/>
  <c r="AA62" i="52" s="1"/>
  <c r="W31" i="52"/>
  <c r="X26" i="52" s="1"/>
  <c r="X60" i="52" l="1"/>
  <c r="X56" i="52"/>
  <c r="X58" i="52"/>
  <c r="X64" i="52"/>
  <c r="X50" i="52"/>
  <c r="AD56" i="52"/>
  <c r="X62" i="52"/>
  <c r="X52" i="52"/>
  <c r="AD58" i="52"/>
  <c r="AD60" i="52"/>
  <c r="AD62" i="52"/>
  <c r="AD64" i="52"/>
  <c r="AD50" i="52"/>
  <c r="AD52" i="52"/>
  <c r="AA50" i="52"/>
  <c r="AA52" i="52"/>
  <c r="AA54" i="52"/>
  <c r="AA60" i="52"/>
  <c r="AA64" i="52"/>
  <c r="AA56" i="52"/>
  <c r="AA58" i="52"/>
  <c r="X28" i="52"/>
  <c r="X16" i="52"/>
  <c r="X18" i="52"/>
  <c r="X20" i="52"/>
  <c r="X22" i="52"/>
  <c r="X24" i="52"/>
  <c r="AF64" i="52" l="1"/>
  <c r="X67" i="52"/>
  <c r="X31" i="52"/>
  <c r="AB17" i="595"/>
  <c r="AK10" i="595"/>
  <c r="F21" i="3" l="1"/>
  <c r="F30" i="3"/>
  <c r="F39" i="3"/>
  <c r="F48" i="3"/>
  <c r="F57" i="3"/>
  <c r="F66" i="3"/>
  <c r="F75" i="3"/>
  <c r="F84" i="3"/>
  <c r="F93" i="3"/>
  <c r="F102" i="3"/>
  <c r="F111" i="3"/>
  <c r="F120" i="3"/>
  <c r="F129" i="3"/>
  <c r="F138" i="3"/>
  <c r="F147" i="3"/>
  <c r="F156" i="3"/>
  <c r="F165" i="3"/>
  <c r="F174" i="3"/>
  <c r="F183" i="3"/>
  <c r="F192" i="3"/>
  <c r="F200" i="3"/>
  <c r="F215" i="3"/>
  <c r="F224" i="3"/>
  <c r="F229" i="3"/>
  <c r="F230" i="3"/>
  <c r="F231" i="3"/>
  <c r="F234" i="3"/>
  <c r="F236" i="3"/>
  <c r="F244" i="3"/>
  <c r="F253" i="3"/>
  <c r="F262" i="3"/>
  <c r="F271" i="3"/>
  <c r="F280" i="3"/>
  <c r="F289" i="3"/>
  <c r="F298" i="3"/>
  <c r="F307" i="3"/>
  <c r="F316" i="3"/>
  <c r="F339" i="3"/>
  <c r="F348" i="3"/>
  <c r="F353" i="3"/>
  <c r="F354" i="3"/>
  <c r="F357" i="3"/>
  <c r="F358" i="3"/>
  <c r="F359" i="3"/>
  <c r="F382" i="3"/>
  <c r="F387" i="3"/>
  <c r="F392" i="3"/>
  <c r="F397" i="3"/>
  <c r="F402" i="3"/>
  <c r="F407" i="3"/>
  <c r="F412" i="3"/>
  <c r="F417" i="3"/>
  <c r="F422" i="3"/>
  <c r="F427" i="3"/>
  <c r="F432" i="3"/>
  <c r="F437" i="3"/>
  <c r="F442" i="3"/>
  <c r="F447" i="3"/>
  <c r="F452" i="3"/>
  <c r="F457" i="3"/>
  <c r="F462" i="3"/>
  <c r="F467" i="3"/>
  <c r="F472" i="3"/>
  <c r="F477" i="3"/>
  <c r="F482" i="3"/>
  <c r="F487" i="3"/>
  <c r="F492" i="3"/>
  <c r="F497" i="3"/>
  <c r="F501" i="3"/>
  <c r="F502" i="3"/>
  <c r="F503" i="3"/>
  <c r="F505" i="3"/>
  <c r="F506" i="3"/>
  <c r="F507" i="3"/>
  <c r="F523" i="3"/>
  <c r="F528" i="3"/>
  <c r="F533" i="3"/>
  <c r="F538" i="3"/>
  <c r="F543" i="3"/>
  <c r="F548" i="3"/>
  <c r="F553" i="3"/>
  <c r="F558" i="3"/>
  <c r="F563" i="3"/>
  <c r="F568" i="3"/>
  <c r="F573" i="3"/>
  <c r="F578" i="3"/>
  <c r="F583" i="3"/>
  <c r="F588" i="3"/>
  <c r="F593" i="3"/>
  <c r="F598" i="3"/>
  <c r="F603" i="3"/>
  <c r="F608" i="3"/>
  <c r="F613" i="3"/>
  <c r="F618" i="3"/>
  <c r="F623" i="3"/>
  <c r="F628" i="3"/>
  <c r="F631" i="3" s="1"/>
  <c r="F632" i="3"/>
  <c r="F633" i="3"/>
  <c r="F634" i="3"/>
  <c r="F649" i="3"/>
  <c r="F656" i="3"/>
  <c r="F661" i="3"/>
  <c r="F666" i="3"/>
  <c r="F671" i="3"/>
  <c r="F676" i="3"/>
  <c r="F681" i="3"/>
  <c r="F686" i="3"/>
  <c r="F691" i="3"/>
  <c r="F696" i="3"/>
  <c r="F701" i="3"/>
  <c r="F706" i="3"/>
  <c r="F711" i="3"/>
  <c r="F716" i="3"/>
  <c r="F721" i="3"/>
  <c r="F726" i="3"/>
  <c r="F731" i="3"/>
  <c r="F736" i="3"/>
  <c r="F741" i="3"/>
  <c r="F746" i="3"/>
  <c r="F749" i="3"/>
  <c r="F750" i="3"/>
  <c r="F759" i="3"/>
  <c r="F764" i="3"/>
  <c r="F769" i="3"/>
  <c r="F774" i="3"/>
  <c r="F779" i="3"/>
  <c r="F799" i="3"/>
  <c r="F812" i="3"/>
  <c r="F817" i="3"/>
  <c r="F822" i="3"/>
  <c r="F827" i="3"/>
  <c r="F830" i="3"/>
  <c r="F831" i="3"/>
  <c r="F840" i="3"/>
  <c r="F844" i="3"/>
  <c r="F848" i="3"/>
  <c r="F852" i="3"/>
  <c r="F856" i="3"/>
  <c r="F860" i="3"/>
  <c r="F864" i="3"/>
  <c r="F868" i="3"/>
  <c r="F872" i="3"/>
  <c r="F876" i="3"/>
  <c r="F880" i="3"/>
  <c r="F884" i="3"/>
  <c r="F886" i="3"/>
  <c r="F887" i="3"/>
  <c r="F904" i="3"/>
  <c r="F911" i="3"/>
  <c r="F921" i="3"/>
  <c r="G53" i="5"/>
  <c r="G54" i="5"/>
  <c r="G66" i="5"/>
  <c r="H66" i="5"/>
  <c r="F355" i="3" l="1"/>
  <c r="F752" i="3"/>
  <c r="F509" i="3"/>
  <c r="F203" i="3"/>
  <c r="F913" i="3"/>
  <c r="F889" i="3"/>
  <c r="F833" i="3"/>
  <c r="F232" i="3"/>
  <c r="L22" i="548" l="1"/>
  <c r="E12" i="548" s="1"/>
  <c r="I7" i="582"/>
  <c r="I8" i="582" s="1"/>
  <c r="I9" i="582" s="1"/>
  <c r="I10" i="582" s="1"/>
  <c r="I11" i="582" s="1"/>
  <c r="I12" i="582" s="1"/>
  <c r="I13" i="582" s="1"/>
  <c r="I14" i="582" s="1"/>
  <c r="I15" i="582" s="1"/>
  <c r="I16" i="582" s="1"/>
  <c r="I17" i="582" s="1"/>
  <c r="I18" i="582" s="1"/>
  <c r="I19" i="582" s="1"/>
  <c r="I20" i="582" s="1"/>
  <c r="I21" i="582" s="1"/>
  <c r="I22" i="582" s="1"/>
  <c r="I23" i="582" s="1"/>
  <c r="I24" i="582" s="1"/>
  <c r="I25" i="582" s="1"/>
  <c r="I26" i="582" s="1"/>
  <c r="I27" i="582" s="1"/>
  <c r="I28" i="582" s="1"/>
  <c r="I29" i="582" s="1"/>
  <c r="I30" i="582" s="1"/>
  <c r="I31" i="582" s="1"/>
  <c r="I32" i="582" s="1"/>
  <c r="I33" i="582" s="1"/>
  <c r="I34" i="582" s="1"/>
  <c r="I35" i="582" s="1"/>
  <c r="I36" i="582" s="1"/>
  <c r="I37" i="582" s="1"/>
  <c r="I38" i="582" s="1"/>
  <c r="I39" i="582" s="1"/>
  <c r="I40" i="582" s="1"/>
  <c r="I41" i="582" s="1"/>
  <c r="I42" i="582" s="1"/>
  <c r="I43" i="582" s="1"/>
  <c r="I44" i="582" s="1"/>
  <c r="I45" i="582" s="1"/>
  <c r="I46" i="582" s="1"/>
  <c r="I47" i="582" s="1"/>
  <c r="I48" i="582" s="1"/>
  <c r="I49" i="582" s="1"/>
  <c r="E48" i="548" l="1"/>
  <c r="E54" i="548"/>
  <c r="C15" i="582"/>
  <c r="AA132" i="4" l="1"/>
  <c r="AA131" i="4"/>
  <c r="M22" i="548" l="1"/>
  <c r="G197" i="3" l="1"/>
  <c r="T197" i="3" s="1"/>
  <c r="E18" i="548"/>
  <c r="E13" i="548"/>
  <c r="E49" i="548"/>
  <c r="N22" i="548"/>
  <c r="W1118" i="3"/>
  <c r="W1119" i="3"/>
  <c r="W1125" i="3"/>
  <c r="W1126" i="3"/>
  <c r="W1127" i="3"/>
  <c r="V354" i="3"/>
  <c r="E55" i="548" l="1"/>
  <c r="E56" i="548" s="1"/>
  <c r="E50" i="548"/>
  <c r="K56" i="2"/>
  <c r="J1145" i="6"/>
  <c r="H1144" i="6"/>
  <c r="H55" i="2" s="1"/>
  <c r="U1143" i="6"/>
  <c r="R1143" i="6"/>
  <c r="U1142" i="6"/>
  <c r="R1142" i="6"/>
  <c r="U1141" i="6"/>
  <c r="R1141" i="6"/>
  <c r="T1140" i="6"/>
  <c r="R1140" i="6"/>
  <c r="J1139" i="6"/>
  <c r="E1139" i="6"/>
  <c r="J1124" i="3"/>
  <c r="J57" i="5" s="1"/>
  <c r="S1124" i="3"/>
  <c r="S57" i="5" s="1"/>
  <c r="Q1124" i="3"/>
  <c r="Q57" i="5" s="1"/>
  <c r="P1124" i="3"/>
  <c r="P57" i="5" s="1"/>
  <c r="O1124" i="3"/>
  <c r="O57" i="5" s="1"/>
  <c r="N1124" i="3"/>
  <c r="N57" i="5" s="1"/>
  <c r="M1124" i="3"/>
  <c r="M57" i="5" s="1"/>
  <c r="L1124" i="3"/>
  <c r="L57" i="5" s="1"/>
  <c r="H1124" i="3"/>
  <c r="H57" i="5" s="1"/>
  <c r="AO183" i="4"/>
  <c r="AO177" i="4"/>
  <c r="R1144" i="6" l="1"/>
  <c r="L200" i="3" l="1"/>
  <c r="AC31" i="52" l="1"/>
  <c r="Z31" i="52"/>
  <c r="E13" i="52"/>
  <c r="AF54" i="52" l="1"/>
  <c r="AA28" i="52"/>
  <c r="AA22" i="52"/>
  <c r="AD28" i="52"/>
  <c r="AD22" i="52"/>
  <c r="AA16" i="52"/>
  <c r="AA26" i="52"/>
  <c r="AD24" i="52"/>
  <c r="AD26" i="52"/>
  <c r="AA18" i="52"/>
  <c r="AA24" i="52"/>
  <c r="AA20" i="52"/>
  <c r="AD16" i="52"/>
  <c r="AD20" i="52"/>
  <c r="AD18" i="52"/>
  <c r="AD67" i="52" l="1"/>
  <c r="AF56" i="52"/>
  <c r="AA67" i="52"/>
  <c r="AF50" i="52"/>
  <c r="AF16" i="52"/>
  <c r="AF62" i="52"/>
  <c r="AF60" i="52"/>
  <c r="AF52" i="52"/>
  <c r="AF58" i="52"/>
  <c r="AF26" i="52"/>
  <c r="AF20" i="52"/>
  <c r="AF24" i="52"/>
  <c r="AF22" i="52"/>
  <c r="AF18" i="52"/>
  <c r="AF28" i="52"/>
  <c r="AA31" i="52"/>
  <c r="AD31" i="52"/>
  <c r="AF67" i="52" l="1"/>
  <c r="AF31" i="52"/>
  <c r="V22" i="595" l="1"/>
  <c r="T277" i="6" l="1"/>
  <c r="A2" i="137" l="1"/>
  <c r="G7" i="137"/>
  <c r="G8" i="137" s="1"/>
  <c r="G9" i="137" s="1"/>
  <c r="G10" i="137" s="1"/>
  <c r="G27" i="137" l="1"/>
  <c r="AO17" i="4"/>
  <c r="AO19" i="4"/>
  <c r="AO20" i="4"/>
  <c r="AO28" i="4"/>
  <c r="AO30" i="4"/>
  <c r="AO31" i="4"/>
  <c r="AO32" i="4"/>
  <c r="AO36" i="4"/>
  <c r="AO37" i="4"/>
  <c r="AO41" i="4"/>
  <c r="AO42" i="4"/>
  <c r="AO43" i="4"/>
  <c r="AO44" i="4"/>
  <c r="AO45" i="4"/>
  <c r="AO47" i="4"/>
  <c r="AO48" i="4"/>
  <c r="AO49" i="4"/>
  <c r="AO52" i="4"/>
  <c r="AO53" i="4"/>
  <c r="AO57" i="4"/>
  <c r="AO58" i="4"/>
  <c r="AO62" i="4"/>
  <c r="AO63" i="4"/>
  <c r="AO67" i="4"/>
  <c r="AO68" i="4"/>
  <c r="AO72" i="4"/>
  <c r="AO73" i="4"/>
  <c r="AO77" i="4"/>
  <c r="AO78" i="4"/>
  <c r="AO82" i="4"/>
  <c r="AO84" i="4"/>
  <c r="AO85" i="4"/>
  <c r="AO86" i="4"/>
  <c r="AO90" i="4"/>
  <c r="AO91" i="4"/>
  <c r="AO96" i="4"/>
  <c r="AO97" i="4"/>
  <c r="AO102" i="4"/>
  <c r="AO103" i="4"/>
  <c r="AO108" i="4"/>
  <c r="AO109" i="4"/>
  <c r="AO113" i="4"/>
  <c r="AO114" i="4"/>
  <c r="AO119" i="4"/>
  <c r="AO120" i="4"/>
  <c r="AO125" i="4"/>
  <c r="AO126" i="4"/>
  <c r="AO131" i="4"/>
  <c r="AO132" i="4"/>
  <c r="AO136" i="4"/>
  <c r="AO137" i="4"/>
  <c r="AO142" i="4"/>
  <c r="AO144" i="4"/>
  <c r="AO145" i="4"/>
  <c r="AO151" i="4"/>
  <c r="AO152" i="4"/>
  <c r="AO155" i="4"/>
  <c r="AO156" i="4"/>
  <c r="AO162" i="4"/>
  <c r="AO163" i="4"/>
  <c r="AO169" i="4"/>
  <c r="AO170" i="4"/>
  <c r="AO176" i="4"/>
  <c r="AO184" i="4"/>
  <c r="AO185" i="4"/>
  <c r="AO190" i="4"/>
  <c r="AO191" i="4"/>
  <c r="AO193" i="4"/>
  <c r="AO194" i="4"/>
  <c r="AO195" i="4"/>
  <c r="AO196" i="4"/>
  <c r="AO197" i="4"/>
  <c r="AO201" i="4"/>
  <c r="AO202" i="4"/>
  <c r="AO205" i="4"/>
  <c r="AO206" i="4"/>
  <c r="AO209" i="4"/>
  <c r="AO210" i="4"/>
  <c r="AO216" i="4"/>
  <c r="AO217" i="4"/>
  <c r="AO224" i="4"/>
  <c r="AO228" i="4"/>
  <c r="AO229" i="4"/>
  <c r="AO233" i="4"/>
  <c r="AO234" i="4"/>
  <c r="AO237" i="4"/>
  <c r="AO238" i="4"/>
  <c r="AO244" i="4"/>
  <c r="AO245" i="4"/>
  <c r="AO251" i="4"/>
  <c r="AO252" i="4"/>
  <c r="AO258" i="4"/>
  <c r="AO259" i="4"/>
  <c r="AO262" i="4"/>
  <c r="AO263" i="4"/>
  <c r="AO268" i="4"/>
  <c r="AO269" i="4"/>
  <c r="AO271" i="4"/>
  <c r="AO272" i="4"/>
  <c r="AO278" i="4"/>
  <c r="T22" i="595" l="1"/>
  <c r="S1185" i="3" l="1"/>
  <c r="S68" i="5" s="1"/>
  <c r="S1178" i="3"/>
  <c r="S67" i="5" s="1"/>
  <c r="S1169" i="3"/>
  <c r="S65" i="5" s="1"/>
  <c r="S1164" i="3"/>
  <c r="S1157" i="3"/>
  <c r="S1150" i="3"/>
  <c r="S63" i="5" s="1"/>
  <c r="S1146" i="3"/>
  <c r="S62" i="5" s="1"/>
  <c r="S1142" i="3"/>
  <c r="S61" i="5" s="1"/>
  <c r="S1117" i="3"/>
  <c r="S56" i="5" s="1"/>
  <c r="S1110" i="3"/>
  <c r="S55" i="5" s="1"/>
  <c r="S1103" i="3"/>
  <c r="S54" i="5" s="1"/>
  <c r="S1096" i="3"/>
  <c r="S53" i="5" s="1"/>
  <c r="S802" i="3"/>
  <c r="S794" i="3"/>
  <c r="S789" i="3"/>
  <c r="S634" i="3"/>
  <c r="S633" i="3"/>
  <c r="S25" i="5" s="1"/>
  <c r="S632" i="3"/>
  <c r="S628" i="3"/>
  <c r="S631" i="3" s="1"/>
  <c r="S24" i="5" s="1"/>
  <c r="S623" i="3"/>
  <c r="S618" i="3"/>
  <c r="S359" i="3"/>
  <c r="S358" i="3"/>
  <c r="S357" i="3"/>
  <c r="S354" i="3"/>
  <c r="S353" i="3"/>
  <c r="S348" i="3"/>
  <c r="S339" i="3"/>
  <c r="S316" i="3"/>
  <c r="S307" i="3"/>
  <c r="S298" i="3"/>
  <c r="S289" i="3"/>
  <c r="S280" i="3"/>
  <c r="S271" i="3"/>
  <c r="S262" i="3"/>
  <c r="S253" i="3"/>
  <c r="S244" i="3"/>
  <c r="S236" i="3"/>
  <c r="S234" i="3"/>
  <c r="S231" i="3"/>
  <c r="S230" i="3"/>
  <c r="S229" i="3"/>
  <c r="S224" i="3"/>
  <c r="S215" i="3"/>
  <c r="S192" i="3"/>
  <c r="S183" i="3"/>
  <c r="S174" i="3"/>
  <c r="S165" i="3"/>
  <c r="S156" i="3"/>
  <c r="S147" i="3"/>
  <c r="S138" i="3"/>
  <c r="S129" i="3"/>
  <c r="S120" i="3"/>
  <c r="S111" i="3"/>
  <c r="S102" i="3"/>
  <c r="S93" i="3"/>
  <c r="S84" i="3"/>
  <c r="S75" i="3"/>
  <c r="S66" i="3"/>
  <c r="S57" i="3"/>
  <c r="S48" i="3"/>
  <c r="S39" i="3"/>
  <c r="S30" i="3"/>
  <c r="S64" i="5" l="1"/>
  <c r="S26" i="5"/>
  <c r="R26" i="5"/>
  <c r="S232" i="3"/>
  <c r="S355" i="3"/>
  <c r="B3" i="647" l="1"/>
  <c r="J21" i="3"/>
  <c r="J30" i="3"/>
  <c r="J39" i="3"/>
  <c r="J48" i="3"/>
  <c r="J57" i="3"/>
  <c r="J66" i="3"/>
  <c r="J75" i="3"/>
  <c r="J84" i="3"/>
  <c r="J93" i="3"/>
  <c r="J102" i="3"/>
  <c r="J111" i="3"/>
  <c r="J120" i="3"/>
  <c r="J129" i="3"/>
  <c r="J138" i="3"/>
  <c r="J147" i="3"/>
  <c r="J156" i="3"/>
  <c r="J165" i="3"/>
  <c r="J174" i="3"/>
  <c r="J183" i="3"/>
  <c r="J192" i="3"/>
  <c r="J200" i="3"/>
  <c r="J215" i="3"/>
  <c r="J224" i="3"/>
  <c r="J229" i="3"/>
  <c r="J230" i="3"/>
  <c r="J231" i="3"/>
  <c r="J234" i="3"/>
  <c r="J236" i="3"/>
  <c r="J244" i="3"/>
  <c r="J253" i="3"/>
  <c r="J262" i="3"/>
  <c r="J271" i="3"/>
  <c r="J280" i="3"/>
  <c r="J289" i="3"/>
  <c r="J298" i="3"/>
  <c r="J307" i="3"/>
  <c r="J316" i="3"/>
  <c r="J339" i="3"/>
  <c r="J348" i="3"/>
  <c r="J353" i="3"/>
  <c r="J354" i="3"/>
  <c r="J357" i="3"/>
  <c r="J358" i="3"/>
  <c r="J359" i="3"/>
  <c r="J618" i="3"/>
  <c r="J623" i="3"/>
  <c r="J628" i="3"/>
  <c r="J631" i="3" s="1"/>
  <c r="J24" i="5" s="1"/>
  <c r="J632" i="3"/>
  <c r="J633" i="3"/>
  <c r="J25" i="5" s="1"/>
  <c r="J634" i="3"/>
  <c r="J789" i="3"/>
  <c r="J794" i="3"/>
  <c r="J802" i="3"/>
  <c r="J1096" i="3"/>
  <c r="J53" i="5" s="1"/>
  <c r="J1103" i="3"/>
  <c r="J54" i="5" s="1"/>
  <c r="J1110" i="3"/>
  <c r="J55" i="5" s="1"/>
  <c r="J1117" i="3"/>
  <c r="J56" i="5" s="1"/>
  <c r="J1142" i="3"/>
  <c r="J61" i="5" s="1"/>
  <c r="J1146" i="3"/>
  <c r="J62" i="5" s="1"/>
  <c r="J1150" i="3"/>
  <c r="J63" i="5" s="1"/>
  <c r="J1157" i="3"/>
  <c r="J1164" i="3"/>
  <c r="J1169" i="3"/>
  <c r="J65" i="5" s="1"/>
  <c r="J1178" i="3"/>
  <c r="J67" i="5" s="1"/>
  <c r="J1185" i="3"/>
  <c r="J68" i="5" s="1"/>
  <c r="J1192" i="3"/>
  <c r="J1199" i="3"/>
  <c r="J1203" i="3"/>
  <c r="J1206" i="3"/>
  <c r="J1207" i="3"/>
  <c r="J1208" i="3"/>
  <c r="J1209" i="3"/>
  <c r="J26" i="5" l="1"/>
  <c r="J69" i="5"/>
  <c r="J64" i="5"/>
  <c r="J355" i="3"/>
  <c r="J232" i="3"/>
  <c r="J203" i="3"/>
  <c r="J1212" i="3"/>
  <c r="G4" i="5" l="1"/>
  <c r="D14" i="594" l="1"/>
  <c r="E27" i="49" l="1"/>
  <c r="AJ94" i="4" l="1"/>
  <c r="A2" i="33" l="1"/>
  <c r="I6" i="20"/>
  <c r="I7" i="20" s="1"/>
  <c r="I8" i="20" s="1"/>
  <c r="I9" i="20" s="1"/>
  <c r="I10" i="20" s="1"/>
  <c r="I11" i="20" s="1"/>
  <c r="I12" i="20" s="1"/>
  <c r="I13" i="20" s="1"/>
  <c r="I14" i="20" s="1"/>
  <c r="I15" i="20" s="1"/>
  <c r="I16" i="20" s="1"/>
  <c r="I17" i="20" s="1"/>
  <c r="I18" i="20" s="1"/>
  <c r="I19" i="20" s="1"/>
  <c r="I20" i="20" s="1"/>
  <c r="I21" i="20" s="1"/>
  <c r="I22" i="20" s="1"/>
  <c r="I23" i="20" s="1"/>
  <c r="I24" i="20" s="1"/>
  <c r="I25" i="20" s="1"/>
  <c r="I26" i="20" s="1"/>
  <c r="I27" i="20" s="1"/>
  <c r="I28" i="20" s="1"/>
  <c r="I29" i="20" s="1"/>
  <c r="I30" i="20" s="1"/>
  <c r="I31" i="20" s="1"/>
  <c r="I32" i="20" s="1"/>
  <c r="I33" i="20" s="1"/>
  <c r="I34" i="20" s="1"/>
  <c r="I35" i="20" s="1"/>
  <c r="I36" i="20" s="1"/>
  <c r="I37" i="20" s="1"/>
  <c r="I38" i="20" s="1"/>
  <c r="I39" i="20" s="1"/>
  <c r="I40" i="20" s="1"/>
  <c r="I41" i="20" s="1"/>
  <c r="I42" i="20" s="1"/>
  <c r="I43" i="20" s="1"/>
  <c r="I44" i="20" s="1"/>
  <c r="I45" i="20" s="1"/>
  <c r="I46" i="20" s="1"/>
  <c r="A43" i="1" l="1"/>
  <c r="R22" i="20" l="1"/>
  <c r="AB13" i="641" l="1"/>
  <c r="AB65" i="641" s="1"/>
  <c r="AC13" i="641"/>
  <c r="T443" i="641"/>
  <c r="Z13" i="641"/>
  <c r="AA14" i="641"/>
  <c r="AC14" i="641"/>
  <c r="Z14" i="641"/>
  <c r="AA15" i="641"/>
  <c r="AB15" i="641"/>
  <c r="AC15" i="641"/>
  <c r="T445" i="641"/>
  <c r="Z15" i="641"/>
  <c r="AA19" i="641"/>
  <c r="AB19" i="641"/>
  <c r="AB20" i="641" s="1"/>
  <c r="AC19" i="641"/>
  <c r="AC20" i="641" s="1"/>
  <c r="T449" i="641"/>
  <c r="T450" i="641" s="1"/>
  <c r="AA27" i="641"/>
  <c r="AB27" i="641"/>
  <c r="AC27" i="641"/>
  <c r="Y27" i="641"/>
  <c r="Z27" i="641"/>
  <c r="AA28" i="641"/>
  <c r="AB28" i="641"/>
  <c r="T458" i="641"/>
  <c r="Z28" i="641"/>
  <c r="AA31" i="641"/>
  <c r="AB31" i="641"/>
  <c r="AC31" i="641"/>
  <c r="T461" i="641"/>
  <c r="Z31" i="641"/>
  <c r="AA29" i="641"/>
  <c r="AB29" i="641"/>
  <c r="AC29" i="641"/>
  <c r="Y29" i="641"/>
  <c r="Z29" i="641"/>
  <c r="AA32" i="641"/>
  <c r="AB32" i="641"/>
  <c r="AC32" i="641"/>
  <c r="T462" i="641"/>
  <c r="Z32" i="641"/>
  <c r="AA33" i="641"/>
  <c r="AB33" i="641"/>
  <c r="Y33" i="641"/>
  <c r="Z33" i="641"/>
  <c r="AA30" i="641"/>
  <c r="AB30" i="641"/>
  <c r="AC30" i="641"/>
  <c r="T460" i="641"/>
  <c r="AA22" i="641"/>
  <c r="AA23" i="641"/>
  <c r="AD23" i="641" s="1"/>
  <c r="AA41" i="641"/>
  <c r="AC41" i="641"/>
  <c r="Y41" i="641"/>
  <c r="Z41" i="641"/>
  <c r="AA42" i="641"/>
  <c r="AC42" i="641"/>
  <c r="Y42" i="641"/>
  <c r="Z42" i="641"/>
  <c r="AA43" i="641"/>
  <c r="AC43" i="641"/>
  <c r="T473" i="641"/>
  <c r="Z43" i="641"/>
  <c r="AB53" i="641"/>
  <c r="AC53" i="641"/>
  <c r="Y53" i="641"/>
  <c r="Z53" i="641"/>
  <c r="AA52" i="641"/>
  <c r="AC52" i="641"/>
  <c r="T482" i="641"/>
  <c r="Z52" i="641"/>
  <c r="AA58" i="641"/>
  <c r="AC58" i="641"/>
  <c r="T488" i="641"/>
  <c r="Z58" i="641"/>
  <c r="AA57" i="641"/>
  <c r="AC57" i="641"/>
  <c r="T487" i="641"/>
  <c r="Z57" i="641"/>
  <c r="AA46" i="641"/>
  <c r="AA47" i="641"/>
  <c r="AD47" i="641" s="1"/>
  <c r="T381" i="641"/>
  <c r="T382" i="641" s="1"/>
  <c r="T389" i="641"/>
  <c r="T390" i="641"/>
  <c r="T391" i="641"/>
  <c r="T392" i="641"/>
  <c r="T393" i="641"/>
  <c r="T394" i="641"/>
  <c r="T395" i="641"/>
  <c r="T403" i="641"/>
  <c r="T404" i="641"/>
  <c r="T405" i="641"/>
  <c r="T414" i="641"/>
  <c r="T415" i="641"/>
  <c r="T419" i="641"/>
  <c r="T420" i="641"/>
  <c r="T444" i="641"/>
  <c r="X13" i="641"/>
  <c r="X14" i="641"/>
  <c r="X15" i="641"/>
  <c r="X19" i="641"/>
  <c r="X20" i="641" s="1"/>
  <c r="X27" i="641"/>
  <c r="X28" i="641"/>
  <c r="X29" i="641"/>
  <c r="X30" i="641"/>
  <c r="X31" i="641"/>
  <c r="X32" i="641"/>
  <c r="X33" i="641"/>
  <c r="X41" i="641"/>
  <c r="X42" i="641"/>
  <c r="X43" i="641"/>
  <c r="X52" i="641"/>
  <c r="X53" i="641"/>
  <c r="X57" i="641"/>
  <c r="X58" i="641"/>
  <c r="Y14" i="641"/>
  <c r="AB14" i="641"/>
  <c r="AB44" i="641"/>
  <c r="AB52" i="641"/>
  <c r="AB59" i="641"/>
  <c r="Z19" i="641"/>
  <c r="Z20" i="641" s="1"/>
  <c r="AC28" i="641"/>
  <c r="T471" i="641" l="1"/>
  <c r="T495" i="641" s="1"/>
  <c r="X65" i="641"/>
  <c r="Y19" i="641"/>
  <c r="Y20" i="641" s="1"/>
  <c r="T463" i="641"/>
  <c r="X16" i="641"/>
  <c r="Y43" i="641"/>
  <c r="Y44" i="641" s="1"/>
  <c r="X54" i="641"/>
  <c r="X68" i="641" s="1"/>
  <c r="T459" i="641"/>
  <c r="Y32" i="641"/>
  <c r="Y15" i="641"/>
  <c r="T427" i="641"/>
  <c r="Y31" i="641"/>
  <c r="T483" i="641"/>
  <c r="T484" i="641" s="1"/>
  <c r="T498" i="641" s="1"/>
  <c r="Y13" i="641"/>
  <c r="Y65" i="641" s="1"/>
  <c r="T457" i="641"/>
  <c r="T472" i="641"/>
  <c r="Y58" i="641"/>
  <c r="Y28" i="641"/>
  <c r="Y30" i="641"/>
  <c r="Y57" i="641"/>
  <c r="AA53" i="641"/>
  <c r="AD53" i="641" s="1"/>
  <c r="F274" i="15"/>
  <c r="M274" i="15" s="1"/>
  <c r="X59" i="641"/>
  <c r="X34" i="641"/>
  <c r="AA13" i="641"/>
  <c r="AD13" i="641" s="1"/>
  <c r="T396" i="641"/>
  <c r="T378" i="641"/>
  <c r="T416" i="641"/>
  <c r="T430" i="641" s="1"/>
  <c r="T421" i="641"/>
  <c r="T489" i="641"/>
  <c r="Z30" i="641"/>
  <c r="Z34" i="641" s="1"/>
  <c r="Y52" i="641"/>
  <c r="Y54" i="641" s="1"/>
  <c r="AC54" i="641"/>
  <c r="AC68" i="641" s="1"/>
  <c r="T446" i="641"/>
  <c r="X44" i="641"/>
  <c r="T406" i="641"/>
  <c r="AD52" i="641"/>
  <c r="Z59" i="641"/>
  <c r="AD43" i="641"/>
  <c r="AA59" i="641"/>
  <c r="AD57" i="641"/>
  <c r="AD46" i="641"/>
  <c r="AD48" i="641" s="1"/>
  <c r="AA48" i="641"/>
  <c r="Z54" i="641"/>
  <c r="Z68" i="641" s="1"/>
  <c r="AD42" i="641"/>
  <c r="AC44" i="641"/>
  <c r="AB34" i="641"/>
  <c r="AC65" i="641"/>
  <c r="AD15" i="641"/>
  <c r="AB54" i="641"/>
  <c r="AC16" i="641"/>
  <c r="AC59" i="641"/>
  <c r="AD58" i="641"/>
  <c r="Z44" i="641"/>
  <c r="AD41" i="641"/>
  <c r="AA44" i="641"/>
  <c r="AD22" i="641"/>
  <c r="AD24" i="641" s="1"/>
  <c r="AA24" i="641"/>
  <c r="AD30" i="641"/>
  <c r="AD32" i="641"/>
  <c r="AC33" i="641"/>
  <c r="AD33" i="641" s="1"/>
  <c r="AD29" i="641"/>
  <c r="AD31" i="641"/>
  <c r="AD28" i="641"/>
  <c r="AD27" i="641"/>
  <c r="AA34" i="641"/>
  <c r="AD19" i="641"/>
  <c r="AD20" i="641" s="1"/>
  <c r="AA20" i="641"/>
  <c r="Z65" i="641"/>
  <c r="AD14" i="641"/>
  <c r="Z16" i="641"/>
  <c r="AB16" i="641"/>
  <c r="AB67" i="641" s="1"/>
  <c r="T474" i="641" l="1"/>
  <c r="T491" i="641" s="1"/>
  <c r="T505" i="641" s="1"/>
  <c r="X36" i="641"/>
  <c r="X74" i="641" s="1"/>
  <c r="X67" i="641"/>
  <c r="AA16" i="641"/>
  <c r="AA67" i="641" s="1"/>
  <c r="AA65" i="641"/>
  <c r="T423" i="641"/>
  <c r="T437" i="641" s="1"/>
  <c r="Y34" i="641"/>
  <c r="T464" i="641"/>
  <c r="T466" i="641" s="1"/>
  <c r="T504" i="641" s="1"/>
  <c r="X69" i="641"/>
  <c r="Y59" i="641"/>
  <c r="Y61" i="641" s="1"/>
  <c r="Y75" i="641" s="1"/>
  <c r="T431" i="641"/>
  <c r="Y16" i="641"/>
  <c r="AA54" i="641"/>
  <c r="AA61" i="641" s="1"/>
  <c r="AA75" i="641" s="1"/>
  <c r="T429" i="641"/>
  <c r="T426" i="641"/>
  <c r="T398" i="641"/>
  <c r="T436" i="641" s="1"/>
  <c r="X61" i="641"/>
  <c r="X75" i="641" s="1"/>
  <c r="X64" i="641"/>
  <c r="Y68" i="641"/>
  <c r="AD54" i="641"/>
  <c r="AD68" i="641" s="1"/>
  <c r="Z67" i="641"/>
  <c r="AC67" i="641"/>
  <c r="AD34" i="641"/>
  <c r="AD44" i="641"/>
  <c r="AD65" i="641"/>
  <c r="AD16" i="641"/>
  <c r="AB36" i="641"/>
  <c r="AB74" i="641" s="1"/>
  <c r="AB69" i="641"/>
  <c r="Z36" i="641"/>
  <c r="U206" i="641" s="1"/>
  <c r="AA69" i="641"/>
  <c r="Z61" i="641"/>
  <c r="U330" i="641" s="1"/>
  <c r="AC34" i="641"/>
  <c r="AC36" i="641" s="1"/>
  <c r="AC74" i="641" s="1"/>
  <c r="AC61" i="641"/>
  <c r="AC75" i="641" s="1"/>
  <c r="AB64" i="641"/>
  <c r="AB61" i="641"/>
  <c r="AB75" i="641" s="1"/>
  <c r="AB68" i="641"/>
  <c r="AD59" i="641"/>
  <c r="Z69" i="641"/>
  <c r="Z64" i="641"/>
  <c r="Y69" i="641" l="1"/>
  <c r="T497" i="641"/>
  <c r="X77" i="641"/>
  <c r="X66" i="641" s="1"/>
  <c r="Y36" i="641"/>
  <c r="Y74" i="641" s="1"/>
  <c r="Y77" i="641" s="1"/>
  <c r="T439" i="641"/>
  <c r="T428" i="641" s="1"/>
  <c r="AA36" i="641"/>
  <c r="AA74" i="641" s="1"/>
  <c r="AA77" i="641" s="1"/>
  <c r="AA66" i="641" s="1"/>
  <c r="T494" i="641"/>
  <c r="T499" i="641"/>
  <c r="Y64" i="641"/>
  <c r="AA68" i="641"/>
  <c r="Y67" i="641"/>
  <c r="AA64" i="641"/>
  <c r="T507" i="641"/>
  <c r="T496" i="641" s="1"/>
  <c r="AD67" i="641"/>
  <c r="AC69" i="641"/>
  <c r="AC77" i="641"/>
  <c r="AC66" i="641" s="1"/>
  <c r="AC64" i="641"/>
  <c r="AD64" i="641"/>
  <c r="AD61" i="641"/>
  <c r="AD75" i="641" s="1"/>
  <c r="AD69" i="641"/>
  <c r="Z75" i="641"/>
  <c r="Z74" i="641"/>
  <c r="AB77" i="641"/>
  <c r="AD36" i="641"/>
  <c r="AD74" i="641" s="1"/>
  <c r="X80" i="641" l="1"/>
  <c r="Y80" i="641"/>
  <c r="Y66" i="641"/>
  <c r="AA80" i="641"/>
  <c r="AC80" i="641"/>
  <c r="Z77" i="641"/>
  <c r="Z80" i="641" s="1"/>
  <c r="AD77" i="641"/>
  <c r="AD66" i="641" s="1"/>
  <c r="AB66" i="641"/>
  <c r="AB80" i="641"/>
  <c r="Z66" i="641" l="1"/>
  <c r="AD80" i="641"/>
  <c r="L23" i="12" l="1"/>
  <c r="N831" i="3"/>
  <c r="D18" i="594" l="1"/>
  <c r="R34" i="595" l="1"/>
  <c r="F350" i="15" l="1"/>
  <c r="M350" i="15" s="1"/>
  <c r="F349" i="15"/>
  <c r="M349" i="15" s="1"/>
  <c r="F346" i="15"/>
  <c r="M346" i="15" s="1"/>
  <c r="F342" i="15"/>
  <c r="M342" i="15" s="1"/>
  <c r="F340" i="15"/>
  <c r="M340" i="15" s="1"/>
  <c r="F337" i="15"/>
  <c r="M337" i="15" s="1"/>
  <c r="F333" i="15"/>
  <c r="M333" i="15" s="1"/>
  <c r="F314" i="15"/>
  <c r="M314" i="15" s="1"/>
  <c r="F305" i="15"/>
  <c r="M305" i="15" s="1"/>
  <c r="F296" i="15"/>
  <c r="M296" i="15" s="1"/>
  <c r="F227" i="15"/>
  <c r="M227" i="15" s="1"/>
  <c r="F184" i="15"/>
  <c r="M184" i="15" s="1"/>
  <c r="F182" i="15"/>
  <c r="M182" i="15" s="1"/>
  <c r="F181" i="15"/>
  <c r="M181" i="15" s="1"/>
  <c r="F179" i="15"/>
  <c r="M179" i="15" s="1"/>
  <c r="F177" i="15"/>
  <c r="M177" i="15" s="1"/>
  <c r="F54" i="15"/>
  <c r="M54" i="15" s="1"/>
  <c r="F52" i="15"/>
  <c r="M52" i="15" s="1"/>
  <c r="F31" i="15"/>
  <c r="M31" i="15" s="1"/>
  <c r="F29" i="15"/>
  <c r="M29" i="15" s="1"/>
  <c r="F28" i="15"/>
  <c r="M28" i="15" s="1"/>
  <c r="F26" i="15"/>
  <c r="M26" i="15" s="1"/>
  <c r="F24" i="15"/>
  <c r="M24" i="15" s="1"/>
  <c r="F320" i="15" l="1"/>
  <c r="M320" i="15" s="1"/>
  <c r="F196" i="15"/>
  <c r="M196" i="15" s="1"/>
  <c r="F35" i="15" l="1"/>
  <c r="M35" i="15" s="1"/>
  <c r="F44" i="15"/>
  <c r="M44" i="15" s="1"/>
  <c r="F15" i="15"/>
  <c r="F19" i="15"/>
  <c r="F22" i="15"/>
  <c r="M22" i="15" s="1"/>
  <c r="F38" i="15"/>
  <c r="M38" i="15" s="1"/>
  <c r="F42" i="15"/>
  <c r="M42" i="15" s="1"/>
  <c r="F46" i="15"/>
  <c r="M46" i="15" s="1"/>
  <c r="F49" i="15"/>
  <c r="M49" i="15" s="1"/>
  <c r="F53" i="15"/>
  <c r="M53" i="15" s="1"/>
  <c r="F56" i="15"/>
  <c r="M56" i="15" s="1"/>
  <c r="F60" i="15"/>
  <c r="M60" i="15" s="1"/>
  <c r="F64" i="15"/>
  <c r="M64" i="15" s="1"/>
  <c r="F67" i="15"/>
  <c r="M67" i="15" s="1"/>
  <c r="F71" i="15"/>
  <c r="M71" i="15" s="1"/>
  <c r="F74" i="15"/>
  <c r="M74" i="15" s="1"/>
  <c r="F78" i="15"/>
  <c r="M78" i="15" s="1"/>
  <c r="F82" i="15"/>
  <c r="M82" i="15" s="1"/>
  <c r="F85" i="15"/>
  <c r="M85" i="15" s="1"/>
  <c r="F89" i="15"/>
  <c r="M89" i="15" s="1"/>
  <c r="F92" i="15"/>
  <c r="M92" i="15" s="1"/>
  <c r="F101" i="15"/>
  <c r="M101" i="15" s="1"/>
  <c r="F105" i="15"/>
  <c r="M105" i="15" s="1"/>
  <c r="F109" i="15"/>
  <c r="M109" i="15" s="1"/>
  <c r="F112" i="15"/>
  <c r="M112" i="15" s="1"/>
  <c r="F114" i="15"/>
  <c r="M114" i="15" s="1"/>
  <c r="F116" i="15"/>
  <c r="M116" i="15" s="1"/>
  <c r="F118" i="15"/>
  <c r="M118" i="15" s="1"/>
  <c r="F121" i="15"/>
  <c r="M121" i="15" s="1"/>
  <c r="F125" i="15"/>
  <c r="M125" i="15" s="1"/>
  <c r="F128" i="15"/>
  <c r="M128" i="15" s="1"/>
  <c r="F132" i="15"/>
  <c r="M132" i="15" s="1"/>
  <c r="F136" i="15"/>
  <c r="M136" i="15" s="1"/>
  <c r="F141" i="15"/>
  <c r="M141" i="15" s="1"/>
  <c r="F145" i="15"/>
  <c r="M145" i="15" s="1"/>
  <c r="F148" i="15"/>
  <c r="M148" i="15" s="1"/>
  <c r="F155" i="15"/>
  <c r="M155" i="15" s="1"/>
  <c r="F159" i="15"/>
  <c r="M159" i="15" s="1"/>
  <c r="F163" i="15"/>
  <c r="M163" i="15" s="1"/>
  <c r="F166" i="15"/>
  <c r="M166" i="15" s="1"/>
  <c r="F173" i="15"/>
  <c r="M173" i="15" s="1"/>
  <c r="F186" i="15"/>
  <c r="M186" i="15" s="1"/>
  <c r="F188" i="15"/>
  <c r="M188" i="15" s="1"/>
  <c r="F190" i="15"/>
  <c r="M190" i="15" s="1"/>
  <c r="F193" i="15"/>
  <c r="M193" i="15" s="1"/>
  <c r="F209" i="15"/>
  <c r="M209" i="15" s="1"/>
  <c r="F211" i="15"/>
  <c r="M211" i="15" s="1"/>
  <c r="F213" i="15"/>
  <c r="M213" i="15" s="1"/>
  <c r="F223" i="15"/>
  <c r="M223" i="15" s="1"/>
  <c r="F228" i="15"/>
  <c r="M228" i="15" s="1"/>
  <c r="F230" i="15"/>
  <c r="M230" i="15" s="1"/>
  <c r="F233" i="15"/>
  <c r="M233" i="15" s="1"/>
  <c r="F235" i="15"/>
  <c r="M235" i="15" s="1"/>
  <c r="F242" i="15"/>
  <c r="M242" i="15" s="1"/>
  <c r="F245" i="15"/>
  <c r="M245" i="15" s="1"/>
  <c r="F251" i="15"/>
  <c r="M251" i="15" s="1"/>
  <c r="F254" i="15"/>
  <c r="M254" i="15" s="1"/>
  <c r="F260" i="15"/>
  <c r="M260" i="15" s="1"/>
  <c r="F263" i="15"/>
  <c r="M263" i="15" s="1"/>
  <c r="F269" i="15"/>
  <c r="M269" i="15" s="1"/>
  <c r="F272" i="15"/>
  <c r="M272" i="15" s="1"/>
  <c r="F279" i="15"/>
  <c r="M279" i="15" s="1"/>
  <c r="F283" i="15"/>
  <c r="M283" i="15" s="1"/>
  <c r="F287" i="15"/>
  <c r="M287" i="15" s="1"/>
  <c r="F290" i="15"/>
  <c r="M290" i="15" s="1"/>
  <c r="F297" i="15"/>
  <c r="M297" i="15" s="1"/>
  <c r="F301" i="15"/>
  <c r="M301" i="15" s="1"/>
  <c r="F308" i="15"/>
  <c r="M308" i="15" s="1"/>
  <c r="F315" i="15"/>
  <c r="M315" i="15" s="1"/>
  <c r="F319" i="15"/>
  <c r="M319" i="15" s="1"/>
  <c r="F17" i="15"/>
  <c r="F33" i="15"/>
  <c r="M33" i="15" s="1"/>
  <c r="F37" i="15"/>
  <c r="M37" i="15" s="1"/>
  <c r="F40" i="15"/>
  <c r="M40" i="15" s="1"/>
  <c r="F47" i="15"/>
  <c r="M47" i="15" s="1"/>
  <c r="F51" i="15"/>
  <c r="M51" i="15" s="1"/>
  <c r="F55" i="15"/>
  <c r="M55" i="15" s="1"/>
  <c r="F58" i="15"/>
  <c r="M58" i="15" s="1"/>
  <c r="F62" i="15"/>
  <c r="M62" i="15" s="1"/>
  <c r="F65" i="15"/>
  <c r="M65" i="15" s="1"/>
  <c r="F69" i="15"/>
  <c r="M69" i="15" s="1"/>
  <c r="F73" i="15"/>
  <c r="M73" i="15" s="1"/>
  <c r="F76" i="15"/>
  <c r="M76" i="15" s="1"/>
  <c r="F80" i="15"/>
  <c r="M80" i="15" s="1"/>
  <c r="F83" i="15"/>
  <c r="M83" i="15" s="1"/>
  <c r="F87" i="15"/>
  <c r="M87" i="15" s="1"/>
  <c r="F91" i="15"/>
  <c r="M91" i="15" s="1"/>
  <c r="F94" i="15"/>
  <c r="M94" i="15" s="1"/>
  <c r="F96" i="15"/>
  <c r="M96" i="15" s="1"/>
  <c r="F98" i="15"/>
  <c r="M98" i="15" s="1"/>
  <c r="F100" i="15"/>
  <c r="M100" i="15" s="1"/>
  <c r="F103" i="15"/>
  <c r="M103" i="15" s="1"/>
  <c r="F107" i="15"/>
  <c r="M107" i="15" s="1"/>
  <c r="F110" i="15"/>
  <c r="M110" i="15" s="1"/>
  <c r="F119" i="15"/>
  <c r="M119" i="15" s="1"/>
  <c r="F123" i="15"/>
  <c r="M123" i="15" s="1"/>
  <c r="F127" i="15"/>
  <c r="M127" i="15" s="1"/>
  <c r="F130" i="15"/>
  <c r="M130" i="15" s="1"/>
  <c r="F134" i="15"/>
  <c r="M134" i="15" s="1"/>
  <c r="F137" i="15"/>
  <c r="M137" i="15" s="1"/>
  <c r="F139" i="15"/>
  <c r="M139" i="15" s="1"/>
  <c r="F143" i="15"/>
  <c r="M143" i="15" s="1"/>
  <c r="F146" i="15"/>
  <c r="M146" i="15" s="1"/>
  <c r="F150" i="15"/>
  <c r="M150" i="15" s="1"/>
  <c r="F152" i="15"/>
  <c r="M152" i="15" s="1"/>
  <c r="F154" i="15"/>
  <c r="M154" i="15" s="1"/>
  <c r="F157" i="15"/>
  <c r="M157" i="15" s="1"/>
  <c r="F161" i="15"/>
  <c r="M161" i="15" s="1"/>
  <c r="F164" i="15"/>
  <c r="M164" i="15" s="1"/>
  <c r="F168" i="15"/>
  <c r="M168" i="15" s="1"/>
  <c r="F170" i="15"/>
  <c r="M170" i="15" s="1"/>
  <c r="F172" i="15"/>
  <c r="M172" i="15" s="1"/>
  <c r="F175" i="15"/>
  <c r="M175" i="15" s="1"/>
  <c r="F191" i="15"/>
  <c r="M191" i="15" s="1"/>
  <c r="M195" i="15"/>
  <c r="F214" i="15"/>
  <c r="M214" i="15" s="1"/>
  <c r="F216" i="15"/>
  <c r="M216" i="15" s="1"/>
  <c r="F218" i="15"/>
  <c r="M218" i="15" s="1"/>
  <c r="F220" i="15"/>
  <c r="M220" i="15" s="1"/>
  <c r="F222" i="15"/>
  <c r="M222" i="15" s="1"/>
  <c r="F225" i="15"/>
  <c r="M225" i="15" s="1"/>
  <c r="F229" i="15"/>
  <c r="M229" i="15" s="1"/>
  <c r="F231" i="15"/>
  <c r="M231" i="15" s="1"/>
  <c r="F234" i="15"/>
  <c r="M234" i="15" s="1"/>
  <c r="F238" i="15"/>
  <c r="M238" i="15" s="1"/>
  <c r="F243" i="15"/>
  <c r="F247" i="15"/>
  <c r="M247" i="15" s="1"/>
  <c r="F252" i="15"/>
  <c r="M252" i="15" s="1"/>
  <c r="F256" i="15"/>
  <c r="M256" i="15" s="1"/>
  <c r="F261" i="15"/>
  <c r="M261" i="15" s="1"/>
  <c r="F265" i="15"/>
  <c r="M265" i="15" s="1"/>
  <c r="F270" i="15"/>
  <c r="M270" i="15" s="1"/>
  <c r="F276" i="15"/>
  <c r="M276" i="15" s="1"/>
  <c r="F278" i="15"/>
  <c r="M278" i="15" s="1"/>
  <c r="F281" i="15"/>
  <c r="M281" i="15" s="1"/>
  <c r="F285" i="15"/>
  <c r="M285" i="15" s="1"/>
  <c r="F288" i="15"/>
  <c r="M288" i="15" s="1"/>
  <c r="F292" i="15"/>
  <c r="M292" i="15" s="1"/>
  <c r="F306" i="15"/>
  <c r="M306" i="15" s="1"/>
  <c r="F310" i="15"/>
  <c r="M310" i="15" s="1"/>
  <c r="F317" i="15"/>
  <c r="M317" i="15" s="1"/>
  <c r="M19" i="15" l="1"/>
  <c r="F201" i="15"/>
  <c r="M17" i="15"/>
  <c r="F200" i="15"/>
  <c r="M15" i="15"/>
  <c r="F20" i="15"/>
  <c r="M20" i="15" s="1"/>
  <c r="M243" i="15"/>
  <c r="F326" i="15"/>
  <c r="F322" i="15"/>
  <c r="F324" i="15"/>
  <c r="Q200" i="3"/>
  <c r="P200" i="3"/>
  <c r="O200" i="3"/>
  <c r="N200" i="3"/>
  <c r="M200" i="3"/>
  <c r="I200" i="3"/>
  <c r="H200" i="3"/>
  <c r="M322" i="15" l="1"/>
  <c r="Q35" i="20"/>
  <c r="F364" i="15"/>
  <c r="M364" i="15" s="1"/>
  <c r="M324" i="15"/>
  <c r="U321" i="6"/>
  <c r="R321" i="6"/>
  <c r="U320" i="6"/>
  <c r="R320" i="6"/>
  <c r="W2" i="42" l="1"/>
  <c r="R26" i="20" l="1"/>
  <c r="R23" i="20" l="1"/>
  <c r="Q24" i="20"/>
  <c r="Q27" i="20" s="1"/>
  <c r="Q29" i="20" s="1"/>
  <c r="J2" i="595" l="1"/>
  <c r="S32" i="595"/>
  <c r="B2" i="595"/>
  <c r="G8" i="595"/>
  <c r="G9" i="595" s="1"/>
  <c r="G10" i="595" s="1"/>
  <c r="G11" i="595" s="1"/>
  <c r="G12" i="595" s="1"/>
  <c r="G13" i="595" s="1"/>
  <c r="G14" i="595" s="1"/>
  <c r="G15" i="595" s="1"/>
  <c r="V1250" i="3"/>
  <c r="W1250" i="3" s="1"/>
  <c r="V1249" i="3"/>
  <c r="W1249" i="3" s="1"/>
  <c r="V1233" i="3"/>
  <c r="V1232" i="3"/>
  <c r="W1232" i="3" s="1"/>
  <c r="V1231" i="3"/>
  <c r="W1231" i="3" s="1"/>
  <c r="V1228" i="3"/>
  <c r="W1228" i="3" s="1"/>
  <c r="V931" i="3"/>
  <c r="G944" i="6" s="1"/>
  <c r="V929" i="3"/>
  <c r="G942" i="6" s="1"/>
  <c r="V927" i="3"/>
  <c r="G940" i="6" s="1"/>
  <c r="E940" i="6" s="1"/>
  <c r="V925" i="3"/>
  <c r="G938" i="6" s="1"/>
  <c r="T920" i="3"/>
  <c r="V920" i="3" s="1"/>
  <c r="T919" i="3"/>
  <c r="V919" i="3" s="1"/>
  <c r="G932" i="6" s="1"/>
  <c r="T918" i="3"/>
  <c r="V918" i="3" s="1"/>
  <c r="G931" i="6" s="1"/>
  <c r="W918" i="3" s="1"/>
  <c r="T917" i="3"/>
  <c r="V917" i="3" s="1"/>
  <c r="T910" i="3"/>
  <c r="V910" i="3" s="1"/>
  <c r="W910" i="3" s="1"/>
  <c r="T909" i="3"/>
  <c r="V909" i="3" s="1"/>
  <c r="T908" i="3"/>
  <c r="V908" i="3" s="1"/>
  <c r="W908" i="3" s="1"/>
  <c r="T907" i="3"/>
  <c r="V907" i="3" s="1"/>
  <c r="V883" i="3"/>
  <c r="G895" i="6" s="1"/>
  <c r="E895" i="6" s="1"/>
  <c r="V882" i="3"/>
  <c r="G894" i="6" s="1"/>
  <c r="V879" i="3"/>
  <c r="G890" i="6" s="1"/>
  <c r="E890" i="6" s="1"/>
  <c r="V878" i="3"/>
  <c r="G889" i="6" s="1"/>
  <c r="W878" i="3" s="1"/>
  <c r="V871" i="3"/>
  <c r="V870" i="3"/>
  <c r="W870" i="3" s="1"/>
  <c r="V867" i="3"/>
  <c r="G875" i="6" s="1"/>
  <c r="V866" i="3"/>
  <c r="G874" i="6" s="1"/>
  <c r="V859" i="3"/>
  <c r="G865" i="6" s="1"/>
  <c r="V858" i="3"/>
  <c r="G864" i="6" s="1"/>
  <c r="V855" i="3"/>
  <c r="G860" i="6" s="1"/>
  <c r="V854" i="3"/>
  <c r="G859" i="6" s="1"/>
  <c r="E859" i="6" s="1"/>
  <c r="V847" i="3"/>
  <c r="G850" i="6" s="1"/>
  <c r="V846" i="3"/>
  <c r="G849" i="6" s="1"/>
  <c r="V826" i="3"/>
  <c r="G827" i="6" s="1"/>
  <c r="W826" i="3" s="1"/>
  <c r="V825" i="3"/>
  <c r="V811" i="3"/>
  <c r="V810" i="3"/>
  <c r="V798" i="3"/>
  <c r="G799" i="6" s="1"/>
  <c r="V797" i="3"/>
  <c r="G798" i="6" s="1"/>
  <c r="V778" i="3"/>
  <c r="G779" i="6" s="1"/>
  <c r="V777" i="3"/>
  <c r="G778" i="6" s="1"/>
  <c r="V773" i="3"/>
  <c r="G774" i="6" s="1"/>
  <c r="V772" i="3"/>
  <c r="V768" i="3"/>
  <c r="G769" i="6" s="1"/>
  <c r="V767" i="3"/>
  <c r="G768" i="6" s="1"/>
  <c r="V763" i="3"/>
  <c r="V762" i="3"/>
  <c r="V758" i="3"/>
  <c r="V757" i="3"/>
  <c r="V745" i="3"/>
  <c r="G746" i="6" s="1"/>
  <c r="V744" i="3"/>
  <c r="V740" i="3"/>
  <c r="G741" i="6" s="1"/>
  <c r="V739" i="3"/>
  <c r="V735" i="3"/>
  <c r="G736" i="6" s="1"/>
  <c r="V734" i="3"/>
  <c r="G735" i="6" s="1"/>
  <c r="E735" i="6" s="1"/>
  <c r="V730" i="3"/>
  <c r="G731" i="6" s="1"/>
  <c r="V729" i="3"/>
  <c r="V725" i="3"/>
  <c r="G726" i="6" s="1"/>
  <c r="W725" i="3" s="1"/>
  <c r="V724" i="3"/>
  <c r="V720" i="3"/>
  <c r="G721" i="6" s="1"/>
  <c r="V719" i="3"/>
  <c r="V715" i="3"/>
  <c r="G716" i="6" s="1"/>
  <c r="V714" i="3"/>
  <c r="G715" i="6" s="1"/>
  <c r="W714" i="3" s="1"/>
  <c r="V710" i="3"/>
  <c r="G711" i="6" s="1"/>
  <c r="V709" i="3"/>
  <c r="V705" i="3"/>
  <c r="G706" i="6" s="1"/>
  <c r="V704" i="3"/>
  <c r="G705" i="6" s="1"/>
  <c r="V700" i="3"/>
  <c r="G701" i="6" s="1"/>
  <c r="V699" i="3"/>
  <c r="V695" i="3"/>
  <c r="G696" i="6" s="1"/>
  <c r="V694" i="3"/>
  <c r="V690" i="3"/>
  <c r="G691" i="6" s="1"/>
  <c r="V689" i="3"/>
  <c r="V685" i="3"/>
  <c r="G686" i="6" s="1"/>
  <c r="V684" i="3"/>
  <c r="G685" i="6" s="1"/>
  <c r="E685" i="6" s="1"/>
  <c r="V680" i="3"/>
  <c r="G681" i="6" s="1"/>
  <c r="V679" i="3"/>
  <c r="G680" i="6" s="1"/>
  <c r="V675" i="3"/>
  <c r="V674" i="3"/>
  <c r="G675" i="6" s="1"/>
  <c r="W674" i="3" s="1"/>
  <c r="V670" i="3"/>
  <c r="G671" i="6" s="1"/>
  <c r="W670" i="3" s="1"/>
  <c r="V669" i="3"/>
  <c r="V665" i="3"/>
  <c r="G666" i="6" s="1"/>
  <c r="V664" i="3"/>
  <c r="G665" i="6" s="1"/>
  <c r="V660" i="3"/>
  <c r="G661" i="6" s="1"/>
  <c r="V659" i="3"/>
  <c r="V655" i="3"/>
  <c r="G656" i="6" s="1"/>
  <c r="V654" i="3"/>
  <c r="V647" i="3"/>
  <c r="G648" i="6" s="1"/>
  <c r="W647" i="3" s="1"/>
  <c r="V646" i="3"/>
  <c r="V627" i="3"/>
  <c r="G628" i="6" s="1"/>
  <c r="I628" i="6" s="1"/>
  <c r="V626" i="3"/>
  <c r="V622" i="3"/>
  <c r="V621" i="3"/>
  <c r="V617" i="3"/>
  <c r="G618" i="6" s="1"/>
  <c r="V616" i="3"/>
  <c r="V612" i="3"/>
  <c r="V611" i="3"/>
  <c r="V607" i="3"/>
  <c r="G608" i="6" s="1"/>
  <c r="V606" i="3"/>
  <c r="V602" i="3"/>
  <c r="G603" i="6" s="1"/>
  <c r="V601" i="3"/>
  <c r="W601" i="3" s="1"/>
  <c r="V597" i="3"/>
  <c r="G598" i="6" s="1"/>
  <c r="V596" i="3"/>
  <c r="V592" i="3"/>
  <c r="V591" i="3"/>
  <c r="G592" i="6" s="1"/>
  <c r="V587" i="3"/>
  <c r="V586" i="3"/>
  <c r="V582" i="3"/>
  <c r="G583" i="6" s="1"/>
  <c r="V581" i="3"/>
  <c r="G582" i="6" s="1"/>
  <c r="V577" i="3"/>
  <c r="V576" i="3"/>
  <c r="W576" i="3" s="1"/>
  <c r="V572" i="3"/>
  <c r="G573" i="6" s="1"/>
  <c r="V571" i="3"/>
  <c r="W571" i="3" s="1"/>
  <c r="V567" i="3"/>
  <c r="V566" i="3"/>
  <c r="V562" i="3"/>
  <c r="V561" i="3"/>
  <c r="V557" i="3"/>
  <c r="G558" i="6" s="1"/>
  <c r="V556" i="3"/>
  <c r="V552" i="3"/>
  <c r="G553" i="6" s="1"/>
  <c r="V551" i="3"/>
  <c r="W551" i="3" s="1"/>
  <c r="V547" i="3"/>
  <c r="V546" i="3"/>
  <c r="V542" i="3"/>
  <c r="V541" i="3"/>
  <c r="G542" i="6" s="1"/>
  <c r="V537" i="3"/>
  <c r="G538" i="6" s="1"/>
  <c r="V536" i="3"/>
  <c r="V532" i="3"/>
  <c r="G533" i="6" s="1"/>
  <c r="V531" i="3"/>
  <c r="W531" i="3" s="1"/>
  <c r="V527" i="3"/>
  <c r="V526" i="3"/>
  <c r="V522" i="3"/>
  <c r="G523" i="6" s="1"/>
  <c r="V521" i="3"/>
  <c r="G522" i="6" s="1"/>
  <c r="V496" i="3"/>
  <c r="G496" i="6" s="1"/>
  <c r="V495" i="3"/>
  <c r="V491" i="3"/>
  <c r="V490" i="3"/>
  <c r="V486" i="3"/>
  <c r="V485" i="3"/>
  <c r="G485" i="6" s="1"/>
  <c r="V481" i="3"/>
  <c r="G481" i="6" s="1"/>
  <c r="V480" i="3"/>
  <c r="V476" i="3"/>
  <c r="V475" i="3"/>
  <c r="V471" i="3"/>
  <c r="G471" i="6" s="1"/>
  <c r="V470" i="3"/>
  <c r="V466" i="3"/>
  <c r="G466" i="6" s="1"/>
  <c r="V465" i="3"/>
  <c r="V461" i="3"/>
  <c r="V460" i="3"/>
  <c r="G460" i="6" s="1"/>
  <c r="V456" i="3"/>
  <c r="V455" i="3"/>
  <c r="V451" i="3"/>
  <c r="G451" i="6" s="1"/>
  <c r="W451" i="3" s="1"/>
  <c r="V450" i="3"/>
  <c r="V446" i="3"/>
  <c r="G446" i="6" s="1"/>
  <c r="W446" i="3" s="1"/>
  <c r="V445" i="3"/>
  <c r="V441" i="3"/>
  <c r="G441" i="6" s="1"/>
  <c r="V440" i="3"/>
  <c r="V436" i="3"/>
  <c r="G436" i="6" s="1"/>
  <c r="V435" i="3"/>
  <c r="V431" i="3"/>
  <c r="G431" i="6" s="1"/>
  <c r="V430" i="3"/>
  <c r="G430" i="6" s="1"/>
  <c r="W430" i="3" s="1"/>
  <c r="V426" i="3"/>
  <c r="G426" i="6" s="1"/>
  <c r="V425" i="3"/>
  <c r="V421" i="3"/>
  <c r="G421" i="6" s="1"/>
  <c r="V420" i="3"/>
  <c r="G420" i="6" s="1"/>
  <c r="V416" i="3"/>
  <c r="G416" i="6" s="1"/>
  <c r="V415" i="3"/>
  <c r="V411" i="3"/>
  <c r="V410" i="3"/>
  <c r="G410" i="6" s="1"/>
  <c r="V406" i="3"/>
  <c r="G406" i="6" s="1"/>
  <c r="V405" i="3"/>
  <c r="V401" i="3"/>
  <c r="V400" i="3"/>
  <c r="G400" i="6" s="1"/>
  <c r="V396" i="3"/>
  <c r="G396" i="6" s="1"/>
  <c r="V395" i="3"/>
  <c r="V391" i="3"/>
  <c r="V390" i="3"/>
  <c r="G390" i="6" s="1"/>
  <c r="W390" i="3" s="1"/>
  <c r="V386" i="3"/>
  <c r="V385" i="3"/>
  <c r="G385" i="6" s="1"/>
  <c r="V381" i="3"/>
  <c r="G381" i="6" s="1"/>
  <c r="W381" i="3" s="1"/>
  <c r="V380" i="3"/>
  <c r="V345" i="3"/>
  <c r="V336" i="3"/>
  <c r="G336" i="6" s="1"/>
  <c r="V313" i="3"/>
  <c r="G313" i="6" s="1"/>
  <c r="E313" i="6" s="1"/>
  <c r="V304" i="3"/>
  <c r="G304" i="6" s="1"/>
  <c r="V295" i="3"/>
  <c r="G295" i="6" s="1"/>
  <c r="V268" i="3"/>
  <c r="V259" i="3"/>
  <c r="G259" i="6" s="1"/>
  <c r="I259" i="6" s="1"/>
  <c r="V250" i="3"/>
  <c r="G250" i="6" s="1"/>
  <c r="I250" i="6" s="1"/>
  <c r="V241" i="3"/>
  <c r="G241" i="6" s="1"/>
  <c r="I241" i="6" s="1"/>
  <c r="V55" i="3"/>
  <c r="W55" i="3" s="1"/>
  <c r="V53" i="3"/>
  <c r="W53" i="3" s="1"/>
  <c r="U6" i="5"/>
  <c r="C51" i="49"/>
  <c r="G505" i="3"/>
  <c r="G506" i="3"/>
  <c r="G618" i="3"/>
  <c r="G623" i="3"/>
  <c r="G628" i="3"/>
  <c r="G631" i="3" s="1"/>
  <c r="G24" i="5" s="1"/>
  <c r="G632" i="3"/>
  <c r="G633" i="3"/>
  <c r="G25" i="5" s="1"/>
  <c r="G634" i="3"/>
  <c r="G789" i="3"/>
  <c r="G794" i="3"/>
  <c r="G802" i="3"/>
  <c r="E802" i="6" s="1"/>
  <c r="G1206" i="3"/>
  <c r="G1207" i="3"/>
  <c r="G1208" i="3"/>
  <c r="G1209" i="3"/>
  <c r="Q11" i="1"/>
  <c r="Q12" i="1" s="1"/>
  <c r="Q13" i="1" s="1"/>
  <c r="Q14" i="1" s="1"/>
  <c r="Q15" i="1" s="1"/>
  <c r="Q16" i="1" s="1"/>
  <c r="AB260" i="4"/>
  <c r="AB132" i="4"/>
  <c r="AB131" i="4"/>
  <c r="A3" i="582"/>
  <c r="F10" i="582"/>
  <c r="F11" i="582" s="1"/>
  <c r="F12" i="582" s="1"/>
  <c r="F13" i="582" s="1"/>
  <c r="F14" i="582" s="1"/>
  <c r="F15" i="582" s="1"/>
  <c r="F16" i="582" s="1"/>
  <c r="F17" i="582" s="1"/>
  <c r="F18" i="582" s="1"/>
  <c r="F19" i="582" s="1"/>
  <c r="F20" i="582" s="1"/>
  <c r="F21" i="582" s="1"/>
  <c r="F22" i="582" s="1"/>
  <c r="F23" i="582" s="1"/>
  <c r="F24" i="582" s="1"/>
  <c r="F25" i="582" s="1"/>
  <c r="F26" i="582" s="1"/>
  <c r="F27" i="582" s="1"/>
  <c r="F28" i="582" s="1"/>
  <c r="F29" i="582" s="1"/>
  <c r="F30" i="582" s="1"/>
  <c r="F31" i="582" s="1"/>
  <c r="F32" i="582" s="1"/>
  <c r="F33" i="582" s="1"/>
  <c r="F34" i="582" s="1"/>
  <c r="F35" i="582" s="1"/>
  <c r="F36" i="582" s="1"/>
  <c r="F37" i="582" s="1"/>
  <c r="F38" i="582" s="1"/>
  <c r="F39" i="582" s="1"/>
  <c r="F40" i="582" s="1"/>
  <c r="F41" i="582" s="1"/>
  <c r="F42" i="582" s="1"/>
  <c r="F43" i="582" s="1"/>
  <c r="F44" i="582" s="1"/>
  <c r="F45" i="582" s="1"/>
  <c r="F46" i="582" s="1"/>
  <c r="F47" i="582" s="1"/>
  <c r="F48" i="582" s="1"/>
  <c r="F49" i="582" s="1"/>
  <c r="F50" i="582" s="1"/>
  <c r="F51" i="582" s="1"/>
  <c r="F52" i="582" s="1"/>
  <c r="F53" i="582" s="1"/>
  <c r="F54" i="582" s="1"/>
  <c r="F55" i="582" s="1"/>
  <c r="F56" i="582" s="1"/>
  <c r="F57" i="582" s="1"/>
  <c r="F58" i="582" s="1"/>
  <c r="F59" i="582" s="1"/>
  <c r="F60" i="582" s="1"/>
  <c r="H6" i="20"/>
  <c r="H7" i="20" s="1"/>
  <c r="H8" i="20" s="1"/>
  <c r="H9" i="20" s="1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7" i="20" s="1"/>
  <c r="H28" i="20" s="1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O2" i="42"/>
  <c r="F496" i="6"/>
  <c r="F476" i="6"/>
  <c r="F466" i="6"/>
  <c r="F446" i="6"/>
  <c r="F440" i="6"/>
  <c r="F436" i="6"/>
  <c r="F430" i="6"/>
  <c r="F426" i="6"/>
  <c r="F420" i="6"/>
  <c r="D51" i="49"/>
  <c r="B2" i="4"/>
  <c r="A11" i="4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H323" i="6"/>
  <c r="F321" i="6"/>
  <c r="N19" i="2"/>
  <c r="M19" i="2" s="1"/>
  <c r="N20" i="2"/>
  <c r="M20" i="2" s="1"/>
  <c r="N21" i="2"/>
  <c r="M21" i="2" s="1"/>
  <c r="N25" i="2"/>
  <c r="M25" i="2" s="1"/>
  <c r="N26" i="2"/>
  <c r="M26" i="2" s="1"/>
  <c r="N33" i="2"/>
  <c r="M33" i="2" s="1"/>
  <c r="N34" i="2"/>
  <c r="M34" i="2" s="1"/>
  <c r="N39" i="2"/>
  <c r="M39" i="2" s="1"/>
  <c r="N40" i="2"/>
  <c r="M40" i="2" s="1"/>
  <c r="N42" i="2"/>
  <c r="M42" i="2" s="1"/>
  <c r="N43" i="2"/>
  <c r="M43" i="2" s="1"/>
  <c r="M57" i="2"/>
  <c r="M58" i="2"/>
  <c r="N72" i="2"/>
  <c r="M72" i="2" s="1"/>
  <c r="N73" i="2"/>
  <c r="M73" i="2" s="1"/>
  <c r="N76" i="2"/>
  <c r="M76" i="2" s="1"/>
  <c r="N78" i="2"/>
  <c r="F7" i="2"/>
  <c r="H2" i="52"/>
  <c r="H3" i="52" s="1"/>
  <c r="H4" i="52" s="1"/>
  <c r="H5" i="52" s="1"/>
  <c r="H6" i="52" s="1"/>
  <c r="H7" i="52" s="1"/>
  <c r="H8" i="52" s="1"/>
  <c r="H9" i="52" s="1"/>
  <c r="H10" i="52" s="1"/>
  <c r="H11" i="52" s="1"/>
  <c r="H12" i="52" s="1"/>
  <c r="H13" i="52" s="1"/>
  <c r="H14" i="52" s="1"/>
  <c r="H15" i="52" s="1"/>
  <c r="H16" i="52" s="1"/>
  <c r="H17" i="52" s="1"/>
  <c r="H18" i="52" s="1"/>
  <c r="H19" i="52" s="1"/>
  <c r="H20" i="52" s="1"/>
  <c r="H21" i="52" s="1"/>
  <c r="H22" i="52" s="1"/>
  <c r="K2" i="52"/>
  <c r="A2" i="50"/>
  <c r="B2" i="49"/>
  <c r="B16" i="49" s="1"/>
  <c r="B2" i="14"/>
  <c r="L8" i="14"/>
  <c r="L9" i="14" s="1"/>
  <c r="L10" i="14" s="1"/>
  <c r="L11" i="14" s="1"/>
  <c r="L12" i="14" s="1"/>
  <c r="L13" i="14" s="1"/>
  <c r="L14" i="14" s="1"/>
  <c r="L15" i="14" s="1"/>
  <c r="L16" i="14" s="1"/>
  <c r="L17" i="14" s="1"/>
  <c r="A2" i="15"/>
  <c r="K9" i="15"/>
  <c r="K10" i="15" s="1"/>
  <c r="K11" i="15" s="1"/>
  <c r="K12" i="15" s="1"/>
  <c r="K13" i="15" s="1"/>
  <c r="K14" i="15" s="1"/>
  <c r="K15" i="15" s="1"/>
  <c r="K16" i="15" s="1"/>
  <c r="K17" i="15" s="1"/>
  <c r="K18" i="15" s="1"/>
  <c r="K19" i="15" s="1"/>
  <c r="K20" i="15" s="1"/>
  <c r="K21" i="15" s="1"/>
  <c r="K22" i="15" s="1"/>
  <c r="K23" i="15" s="1"/>
  <c r="K24" i="15" s="1"/>
  <c r="K25" i="15" s="1"/>
  <c r="K26" i="15" s="1"/>
  <c r="K27" i="15" s="1"/>
  <c r="K28" i="15" s="1"/>
  <c r="K29" i="15" s="1"/>
  <c r="K30" i="15" s="1"/>
  <c r="K31" i="15" s="1"/>
  <c r="K32" i="15" s="1"/>
  <c r="K33" i="15" s="1"/>
  <c r="K34" i="15" s="1"/>
  <c r="K35" i="15" s="1"/>
  <c r="K36" i="15" s="1"/>
  <c r="K37" i="15" s="1"/>
  <c r="K38" i="15" s="1"/>
  <c r="K39" i="15" s="1"/>
  <c r="K40" i="15" s="1"/>
  <c r="K41" i="15" s="1"/>
  <c r="K42" i="15" s="1"/>
  <c r="K43" i="15" s="1"/>
  <c r="K44" i="15" s="1"/>
  <c r="K45" i="15" s="1"/>
  <c r="K46" i="15" s="1"/>
  <c r="K47" i="15" s="1"/>
  <c r="K48" i="15" s="1"/>
  <c r="K49" i="15" s="1"/>
  <c r="K50" i="15" s="1"/>
  <c r="K51" i="15" s="1"/>
  <c r="K52" i="15" s="1"/>
  <c r="K53" i="15" s="1"/>
  <c r="K54" i="15" s="1"/>
  <c r="K55" i="15" s="1"/>
  <c r="K56" i="15" s="1"/>
  <c r="K57" i="15" s="1"/>
  <c r="K58" i="15" s="1"/>
  <c r="K59" i="15" s="1"/>
  <c r="K60" i="15" s="1"/>
  <c r="K61" i="15" s="1"/>
  <c r="K62" i="15" s="1"/>
  <c r="K63" i="15" s="1"/>
  <c r="K64" i="15" s="1"/>
  <c r="K65" i="15" s="1"/>
  <c r="K66" i="15" s="1"/>
  <c r="K67" i="15" s="1"/>
  <c r="K68" i="15" s="1"/>
  <c r="K69" i="15" s="1"/>
  <c r="K70" i="15" s="1"/>
  <c r="K71" i="15" s="1"/>
  <c r="K72" i="15" s="1"/>
  <c r="K73" i="15" s="1"/>
  <c r="K74" i="15" s="1"/>
  <c r="K75" i="15" s="1"/>
  <c r="K76" i="15" s="1"/>
  <c r="K77" i="15" s="1"/>
  <c r="K78" i="15" s="1"/>
  <c r="K79" i="15" s="1"/>
  <c r="K80" i="15" s="1"/>
  <c r="K81" i="15" s="1"/>
  <c r="K82" i="15" s="1"/>
  <c r="K83" i="15" s="1"/>
  <c r="K84" i="15" s="1"/>
  <c r="K85" i="15" s="1"/>
  <c r="K86" i="15" s="1"/>
  <c r="K87" i="15" s="1"/>
  <c r="K88" i="15" s="1"/>
  <c r="K89" i="15" s="1"/>
  <c r="K90" i="15" s="1"/>
  <c r="K91" i="15" s="1"/>
  <c r="K92" i="15" s="1"/>
  <c r="K93" i="15" s="1"/>
  <c r="K94" i="15" s="1"/>
  <c r="K95" i="15" s="1"/>
  <c r="K96" i="15" s="1"/>
  <c r="K97" i="15" s="1"/>
  <c r="K98" i="15" s="1"/>
  <c r="K99" i="15" s="1"/>
  <c r="K100" i="15" s="1"/>
  <c r="K101" i="15" s="1"/>
  <c r="K102" i="15" s="1"/>
  <c r="K103" i="15" s="1"/>
  <c r="K104" i="15" s="1"/>
  <c r="K105" i="15" s="1"/>
  <c r="K106" i="15" s="1"/>
  <c r="K107" i="15" s="1"/>
  <c r="K108" i="15" s="1"/>
  <c r="K109" i="15" s="1"/>
  <c r="K110" i="15" s="1"/>
  <c r="K111" i="15" s="1"/>
  <c r="K112" i="15" s="1"/>
  <c r="K113" i="15" s="1"/>
  <c r="K114" i="15" s="1"/>
  <c r="K115" i="15" s="1"/>
  <c r="K116" i="15" s="1"/>
  <c r="K117" i="15" s="1"/>
  <c r="K118" i="15" s="1"/>
  <c r="K119" i="15" s="1"/>
  <c r="K120" i="15" s="1"/>
  <c r="K121" i="15" s="1"/>
  <c r="K122" i="15" s="1"/>
  <c r="K123" i="15" s="1"/>
  <c r="K124" i="15" s="1"/>
  <c r="K125" i="15" s="1"/>
  <c r="K126" i="15" s="1"/>
  <c r="K127" i="15" s="1"/>
  <c r="K128" i="15" s="1"/>
  <c r="K129" i="15" s="1"/>
  <c r="K130" i="15" s="1"/>
  <c r="K131" i="15" s="1"/>
  <c r="K132" i="15" s="1"/>
  <c r="K133" i="15" s="1"/>
  <c r="K134" i="15" s="1"/>
  <c r="K135" i="15" s="1"/>
  <c r="K136" i="15" s="1"/>
  <c r="K137" i="15" s="1"/>
  <c r="K138" i="15" s="1"/>
  <c r="K139" i="15" s="1"/>
  <c r="K140" i="15" s="1"/>
  <c r="K141" i="15" s="1"/>
  <c r="K142" i="15" s="1"/>
  <c r="K143" i="15" s="1"/>
  <c r="K144" i="15" s="1"/>
  <c r="K145" i="15" s="1"/>
  <c r="K146" i="15" s="1"/>
  <c r="K147" i="15" s="1"/>
  <c r="K148" i="15" s="1"/>
  <c r="K149" i="15" s="1"/>
  <c r="K150" i="15" s="1"/>
  <c r="K151" i="15" s="1"/>
  <c r="K152" i="15" s="1"/>
  <c r="K153" i="15" s="1"/>
  <c r="K154" i="15" s="1"/>
  <c r="K155" i="15" s="1"/>
  <c r="K156" i="15" s="1"/>
  <c r="K157" i="15" s="1"/>
  <c r="K158" i="15" s="1"/>
  <c r="K159" i="15" s="1"/>
  <c r="K160" i="15" s="1"/>
  <c r="K161" i="15" s="1"/>
  <c r="K162" i="15" s="1"/>
  <c r="K163" i="15" s="1"/>
  <c r="K164" i="15" s="1"/>
  <c r="K165" i="15" s="1"/>
  <c r="K166" i="15" s="1"/>
  <c r="K167" i="15" s="1"/>
  <c r="K168" i="15" s="1"/>
  <c r="K169" i="15" s="1"/>
  <c r="K170" i="15" s="1"/>
  <c r="K171" i="15" s="1"/>
  <c r="K172" i="15" s="1"/>
  <c r="K173" i="15" s="1"/>
  <c r="K174" i="15" s="1"/>
  <c r="K175" i="15" s="1"/>
  <c r="K176" i="15" s="1"/>
  <c r="K177" i="15" s="1"/>
  <c r="K178" i="15" s="1"/>
  <c r="K179" i="15" s="1"/>
  <c r="K180" i="15" s="1"/>
  <c r="K181" i="15" s="1"/>
  <c r="K182" i="15" s="1"/>
  <c r="K183" i="15" s="1"/>
  <c r="K184" i="15" s="1"/>
  <c r="K185" i="15" s="1"/>
  <c r="K186" i="15" s="1"/>
  <c r="K187" i="15" s="1"/>
  <c r="K188" i="15" s="1"/>
  <c r="K189" i="15" s="1"/>
  <c r="K190" i="15" s="1"/>
  <c r="K191" i="15" s="1"/>
  <c r="K192" i="15" s="1"/>
  <c r="K193" i="15" s="1"/>
  <c r="K194" i="15" s="1"/>
  <c r="K195" i="15" s="1"/>
  <c r="K196" i="15" s="1"/>
  <c r="K197" i="15" s="1"/>
  <c r="K198" i="15" s="1"/>
  <c r="K199" i="15" s="1"/>
  <c r="K200" i="15" s="1"/>
  <c r="K201" i="15" s="1"/>
  <c r="K202" i="15" s="1"/>
  <c r="K203" i="15" s="1"/>
  <c r="K204" i="15" s="1"/>
  <c r="K205" i="15" s="1"/>
  <c r="K206" i="15" s="1"/>
  <c r="K207" i="15" s="1"/>
  <c r="K208" i="15" s="1"/>
  <c r="K209" i="15" s="1"/>
  <c r="K210" i="15" s="1"/>
  <c r="K211" i="15" s="1"/>
  <c r="K212" i="15" s="1"/>
  <c r="K213" i="15" s="1"/>
  <c r="K214" i="15" s="1"/>
  <c r="K215" i="15" s="1"/>
  <c r="K216" i="15" s="1"/>
  <c r="K217" i="15" s="1"/>
  <c r="K218" i="15" s="1"/>
  <c r="K219" i="15" s="1"/>
  <c r="K220" i="15" s="1"/>
  <c r="K221" i="15" s="1"/>
  <c r="K222" i="15" s="1"/>
  <c r="K223" i="15" s="1"/>
  <c r="K224" i="15" s="1"/>
  <c r="K225" i="15" s="1"/>
  <c r="K226" i="15" s="1"/>
  <c r="K227" i="15" s="1"/>
  <c r="K228" i="15" s="1"/>
  <c r="K229" i="15" s="1"/>
  <c r="K230" i="15" s="1"/>
  <c r="K231" i="15" s="1"/>
  <c r="K232" i="15" s="1"/>
  <c r="K233" i="15" s="1"/>
  <c r="K234" i="15" s="1"/>
  <c r="K235" i="15" s="1"/>
  <c r="K236" i="15" s="1"/>
  <c r="K237" i="15" s="1"/>
  <c r="K238" i="15" s="1"/>
  <c r="K239" i="15" s="1"/>
  <c r="K240" i="15" s="1"/>
  <c r="K241" i="15" s="1"/>
  <c r="K242" i="15" s="1"/>
  <c r="K243" i="15" s="1"/>
  <c r="K244" i="15" s="1"/>
  <c r="K245" i="15" s="1"/>
  <c r="K246" i="15" s="1"/>
  <c r="K247" i="15" s="1"/>
  <c r="K248" i="15" s="1"/>
  <c r="K249" i="15" s="1"/>
  <c r="K250" i="15" s="1"/>
  <c r="K251" i="15" s="1"/>
  <c r="K252" i="15" s="1"/>
  <c r="K253" i="15" s="1"/>
  <c r="K254" i="15" s="1"/>
  <c r="K255" i="15" s="1"/>
  <c r="K256" i="15" s="1"/>
  <c r="K257" i="15" s="1"/>
  <c r="K258" i="15" s="1"/>
  <c r="K259" i="15" s="1"/>
  <c r="K260" i="15" s="1"/>
  <c r="K261" i="15" s="1"/>
  <c r="K262" i="15" s="1"/>
  <c r="K263" i="15" s="1"/>
  <c r="K264" i="15" s="1"/>
  <c r="K265" i="15" s="1"/>
  <c r="K266" i="15" s="1"/>
  <c r="K267" i="15" s="1"/>
  <c r="K268" i="15" s="1"/>
  <c r="K269" i="15" s="1"/>
  <c r="K270" i="15" s="1"/>
  <c r="K271" i="15" s="1"/>
  <c r="K272" i="15" s="1"/>
  <c r="K273" i="15" s="1"/>
  <c r="K274" i="15" s="1"/>
  <c r="F16" i="6"/>
  <c r="F18" i="6"/>
  <c r="F20" i="6"/>
  <c r="F25" i="6"/>
  <c r="F27" i="6"/>
  <c r="F29" i="6"/>
  <c r="F34" i="6"/>
  <c r="F36" i="6"/>
  <c r="F38" i="6"/>
  <c r="F41" i="6"/>
  <c r="F43" i="6"/>
  <c r="F45" i="6"/>
  <c r="F47" i="6"/>
  <c r="F50" i="6"/>
  <c r="F52" i="6"/>
  <c r="F54" i="6"/>
  <c r="F56" i="6"/>
  <c r="F59" i="6"/>
  <c r="F68" i="6"/>
  <c r="F70" i="6"/>
  <c r="F72" i="6"/>
  <c r="F77" i="6"/>
  <c r="F79" i="6"/>
  <c r="F81" i="6"/>
  <c r="F83" i="6"/>
  <c r="F86" i="6"/>
  <c r="F88" i="6"/>
  <c r="F90" i="6"/>
  <c r="F95" i="6"/>
  <c r="F99" i="6"/>
  <c r="F101" i="6"/>
  <c r="F104" i="6"/>
  <c r="F108" i="6"/>
  <c r="F113" i="6"/>
  <c r="F115" i="6"/>
  <c r="F117" i="6"/>
  <c r="F119" i="6"/>
  <c r="F122" i="6"/>
  <c r="F126" i="6"/>
  <c r="F131" i="6"/>
  <c r="F135" i="6"/>
  <c r="F137" i="6"/>
  <c r="F140" i="6"/>
  <c r="F142" i="6"/>
  <c r="F144" i="6"/>
  <c r="F149" i="6"/>
  <c r="F153" i="6"/>
  <c r="F155" i="6"/>
  <c r="F158" i="6"/>
  <c r="F162" i="6"/>
  <c r="F164" i="6"/>
  <c r="F167" i="6"/>
  <c r="F171" i="6"/>
  <c r="F173" i="6"/>
  <c r="F176" i="6"/>
  <c r="F178" i="6"/>
  <c r="F180" i="6"/>
  <c r="F182" i="6"/>
  <c r="F185" i="6"/>
  <c r="F187" i="6"/>
  <c r="F191" i="6"/>
  <c r="F194" i="6"/>
  <c r="F196" i="6"/>
  <c r="F210" i="6"/>
  <c r="F212" i="6"/>
  <c r="F214" i="6"/>
  <c r="F217" i="6"/>
  <c r="F219" i="6"/>
  <c r="F221" i="6"/>
  <c r="F223" i="6"/>
  <c r="F226" i="6"/>
  <c r="I227" i="15"/>
  <c r="F239" i="6"/>
  <c r="F248" i="6"/>
  <c r="F252" i="6"/>
  <c r="F255" i="6"/>
  <c r="F264" i="6"/>
  <c r="I275" i="15"/>
  <c r="F277" i="6"/>
  <c r="I277" i="15"/>
  <c r="F279" i="6"/>
  <c r="I280" i="15"/>
  <c r="F282" i="6"/>
  <c r="I282" i="15"/>
  <c r="I284" i="15"/>
  <c r="F286" i="6"/>
  <c r="I286" i="15"/>
  <c r="F288" i="6"/>
  <c r="I289" i="15"/>
  <c r="F291" i="6"/>
  <c r="I291" i="15"/>
  <c r="F293" i="6"/>
  <c r="I293" i="15"/>
  <c r="I294" i="15"/>
  <c r="I295" i="15"/>
  <c r="F297" i="6"/>
  <c r="I298" i="15"/>
  <c r="I300" i="15"/>
  <c r="I302" i="15"/>
  <c r="I303" i="15"/>
  <c r="I304" i="15"/>
  <c r="F306" i="6"/>
  <c r="I307" i="15"/>
  <c r="I309" i="15"/>
  <c r="F311" i="6"/>
  <c r="I311" i="15"/>
  <c r="I312" i="15"/>
  <c r="I313" i="15"/>
  <c r="F315" i="6"/>
  <c r="I316" i="15"/>
  <c r="F318" i="6"/>
  <c r="I321" i="15"/>
  <c r="I327" i="15"/>
  <c r="I331" i="15"/>
  <c r="I332" i="15"/>
  <c r="I334" i="15"/>
  <c r="I335" i="15"/>
  <c r="I336" i="15"/>
  <c r="F338" i="6"/>
  <c r="I339" i="15"/>
  <c r="I341" i="15"/>
  <c r="I343" i="15"/>
  <c r="I344" i="15"/>
  <c r="I345" i="15"/>
  <c r="F347" i="6"/>
  <c r="I348" i="15"/>
  <c r="F357" i="15"/>
  <c r="M357" i="15" s="1"/>
  <c r="I350" i="15"/>
  <c r="I351" i="15"/>
  <c r="F353" i="15"/>
  <c r="M353" i="15" s="1"/>
  <c r="I355" i="15"/>
  <c r="I359" i="15"/>
  <c r="I360" i="15"/>
  <c r="I361" i="15"/>
  <c r="D366" i="15"/>
  <c r="I366" i="15"/>
  <c r="I368" i="15"/>
  <c r="G2" i="33"/>
  <c r="G3" i="33" s="1"/>
  <c r="G4" i="33" s="1"/>
  <c r="G5" i="33" s="1"/>
  <c r="G6" i="33" s="1"/>
  <c r="G7" i="33" s="1"/>
  <c r="G8" i="33" s="1"/>
  <c r="G9" i="33" s="1"/>
  <c r="G10" i="33" s="1"/>
  <c r="G11" i="33" s="1"/>
  <c r="G12" i="33" s="1"/>
  <c r="G13" i="33" s="1"/>
  <c r="G14" i="33" s="1"/>
  <c r="G15" i="33" s="1"/>
  <c r="G16" i="33" s="1"/>
  <c r="G17" i="33" s="1"/>
  <c r="G18" i="33" s="1"/>
  <c r="G19" i="33" s="1"/>
  <c r="G20" i="33" s="1"/>
  <c r="G21" i="33" s="1"/>
  <c r="G22" i="33" s="1"/>
  <c r="G23" i="33" s="1"/>
  <c r="G24" i="33" s="1"/>
  <c r="G25" i="33" s="1"/>
  <c r="G26" i="33" s="1"/>
  <c r="B2" i="594"/>
  <c r="C2" i="42"/>
  <c r="A2" i="17"/>
  <c r="G13" i="17"/>
  <c r="H13" i="17" s="1"/>
  <c r="G14" i="17"/>
  <c r="H14" i="17" s="1"/>
  <c r="G15" i="17"/>
  <c r="H15" i="17" s="1"/>
  <c r="G16" i="17"/>
  <c r="H16" i="17" s="1"/>
  <c r="G17" i="17"/>
  <c r="H17" i="17" s="1"/>
  <c r="G18" i="17"/>
  <c r="H18" i="17" s="1"/>
  <c r="G22" i="17"/>
  <c r="G23" i="17"/>
  <c r="G24" i="17"/>
  <c r="H24" i="17" s="1"/>
  <c r="G25" i="17"/>
  <c r="H25" i="17" s="1"/>
  <c r="G26" i="17"/>
  <c r="H26" i="17" s="1"/>
  <c r="G27" i="17"/>
  <c r="H27" i="17" s="1"/>
  <c r="G28" i="17"/>
  <c r="H28" i="17" s="1"/>
  <c r="G29" i="17"/>
  <c r="H29" i="17" s="1"/>
  <c r="A2" i="16"/>
  <c r="A2" i="548"/>
  <c r="G8" i="548"/>
  <c r="G9" i="548" s="1"/>
  <c r="G10" i="548" s="1"/>
  <c r="G11" i="548" s="1"/>
  <c r="G12" i="548" s="1"/>
  <c r="G13" i="548" s="1"/>
  <c r="G14" i="548" s="1"/>
  <c r="G15" i="548" s="1"/>
  <c r="G16" i="548" s="1"/>
  <c r="G17" i="548" s="1"/>
  <c r="G18" i="548" s="1"/>
  <c r="G19" i="548" s="1"/>
  <c r="G20" i="548" s="1"/>
  <c r="B2" i="139"/>
  <c r="K7" i="139"/>
  <c r="K8" i="139" s="1"/>
  <c r="K9" i="139" s="1"/>
  <c r="K10" i="139" s="1"/>
  <c r="K11" i="139" s="1"/>
  <c r="K12" i="139" s="1"/>
  <c r="K13" i="139" s="1"/>
  <c r="K14" i="139" s="1"/>
  <c r="K15" i="139" s="1"/>
  <c r="K16" i="139" s="1"/>
  <c r="K17" i="139" s="1"/>
  <c r="K18" i="139" s="1"/>
  <c r="K19" i="139" s="1"/>
  <c r="K20" i="139" s="1"/>
  <c r="K21" i="139" s="1"/>
  <c r="K22" i="139" s="1"/>
  <c r="K23" i="139" s="1"/>
  <c r="K24" i="139" s="1"/>
  <c r="K25" i="139" s="1"/>
  <c r="K26" i="139" s="1"/>
  <c r="K27" i="139" s="1"/>
  <c r="K28" i="139" s="1"/>
  <c r="K29" i="139" s="1"/>
  <c r="K30" i="139" s="1"/>
  <c r="K31" i="139" s="1"/>
  <c r="K32" i="139" s="1"/>
  <c r="K33" i="139" s="1"/>
  <c r="K34" i="139" s="1"/>
  <c r="K35" i="139" s="1"/>
  <c r="K36" i="139" s="1"/>
  <c r="K37" i="139" s="1"/>
  <c r="K38" i="139" s="1"/>
  <c r="K39" i="139" s="1"/>
  <c r="K40" i="139" s="1"/>
  <c r="K41" i="139" s="1"/>
  <c r="K42" i="139" s="1"/>
  <c r="K43" i="139" s="1"/>
  <c r="K44" i="139" s="1"/>
  <c r="K45" i="139" s="1"/>
  <c r="K46" i="139" s="1"/>
  <c r="K47" i="139" s="1"/>
  <c r="K48" i="139" s="1"/>
  <c r="K49" i="139" s="1"/>
  <c r="K50" i="139" s="1"/>
  <c r="K51" i="139" s="1"/>
  <c r="K52" i="139" s="1"/>
  <c r="K53" i="139" s="1"/>
  <c r="K54" i="139" s="1"/>
  <c r="K55" i="139" s="1"/>
  <c r="K56" i="139" s="1"/>
  <c r="K57" i="139" s="1"/>
  <c r="K58" i="139" s="1"/>
  <c r="K59" i="139" s="1"/>
  <c r="K60" i="139" s="1"/>
  <c r="K61" i="139" s="1"/>
  <c r="K62" i="139" s="1"/>
  <c r="K63" i="139" s="1"/>
  <c r="K64" i="139" s="1"/>
  <c r="K65" i="139" s="1"/>
  <c r="K66" i="139" s="1"/>
  <c r="K67" i="139" s="1"/>
  <c r="K68" i="139" s="1"/>
  <c r="K69" i="139" s="1"/>
  <c r="K70" i="139" s="1"/>
  <c r="K71" i="139" s="1"/>
  <c r="K72" i="139" s="1"/>
  <c r="K73" i="139" s="1"/>
  <c r="K74" i="139" s="1"/>
  <c r="K75" i="139" s="1"/>
  <c r="K76" i="139" s="1"/>
  <c r="K77" i="139" s="1"/>
  <c r="K78" i="139" s="1"/>
  <c r="K79" i="139" s="1"/>
  <c r="K80" i="139" s="1"/>
  <c r="K81" i="139" s="1"/>
  <c r="K82" i="139" s="1"/>
  <c r="K83" i="139" s="1"/>
  <c r="K84" i="139" s="1"/>
  <c r="K85" i="139" s="1"/>
  <c r="K86" i="139" s="1"/>
  <c r="K87" i="139" s="1"/>
  <c r="K88" i="139" s="1"/>
  <c r="K89" i="139" s="1"/>
  <c r="K90" i="139" s="1"/>
  <c r="K91" i="139" s="1"/>
  <c r="K92" i="139" s="1"/>
  <c r="K93" i="139" s="1"/>
  <c r="K94" i="139" s="1"/>
  <c r="K95" i="139" s="1"/>
  <c r="K96" i="139" s="1"/>
  <c r="K97" i="139" s="1"/>
  <c r="K98" i="139" s="1"/>
  <c r="K99" i="139" s="1"/>
  <c r="K100" i="139" s="1"/>
  <c r="K101" i="139" s="1"/>
  <c r="K102" i="139" s="1"/>
  <c r="K103" i="139" s="1"/>
  <c r="K104" i="139" s="1"/>
  <c r="K105" i="139" s="1"/>
  <c r="K106" i="139" s="1"/>
  <c r="K107" i="139" s="1"/>
  <c r="K108" i="139" s="1"/>
  <c r="K109" i="139" s="1"/>
  <c r="K110" i="139" s="1"/>
  <c r="K111" i="139" s="1"/>
  <c r="K112" i="139" s="1"/>
  <c r="K113" i="139" s="1"/>
  <c r="K114" i="139" s="1"/>
  <c r="K115" i="139" s="1"/>
  <c r="K116" i="139" s="1"/>
  <c r="K117" i="139" s="1"/>
  <c r="K118" i="139" s="1"/>
  <c r="K119" i="139" s="1"/>
  <c r="K120" i="139" s="1"/>
  <c r="K121" i="139" s="1"/>
  <c r="K122" i="139" s="1"/>
  <c r="K123" i="139" s="1"/>
  <c r="K124" i="139" s="1"/>
  <c r="K125" i="139" s="1"/>
  <c r="K126" i="139" s="1"/>
  <c r="K127" i="139" s="1"/>
  <c r="K128" i="139" s="1"/>
  <c r="K129" i="139" s="1"/>
  <c r="K130" i="139" s="1"/>
  <c r="K131" i="139" s="1"/>
  <c r="K132" i="139" s="1"/>
  <c r="K133" i="139" s="1"/>
  <c r="K134" i="139" s="1"/>
  <c r="K135" i="139" s="1"/>
  <c r="K136" i="139" s="1"/>
  <c r="K137" i="139" s="1"/>
  <c r="K138" i="139" s="1"/>
  <c r="K139" i="139" s="1"/>
  <c r="K140" i="139" s="1"/>
  <c r="K141" i="139" s="1"/>
  <c r="K142" i="139" s="1"/>
  <c r="K143" i="139" s="1"/>
  <c r="K144" i="139" s="1"/>
  <c r="K145" i="139" s="1"/>
  <c r="K146" i="139" s="1"/>
  <c r="K147" i="139" s="1"/>
  <c r="K148" i="139" s="1"/>
  <c r="K149" i="139" s="1"/>
  <c r="K150" i="139" s="1"/>
  <c r="K151" i="139" s="1"/>
  <c r="K152" i="139" s="1"/>
  <c r="K153" i="139" s="1"/>
  <c r="K154" i="139" s="1"/>
  <c r="K155" i="139" s="1"/>
  <c r="K156" i="139" s="1"/>
  <c r="A11" i="139"/>
  <c r="A12" i="139" s="1"/>
  <c r="A13" i="139" s="1"/>
  <c r="A14" i="139" s="1"/>
  <c r="A15" i="139" s="1"/>
  <c r="A16" i="139" s="1"/>
  <c r="A17" i="139" s="1"/>
  <c r="A18" i="139" s="1"/>
  <c r="A19" i="139" s="1"/>
  <c r="A20" i="139" s="1"/>
  <c r="A21" i="139" s="1"/>
  <c r="A22" i="139" s="1"/>
  <c r="A23" i="139" s="1"/>
  <c r="A24" i="139" s="1"/>
  <c r="A25" i="139" s="1"/>
  <c r="A26" i="139" s="1"/>
  <c r="A27" i="139" s="1"/>
  <c r="A28" i="139" s="1"/>
  <c r="A29" i="139" s="1"/>
  <c r="A30" i="139" s="1"/>
  <c r="A31" i="139" s="1"/>
  <c r="A32" i="139" s="1"/>
  <c r="A33" i="139" s="1"/>
  <c r="A34" i="139" s="1"/>
  <c r="A35" i="139" s="1"/>
  <c r="A36" i="139" s="1"/>
  <c r="A37" i="139" s="1"/>
  <c r="A38" i="139" s="1"/>
  <c r="A39" i="139" s="1"/>
  <c r="A40" i="139" s="1"/>
  <c r="A41" i="139" s="1"/>
  <c r="A42" i="139" s="1"/>
  <c r="A43" i="139" s="1"/>
  <c r="A44" i="139" s="1"/>
  <c r="A45" i="139" s="1"/>
  <c r="A46" i="139" s="1"/>
  <c r="A47" i="139" s="1"/>
  <c r="A48" i="139" s="1"/>
  <c r="A49" i="139" s="1"/>
  <c r="A50" i="139" s="1"/>
  <c r="A51" i="139" s="1"/>
  <c r="A52" i="139" s="1"/>
  <c r="A53" i="139" s="1"/>
  <c r="A54" i="139" s="1"/>
  <c r="A55" i="139" s="1"/>
  <c r="A56" i="139" s="1"/>
  <c r="A57" i="139" s="1"/>
  <c r="A58" i="139" s="1"/>
  <c r="A59" i="139" s="1"/>
  <c r="A60" i="139" s="1"/>
  <c r="A61" i="139" s="1"/>
  <c r="A62" i="139" s="1"/>
  <c r="A63" i="139" s="1"/>
  <c r="A64" i="139" s="1"/>
  <c r="A65" i="139" s="1"/>
  <c r="A66" i="139" s="1"/>
  <c r="A67" i="139" s="1"/>
  <c r="A68" i="139" s="1"/>
  <c r="A69" i="139" s="1"/>
  <c r="A70" i="139" s="1"/>
  <c r="A71" i="139" s="1"/>
  <c r="A72" i="139" s="1"/>
  <c r="A73" i="139" s="1"/>
  <c r="A74" i="139" s="1"/>
  <c r="A75" i="139" s="1"/>
  <c r="A76" i="139" s="1"/>
  <c r="A77" i="139" s="1"/>
  <c r="A78" i="139" s="1"/>
  <c r="A79" i="139" s="1"/>
  <c r="A80" i="139" s="1"/>
  <c r="A81" i="139" s="1"/>
  <c r="A82" i="139" s="1"/>
  <c r="A83" i="139" s="1"/>
  <c r="A84" i="139" s="1"/>
  <c r="A85" i="139" s="1"/>
  <c r="A86" i="139" s="1"/>
  <c r="A87" i="139" s="1"/>
  <c r="A88" i="139" s="1"/>
  <c r="A89" i="139" s="1"/>
  <c r="A90" i="139" s="1"/>
  <c r="A91" i="139" s="1"/>
  <c r="A92" i="139" s="1"/>
  <c r="A93" i="139" s="1"/>
  <c r="A94" i="139" s="1"/>
  <c r="A95" i="139" s="1"/>
  <c r="A96" i="139" s="1"/>
  <c r="A97" i="139" s="1"/>
  <c r="A98" i="139" s="1"/>
  <c r="A99" i="139" s="1"/>
  <c r="A100" i="139" s="1"/>
  <c r="A101" i="139" s="1"/>
  <c r="A102" i="139" s="1"/>
  <c r="A103" i="139" s="1"/>
  <c r="A104" i="139" s="1"/>
  <c r="A105" i="139" s="1"/>
  <c r="A106" i="139" s="1"/>
  <c r="A107" i="139" s="1"/>
  <c r="A108" i="139" s="1"/>
  <c r="A109" i="139" s="1"/>
  <c r="A110" i="139" s="1"/>
  <c r="A111" i="139" s="1"/>
  <c r="A112" i="139" s="1"/>
  <c r="A113" i="139" s="1"/>
  <c r="A114" i="139" s="1"/>
  <c r="A115" i="139" s="1"/>
  <c r="A116" i="139" s="1"/>
  <c r="A117" i="139" s="1"/>
  <c r="A118" i="139" s="1"/>
  <c r="A119" i="139" s="1"/>
  <c r="A120" i="139" s="1"/>
  <c r="A121" i="139" s="1"/>
  <c r="A122" i="139" s="1"/>
  <c r="A123" i="139" s="1"/>
  <c r="A124" i="139" s="1"/>
  <c r="A125" i="139" s="1"/>
  <c r="A126" i="139" s="1"/>
  <c r="A127" i="139" s="1"/>
  <c r="A128" i="139" s="1"/>
  <c r="A129" i="139" s="1"/>
  <c r="A130" i="139" s="1"/>
  <c r="A131" i="139" s="1"/>
  <c r="A132" i="139" s="1"/>
  <c r="A133" i="139" s="1"/>
  <c r="A134" i="139" s="1"/>
  <c r="A135" i="139" s="1"/>
  <c r="A136" i="139" s="1"/>
  <c r="A137" i="139" s="1"/>
  <c r="A138" i="139" s="1"/>
  <c r="A139" i="139" s="1"/>
  <c r="A140" i="139" s="1"/>
  <c r="A141" i="139" s="1"/>
  <c r="A142" i="139" s="1"/>
  <c r="A143" i="139" s="1"/>
  <c r="A144" i="139" s="1"/>
  <c r="A145" i="139" s="1"/>
  <c r="A146" i="139" s="1"/>
  <c r="A147" i="139" s="1"/>
  <c r="A148" i="139" s="1"/>
  <c r="A149" i="139" s="1"/>
  <c r="A150" i="139" s="1"/>
  <c r="A151" i="139" s="1"/>
  <c r="A152" i="139" s="1"/>
  <c r="A153" i="139" s="1"/>
  <c r="A154" i="139" s="1"/>
  <c r="A155" i="139" s="1"/>
  <c r="A156" i="139" s="1"/>
  <c r="A157" i="139" s="1"/>
  <c r="A158" i="139" s="1"/>
  <c r="A159" i="139" s="1"/>
  <c r="A160" i="139" s="1"/>
  <c r="A161" i="139" s="1"/>
  <c r="A162" i="139" s="1"/>
  <c r="A163" i="139" s="1"/>
  <c r="A164" i="139" s="1"/>
  <c r="A165" i="139" s="1"/>
  <c r="A166" i="139" s="1"/>
  <c r="A167" i="139" s="1"/>
  <c r="A168" i="139" s="1"/>
  <c r="A169" i="139" s="1"/>
  <c r="A170" i="139" s="1"/>
  <c r="A171" i="139" s="1"/>
  <c r="A172" i="139" s="1"/>
  <c r="A173" i="139" s="1"/>
  <c r="A174" i="139" s="1"/>
  <c r="A175" i="139" s="1"/>
  <c r="A176" i="139" s="1"/>
  <c r="A177" i="139" s="1"/>
  <c r="A178" i="139" s="1"/>
  <c r="A179" i="139" s="1"/>
  <c r="A180" i="139" s="1"/>
  <c r="A181" i="139" s="1"/>
  <c r="A182" i="139" s="1"/>
  <c r="A183" i="139" s="1"/>
  <c r="A184" i="139" s="1"/>
  <c r="A185" i="139" s="1"/>
  <c r="A186" i="139" s="1"/>
  <c r="A187" i="139" s="1"/>
  <c r="A188" i="139" s="1"/>
  <c r="A189" i="139" s="1"/>
  <c r="A190" i="139" s="1"/>
  <c r="A191" i="139" s="1"/>
  <c r="A192" i="139" s="1"/>
  <c r="A193" i="139" s="1"/>
  <c r="A194" i="139" s="1"/>
  <c r="A195" i="139" s="1"/>
  <c r="A196" i="139" s="1"/>
  <c r="A197" i="139" s="1"/>
  <c r="A198" i="139" s="1"/>
  <c r="A199" i="139" s="1"/>
  <c r="A200" i="139" s="1"/>
  <c r="A201" i="139" s="1"/>
  <c r="A202" i="139" s="1"/>
  <c r="A203" i="139" s="1"/>
  <c r="A204" i="139" s="1"/>
  <c r="A205" i="139" s="1"/>
  <c r="A206" i="139" s="1"/>
  <c r="A207" i="139" s="1"/>
  <c r="A208" i="139" s="1"/>
  <c r="A209" i="139" s="1"/>
  <c r="A210" i="139" s="1"/>
  <c r="A211" i="139" s="1"/>
  <c r="A212" i="139" s="1"/>
  <c r="A213" i="139" s="1"/>
  <c r="A214" i="139" s="1"/>
  <c r="A215" i="139" s="1"/>
  <c r="A216" i="139" s="1"/>
  <c r="A217" i="139" s="1"/>
  <c r="A218" i="139" s="1"/>
  <c r="A219" i="139" s="1"/>
  <c r="A220" i="139" s="1"/>
  <c r="A221" i="139" s="1"/>
  <c r="A222" i="139" s="1"/>
  <c r="A223" i="139" s="1"/>
  <c r="A224" i="139" s="1"/>
  <c r="A225" i="139" s="1"/>
  <c r="A226" i="139" s="1"/>
  <c r="A227" i="139" s="1"/>
  <c r="A228" i="139" s="1"/>
  <c r="A229" i="139" s="1"/>
  <c r="A230" i="139" s="1"/>
  <c r="A231" i="139" s="1"/>
  <c r="A232" i="139" s="1"/>
  <c r="A233" i="139" s="1"/>
  <c r="A234" i="139" s="1"/>
  <c r="A235" i="139" s="1"/>
  <c r="A236" i="139" s="1"/>
  <c r="A237" i="139" s="1"/>
  <c r="A238" i="139" s="1"/>
  <c r="A239" i="139" s="1"/>
  <c r="A240" i="139" s="1"/>
  <c r="A241" i="139" s="1"/>
  <c r="A242" i="139" s="1"/>
  <c r="A243" i="139" s="1"/>
  <c r="A244" i="139" s="1"/>
  <c r="A245" i="139" s="1"/>
  <c r="A246" i="139" s="1"/>
  <c r="A247" i="139" s="1"/>
  <c r="A248" i="139" s="1"/>
  <c r="A249" i="139" s="1"/>
  <c r="A250" i="139" s="1"/>
  <c r="A251" i="139" s="1"/>
  <c r="A252" i="139" s="1"/>
  <c r="A253" i="139" s="1"/>
  <c r="A254" i="139" s="1"/>
  <c r="A255" i="139" s="1"/>
  <c r="A256" i="139" s="1"/>
  <c r="A257" i="139" s="1"/>
  <c r="A258" i="139" s="1"/>
  <c r="A259" i="139" s="1"/>
  <c r="A260" i="139" s="1"/>
  <c r="A261" i="139" s="1"/>
  <c r="A262" i="139" s="1"/>
  <c r="A263" i="139" s="1"/>
  <c r="A264" i="139" s="1"/>
  <c r="A265" i="139" s="1"/>
  <c r="A266" i="139" s="1"/>
  <c r="A267" i="139" s="1"/>
  <c r="A268" i="139" s="1"/>
  <c r="A269" i="139" s="1"/>
  <c r="A270" i="139" s="1"/>
  <c r="A271" i="139" s="1"/>
  <c r="A272" i="139" s="1"/>
  <c r="A273" i="139" s="1"/>
  <c r="A274" i="139" s="1"/>
  <c r="A275" i="139" s="1"/>
  <c r="A276" i="139" s="1"/>
  <c r="A277" i="139" s="1"/>
  <c r="A278" i="139" s="1"/>
  <c r="A279" i="139" s="1"/>
  <c r="A280" i="139" s="1"/>
  <c r="A281" i="139" s="1"/>
  <c r="A282" i="139" s="1"/>
  <c r="A283" i="139" s="1"/>
  <c r="A284" i="139" s="1"/>
  <c r="A285" i="139" s="1"/>
  <c r="A286" i="139" s="1"/>
  <c r="A287" i="139" s="1"/>
  <c r="A288" i="139" s="1"/>
  <c r="A289" i="139" s="1"/>
  <c r="A290" i="139" s="1"/>
  <c r="A291" i="139" s="1"/>
  <c r="A292" i="139" s="1"/>
  <c r="A293" i="139" s="1"/>
  <c r="A294" i="139" s="1"/>
  <c r="A295" i="139" s="1"/>
  <c r="A296" i="139" s="1"/>
  <c r="A297" i="139" s="1"/>
  <c r="A298" i="139" s="1"/>
  <c r="A299" i="139" s="1"/>
  <c r="A300" i="139" s="1"/>
  <c r="A301" i="139" s="1"/>
  <c r="A302" i="139" s="1"/>
  <c r="A303" i="139" s="1"/>
  <c r="A304" i="139" s="1"/>
  <c r="A305" i="139" s="1"/>
  <c r="A306" i="139" s="1"/>
  <c r="A307" i="139" s="1"/>
  <c r="A308" i="139" s="1"/>
  <c r="A309" i="139" s="1"/>
  <c r="A310" i="139" s="1"/>
  <c r="A311" i="139" s="1"/>
  <c r="A312" i="139" s="1"/>
  <c r="A313" i="139" s="1"/>
  <c r="A314" i="139" s="1"/>
  <c r="A315" i="139" s="1"/>
  <c r="A316" i="139" s="1"/>
  <c r="A317" i="139" s="1"/>
  <c r="A318" i="139" s="1"/>
  <c r="A319" i="139" s="1"/>
  <c r="A320" i="139" s="1"/>
  <c r="A321" i="139" s="1"/>
  <c r="A322" i="139" s="1"/>
  <c r="A323" i="139" s="1"/>
  <c r="A324" i="139" s="1"/>
  <c r="A325" i="139" s="1"/>
  <c r="A326" i="139" s="1"/>
  <c r="A327" i="139" s="1"/>
  <c r="A328" i="139" s="1"/>
  <c r="A329" i="139" s="1"/>
  <c r="A330" i="139" s="1"/>
  <c r="A331" i="139" s="1"/>
  <c r="A332" i="139" s="1"/>
  <c r="A333" i="139" s="1"/>
  <c r="A334" i="139" s="1"/>
  <c r="A335" i="139" s="1"/>
  <c r="A336" i="139" s="1"/>
  <c r="A337" i="139" s="1"/>
  <c r="A338" i="139" s="1"/>
  <c r="A339" i="139" s="1"/>
  <c r="A340" i="139" s="1"/>
  <c r="A341" i="139" s="1"/>
  <c r="A342" i="139" s="1"/>
  <c r="A343" i="139" s="1"/>
  <c r="A344" i="139" s="1"/>
  <c r="A345" i="139" s="1"/>
  <c r="A346" i="139" s="1"/>
  <c r="A347" i="139" s="1"/>
  <c r="A348" i="139" s="1"/>
  <c r="A349" i="139" s="1"/>
  <c r="A350" i="139" s="1"/>
  <c r="A351" i="139" s="1"/>
  <c r="A352" i="139" s="1"/>
  <c r="A353" i="139" s="1"/>
  <c r="A354" i="139" s="1"/>
  <c r="A355" i="139" s="1"/>
  <c r="A356" i="139" s="1"/>
  <c r="A357" i="139" s="1"/>
  <c r="A358" i="139" s="1"/>
  <c r="A359" i="139" s="1"/>
  <c r="A360" i="139" s="1"/>
  <c r="A361" i="139" s="1"/>
  <c r="A362" i="139" s="1"/>
  <c r="A363" i="139" s="1"/>
  <c r="A364" i="139" s="1"/>
  <c r="A365" i="139" s="1"/>
  <c r="A366" i="139" s="1"/>
  <c r="A367" i="139" s="1"/>
  <c r="A368" i="139" s="1"/>
  <c r="A369" i="139" s="1"/>
  <c r="A370" i="139" s="1"/>
  <c r="A371" i="139" s="1"/>
  <c r="A372" i="139" s="1"/>
  <c r="A373" i="139" s="1"/>
  <c r="A374" i="139" s="1"/>
  <c r="A375" i="139" s="1"/>
  <c r="A376" i="139" s="1"/>
  <c r="A377" i="139" s="1"/>
  <c r="A378" i="139" s="1"/>
  <c r="A379" i="139" s="1"/>
  <c r="A380" i="139" s="1"/>
  <c r="A381" i="139" s="1"/>
  <c r="A382" i="139" s="1"/>
  <c r="A383" i="139" s="1"/>
  <c r="A387" i="139" s="1"/>
  <c r="A388" i="139" s="1"/>
  <c r="A389" i="139" s="1"/>
  <c r="A390" i="139" s="1"/>
  <c r="A391" i="139" s="1"/>
  <c r="A392" i="139" s="1"/>
  <c r="A393" i="139" s="1"/>
  <c r="A394" i="139" s="1"/>
  <c r="A395" i="139" s="1"/>
  <c r="A396" i="139" s="1"/>
  <c r="A397" i="139" s="1"/>
  <c r="A398" i="139" s="1"/>
  <c r="A399" i="139" s="1"/>
  <c r="A400" i="139" s="1"/>
  <c r="A401" i="139" s="1"/>
  <c r="A402" i="139" s="1"/>
  <c r="A403" i="139" s="1"/>
  <c r="A404" i="139" s="1"/>
  <c r="A405" i="139" s="1"/>
  <c r="A406" i="139" s="1"/>
  <c r="A407" i="139" s="1"/>
  <c r="A408" i="139" s="1"/>
  <c r="A409" i="139" s="1"/>
  <c r="A410" i="139" s="1"/>
  <c r="A411" i="139" s="1"/>
  <c r="A412" i="139" s="1"/>
  <c r="A413" i="139" s="1"/>
  <c r="A414" i="139" s="1"/>
  <c r="A415" i="139" s="1"/>
  <c r="A416" i="139" s="1"/>
  <c r="A417" i="139" s="1"/>
  <c r="A418" i="139" s="1"/>
  <c r="A419" i="139" s="1"/>
  <c r="A420" i="139" s="1"/>
  <c r="A421" i="139" s="1"/>
  <c r="A422" i="139" s="1"/>
  <c r="A423" i="139" s="1"/>
  <c r="A424" i="139" s="1"/>
  <c r="A425" i="139" s="1"/>
  <c r="A426" i="139" s="1"/>
  <c r="A427" i="139" s="1"/>
  <c r="A428" i="139" s="1"/>
  <c r="A429" i="139" s="1"/>
  <c r="A430" i="139" s="1"/>
  <c r="A431" i="139" s="1"/>
  <c r="J283" i="139"/>
  <c r="J325" i="139"/>
  <c r="J338" i="139"/>
  <c r="J362" i="139"/>
  <c r="J366" i="139"/>
  <c r="J370" i="139"/>
  <c r="J374" i="139"/>
  <c r="J378" i="139"/>
  <c r="J379" i="139"/>
  <c r="AH3" i="4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AE9" i="4"/>
  <c r="AF9" i="4"/>
  <c r="AE11" i="4"/>
  <c r="AE12" i="4" s="1"/>
  <c r="AE13" i="4" s="1"/>
  <c r="AE14" i="4" s="1"/>
  <c r="AE15" i="4" s="1"/>
  <c r="AE16" i="4" s="1"/>
  <c r="AE17" i="4" s="1"/>
  <c r="AE18" i="4" s="1"/>
  <c r="AE19" i="4" s="1"/>
  <c r="AE20" i="4" s="1"/>
  <c r="AE21" i="4" s="1"/>
  <c r="AE22" i="4" s="1"/>
  <c r="AE23" i="4" s="1"/>
  <c r="AE24" i="4" s="1"/>
  <c r="AE25" i="4" s="1"/>
  <c r="AE26" i="4" s="1"/>
  <c r="AE27" i="4" s="1"/>
  <c r="AE28" i="4" s="1"/>
  <c r="AE29" i="4" s="1"/>
  <c r="AE30" i="4" s="1"/>
  <c r="AE31" i="4" s="1"/>
  <c r="AE32" i="4" s="1"/>
  <c r="AE33" i="4" s="1"/>
  <c r="AE34" i="4" s="1"/>
  <c r="AE35" i="4" s="1"/>
  <c r="AE36" i="4" s="1"/>
  <c r="AE37" i="4" s="1"/>
  <c r="AE38" i="4" s="1"/>
  <c r="AE39" i="4" s="1"/>
  <c r="AE40" i="4" s="1"/>
  <c r="AE41" i="4" s="1"/>
  <c r="AE42" i="4" s="1"/>
  <c r="AE43" i="4" s="1"/>
  <c r="AE44" i="4" s="1"/>
  <c r="AE45" i="4" s="1"/>
  <c r="AE46" i="4" s="1"/>
  <c r="AE47" i="4" s="1"/>
  <c r="AE48" i="4" s="1"/>
  <c r="AE49" i="4" s="1"/>
  <c r="AE50" i="4" s="1"/>
  <c r="AE51" i="4" s="1"/>
  <c r="AE52" i="4" s="1"/>
  <c r="AE53" i="4" s="1"/>
  <c r="AE54" i="4" s="1"/>
  <c r="AE55" i="4" s="1"/>
  <c r="AE56" i="4" s="1"/>
  <c r="AE57" i="4" s="1"/>
  <c r="AE58" i="4" s="1"/>
  <c r="AE59" i="4" s="1"/>
  <c r="AE60" i="4" s="1"/>
  <c r="AE61" i="4" s="1"/>
  <c r="AE62" i="4" s="1"/>
  <c r="AE63" i="4" s="1"/>
  <c r="AE64" i="4" s="1"/>
  <c r="AE65" i="4" s="1"/>
  <c r="AE66" i="4" s="1"/>
  <c r="AE67" i="4" s="1"/>
  <c r="AE68" i="4" s="1"/>
  <c r="AE69" i="4" s="1"/>
  <c r="AE70" i="4" s="1"/>
  <c r="AE71" i="4" s="1"/>
  <c r="AE72" i="4" s="1"/>
  <c r="AE73" i="4" s="1"/>
  <c r="AE74" i="4" s="1"/>
  <c r="AE75" i="4" s="1"/>
  <c r="AE76" i="4" s="1"/>
  <c r="AE77" i="4" s="1"/>
  <c r="AE78" i="4" s="1"/>
  <c r="AE79" i="4" s="1"/>
  <c r="AE80" i="4" s="1"/>
  <c r="AE81" i="4" s="1"/>
  <c r="AE82" i="4" s="1"/>
  <c r="AE83" i="4" s="1"/>
  <c r="AE84" i="4" s="1"/>
  <c r="AE85" i="4" s="1"/>
  <c r="AE86" i="4" s="1"/>
  <c r="AE87" i="4" s="1"/>
  <c r="AE88" i="4" s="1"/>
  <c r="AE89" i="4" s="1"/>
  <c r="AE90" i="4" s="1"/>
  <c r="AE91" i="4" s="1"/>
  <c r="AE92" i="4" s="1"/>
  <c r="AE93" i="4" s="1"/>
  <c r="AE94" i="4" s="1"/>
  <c r="AE95" i="4" s="1"/>
  <c r="AE96" i="4" s="1"/>
  <c r="AE97" i="4" s="1"/>
  <c r="AE98" i="4" s="1"/>
  <c r="AE99" i="4" s="1"/>
  <c r="AE100" i="4" s="1"/>
  <c r="AE101" i="4" s="1"/>
  <c r="AE102" i="4" s="1"/>
  <c r="AE103" i="4" s="1"/>
  <c r="AE104" i="4" s="1"/>
  <c r="AE105" i="4" s="1"/>
  <c r="AE106" i="4" s="1"/>
  <c r="AE107" i="4" s="1"/>
  <c r="AE108" i="4" s="1"/>
  <c r="AE109" i="4" s="1"/>
  <c r="AE110" i="4" s="1"/>
  <c r="AE111" i="4" s="1"/>
  <c r="AE112" i="4" s="1"/>
  <c r="AE113" i="4" s="1"/>
  <c r="AE114" i="4" s="1"/>
  <c r="AE115" i="4" s="1"/>
  <c r="AE116" i="4" s="1"/>
  <c r="AE117" i="4" s="1"/>
  <c r="AE118" i="4" s="1"/>
  <c r="AE119" i="4" s="1"/>
  <c r="AE120" i="4" s="1"/>
  <c r="AE121" i="4" s="1"/>
  <c r="AE122" i="4" s="1"/>
  <c r="AE123" i="4" s="1"/>
  <c r="AE124" i="4" s="1"/>
  <c r="AE125" i="4" s="1"/>
  <c r="AE126" i="4" s="1"/>
  <c r="AE127" i="4" s="1"/>
  <c r="AE128" i="4" s="1"/>
  <c r="AE129" i="4" s="1"/>
  <c r="AE130" i="4" s="1"/>
  <c r="AE131" i="4" s="1"/>
  <c r="AE132" i="4" s="1"/>
  <c r="AE133" i="4" s="1"/>
  <c r="AE134" i="4" s="1"/>
  <c r="AE135" i="4" s="1"/>
  <c r="AE136" i="4" s="1"/>
  <c r="AE137" i="4" s="1"/>
  <c r="AE138" i="4" s="1"/>
  <c r="AE139" i="4" s="1"/>
  <c r="AE140" i="4" s="1"/>
  <c r="AE141" i="4" s="1"/>
  <c r="AE142" i="4" s="1"/>
  <c r="AE143" i="4" s="1"/>
  <c r="AE144" i="4" s="1"/>
  <c r="AE145" i="4" s="1"/>
  <c r="AE146" i="4" s="1"/>
  <c r="AE147" i="4" s="1"/>
  <c r="AE148" i="4" s="1"/>
  <c r="AE149" i="4" s="1"/>
  <c r="AE150" i="4" s="1"/>
  <c r="AE151" i="4" s="1"/>
  <c r="AE152" i="4" s="1"/>
  <c r="AE153" i="4" s="1"/>
  <c r="AE154" i="4" s="1"/>
  <c r="AE155" i="4" s="1"/>
  <c r="AE156" i="4" s="1"/>
  <c r="AE157" i="4" s="1"/>
  <c r="AE158" i="4" s="1"/>
  <c r="AE159" i="4" s="1"/>
  <c r="AE160" i="4" s="1"/>
  <c r="AE161" i="4" s="1"/>
  <c r="AE162" i="4" s="1"/>
  <c r="AE163" i="4" s="1"/>
  <c r="AE164" i="4" s="1"/>
  <c r="AE165" i="4" s="1"/>
  <c r="AE166" i="4" s="1"/>
  <c r="AE167" i="4" s="1"/>
  <c r="AE168" i="4" s="1"/>
  <c r="AE169" i="4" s="1"/>
  <c r="AE170" i="4" s="1"/>
  <c r="AE171" i="4" s="1"/>
  <c r="AE172" i="4" s="1"/>
  <c r="AE173" i="4" s="1"/>
  <c r="AE174" i="4" s="1"/>
  <c r="AE175" i="4" s="1"/>
  <c r="AE176" i="4" s="1"/>
  <c r="AE177" i="4" s="1"/>
  <c r="AE178" i="4" s="1"/>
  <c r="AE179" i="4" s="1"/>
  <c r="AE180" i="4" s="1"/>
  <c r="AE181" i="4" s="1"/>
  <c r="AE182" i="4" s="1"/>
  <c r="AE183" i="4" s="1"/>
  <c r="AE184" i="4" s="1"/>
  <c r="AE185" i="4" s="1"/>
  <c r="AE186" i="4" s="1"/>
  <c r="AE187" i="4" s="1"/>
  <c r="AE188" i="4" s="1"/>
  <c r="AE189" i="4" s="1"/>
  <c r="AE190" i="4" s="1"/>
  <c r="AE191" i="4" s="1"/>
  <c r="AE192" i="4" s="1"/>
  <c r="AE193" i="4" s="1"/>
  <c r="AE194" i="4" s="1"/>
  <c r="AE195" i="4" s="1"/>
  <c r="AE196" i="4" s="1"/>
  <c r="AE197" i="4" s="1"/>
  <c r="AE198" i="4" s="1"/>
  <c r="AE199" i="4" s="1"/>
  <c r="AE200" i="4" s="1"/>
  <c r="AE201" i="4" s="1"/>
  <c r="AE202" i="4" s="1"/>
  <c r="AE203" i="4" s="1"/>
  <c r="AE204" i="4" s="1"/>
  <c r="AE205" i="4" s="1"/>
  <c r="AE206" i="4" s="1"/>
  <c r="AE207" i="4" s="1"/>
  <c r="AE208" i="4" s="1"/>
  <c r="AE209" i="4" s="1"/>
  <c r="AE210" i="4" s="1"/>
  <c r="AE211" i="4" s="1"/>
  <c r="AE212" i="4" s="1"/>
  <c r="AE213" i="4" s="1"/>
  <c r="AE214" i="4" s="1"/>
  <c r="AE215" i="4" s="1"/>
  <c r="AE216" i="4" s="1"/>
  <c r="AE217" i="4" s="1"/>
  <c r="AE218" i="4" s="1"/>
  <c r="AE219" i="4" s="1"/>
  <c r="AE220" i="4" s="1"/>
  <c r="AE221" i="4" s="1"/>
  <c r="AE222" i="4" s="1"/>
  <c r="AE223" i="4" s="1"/>
  <c r="AE224" i="4" s="1"/>
  <c r="AE225" i="4" s="1"/>
  <c r="AE226" i="4" s="1"/>
  <c r="AE227" i="4" s="1"/>
  <c r="AE228" i="4" s="1"/>
  <c r="AE229" i="4" s="1"/>
  <c r="AE230" i="4" s="1"/>
  <c r="AE231" i="4" s="1"/>
  <c r="AE232" i="4" s="1"/>
  <c r="AE233" i="4" s="1"/>
  <c r="AE234" i="4" s="1"/>
  <c r="AE235" i="4" s="1"/>
  <c r="AE236" i="4" s="1"/>
  <c r="AE237" i="4" s="1"/>
  <c r="AE238" i="4" s="1"/>
  <c r="AE239" i="4" s="1"/>
  <c r="AE240" i="4" s="1"/>
  <c r="AE241" i="4" s="1"/>
  <c r="AE242" i="4" s="1"/>
  <c r="AE243" i="4" s="1"/>
  <c r="AE244" i="4" s="1"/>
  <c r="AE245" i="4" s="1"/>
  <c r="AE246" i="4" s="1"/>
  <c r="AE247" i="4" s="1"/>
  <c r="AE248" i="4" s="1"/>
  <c r="AE249" i="4" s="1"/>
  <c r="AE250" i="4" s="1"/>
  <c r="AE251" i="4" s="1"/>
  <c r="AE252" i="4" s="1"/>
  <c r="AE253" i="4" s="1"/>
  <c r="AE254" i="4" s="1"/>
  <c r="AE255" i="4" s="1"/>
  <c r="AE256" i="4" s="1"/>
  <c r="AE257" i="4" s="1"/>
  <c r="AE258" i="4" s="1"/>
  <c r="AE259" i="4" s="1"/>
  <c r="AE260" i="4" s="1"/>
  <c r="AE261" i="4" s="1"/>
  <c r="AE262" i="4" s="1"/>
  <c r="AE263" i="4" s="1"/>
  <c r="AE264" i="4" s="1"/>
  <c r="AE265" i="4" s="1"/>
  <c r="AE266" i="4" s="1"/>
  <c r="AE267" i="4" s="1"/>
  <c r="AE268" i="4" s="1"/>
  <c r="AE269" i="4" s="1"/>
  <c r="AE270" i="4" s="1"/>
  <c r="AE271" i="4" s="1"/>
  <c r="AE272" i="4" s="1"/>
  <c r="AE273" i="4" s="1"/>
  <c r="AE274" i="4" s="1"/>
  <c r="AE275" i="4" s="1"/>
  <c r="AE276" i="4" s="1"/>
  <c r="AE277" i="4" s="1"/>
  <c r="AE278" i="4" s="1"/>
  <c r="AE279" i="4" s="1"/>
  <c r="AF11" i="4"/>
  <c r="AF12" i="4" s="1"/>
  <c r="AF13" i="4" s="1"/>
  <c r="AF14" i="4" s="1"/>
  <c r="AF16" i="4"/>
  <c r="AF17" i="4" s="1"/>
  <c r="AF18" i="4" s="1"/>
  <c r="AF19" i="4" s="1"/>
  <c r="AF20" i="4" s="1"/>
  <c r="AF21" i="4" s="1"/>
  <c r="AF22" i="4" s="1"/>
  <c r="AF23" i="4" s="1"/>
  <c r="AF24" i="4" s="1"/>
  <c r="AF25" i="4" s="1"/>
  <c r="AF26" i="4" s="1"/>
  <c r="AF27" i="4" s="1"/>
  <c r="AF28" i="4" s="1"/>
  <c r="AF29" i="4" s="1"/>
  <c r="AF30" i="4" s="1"/>
  <c r="AF31" i="4" s="1"/>
  <c r="AF32" i="4" s="1"/>
  <c r="AF33" i="4" s="1"/>
  <c r="AF34" i="4" s="1"/>
  <c r="AF35" i="4" s="1"/>
  <c r="AF36" i="4" s="1"/>
  <c r="AF37" i="4" s="1"/>
  <c r="AF38" i="4" s="1"/>
  <c r="AF39" i="4" s="1"/>
  <c r="AF40" i="4" s="1"/>
  <c r="AF41" i="4" s="1"/>
  <c r="AF42" i="4" s="1"/>
  <c r="AF43" i="4" s="1"/>
  <c r="AF44" i="4" s="1"/>
  <c r="AF45" i="4" s="1"/>
  <c r="AF46" i="4" s="1"/>
  <c r="AF47" i="4" s="1"/>
  <c r="AF48" i="4" s="1"/>
  <c r="AF49" i="4" s="1"/>
  <c r="AF50" i="4" s="1"/>
  <c r="AF51" i="4" s="1"/>
  <c r="AF52" i="4" s="1"/>
  <c r="AF53" i="4" s="1"/>
  <c r="AF54" i="4" s="1"/>
  <c r="AF55" i="4" s="1"/>
  <c r="AF56" i="4" s="1"/>
  <c r="AF57" i="4" s="1"/>
  <c r="AF58" i="4" s="1"/>
  <c r="AF59" i="4" s="1"/>
  <c r="AF60" i="4" s="1"/>
  <c r="AF61" i="4" s="1"/>
  <c r="AF62" i="4" s="1"/>
  <c r="AF63" i="4" s="1"/>
  <c r="AF64" i="4" s="1"/>
  <c r="AF65" i="4" s="1"/>
  <c r="AF66" i="4" s="1"/>
  <c r="AF67" i="4" s="1"/>
  <c r="AF68" i="4" s="1"/>
  <c r="AF69" i="4" s="1"/>
  <c r="AF70" i="4" s="1"/>
  <c r="AF71" i="4" s="1"/>
  <c r="AF72" i="4" s="1"/>
  <c r="AF73" i="4" s="1"/>
  <c r="AF74" i="4" s="1"/>
  <c r="AF75" i="4" s="1"/>
  <c r="AF76" i="4" s="1"/>
  <c r="AF77" i="4" s="1"/>
  <c r="AF78" i="4" s="1"/>
  <c r="AF79" i="4" s="1"/>
  <c r="AF80" i="4" s="1"/>
  <c r="AF81" i="4" s="1"/>
  <c r="AF82" i="4" s="1"/>
  <c r="AF83" i="4" s="1"/>
  <c r="AF84" i="4" s="1"/>
  <c r="AF85" i="4" s="1"/>
  <c r="AF86" i="4" s="1"/>
  <c r="AF87" i="4" s="1"/>
  <c r="AF88" i="4" s="1"/>
  <c r="AF89" i="4" s="1"/>
  <c r="AF90" i="4" s="1"/>
  <c r="AF91" i="4" s="1"/>
  <c r="AF92" i="4" s="1"/>
  <c r="AF93" i="4" s="1"/>
  <c r="AF94" i="4" s="1"/>
  <c r="AF95" i="4" s="1"/>
  <c r="AF96" i="4" s="1"/>
  <c r="AF97" i="4" s="1"/>
  <c r="AF98" i="4" s="1"/>
  <c r="AF99" i="4" s="1"/>
  <c r="AF100" i="4" s="1"/>
  <c r="AF101" i="4" s="1"/>
  <c r="AF102" i="4" s="1"/>
  <c r="AF103" i="4" s="1"/>
  <c r="AF104" i="4" s="1"/>
  <c r="AF105" i="4" s="1"/>
  <c r="AF106" i="4" s="1"/>
  <c r="AF107" i="4" s="1"/>
  <c r="AF108" i="4" s="1"/>
  <c r="AF109" i="4" s="1"/>
  <c r="AF110" i="4" s="1"/>
  <c r="AF111" i="4" s="1"/>
  <c r="AF112" i="4" s="1"/>
  <c r="AF113" i="4" s="1"/>
  <c r="AF114" i="4" s="1"/>
  <c r="AF115" i="4" s="1"/>
  <c r="AF116" i="4" s="1"/>
  <c r="AF117" i="4" s="1"/>
  <c r="AF118" i="4" s="1"/>
  <c r="AF119" i="4" s="1"/>
  <c r="AF120" i="4" s="1"/>
  <c r="AF121" i="4" s="1"/>
  <c r="AF122" i="4" s="1"/>
  <c r="AF123" i="4" s="1"/>
  <c r="AF124" i="4" s="1"/>
  <c r="AF125" i="4" s="1"/>
  <c r="AF126" i="4" s="1"/>
  <c r="AF127" i="4" s="1"/>
  <c r="AF128" i="4" s="1"/>
  <c r="AF129" i="4" s="1"/>
  <c r="AF130" i="4" s="1"/>
  <c r="AF131" i="4" s="1"/>
  <c r="AF132" i="4" s="1"/>
  <c r="AF133" i="4" s="1"/>
  <c r="AF134" i="4" s="1"/>
  <c r="AF135" i="4" s="1"/>
  <c r="AF136" i="4" s="1"/>
  <c r="AF137" i="4" s="1"/>
  <c r="AF138" i="4" s="1"/>
  <c r="AF139" i="4" s="1"/>
  <c r="AF140" i="4" s="1"/>
  <c r="AF141" i="4" s="1"/>
  <c r="AF142" i="4" s="1"/>
  <c r="AF143" i="4" s="1"/>
  <c r="AF144" i="4" s="1"/>
  <c r="AF145" i="4" s="1"/>
  <c r="AF146" i="4" s="1"/>
  <c r="AF147" i="4" s="1"/>
  <c r="AF148" i="4" s="1"/>
  <c r="AF149" i="4" s="1"/>
  <c r="AF150" i="4" s="1"/>
  <c r="AF151" i="4" s="1"/>
  <c r="AF152" i="4" s="1"/>
  <c r="AF153" i="4" s="1"/>
  <c r="AF154" i="4" s="1"/>
  <c r="AF155" i="4" s="1"/>
  <c r="AF156" i="4" s="1"/>
  <c r="AF157" i="4" s="1"/>
  <c r="AF158" i="4" s="1"/>
  <c r="AF159" i="4" s="1"/>
  <c r="AF160" i="4" s="1"/>
  <c r="AF161" i="4" s="1"/>
  <c r="AF162" i="4" s="1"/>
  <c r="AF163" i="4" s="1"/>
  <c r="AF164" i="4" s="1"/>
  <c r="AF165" i="4" s="1"/>
  <c r="AF166" i="4" s="1"/>
  <c r="AF167" i="4" s="1"/>
  <c r="AF168" i="4" s="1"/>
  <c r="AF169" i="4" s="1"/>
  <c r="AF170" i="4" s="1"/>
  <c r="AF171" i="4" s="1"/>
  <c r="AF172" i="4" s="1"/>
  <c r="AF173" i="4" s="1"/>
  <c r="AF174" i="4" s="1"/>
  <c r="AF175" i="4" s="1"/>
  <c r="AF176" i="4" s="1"/>
  <c r="Y131" i="4"/>
  <c r="Z131" i="4"/>
  <c r="Y132" i="4"/>
  <c r="Z132" i="4"/>
  <c r="Y235" i="4"/>
  <c r="Y260" i="4"/>
  <c r="AL260" i="4"/>
  <c r="A1" i="3"/>
  <c r="W17" i="3"/>
  <c r="W19" i="3"/>
  <c r="H21" i="3"/>
  <c r="I21" i="3"/>
  <c r="L21" i="3"/>
  <c r="M21" i="3"/>
  <c r="N21" i="3"/>
  <c r="O21" i="3"/>
  <c r="P21" i="3"/>
  <c r="Q21" i="3"/>
  <c r="W22" i="3"/>
  <c r="W24" i="3"/>
  <c r="W26" i="3"/>
  <c r="W28" i="3"/>
  <c r="H30" i="3"/>
  <c r="I30" i="3"/>
  <c r="L30" i="3"/>
  <c r="M30" i="3"/>
  <c r="N30" i="3"/>
  <c r="O30" i="3"/>
  <c r="P30" i="3"/>
  <c r="Q30" i="3"/>
  <c r="W31" i="3"/>
  <c r="W33" i="3"/>
  <c r="W35" i="3"/>
  <c r="W37" i="3"/>
  <c r="H39" i="3"/>
  <c r="I39" i="3"/>
  <c r="L39" i="3"/>
  <c r="M39" i="3"/>
  <c r="N39" i="3"/>
  <c r="O39" i="3"/>
  <c r="P39" i="3"/>
  <c r="Q39" i="3"/>
  <c r="W40" i="3"/>
  <c r="W42" i="3"/>
  <c r="W44" i="3"/>
  <c r="W46" i="3"/>
  <c r="H48" i="3"/>
  <c r="I48" i="3"/>
  <c r="L48" i="3"/>
  <c r="M48" i="3"/>
  <c r="N48" i="3"/>
  <c r="O48" i="3"/>
  <c r="P48" i="3"/>
  <c r="Q48" i="3"/>
  <c r="W49" i="3"/>
  <c r="W51" i="3"/>
  <c r="H57" i="3"/>
  <c r="I57" i="3"/>
  <c r="L57" i="3"/>
  <c r="M57" i="3"/>
  <c r="N57" i="3"/>
  <c r="O57" i="3"/>
  <c r="P57" i="3"/>
  <c r="Q57" i="3"/>
  <c r="W58" i="3"/>
  <c r="W60" i="3"/>
  <c r="H66" i="3"/>
  <c r="I66" i="3"/>
  <c r="L66" i="3"/>
  <c r="M66" i="3"/>
  <c r="N66" i="3"/>
  <c r="O66" i="3"/>
  <c r="P66" i="3"/>
  <c r="Q66" i="3"/>
  <c r="W67" i="3"/>
  <c r="W69" i="3"/>
  <c r="W71" i="3"/>
  <c r="W73" i="3"/>
  <c r="H75" i="3"/>
  <c r="I75" i="3"/>
  <c r="L75" i="3"/>
  <c r="M75" i="3"/>
  <c r="N75" i="3"/>
  <c r="O75" i="3"/>
  <c r="P75" i="3"/>
  <c r="Q75" i="3"/>
  <c r="W76" i="3"/>
  <c r="W78" i="3"/>
  <c r="W80" i="3"/>
  <c r="W82" i="3"/>
  <c r="H84" i="3"/>
  <c r="I84" i="3"/>
  <c r="L84" i="3"/>
  <c r="M84" i="3"/>
  <c r="N84" i="3"/>
  <c r="O84" i="3"/>
  <c r="P84" i="3"/>
  <c r="Q84" i="3"/>
  <c r="W85" i="3"/>
  <c r="W87" i="3"/>
  <c r="W89" i="3"/>
  <c r="W91" i="3"/>
  <c r="H93" i="3"/>
  <c r="I93" i="3"/>
  <c r="L93" i="3"/>
  <c r="M93" i="3"/>
  <c r="N93" i="3"/>
  <c r="O93" i="3"/>
  <c r="P93" i="3"/>
  <c r="Q93" i="3"/>
  <c r="W94" i="3"/>
  <c r="W96" i="3"/>
  <c r="W98" i="3"/>
  <c r="W100" i="3"/>
  <c r="H102" i="3"/>
  <c r="I102" i="3"/>
  <c r="L102" i="3"/>
  <c r="M102" i="3"/>
  <c r="N102" i="3"/>
  <c r="O102" i="3"/>
  <c r="P102" i="3"/>
  <c r="Q102" i="3"/>
  <c r="W103" i="3"/>
  <c r="W105" i="3"/>
  <c r="W107" i="3"/>
  <c r="W109" i="3"/>
  <c r="H111" i="3"/>
  <c r="I111" i="3"/>
  <c r="L111" i="3"/>
  <c r="M111" i="3"/>
  <c r="N111" i="3"/>
  <c r="O111" i="3"/>
  <c r="P111" i="3"/>
  <c r="Q111" i="3"/>
  <c r="W112" i="3"/>
  <c r="W114" i="3"/>
  <c r="W116" i="3"/>
  <c r="W118" i="3"/>
  <c r="H120" i="3"/>
  <c r="I120" i="3"/>
  <c r="L120" i="3"/>
  <c r="M120" i="3"/>
  <c r="N120" i="3"/>
  <c r="O120" i="3"/>
  <c r="P120" i="3"/>
  <c r="Q120" i="3"/>
  <c r="W121" i="3"/>
  <c r="W123" i="3"/>
  <c r="W125" i="3"/>
  <c r="W127" i="3"/>
  <c r="H129" i="3"/>
  <c r="I129" i="3"/>
  <c r="L129" i="3"/>
  <c r="M129" i="3"/>
  <c r="N129" i="3"/>
  <c r="O129" i="3"/>
  <c r="P129" i="3"/>
  <c r="Q129" i="3"/>
  <c r="W130" i="3"/>
  <c r="W132" i="3"/>
  <c r="W134" i="3"/>
  <c r="W136" i="3"/>
  <c r="H138" i="3"/>
  <c r="I138" i="3"/>
  <c r="L138" i="3"/>
  <c r="M138" i="3"/>
  <c r="N138" i="3"/>
  <c r="O138" i="3"/>
  <c r="P138" i="3"/>
  <c r="Q138" i="3"/>
  <c r="W139" i="3"/>
  <c r="W141" i="3"/>
  <c r="W143" i="3"/>
  <c r="W145" i="3"/>
  <c r="H147" i="3"/>
  <c r="I147" i="3"/>
  <c r="L147" i="3"/>
  <c r="M147" i="3"/>
  <c r="N147" i="3"/>
  <c r="O147" i="3"/>
  <c r="P147" i="3"/>
  <c r="Q147" i="3"/>
  <c r="W148" i="3"/>
  <c r="W150" i="3"/>
  <c r="W152" i="3"/>
  <c r="W154" i="3"/>
  <c r="H156" i="3"/>
  <c r="I156" i="3"/>
  <c r="L156" i="3"/>
  <c r="M156" i="3"/>
  <c r="N156" i="3"/>
  <c r="O156" i="3"/>
  <c r="P156" i="3"/>
  <c r="Q156" i="3"/>
  <c r="W157" i="3"/>
  <c r="W159" i="3"/>
  <c r="W161" i="3"/>
  <c r="W163" i="3"/>
  <c r="H165" i="3"/>
  <c r="I165" i="3"/>
  <c r="L165" i="3"/>
  <c r="M165" i="3"/>
  <c r="N165" i="3"/>
  <c r="O165" i="3"/>
  <c r="P165" i="3"/>
  <c r="Q165" i="3"/>
  <c r="W166" i="3"/>
  <c r="W168" i="3"/>
  <c r="W170" i="3"/>
  <c r="W172" i="3"/>
  <c r="H174" i="3"/>
  <c r="I174" i="3"/>
  <c r="L174" i="3"/>
  <c r="M174" i="3"/>
  <c r="N174" i="3"/>
  <c r="O174" i="3"/>
  <c r="P174" i="3"/>
  <c r="Q174" i="3"/>
  <c r="W175" i="3"/>
  <c r="W177" i="3"/>
  <c r="W179" i="3"/>
  <c r="W181" i="3"/>
  <c r="H183" i="3"/>
  <c r="I183" i="3"/>
  <c r="L183" i="3"/>
  <c r="M183" i="3"/>
  <c r="N183" i="3"/>
  <c r="O183" i="3"/>
  <c r="P183" i="3"/>
  <c r="Q183" i="3"/>
  <c r="W184" i="3"/>
  <c r="W186" i="3"/>
  <c r="W188" i="3"/>
  <c r="W190" i="3"/>
  <c r="H192" i="3"/>
  <c r="I192" i="3"/>
  <c r="L192" i="3"/>
  <c r="M192" i="3"/>
  <c r="N192" i="3"/>
  <c r="O192" i="3"/>
  <c r="P192" i="3"/>
  <c r="Q192" i="3"/>
  <c r="W193" i="3"/>
  <c r="W195" i="3"/>
  <c r="W198" i="3"/>
  <c r="W199" i="3"/>
  <c r="W204" i="3"/>
  <c r="W208" i="3"/>
  <c r="W209" i="3"/>
  <c r="W211" i="3"/>
  <c r="W213" i="3"/>
  <c r="H215" i="3"/>
  <c r="I215" i="3"/>
  <c r="L215" i="3"/>
  <c r="M215" i="3"/>
  <c r="N215" i="3"/>
  <c r="O215" i="3"/>
  <c r="P215" i="3"/>
  <c r="Q215" i="3"/>
  <c r="W216" i="3"/>
  <c r="W218" i="3"/>
  <c r="W220" i="3"/>
  <c r="W222" i="3"/>
  <c r="H224" i="3"/>
  <c r="I224" i="3"/>
  <c r="L224" i="3"/>
  <c r="M224" i="3"/>
  <c r="N224" i="3"/>
  <c r="O224" i="3"/>
  <c r="P224" i="3"/>
  <c r="Q224" i="3"/>
  <c r="W225" i="3"/>
  <c r="W227" i="3"/>
  <c r="W228" i="3"/>
  <c r="H229" i="3"/>
  <c r="I229" i="3"/>
  <c r="L229" i="3"/>
  <c r="M229" i="3"/>
  <c r="N229" i="3"/>
  <c r="O229" i="3"/>
  <c r="P229" i="3"/>
  <c r="Q229" i="3"/>
  <c r="H230" i="3"/>
  <c r="I230" i="3"/>
  <c r="L230" i="3"/>
  <c r="M230" i="3"/>
  <c r="N230" i="3"/>
  <c r="O230" i="3"/>
  <c r="P230" i="3"/>
  <c r="Q230" i="3"/>
  <c r="H231" i="3"/>
  <c r="I231" i="3"/>
  <c r="L231" i="3"/>
  <c r="M231" i="3"/>
  <c r="N231" i="3"/>
  <c r="O231" i="3"/>
  <c r="P231" i="3"/>
  <c r="Q231" i="3"/>
  <c r="W233" i="3"/>
  <c r="H234" i="3"/>
  <c r="I234" i="3"/>
  <c r="L234" i="3"/>
  <c r="M234" i="3"/>
  <c r="N234" i="3"/>
  <c r="O234" i="3"/>
  <c r="P234" i="3"/>
  <c r="Q234" i="3"/>
  <c r="W235" i="3"/>
  <c r="H236" i="3"/>
  <c r="I236" i="3"/>
  <c r="L236" i="3"/>
  <c r="M236" i="3"/>
  <c r="N236" i="3"/>
  <c r="O236" i="3"/>
  <c r="P236" i="3"/>
  <c r="Q236" i="3"/>
  <c r="W237" i="3"/>
  <c r="W238" i="3"/>
  <c r="W240" i="3"/>
  <c r="W242" i="3"/>
  <c r="H244" i="3"/>
  <c r="I244" i="3"/>
  <c r="L244" i="3"/>
  <c r="M244" i="3"/>
  <c r="N244" i="3"/>
  <c r="O244" i="3"/>
  <c r="P244" i="3"/>
  <c r="Q244" i="3"/>
  <c r="W245" i="3"/>
  <c r="W247" i="3"/>
  <c r="W249" i="3"/>
  <c r="W251" i="3"/>
  <c r="H253" i="3"/>
  <c r="I253" i="3"/>
  <c r="L253" i="3"/>
  <c r="M253" i="3"/>
  <c r="N253" i="3"/>
  <c r="O253" i="3"/>
  <c r="P253" i="3"/>
  <c r="Q253" i="3"/>
  <c r="W254" i="3"/>
  <c r="W256" i="3"/>
  <c r="W258" i="3"/>
  <c r="W260" i="3"/>
  <c r="H262" i="3"/>
  <c r="I262" i="3"/>
  <c r="L262" i="3"/>
  <c r="M262" i="3"/>
  <c r="N262" i="3"/>
  <c r="O262" i="3"/>
  <c r="P262" i="3"/>
  <c r="Q262" i="3"/>
  <c r="W263" i="3"/>
  <c r="W265" i="3"/>
  <c r="W267" i="3"/>
  <c r="W269" i="3"/>
  <c r="H271" i="3"/>
  <c r="I271" i="3"/>
  <c r="L271" i="3"/>
  <c r="M271" i="3"/>
  <c r="N271" i="3"/>
  <c r="O271" i="3"/>
  <c r="P271" i="3"/>
  <c r="Q271" i="3"/>
  <c r="W272" i="3"/>
  <c r="W274" i="3"/>
  <c r="W276" i="3"/>
  <c r="W278" i="3"/>
  <c r="H280" i="3"/>
  <c r="I280" i="3"/>
  <c r="L280" i="3"/>
  <c r="M280" i="3"/>
  <c r="N280" i="3"/>
  <c r="O280" i="3"/>
  <c r="P280" i="3"/>
  <c r="Q280" i="3"/>
  <c r="W281" i="3"/>
  <c r="W283" i="3"/>
  <c r="W285" i="3"/>
  <c r="W287" i="3"/>
  <c r="H289" i="3"/>
  <c r="I289" i="3"/>
  <c r="L289" i="3"/>
  <c r="M289" i="3"/>
  <c r="N289" i="3"/>
  <c r="O289" i="3"/>
  <c r="P289" i="3"/>
  <c r="Q289" i="3"/>
  <c r="W290" i="3"/>
  <c r="W292" i="3"/>
  <c r="W294" i="3"/>
  <c r="W296" i="3"/>
  <c r="H298" i="3"/>
  <c r="I298" i="3"/>
  <c r="L298" i="3"/>
  <c r="M298" i="3"/>
  <c r="N298" i="3"/>
  <c r="O298" i="3"/>
  <c r="P298" i="3"/>
  <c r="Q298" i="3"/>
  <c r="W299" i="3"/>
  <c r="W301" i="3"/>
  <c r="W303" i="3"/>
  <c r="W305" i="3"/>
  <c r="H307" i="3"/>
  <c r="I307" i="3"/>
  <c r="L307" i="3"/>
  <c r="M307" i="3"/>
  <c r="N307" i="3"/>
  <c r="O307" i="3"/>
  <c r="P307" i="3"/>
  <c r="Q307" i="3"/>
  <c r="W308" i="3"/>
  <c r="W310" i="3"/>
  <c r="W312" i="3"/>
  <c r="W314" i="3"/>
  <c r="H316" i="3"/>
  <c r="I316" i="3"/>
  <c r="L316" i="3"/>
  <c r="M316" i="3"/>
  <c r="N316" i="3"/>
  <c r="O316" i="3"/>
  <c r="P316" i="3"/>
  <c r="Q316" i="3"/>
  <c r="W317" i="3"/>
  <c r="W322" i="3"/>
  <c r="W328" i="3"/>
  <c r="W332" i="3"/>
  <c r="W333" i="3"/>
  <c r="W335" i="3"/>
  <c r="W337" i="3"/>
  <c r="H339" i="3"/>
  <c r="I339" i="3"/>
  <c r="L339" i="3"/>
  <c r="M339" i="3"/>
  <c r="N339" i="3"/>
  <c r="O339" i="3"/>
  <c r="P339" i="3"/>
  <c r="Q339" i="3"/>
  <c r="W340" i="3"/>
  <c r="W342" i="3"/>
  <c r="W344" i="3"/>
  <c r="W346" i="3"/>
  <c r="H348" i="3"/>
  <c r="I348" i="3"/>
  <c r="L348" i="3"/>
  <c r="M348" i="3"/>
  <c r="N348" i="3"/>
  <c r="O348" i="3"/>
  <c r="P348" i="3"/>
  <c r="Q348" i="3"/>
  <c r="W351" i="3"/>
  <c r="W352" i="3"/>
  <c r="H353" i="3"/>
  <c r="I353" i="3"/>
  <c r="L353" i="3"/>
  <c r="M353" i="3"/>
  <c r="N353" i="3"/>
  <c r="O353" i="3"/>
  <c r="P353" i="3"/>
  <c r="Q353" i="3"/>
  <c r="H354" i="3"/>
  <c r="I354" i="3"/>
  <c r="L354" i="3"/>
  <c r="M354" i="3"/>
  <c r="N354" i="3"/>
  <c r="O354" i="3"/>
  <c r="P354" i="3"/>
  <c r="Q354" i="3"/>
  <c r="T354" i="3"/>
  <c r="W356" i="3"/>
  <c r="H357" i="3"/>
  <c r="I357" i="3"/>
  <c r="L357" i="3"/>
  <c r="M357" i="3"/>
  <c r="N357" i="3"/>
  <c r="O357" i="3"/>
  <c r="P357" i="3"/>
  <c r="Q357" i="3"/>
  <c r="H358" i="3"/>
  <c r="I358" i="3"/>
  <c r="L358" i="3"/>
  <c r="M358" i="3"/>
  <c r="N358" i="3"/>
  <c r="O358" i="3"/>
  <c r="P358" i="3"/>
  <c r="Q358" i="3"/>
  <c r="H359" i="3"/>
  <c r="I359" i="3"/>
  <c r="L359" i="3"/>
  <c r="M359" i="3"/>
  <c r="N359" i="3"/>
  <c r="O359" i="3"/>
  <c r="P359" i="3"/>
  <c r="Q359" i="3"/>
  <c r="W360" i="3"/>
  <c r="W367" i="3"/>
  <c r="W369" i="3"/>
  <c r="W373" i="3"/>
  <c r="W374" i="3"/>
  <c r="W375" i="3"/>
  <c r="W376" i="3"/>
  <c r="W377" i="3"/>
  <c r="W378" i="3"/>
  <c r="W379" i="3"/>
  <c r="H382" i="3"/>
  <c r="I382" i="3"/>
  <c r="L382" i="3"/>
  <c r="M382" i="3"/>
  <c r="N382" i="3"/>
  <c r="O382" i="3"/>
  <c r="P382" i="3"/>
  <c r="Q382" i="3"/>
  <c r="W383" i="3"/>
  <c r="W384" i="3"/>
  <c r="H387" i="3"/>
  <c r="I387" i="3"/>
  <c r="L387" i="3"/>
  <c r="M387" i="3"/>
  <c r="N387" i="3"/>
  <c r="O387" i="3"/>
  <c r="P387" i="3"/>
  <c r="Q387" i="3"/>
  <c r="W388" i="3"/>
  <c r="W389" i="3"/>
  <c r="H392" i="3"/>
  <c r="I392" i="3"/>
  <c r="L392" i="3"/>
  <c r="M392" i="3"/>
  <c r="N392" i="3"/>
  <c r="O392" i="3"/>
  <c r="P392" i="3"/>
  <c r="Q392" i="3"/>
  <c r="W393" i="3"/>
  <c r="W394" i="3"/>
  <c r="H397" i="3"/>
  <c r="I397" i="3"/>
  <c r="L397" i="3"/>
  <c r="M397" i="3"/>
  <c r="N397" i="3"/>
  <c r="O397" i="3"/>
  <c r="P397" i="3"/>
  <c r="Q397" i="3"/>
  <c r="W398" i="3"/>
  <c r="W399" i="3"/>
  <c r="H402" i="3"/>
  <c r="I402" i="3"/>
  <c r="L402" i="3"/>
  <c r="M402" i="3"/>
  <c r="N402" i="3"/>
  <c r="O402" i="3"/>
  <c r="P402" i="3"/>
  <c r="Q402" i="3"/>
  <c r="W403" i="3"/>
  <c r="W404" i="3"/>
  <c r="H407" i="3"/>
  <c r="I407" i="3"/>
  <c r="L407" i="3"/>
  <c r="M407" i="3"/>
  <c r="N407" i="3"/>
  <c r="O407" i="3"/>
  <c r="P407" i="3"/>
  <c r="Q407" i="3"/>
  <c r="W408" i="3"/>
  <c r="W409" i="3"/>
  <c r="H412" i="3"/>
  <c r="I412" i="3"/>
  <c r="L412" i="3"/>
  <c r="M412" i="3"/>
  <c r="N412" i="3"/>
  <c r="O412" i="3"/>
  <c r="P412" i="3"/>
  <c r="Q412" i="3"/>
  <c r="W413" i="3"/>
  <c r="W414" i="3"/>
  <c r="H417" i="3"/>
  <c r="I417" i="3"/>
  <c r="L417" i="3"/>
  <c r="M417" i="3"/>
  <c r="N417" i="3"/>
  <c r="O417" i="3"/>
  <c r="P417" i="3"/>
  <c r="Q417" i="3"/>
  <c r="W418" i="3"/>
  <c r="W419" i="3"/>
  <c r="H422" i="3"/>
  <c r="I422" i="3"/>
  <c r="L422" i="3"/>
  <c r="M422" i="3"/>
  <c r="N422" i="3"/>
  <c r="O422" i="3"/>
  <c r="P422" i="3"/>
  <c r="Q422" i="3"/>
  <c r="W423" i="3"/>
  <c r="W424" i="3"/>
  <c r="H427" i="3"/>
  <c r="I427" i="3"/>
  <c r="L427" i="3"/>
  <c r="M427" i="3"/>
  <c r="N427" i="3"/>
  <c r="O427" i="3"/>
  <c r="P427" i="3"/>
  <c r="Q427" i="3"/>
  <c r="W428" i="3"/>
  <c r="W429" i="3"/>
  <c r="H432" i="3"/>
  <c r="I432" i="3"/>
  <c r="L432" i="3"/>
  <c r="M432" i="3"/>
  <c r="N432" i="3"/>
  <c r="O432" i="3"/>
  <c r="P432" i="3"/>
  <c r="Q432" i="3"/>
  <c r="W433" i="3"/>
  <c r="W434" i="3"/>
  <c r="H437" i="3"/>
  <c r="I437" i="3"/>
  <c r="L437" i="3"/>
  <c r="M437" i="3"/>
  <c r="N437" i="3"/>
  <c r="O437" i="3"/>
  <c r="P437" i="3"/>
  <c r="Q437" i="3"/>
  <c r="W438" i="3"/>
  <c r="W439" i="3"/>
  <c r="H442" i="3"/>
  <c r="I442" i="3"/>
  <c r="L442" i="3"/>
  <c r="M442" i="3"/>
  <c r="N442" i="3"/>
  <c r="O442" i="3"/>
  <c r="P442" i="3"/>
  <c r="Q442" i="3"/>
  <c r="W443" i="3"/>
  <c r="W444" i="3"/>
  <c r="H447" i="3"/>
  <c r="I447" i="3"/>
  <c r="L447" i="3"/>
  <c r="M447" i="3"/>
  <c r="N447" i="3"/>
  <c r="O447" i="3"/>
  <c r="P447" i="3"/>
  <c r="Q447" i="3"/>
  <c r="W448" i="3"/>
  <c r="W449" i="3"/>
  <c r="H452" i="3"/>
  <c r="I452" i="3"/>
  <c r="L452" i="3"/>
  <c r="M452" i="3"/>
  <c r="N452" i="3"/>
  <c r="O452" i="3"/>
  <c r="P452" i="3"/>
  <c r="Q452" i="3"/>
  <c r="W453" i="3"/>
  <c r="W454" i="3"/>
  <c r="H457" i="3"/>
  <c r="I457" i="3"/>
  <c r="L457" i="3"/>
  <c r="M457" i="3"/>
  <c r="N457" i="3"/>
  <c r="O457" i="3"/>
  <c r="P457" i="3"/>
  <c r="Q457" i="3"/>
  <c r="W458" i="3"/>
  <c r="W459" i="3"/>
  <c r="H462" i="3"/>
  <c r="I462" i="3"/>
  <c r="L462" i="3"/>
  <c r="M462" i="3"/>
  <c r="N462" i="3"/>
  <c r="O462" i="3"/>
  <c r="P462" i="3"/>
  <c r="Q462" i="3"/>
  <c r="W463" i="3"/>
  <c r="W464" i="3"/>
  <c r="H467" i="3"/>
  <c r="I467" i="3"/>
  <c r="L467" i="3"/>
  <c r="M467" i="3"/>
  <c r="N467" i="3"/>
  <c r="O467" i="3"/>
  <c r="P467" i="3"/>
  <c r="Q467" i="3"/>
  <c r="W468" i="3"/>
  <c r="W469" i="3"/>
  <c r="H472" i="3"/>
  <c r="I472" i="3"/>
  <c r="L472" i="3"/>
  <c r="M472" i="3"/>
  <c r="N472" i="3"/>
  <c r="O472" i="3"/>
  <c r="P472" i="3"/>
  <c r="Q472" i="3"/>
  <c r="W473" i="3"/>
  <c r="W474" i="3"/>
  <c r="H477" i="3"/>
  <c r="I477" i="3"/>
  <c r="L477" i="3"/>
  <c r="M477" i="3"/>
  <c r="N477" i="3"/>
  <c r="O477" i="3"/>
  <c r="P477" i="3"/>
  <c r="Q477" i="3"/>
  <c r="W478" i="3"/>
  <c r="W479" i="3"/>
  <c r="H482" i="3"/>
  <c r="I482" i="3"/>
  <c r="L482" i="3"/>
  <c r="M482" i="3"/>
  <c r="N482" i="3"/>
  <c r="O482" i="3"/>
  <c r="P482" i="3"/>
  <c r="Q482" i="3"/>
  <c r="W483" i="3"/>
  <c r="W484" i="3"/>
  <c r="H487" i="3"/>
  <c r="I487" i="3"/>
  <c r="L487" i="3"/>
  <c r="M487" i="3"/>
  <c r="N487" i="3"/>
  <c r="O487" i="3"/>
  <c r="P487" i="3"/>
  <c r="Q487" i="3"/>
  <c r="W488" i="3"/>
  <c r="W489" i="3"/>
  <c r="H492" i="3"/>
  <c r="I492" i="3"/>
  <c r="L492" i="3"/>
  <c r="M492" i="3"/>
  <c r="N492" i="3"/>
  <c r="O492" i="3"/>
  <c r="P492" i="3"/>
  <c r="Q492" i="3"/>
  <c r="W493" i="3"/>
  <c r="W494" i="3"/>
  <c r="H497" i="3"/>
  <c r="I497" i="3"/>
  <c r="L497" i="3"/>
  <c r="M497" i="3"/>
  <c r="N497" i="3"/>
  <c r="O497" i="3"/>
  <c r="P497" i="3"/>
  <c r="Q497" i="3"/>
  <c r="W498" i="3"/>
  <c r="W499" i="3"/>
  <c r="W500" i="3"/>
  <c r="H501" i="3"/>
  <c r="I501" i="3"/>
  <c r="L501" i="3"/>
  <c r="M501" i="3"/>
  <c r="N501" i="3"/>
  <c r="O501" i="3"/>
  <c r="P501" i="3"/>
  <c r="Q501" i="3"/>
  <c r="H502" i="3"/>
  <c r="I502" i="3"/>
  <c r="L502" i="3"/>
  <c r="M502" i="3"/>
  <c r="N502" i="3"/>
  <c r="O502" i="3"/>
  <c r="P502" i="3"/>
  <c r="Q502" i="3"/>
  <c r="H503" i="3"/>
  <c r="I503" i="3"/>
  <c r="L503" i="3"/>
  <c r="M503" i="3"/>
  <c r="N503" i="3"/>
  <c r="O503" i="3"/>
  <c r="P503" i="3"/>
  <c r="Q503" i="3"/>
  <c r="W504" i="3"/>
  <c r="F14" i="5"/>
  <c r="H505" i="3"/>
  <c r="I505" i="3"/>
  <c r="L505" i="3"/>
  <c r="M505" i="3"/>
  <c r="N505" i="3"/>
  <c r="O505" i="3"/>
  <c r="P505" i="3"/>
  <c r="Q505" i="3"/>
  <c r="H506" i="3"/>
  <c r="I506" i="3"/>
  <c r="L506" i="3"/>
  <c r="M506" i="3"/>
  <c r="N506" i="3"/>
  <c r="O506" i="3"/>
  <c r="P506" i="3"/>
  <c r="Q506" i="3"/>
  <c r="H507" i="3"/>
  <c r="I507" i="3"/>
  <c r="L507" i="3"/>
  <c r="M507" i="3"/>
  <c r="N507" i="3"/>
  <c r="O507" i="3"/>
  <c r="P507" i="3"/>
  <c r="Q507" i="3"/>
  <c r="W508" i="3"/>
  <c r="W513" i="3"/>
  <c r="W514" i="3"/>
  <c r="W515" i="3"/>
  <c r="W516" i="3"/>
  <c r="W517" i="3"/>
  <c r="W518" i="3"/>
  <c r="W519" i="3"/>
  <c r="W520" i="3"/>
  <c r="H523" i="3"/>
  <c r="I523" i="3"/>
  <c r="L523" i="3"/>
  <c r="M523" i="3"/>
  <c r="N523" i="3"/>
  <c r="O523" i="3"/>
  <c r="P523" i="3"/>
  <c r="Q523" i="3"/>
  <c r="W525" i="3"/>
  <c r="H528" i="3"/>
  <c r="I528" i="3"/>
  <c r="L528" i="3"/>
  <c r="M528" i="3"/>
  <c r="N528" i="3"/>
  <c r="O528" i="3"/>
  <c r="P528" i="3"/>
  <c r="Q528" i="3"/>
  <c r="W530" i="3"/>
  <c r="H533" i="3"/>
  <c r="I533" i="3"/>
  <c r="L533" i="3"/>
  <c r="M533" i="3"/>
  <c r="N533" i="3"/>
  <c r="O533" i="3"/>
  <c r="P533" i="3"/>
  <c r="Q533" i="3"/>
  <c r="W535" i="3"/>
  <c r="H538" i="3"/>
  <c r="I538" i="3"/>
  <c r="L538" i="3"/>
  <c r="M538" i="3"/>
  <c r="N538" i="3"/>
  <c r="O538" i="3"/>
  <c r="P538" i="3"/>
  <c r="Q538" i="3"/>
  <c r="W540" i="3"/>
  <c r="H543" i="3"/>
  <c r="I543" i="3"/>
  <c r="L543" i="3"/>
  <c r="M543" i="3"/>
  <c r="N543" i="3"/>
  <c r="O543" i="3"/>
  <c r="P543" i="3"/>
  <c r="Q543" i="3"/>
  <c r="W545" i="3"/>
  <c r="H548" i="3"/>
  <c r="I548" i="3"/>
  <c r="L548" i="3"/>
  <c r="M548" i="3"/>
  <c r="N548" i="3"/>
  <c r="O548" i="3"/>
  <c r="P548" i="3"/>
  <c r="Q548" i="3"/>
  <c r="W550" i="3"/>
  <c r="H553" i="3"/>
  <c r="I553" i="3"/>
  <c r="L553" i="3"/>
  <c r="M553" i="3"/>
  <c r="N553" i="3"/>
  <c r="O553" i="3"/>
  <c r="P553" i="3"/>
  <c r="Q553" i="3"/>
  <c r="W555" i="3"/>
  <c r="H558" i="3"/>
  <c r="I558" i="3"/>
  <c r="L558" i="3"/>
  <c r="M558" i="3"/>
  <c r="N558" i="3"/>
  <c r="O558" i="3"/>
  <c r="P558" i="3"/>
  <c r="Q558" i="3"/>
  <c r="W560" i="3"/>
  <c r="H563" i="3"/>
  <c r="I563" i="3"/>
  <c r="L563" i="3"/>
  <c r="M563" i="3"/>
  <c r="N563" i="3"/>
  <c r="O563" i="3"/>
  <c r="P563" i="3"/>
  <c r="Q563" i="3"/>
  <c r="W565" i="3"/>
  <c r="H568" i="3"/>
  <c r="I568" i="3"/>
  <c r="L568" i="3"/>
  <c r="M568" i="3"/>
  <c r="N568" i="3"/>
  <c r="O568" i="3"/>
  <c r="P568" i="3"/>
  <c r="Q568" i="3"/>
  <c r="W570" i="3"/>
  <c r="H573" i="3"/>
  <c r="I573" i="3"/>
  <c r="L573" i="3"/>
  <c r="M573" i="3"/>
  <c r="N573" i="3"/>
  <c r="O573" i="3"/>
  <c r="P573" i="3"/>
  <c r="Q573" i="3"/>
  <c r="W575" i="3"/>
  <c r="H578" i="3"/>
  <c r="I578" i="3"/>
  <c r="L578" i="3"/>
  <c r="M578" i="3"/>
  <c r="N578" i="3"/>
  <c r="O578" i="3"/>
  <c r="P578" i="3"/>
  <c r="Q578" i="3"/>
  <c r="W580" i="3"/>
  <c r="H583" i="3"/>
  <c r="I583" i="3"/>
  <c r="L583" i="3"/>
  <c r="M583" i="3"/>
  <c r="N583" i="3"/>
  <c r="O583" i="3"/>
  <c r="P583" i="3"/>
  <c r="Q583" i="3"/>
  <c r="W585" i="3"/>
  <c r="H588" i="3"/>
  <c r="I588" i="3"/>
  <c r="L588" i="3"/>
  <c r="M588" i="3"/>
  <c r="N588" i="3"/>
  <c r="O588" i="3"/>
  <c r="P588" i="3"/>
  <c r="Q588" i="3"/>
  <c r="W590" i="3"/>
  <c r="H593" i="3"/>
  <c r="I593" i="3"/>
  <c r="L593" i="3"/>
  <c r="M593" i="3"/>
  <c r="N593" i="3"/>
  <c r="O593" i="3"/>
  <c r="P593" i="3"/>
  <c r="Q593" i="3"/>
  <c r="W595" i="3"/>
  <c r="H598" i="3"/>
  <c r="I598" i="3"/>
  <c r="L598" i="3"/>
  <c r="M598" i="3"/>
  <c r="N598" i="3"/>
  <c r="O598" i="3"/>
  <c r="P598" i="3"/>
  <c r="Q598" i="3"/>
  <c r="W600" i="3"/>
  <c r="H603" i="3"/>
  <c r="I603" i="3"/>
  <c r="L603" i="3"/>
  <c r="M603" i="3"/>
  <c r="N603" i="3"/>
  <c r="O603" i="3"/>
  <c r="P603" i="3"/>
  <c r="Q603" i="3"/>
  <c r="W605" i="3"/>
  <c r="H608" i="3"/>
  <c r="I608" i="3"/>
  <c r="L608" i="3"/>
  <c r="M608" i="3"/>
  <c r="N608" i="3"/>
  <c r="O608" i="3"/>
  <c r="P608" i="3"/>
  <c r="Q608" i="3"/>
  <c r="W610" i="3"/>
  <c r="H613" i="3"/>
  <c r="I613" i="3"/>
  <c r="L613" i="3"/>
  <c r="M613" i="3"/>
  <c r="N613" i="3"/>
  <c r="O613" i="3"/>
  <c r="P613" i="3"/>
  <c r="Q613" i="3"/>
  <c r="W615" i="3"/>
  <c r="H618" i="3"/>
  <c r="I618" i="3"/>
  <c r="L618" i="3"/>
  <c r="M618" i="3"/>
  <c r="N618" i="3"/>
  <c r="O618" i="3"/>
  <c r="P618" i="3"/>
  <c r="Q618" i="3"/>
  <c r="W620" i="3"/>
  <c r="H623" i="3"/>
  <c r="I623" i="3"/>
  <c r="L623" i="3"/>
  <c r="M623" i="3"/>
  <c r="N623" i="3"/>
  <c r="O623" i="3"/>
  <c r="P623" i="3"/>
  <c r="Q623" i="3"/>
  <c r="W625" i="3"/>
  <c r="F24" i="5"/>
  <c r="H628" i="3"/>
  <c r="H631" i="3" s="1"/>
  <c r="H24" i="5" s="1"/>
  <c r="I628" i="3"/>
  <c r="I631" i="3" s="1"/>
  <c r="I24" i="5" s="1"/>
  <c r="L628" i="3"/>
  <c r="L631" i="3" s="1"/>
  <c r="L24" i="5" s="1"/>
  <c r="M628" i="3"/>
  <c r="M631" i="3" s="1"/>
  <c r="M24" i="5" s="1"/>
  <c r="N628" i="3"/>
  <c r="N631" i="3" s="1"/>
  <c r="N24" i="5" s="1"/>
  <c r="O628" i="3"/>
  <c r="O631" i="3" s="1"/>
  <c r="O24" i="5" s="1"/>
  <c r="P628" i="3"/>
  <c r="P631" i="3" s="1"/>
  <c r="P24" i="5" s="1"/>
  <c r="Q628" i="3"/>
  <c r="Q631" i="3" s="1"/>
  <c r="Q24" i="5" s="1"/>
  <c r="W630" i="3"/>
  <c r="H632" i="3"/>
  <c r="I632" i="3"/>
  <c r="L632" i="3"/>
  <c r="M632" i="3"/>
  <c r="N632" i="3"/>
  <c r="O632" i="3"/>
  <c r="P632" i="3"/>
  <c r="Q632" i="3"/>
  <c r="F25" i="5"/>
  <c r="H633" i="3"/>
  <c r="H25" i="5" s="1"/>
  <c r="I633" i="3"/>
  <c r="I25" i="5" s="1"/>
  <c r="L633" i="3"/>
  <c r="L25" i="5" s="1"/>
  <c r="M633" i="3"/>
  <c r="M25" i="5" s="1"/>
  <c r="N633" i="3"/>
  <c r="N25" i="5" s="1"/>
  <c r="O633" i="3"/>
  <c r="O25" i="5" s="1"/>
  <c r="P633" i="3"/>
  <c r="P25" i="5" s="1"/>
  <c r="Q633" i="3"/>
  <c r="Q25" i="5" s="1"/>
  <c r="H634" i="3"/>
  <c r="I634" i="3"/>
  <c r="L634" i="3"/>
  <c r="M634" i="3"/>
  <c r="N634" i="3"/>
  <c r="O634" i="3"/>
  <c r="P634" i="3"/>
  <c r="Q634" i="3"/>
  <c r="W637" i="3"/>
  <c r="W638" i="3"/>
  <c r="W640" i="3"/>
  <c r="W641" i="3"/>
  <c r="W642" i="3"/>
  <c r="W643" i="3"/>
  <c r="W644" i="3"/>
  <c r="W645" i="3"/>
  <c r="W648" i="3"/>
  <c r="F29" i="5"/>
  <c r="H649" i="3"/>
  <c r="H29" i="5" s="1"/>
  <c r="I649" i="3"/>
  <c r="I29" i="5" s="1"/>
  <c r="L649" i="3"/>
  <c r="L29" i="5" s="1"/>
  <c r="M649" i="3"/>
  <c r="M29" i="5" s="1"/>
  <c r="N649" i="3"/>
  <c r="N29" i="5" s="1"/>
  <c r="O649" i="3"/>
  <c r="O29" i="5" s="1"/>
  <c r="P649" i="3"/>
  <c r="P29" i="5" s="1"/>
  <c r="Q649" i="3"/>
  <c r="Q29" i="5" s="1"/>
  <c r="W650" i="3"/>
  <c r="W651" i="3"/>
  <c r="W652" i="3"/>
  <c r="W653" i="3"/>
  <c r="H656" i="3"/>
  <c r="I656" i="3"/>
  <c r="L656" i="3"/>
  <c r="M656" i="3"/>
  <c r="N656" i="3"/>
  <c r="O656" i="3"/>
  <c r="P656" i="3"/>
  <c r="Q656" i="3"/>
  <c r="W657" i="3"/>
  <c r="W658" i="3"/>
  <c r="H661" i="3"/>
  <c r="I661" i="3"/>
  <c r="L661" i="3"/>
  <c r="M661" i="3"/>
  <c r="N661" i="3"/>
  <c r="O661" i="3"/>
  <c r="P661" i="3"/>
  <c r="Q661" i="3"/>
  <c r="W662" i="3"/>
  <c r="W663" i="3"/>
  <c r="H666" i="3"/>
  <c r="I666" i="3"/>
  <c r="L666" i="3"/>
  <c r="M666" i="3"/>
  <c r="N666" i="3"/>
  <c r="O666" i="3"/>
  <c r="P666" i="3"/>
  <c r="Q666" i="3"/>
  <c r="W667" i="3"/>
  <c r="W668" i="3"/>
  <c r="H671" i="3"/>
  <c r="I671" i="3"/>
  <c r="L671" i="3"/>
  <c r="M671" i="3"/>
  <c r="N671" i="3"/>
  <c r="O671" i="3"/>
  <c r="P671" i="3"/>
  <c r="Q671" i="3"/>
  <c r="W672" i="3"/>
  <c r="W673" i="3"/>
  <c r="H676" i="3"/>
  <c r="I676" i="3"/>
  <c r="L676" i="3"/>
  <c r="M676" i="3"/>
  <c r="N676" i="3"/>
  <c r="O676" i="3"/>
  <c r="P676" i="3"/>
  <c r="Q676" i="3"/>
  <c r="W677" i="3"/>
  <c r="W678" i="3"/>
  <c r="H681" i="3"/>
  <c r="I681" i="3"/>
  <c r="L681" i="3"/>
  <c r="M681" i="3"/>
  <c r="N681" i="3"/>
  <c r="O681" i="3"/>
  <c r="P681" i="3"/>
  <c r="Q681" i="3"/>
  <c r="W682" i="3"/>
  <c r="W683" i="3"/>
  <c r="H686" i="3"/>
  <c r="I686" i="3"/>
  <c r="L686" i="3"/>
  <c r="M686" i="3"/>
  <c r="N686" i="3"/>
  <c r="O686" i="3"/>
  <c r="P686" i="3"/>
  <c r="Q686" i="3"/>
  <c r="W687" i="3"/>
  <c r="W688" i="3"/>
  <c r="H691" i="3"/>
  <c r="I691" i="3"/>
  <c r="L691" i="3"/>
  <c r="M691" i="3"/>
  <c r="N691" i="3"/>
  <c r="O691" i="3"/>
  <c r="P691" i="3"/>
  <c r="Q691" i="3"/>
  <c r="W692" i="3"/>
  <c r="W693" i="3"/>
  <c r="H696" i="3"/>
  <c r="I696" i="3"/>
  <c r="L696" i="3"/>
  <c r="M696" i="3"/>
  <c r="N696" i="3"/>
  <c r="O696" i="3"/>
  <c r="P696" i="3"/>
  <c r="Q696" i="3"/>
  <c r="W697" i="3"/>
  <c r="W698" i="3"/>
  <c r="H701" i="3"/>
  <c r="I701" i="3"/>
  <c r="L701" i="3"/>
  <c r="M701" i="3"/>
  <c r="N701" i="3"/>
  <c r="O701" i="3"/>
  <c r="P701" i="3"/>
  <c r="Q701" i="3"/>
  <c r="W702" i="3"/>
  <c r="W703" i="3"/>
  <c r="H706" i="3"/>
  <c r="I706" i="3"/>
  <c r="L706" i="3"/>
  <c r="M706" i="3"/>
  <c r="N706" i="3"/>
  <c r="O706" i="3"/>
  <c r="P706" i="3"/>
  <c r="Q706" i="3"/>
  <c r="W707" i="3"/>
  <c r="W708" i="3"/>
  <c r="H711" i="3"/>
  <c r="I711" i="3"/>
  <c r="L711" i="3"/>
  <c r="M711" i="3"/>
  <c r="N711" i="3"/>
  <c r="O711" i="3"/>
  <c r="P711" i="3"/>
  <c r="Q711" i="3"/>
  <c r="W712" i="3"/>
  <c r="W713" i="3"/>
  <c r="H716" i="3"/>
  <c r="I716" i="3"/>
  <c r="L716" i="3"/>
  <c r="M716" i="3"/>
  <c r="N716" i="3"/>
  <c r="O716" i="3"/>
  <c r="P716" i="3"/>
  <c r="Q716" i="3"/>
  <c r="W717" i="3"/>
  <c r="W718" i="3"/>
  <c r="H721" i="3"/>
  <c r="I721" i="3"/>
  <c r="L721" i="3"/>
  <c r="M721" i="3"/>
  <c r="N721" i="3"/>
  <c r="O721" i="3"/>
  <c r="P721" i="3"/>
  <c r="Q721" i="3"/>
  <c r="W722" i="3"/>
  <c r="W723" i="3"/>
  <c r="H726" i="3"/>
  <c r="I726" i="3"/>
  <c r="L726" i="3"/>
  <c r="M726" i="3"/>
  <c r="N726" i="3"/>
  <c r="O726" i="3"/>
  <c r="P726" i="3"/>
  <c r="Q726" i="3"/>
  <c r="W727" i="3"/>
  <c r="W728" i="3"/>
  <c r="H731" i="3"/>
  <c r="I731" i="3"/>
  <c r="L731" i="3"/>
  <c r="M731" i="3"/>
  <c r="N731" i="3"/>
  <c r="O731" i="3"/>
  <c r="P731" i="3"/>
  <c r="Q731" i="3"/>
  <c r="W732" i="3"/>
  <c r="W733" i="3"/>
  <c r="H736" i="3"/>
  <c r="I736" i="3"/>
  <c r="L736" i="3"/>
  <c r="M736" i="3"/>
  <c r="N736" i="3"/>
  <c r="O736" i="3"/>
  <c r="P736" i="3"/>
  <c r="Q736" i="3"/>
  <c r="W737" i="3"/>
  <c r="W738" i="3"/>
  <c r="H741" i="3"/>
  <c r="I741" i="3"/>
  <c r="L741" i="3"/>
  <c r="M741" i="3"/>
  <c r="N741" i="3"/>
  <c r="O741" i="3"/>
  <c r="P741" i="3"/>
  <c r="Q741" i="3"/>
  <c r="W742" i="3"/>
  <c r="W743" i="3"/>
  <c r="H746" i="3"/>
  <c r="I746" i="3"/>
  <c r="L746" i="3"/>
  <c r="M746" i="3"/>
  <c r="N746" i="3"/>
  <c r="O746" i="3"/>
  <c r="P746" i="3"/>
  <c r="Q746" i="3"/>
  <c r="W747" i="3"/>
  <c r="W748" i="3"/>
  <c r="H749" i="3"/>
  <c r="I749" i="3"/>
  <c r="L749" i="3"/>
  <c r="M749" i="3"/>
  <c r="N749" i="3"/>
  <c r="O749" i="3"/>
  <c r="P749" i="3"/>
  <c r="Q749" i="3"/>
  <c r="H750" i="3"/>
  <c r="I750" i="3"/>
  <c r="L750" i="3"/>
  <c r="M750" i="3"/>
  <c r="N750" i="3"/>
  <c r="O750" i="3"/>
  <c r="P750" i="3"/>
  <c r="Q750" i="3"/>
  <c r="W751" i="3"/>
  <c r="W753" i="3"/>
  <c r="W754" i="3"/>
  <c r="W755" i="3"/>
  <c r="W756" i="3"/>
  <c r="H759" i="3"/>
  <c r="I759" i="3"/>
  <c r="L759" i="3"/>
  <c r="M759" i="3"/>
  <c r="N759" i="3"/>
  <c r="O759" i="3"/>
  <c r="P759" i="3"/>
  <c r="Q759" i="3"/>
  <c r="W760" i="3"/>
  <c r="W761" i="3"/>
  <c r="H764" i="3"/>
  <c r="I764" i="3"/>
  <c r="L764" i="3"/>
  <c r="M764" i="3"/>
  <c r="N764" i="3"/>
  <c r="O764" i="3"/>
  <c r="P764" i="3"/>
  <c r="Q764" i="3"/>
  <c r="W765" i="3"/>
  <c r="W766" i="3"/>
  <c r="H769" i="3"/>
  <c r="I769" i="3"/>
  <c r="L769" i="3"/>
  <c r="M769" i="3"/>
  <c r="N769" i="3"/>
  <c r="O769" i="3"/>
  <c r="P769" i="3"/>
  <c r="Q769" i="3"/>
  <c r="W770" i="3"/>
  <c r="W771" i="3"/>
  <c r="H774" i="3"/>
  <c r="I774" i="3"/>
  <c r="L774" i="3"/>
  <c r="M774" i="3"/>
  <c r="N774" i="3"/>
  <c r="O774" i="3"/>
  <c r="P774" i="3"/>
  <c r="Q774" i="3"/>
  <c r="W775" i="3"/>
  <c r="W776" i="3"/>
  <c r="H779" i="3"/>
  <c r="I779" i="3"/>
  <c r="L779" i="3"/>
  <c r="M779" i="3"/>
  <c r="N779" i="3"/>
  <c r="O779" i="3"/>
  <c r="P779" i="3"/>
  <c r="Q779" i="3"/>
  <c r="W780" i="3"/>
  <c r="W781" i="3"/>
  <c r="W785" i="3"/>
  <c r="W786" i="3"/>
  <c r="W790" i="3"/>
  <c r="W791" i="3"/>
  <c r="W795" i="3"/>
  <c r="W796" i="3"/>
  <c r="H799" i="3"/>
  <c r="I799" i="3"/>
  <c r="L799" i="3"/>
  <c r="M799" i="3"/>
  <c r="N799" i="3"/>
  <c r="O799" i="3"/>
  <c r="P799" i="3"/>
  <c r="Q799" i="3"/>
  <c r="W800" i="3"/>
  <c r="W801" i="3"/>
  <c r="W804" i="3"/>
  <c r="W806" i="3"/>
  <c r="W807" i="3"/>
  <c r="W808" i="3"/>
  <c r="W809" i="3"/>
  <c r="H812" i="3"/>
  <c r="I812" i="3"/>
  <c r="L812" i="3"/>
  <c r="M812" i="3"/>
  <c r="N812" i="3"/>
  <c r="O812" i="3"/>
  <c r="P812" i="3"/>
  <c r="Q812" i="3"/>
  <c r="W813" i="3"/>
  <c r="W814" i="3"/>
  <c r="H817" i="3"/>
  <c r="I817" i="3"/>
  <c r="L817" i="3"/>
  <c r="M817" i="3"/>
  <c r="N817" i="3"/>
  <c r="O817" i="3"/>
  <c r="P817" i="3"/>
  <c r="Q817" i="3"/>
  <c r="W818" i="3"/>
  <c r="W819" i="3"/>
  <c r="H822" i="3"/>
  <c r="I822" i="3"/>
  <c r="L822" i="3"/>
  <c r="M822" i="3"/>
  <c r="N822" i="3"/>
  <c r="P822" i="3"/>
  <c r="Q822" i="3"/>
  <c r="W823" i="3"/>
  <c r="W824" i="3"/>
  <c r="H827" i="3"/>
  <c r="I827" i="3"/>
  <c r="L827" i="3"/>
  <c r="M827" i="3"/>
  <c r="N827" i="3"/>
  <c r="O827" i="3"/>
  <c r="P827" i="3"/>
  <c r="Q827" i="3"/>
  <c r="W828" i="3"/>
  <c r="W829" i="3"/>
  <c r="H830" i="3"/>
  <c r="I830" i="3"/>
  <c r="L830" i="3"/>
  <c r="M830" i="3"/>
  <c r="N830" i="3"/>
  <c r="P830" i="3"/>
  <c r="Q830" i="3"/>
  <c r="H831" i="3"/>
  <c r="I831" i="3"/>
  <c r="L831" i="3"/>
  <c r="M831" i="3"/>
  <c r="P831" i="3"/>
  <c r="Q831" i="3"/>
  <c r="W832" i="3"/>
  <c r="W834" i="3"/>
  <c r="W835" i="3"/>
  <c r="W836" i="3"/>
  <c r="W837" i="3"/>
  <c r="H840" i="3"/>
  <c r="I840" i="3"/>
  <c r="L840" i="3"/>
  <c r="O840" i="3"/>
  <c r="P840" i="3"/>
  <c r="Q840" i="3"/>
  <c r="W841" i="3"/>
  <c r="H844" i="3"/>
  <c r="I844" i="3"/>
  <c r="L844" i="3"/>
  <c r="M844" i="3"/>
  <c r="O844" i="3"/>
  <c r="W845" i="3"/>
  <c r="H848" i="3"/>
  <c r="I848" i="3"/>
  <c r="L848" i="3"/>
  <c r="M848" i="3"/>
  <c r="N848" i="3"/>
  <c r="O848" i="3"/>
  <c r="P848" i="3"/>
  <c r="Q848" i="3"/>
  <c r="W849" i="3"/>
  <c r="H852" i="3"/>
  <c r="I852" i="3"/>
  <c r="L852" i="3"/>
  <c r="M852" i="3"/>
  <c r="N852" i="3"/>
  <c r="O852" i="3"/>
  <c r="P852" i="3"/>
  <c r="W853" i="3"/>
  <c r="H856" i="3"/>
  <c r="I856" i="3"/>
  <c r="L856" i="3"/>
  <c r="M856" i="3"/>
  <c r="N856" i="3"/>
  <c r="O856" i="3"/>
  <c r="P856" i="3"/>
  <c r="Q856" i="3"/>
  <c r="W857" i="3"/>
  <c r="H860" i="3"/>
  <c r="I860" i="3"/>
  <c r="L860" i="3"/>
  <c r="M860" i="3"/>
  <c r="N860" i="3"/>
  <c r="O860" i="3"/>
  <c r="P860" i="3"/>
  <c r="Q860" i="3"/>
  <c r="W861" i="3"/>
  <c r="H864" i="3"/>
  <c r="I864" i="3"/>
  <c r="L864" i="3"/>
  <c r="M864" i="3"/>
  <c r="N864" i="3"/>
  <c r="O864" i="3"/>
  <c r="P864" i="3"/>
  <c r="Q864" i="3"/>
  <c r="W865" i="3"/>
  <c r="H868" i="3"/>
  <c r="I868" i="3"/>
  <c r="L868" i="3"/>
  <c r="M868" i="3"/>
  <c r="N868" i="3"/>
  <c r="O868" i="3"/>
  <c r="P868" i="3"/>
  <c r="Q868" i="3"/>
  <c r="H872" i="3"/>
  <c r="I872" i="3"/>
  <c r="L872" i="3"/>
  <c r="M872" i="3"/>
  <c r="N872" i="3"/>
  <c r="O872" i="3"/>
  <c r="P872" i="3"/>
  <c r="Q872" i="3"/>
  <c r="H876" i="3"/>
  <c r="I876" i="3"/>
  <c r="L876" i="3"/>
  <c r="M876" i="3"/>
  <c r="N876" i="3"/>
  <c r="O876" i="3"/>
  <c r="P876" i="3"/>
  <c r="Q876" i="3"/>
  <c r="W877" i="3"/>
  <c r="H880" i="3"/>
  <c r="I880" i="3"/>
  <c r="L880" i="3"/>
  <c r="M880" i="3"/>
  <c r="N880" i="3"/>
  <c r="O880" i="3"/>
  <c r="P880" i="3"/>
  <c r="Q880" i="3"/>
  <c r="W881" i="3"/>
  <c r="H884" i="3"/>
  <c r="I884" i="3"/>
  <c r="L884" i="3"/>
  <c r="M884" i="3"/>
  <c r="N884" i="3"/>
  <c r="O884" i="3"/>
  <c r="P884" i="3"/>
  <c r="Q884" i="3"/>
  <c r="W885" i="3"/>
  <c r="H886" i="3"/>
  <c r="I886" i="3"/>
  <c r="L886" i="3"/>
  <c r="O886" i="3"/>
  <c r="H887" i="3"/>
  <c r="I887" i="3"/>
  <c r="L887" i="3"/>
  <c r="O887" i="3"/>
  <c r="W891" i="3"/>
  <c r="H904" i="3"/>
  <c r="I904" i="3"/>
  <c r="L904" i="3"/>
  <c r="M904" i="3"/>
  <c r="N904" i="3"/>
  <c r="O904" i="3"/>
  <c r="P904" i="3"/>
  <c r="Q904" i="3"/>
  <c r="W905" i="3"/>
  <c r="W906" i="3"/>
  <c r="H911" i="3"/>
  <c r="I911" i="3"/>
  <c r="L911" i="3"/>
  <c r="M911" i="3"/>
  <c r="N911" i="3"/>
  <c r="O911" i="3"/>
  <c r="P911" i="3"/>
  <c r="Q911" i="3"/>
  <c r="W912" i="3"/>
  <c r="W915" i="3"/>
  <c r="W916" i="3"/>
  <c r="F1229" i="3"/>
  <c r="H921" i="3"/>
  <c r="H38" i="5" s="1"/>
  <c r="I921" i="3"/>
  <c r="I38" i="5" s="1"/>
  <c r="L921" i="3"/>
  <c r="L38" i="5" s="1"/>
  <c r="M921" i="3"/>
  <c r="M38" i="5" s="1"/>
  <c r="N921" i="3"/>
  <c r="N38" i="5" s="1"/>
  <c r="O921" i="3"/>
  <c r="O38" i="5" s="1"/>
  <c r="P921" i="3"/>
  <c r="P38" i="5" s="1"/>
  <c r="Q921" i="3"/>
  <c r="Q38" i="5" s="1"/>
  <c r="W922" i="3"/>
  <c r="W924" i="3"/>
  <c r="W926" i="3"/>
  <c r="W928" i="3"/>
  <c r="W930" i="3"/>
  <c r="W932" i="3"/>
  <c r="W938" i="3"/>
  <c r="W954" i="3"/>
  <c r="W955" i="3"/>
  <c r="W963" i="3"/>
  <c r="W965" i="3"/>
  <c r="W966" i="3"/>
  <c r="W977" i="3"/>
  <c r="W981" i="3"/>
  <c r="W982" i="3"/>
  <c r="W986" i="3"/>
  <c r="W987" i="3"/>
  <c r="W997" i="3"/>
  <c r="W998" i="3"/>
  <c r="W1002" i="3"/>
  <c r="W1003" i="3"/>
  <c r="W1007" i="3"/>
  <c r="W1008" i="3"/>
  <c r="W1012" i="3"/>
  <c r="W1013" i="3"/>
  <c r="W1017" i="3"/>
  <c r="W1018" i="3"/>
  <c r="W1022" i="3"/>
  <c r="W1023" i="3"/>
  <c r="W1027" i="3"/>
  <c r="W1028" i="3"/>
  <c r="W1032" i="3"/>
  <c r="W1033" i="3"/>
  <c r="W1038" i="3"/>
  <c r="W1039" i="3"/>
  <c r="W1044" i="3"/>
  <c r="W1050" i="3"/>
  <c r="W1051" i="3"/>
  <c r="W1055" i="3"/>
  <c r="W1056" i="3"/>
  <c r="W1061" i="3"/>
  <c r="W1062" i="3"/>
  <c r="W1067" i="3"/>
  <c r="W1068" i="3"/>
  <c r="W1073" i="3"/>
  <c r="W1074" i="3"/>
  <c r="W1078" i="3"/>
  <c r="W1079" i="3"/>
  <c r="W1084" i="3"/>
  <c r="W1086" i="3"/>
  <c r="W1087" i="3"/>
  <c r="W1093" i="3"/>
  <c r="W1094" i="3"/>
  <c r="H1096" i="3"/>
  <c r="H53" i="5" s="1"/>
  <c r="I1096" i="3"/>
  <c r="I53" i="5" s="1"/>
  <c r="L1096" i="3"/>
  <c r="L53" i="5" s="1"/>
  <c r="M1096" i="3"/>
  <c r="M53" i="5" s="1"/>
  <c r="N1096" i="3"/>
  <c r="N53" i="5" s="1"/>
  <c r="O1096" i="3"/>
  <c r="O53" i="5" s="1"/>
  <c r="P1096" i="3"/>
  <c r="P53" i="5" s="1"/>
  <c r="Q1096" i="3"/>
  <c r="Q53" i="5" s="1"/>
  <c r="W1097" i="3"/>
  <c r="W1098" i="3"/>
  <c r="H1103" i="3"/>
  <c r="H54" i="5" s="1"/>
  <c r="I1103" i="3"/>
  <c r="I54" i="5" s="1"/>
  <c r="L1103" i="3"/>
  <c r="L54" i="5" s="1"/>
  <c r="N1103" i="3"/>
  <c r="N54" i="5" s="1"/>
  <c r="O1103" i="3"/>
  <c r="O54" i="5" s="1"/>
  <c r="P1103" i="3"/>
  <c r="P54" i="5" s="1"/>
  <c r="Q1103" i="3"/>
  <c r="Q54" i="5" s="1"/>
  <c r="W1104" i="3"/>
  <c r="W1105" i="3"/>
  <c r="H1110" i="3"/>
  <c r="H55" i="5" s="1"/>
  <c r="L1110" i="3"/>
  <c r="L55" i="5" s="1"/>
  <c r="M1110" i="3"/>
  <c r="M55" i="5" s="1"/>
  <c r="N1110" i="3"/>
  <c r="N55" i="5" s="1"/>
  <c r="O1110" i="3"/>
  <c r="O55" i="5" s="1"/>
  <c r="P1110" i="3"/>
  <c r="P55" i="5" s="1"/>
  <c r="Q1110" i="3"/>
  <c r="Q55" i="5" s="1"/>
  <c r="W1111" i="3"/>
  <c r="W1112" i="3"/>
  <c r="H1117" i="3"/>
  <c r="H56" i="5" s="1"/>
  <c r="L1117" i="3"/>
  <c r="L56" i="5" s="1"/>
  <c r="M1117" i="3"/>
  <c r="M56" i="5" s="1"/>
  <c r="N1117" i="3"/>
  <c r="N56" i="5" s="1"/>
  <c r="O1117" i="3"/>
  <c r="O56" i="5" s="1"/>
  <c r="P1117" i="3"/>
  <c r="P56" i="5" s="1"/>
  <c r="Q1117" i="3"/>
  <c r="Q56" i="5" s="1"/>
  <c r="W1132" i="3"/>
  <c r="W1133" i="3"/>
  <c r="W1135" i="3"/>
  <c r="W1136" i="3"/>
  <c r="W1137" i="3"/>
  <c r="W1138" i="3"/>
  <c r="W1139" i="3"/>
  <c r="H1142" i="3"/>
  <c r="H61" i="5" s="1"/>
  <c r="I1142" i="3"/>
  <c r="I61" i="5" s="1"/>
  <c r="L1142" i="3"/>
  <c r="L61" i="5" s="1"/>
  <c r="M1142" i="3"/>
  <c r="M61" i="5" s="1"/>
  <c r="N1142" i="3"/>
  <c r="N61" i="5" s="1"/>
  <c r="O1142" i="3"/>
  <c r="O61" i="5" s="1"/>
  <c r="P1142" i="3"/>
  <c r="P61" i="5" s="1"/>
  <c r="Q1142" i="3"/>
  <c r="Q61" i="5" s="1"/>
  <c r="W1143" i="3"/>
  <c r="W1144" i="3"/>
  <c r="I1146" i="3"/>
  <c r="I62" i="5" s="1"/>
  <c r="L1146" i="3"/>
  <c r="L62" i="5" s="1"/>
  <c r="M1146" i="3"/>
  <c r="M62" i="5" s="1"/>
  <c r="N1146" i="3"/>
  <c r="N62" i="5" s="1"/>
  <c r="O1146" i="3"/>
  <c r="O62" i="5" s="1"/>
  <c r="P1146" i="3"/>
  <c r="P62" i="5" s="1"/>
  <c r="Q1146" i="3"/>
  <c r="Q62" i="5" s="1"/>
  <c r="W1147" i="3"/>
  <c r="W1148" i="3"/>
  <c r="H1150" i="3"/>
  <c r="H63" i="5" s="1"/>
  <c r="I1150" i="3"/>
  <c r="I63" i="5" s="1"/>
  <c r="L1150" i="3"/>
  <c r="L63" i="5" s="1"/>
  <c r="M1150" i="3"/>
  <c r="M63" i="5" s="1"/>
  <c r="N1150" i="3"/>
  <c r="N63" i="5" s="1"/>
  <c r="O1150" i="3"/>
  <c r="O63" i="5" s="1"/>
  <c r="P1150" i="3"/>
  <c r="P63" i="5" s="1"/>
  <c r="Q1150" i="3"/>
  <c r="Q63" i="5" s="1"/>
  <c r="W1151" i="3"/>
  <c r="W1152" i="3"/>
  <c r="H1157" i="3"/>
  <c r="I1157" i="3"/>
  <c r="L1157" i="3"/>
  <c r="M1157" i="3"/>
  <c r="N1157" i="3"/>
  <c r="O1157" i="3"/>
  <c r="P1157" i="3"/>
  <c r="Q1157" i="3"/>
  <c r="W1158" i="3"/>
  <c r="W1159" i="3"/>
  <c r="H1164" i="3"/>
  <c r="I1164" i="3"/>
  <c r="L1164" i="3"/>
  <c r="M1164" i="3"/>
  <c r="N1164" i="3"/>
  <c r="O1164" i="3"/>
  <c r="P1164" i="3"/>
  <c r="Q1164" i="3"/>
  <c r="W1165" i="3"/>
  <c r="W1166" i="3"/>
  <c r="H1169" i="3"/>
  <c r="H65" i="5" s="1"/>
  <c r="I1169" i="3"/>
  <c r="I65" i="5" s="1"/>
  <c r="L1169" i="3"/>
  <c r="L65" i="5" s="1"/>
  <c r="M1169" i="3"/>
  <c r="M65" i="5" s="1"/>
  <c r="N1169" i="3"/>
  <c r="N65" i="5" s="1"/>
  <c r="O1169" i="3"/>
  <c r="O65" i="5" s="1"/>
  <c r="P1169" i="3"/>
  <c r="P65" i="5" s="1"/>
  <c r="Q1169" i="3"/>
  <c r="Q65" i="5" s="1"/>
  <c r="W1170" i="3"/>
  <c r="W1171" i="3"/>
  <c r="W1175" i="3"/>
  <c r="W1176" i="3"/>
  <c r="H1178" i="3"/>
  <c r="H67" i="5" s="1"/>
  <c r="I1178" i="3"/>
  <c r="I67" i="5" s="1"/>
  <c r="L1178" i="3"/>
  <c r="L67" i="5" s="1"/>
  <c r="M1178" i="3"/>
  <c r="M67" i="5" s="1"/>
  <c r="N1178" i="3"/>
  <c r="N67" i="5" s="1"/>
  <c r="O1178" i="3"/>
  <c r="O67" i="5" s="1"/>
  <c r="P1178" i="3"/>
  <c r="P67" i="5" s="1"/>
  <c r="Q1178" i="3"/>
  <c r="Q67" i="5" s="1"/>
  <c r="W1179" i="3"/>
  <c r="W1180" i="3"/>
  <c r="H1185" i="3"/>
  <c r="H68" i="5" s="1"/>
  <c r="I1185" i="3"/>
  <c r="I68" i="5" s="1"/>
  <c r="L1185" i="3"/>
  <c r="L68" i="5" s="1"/>
  <c r="M1185" i="3"/>
  <c r="M68" i="5" s="1"/>
  <c r="N1185" i="3"/>
  <c r="N68" i="5" s="1"/>
  <c r="O1185" i="3"/>
  <c r="O68" i="5" s="1"/>
  <c r="P1185" i="3"/>
  <c r="P68" i="5" s="1"/>
  <c r="Q1185" i="3"/>
  <c r="Q68" i="5" s="1"/>
  <c r="W1186" i="3"/>
  <c r="W1187" i="3"/>
  <c r="H1192" i="3"/>
  <c r="I1192" i="3"/>
  <c r="L1192" i="3"/>
  <c r="M1192" i="3"/>
  <c r="N1192" i="3"/>
  <c r="O1192" i="3"/>
  <c r="P1192" i="3"/>
  <c r="Q1192" i="3"/>
  <c r="W1193" i="3"/>
  <c r="W1194" i="3"/>
  <c r="H1199" i="3"/>
  <c r="I1199" i="3"/>
  <c r="L1199" i="3"/>
  <c r="M1199" i="3"/>
  <c r="N1199" i="3"/>
  <c r="O1199" i="3"/>
  <c r="P1199" i="3"/>
  <c r="Q1199" i="3"/>
  <c r="W1200" i="3"/>
  <c r="W1201" i="3"/>
  <c r="H1203" i="3"/>
  <c r="I1203" i="3"/>
  <c r="L1203" i="3"/>
  <c r="M1203" i="3"/>
  <c r="N1203" i="3"/>
  <c r="O1203" i="3"/>
  <c r="P1203" i="3"/>
  <c r="Q1203" i="3"/>
  <c r="W1204" i="3"/>
  <c r="W1205" i="3"/>
  <c r="I1206" i="3"/>
  <c r="L1206" i="3"/>
  <c r="M1206" i="3"/>
  <c r="N1206" i="3"/>
  <c r="O1206" i="3"/>
  <c r="P1206" i="3"/>
  <c r="Q1206" i="3"/>
  <c r="H1207" i="3"/>
  <c r="I1207" i="3"/>
  <c r="L1207" i="3"/>
  <c r="M1207" i="3"/>
  <c r="N1207" i="3"/>
  <c r="O1207" i="3"/>
  <c r="P1207" i="3"/>
  <c r="Q1207" i="3"/>
  <c r="H1208" i="3"/>
  <c r="I1208" i="3"/>
  <c r="L1208" i="3"/>
  <c r="M1208" i="3"/>
  <c r="N1208" i="3"/>
  <c r="O1208" i="3"/>
  <c r="P1208" i="3"/>
  <c r="Q1208" i="3"/>
  <c r="H1209" i="3"/>
  <c r="I1209" i="3"/>
  <c r="L1209" i="3"/>
  <c r="M1209" i="3"/>
  <c r="N1209" i="3"/>
  <c r="O1209" i="3"/>
  <c r="P1209" i="3"/>
  <c r="Q1209" i="3"/>
  <c r="W1210" i="3"/>
  <c r="W1211" i="3"/>
  <c r="W1213" i="3"/>
  <c r="W1214" i="3"/>
  <c r="W1219" i="3"/>
  <c r="W1220" i="3"/>
  <c r="W1222" i="3"/>
  <c r="W1223" i="3"/>
  <c r="W1224" i="3"/>
  <c r="W1225" i="3"/>
  <c r="W1235" i="3"/>
  <c r="W1237" i="3"/>
  <c r="W1240" i="3"/>
  <c r="W1243" i="3"/>
  <c r="W1244" i="3"/>
  <c r="C12" i="12"/>
  <c r="D12" i="12"/>
  <c r="E12" i="12"/>
  <c r="D24" i="12"/>
  <c r="D73" i="12" s="1"/>
  <c r="E24" i="12"/>
  <c r="E73" i="12" s="1"/>
  <c r="C25" i="12"/>
  <c r="C74" i="12" s="1"/>
  <c r="D25" i="12"/>
  <c r="D74" i="12" s="1"/>
  <c r="E25" i="12"/>
  <c r="E74" i="12" s="1"/>
  <c r="N27" i="12"/>
  <c r="N28" i="12"/>
  <c r="C70" i="12"/>
  <c r="D70" i="12"/>
  <c r="E70" i="12"/>
  <c r="C73" i="12"/>
  <c r="A1" i="6"/>
  <c r="Y11" i="6"/>
  <c r="Y12" i="6" s="1"/>
  <c r="Y13" i="6" s="1"/>
  <c r="Y14" i="6" s="1"/>
  <c r="Y15" i="6" s="1"/>
  <c r="Y16" i="6" s="1"/>
  <c r="Y17" i="6" s="1"/>
  <c r="Y18" i="6" s="1"/>
  <c r="Y19" i="6" s="1"/>
  <c r="Y20" i="6" s="1"/>
  <c r="Y21" i="6" s="1"/>
  <c r="Y22" i="6" s="1"/>
  <c r="Y23" i="6" s="1"/>
  <c r="Y24" i="6" s="1"/>
  <c r="Y25" i="6" s="1"/>
  <c r="Y26" i="6" s="1"/>
  <c r="Y27" i="6" s="1"/>
  <c r="Y28" i="6" s="1"/>
  <c r="Y29" i="6" s="1"/>
  <c r="Y30" i="6" s="1"/>
  <c r="Y31" i="6" s="1"/>
  <c r="Y32" i="6" s="1"/>
  <c r="Y33" i="6" s="1"/>
  <c r="Y34" i="6" s="1"/>
  <c r="Y35" i="6" s="1"/>
  <c r="Y36" i="6" s="1"/>
  <c r="Y37" i="6" s="1"/>
  <c r="Y38" i="6" s="1"/>
  <c r="Y39" i="6" s="1"/>
  <c r="Y40" i="6" s="1"/>
  <c r="Y41" i="6" s="1"/>
  <c r="Y42" i="6" s="1"/>
  <c r="Y43" i="6" s="1"/>
  <c r="Y44" i="6" s="1"/>
  <c r="Y45" i="6" s="1"/>
  <c r="Y46" i="6" s="1"/>
  <c r="Y47" i="6" s="1"/>
  <c r="Y48" i="6" s="1"/>
  <c r="Y49" i="6" s="1"/>
  <c r="Y50" i="6" s="1"/>
  <c r="Y51" i="6" s="1"/>
  <c r="Y52" i="6" s="1"/>
  <c r="Y53" i="6" s="1"/>
  <c r="Y54" i="6" s="1"/>
  <c r="Y55" i="6" s="1"/>
  <c r="Y56" i="6" s="1"/>
  <c r="Y57" i="6" s="1"/>
  <c r="Y58" i="6" s="1"/>
  <c r="Y59" i="6" s="1"/>
  <c r="Y60" i="6" s="1"/>
  <c r="Y61" i="6" s="1"/>
  <c r="Y62" i="6" s="1"/>
  <c r="Y63" i="6" s="1"/>
  <c r="Y64" i="6" s="1"/>
  <c r="Y65" i="6" s="1"/>
  <c r="Y66" i="6" s="1"/>
  <c r="Y67" i="6" s="1"/>
  <c r="Y68" i="6" s="1"/>
  <c r="Y69" i="6" s="1"/>
  <c r="Y70" i="6" s="1"/>
  <c r="Y71" i="6" s="1"/>
  <c r="Y72" i="6" s="1"/>
  <c r="Y73" i="6" s="1"/>
  <c r="Y74" i="6" s="1"/>
  <c r="Y75" i="6" s="1"/>
  <c r="Y76" i="6" s="1"/>
  <c r="Y77" i="6" s="1"/>
  <c r="Y78" i="6" s="1"/>
  <c r="Y79" i="6" s="1"/>
  <c r="Y80" i="6" s="1"/>
  <c r="Y81" i="6" s="1"/>
  <c r="Y82" i="6" s="1"/>
  <c r="Y83" i="6" s="1"/>
  <c r="Y84" i="6" s="1"/>
  <c r="Y85" i="6" s="1"/>
  <c r="Y86" i="6" s="1"/>
  <c r="Y87" i="6" s="1"/>
  <c r="Y88" i="6" s="1"/>
  <c r="Y89" i="6" s="1"/>
  <c r="Y90" i="6" s="1"/>
  <c r="Y91" i="6" s="1"/>
  <c r="Y92" i="6" s="1"/>
  <c r="Y93" i="6" s="1"/>
  <c r="Y94" i="6" s="1"/>
  <c r="Y95" i="6" s="1"/>
  <c r="Y96" i="6" s="1"/>
  <c r="Y97" i="6" s="1"/>
  <c r="Y98" i="6" s="1"/>
  <c r="Y99" i="6" s="1"/>
  <c r="Y100" i="6" s="1"/>
  <c r="Y101" i="6" s="1"/>
  <c r="Y102" i="6" s="1"/>
  <c r="Y103" i="6" s="1"/>
  <c r="Y104" i="6" s="1"/>
  <c r="Y105" i="6" s="1"/>
  <c r="Y106" i="6" s="1"/>
  <c r="Y107" i="6" s="1"/>
  <c r="Y108" i="6" s="1"/>
  <c r="Y109" i="6" s="1"/>
  <c r="Y110" i="6" s="1"/>
  <c r="Y111" i="6" s="1"/>
  <c r="Y112" i="6" s="1"/>
  <c r="Y113" i="6" s="1"/>
  <c r="Y114" i="6" s="1"/>
  <c r="Y115" i="6" s="1"/>
  <c r="Y116" i="6" s="1"/>
  <c r="Y117" i="6" s="1"/>
  <c r="Y118" i="6" s="1"/>
  <c r="Y119" i="6" s="1"/>
  <c r="Y120" i="6" s="1"/>
  <c r="Y121" i="6" s="1"/>
  <c r="Y122" i="6" s="1"/>
  <c r="Y123" i="6" s="1"/>
  <c r="Y124" i="6" s="1"/>
  <c r="Y125" i="6" s="1"/>
  <c r="Y126" i="6" s="1"/>
  <c r="Y127" i="6" s="1"/>
  <c r="Y128" i="6" s="1"/>
  <c r="Y129" i="6" s="1"/>
  <c r="Y130" i="6" s="1"/>
  <c r="Y131" i="6" s="1"/>
  <c r="Y132" i="6" s="1"/>
  <c r="Y133" i="6" s="1"/>
  <c r="Y134" i="6" s="1"/>
  <c r="Y135" i="6" s="1"/>
  <c r="Y136" i="6" s="1"/>
  <c r="Y137" i="6" s="1"/>
  <c r="Y138" i="6" s="1"/>
  <c r="Y139" i="6" s="1"/>
  <c r="Y140" i="6" s="1"/>
  <c r="Y141" i="6" s="1"/>
  <c r="Y142" i="6" s="1"/>
  <c r="Y143" i="6" s="1"/>
  <c r="Y144" i="6" s="1"/>
  <c r="Y145" i="6" s="1"/>
  <c r="Y146" i="6" s="1"/>
  <c r="Y147" i="6" s="1"/>
  <c r="Y148" i="6" s="1"/>
  <c r="Y149" i="6" s="1"/>
  <c r="Y150" i="6" s="1"/>
  <c r="Y151" i="6" s="1"/>
  <c r="Y152" i="6" s="1"/>
  <c r="Y153" i="6" s="1"/>
  <c r="Y154" i="6" s="1"/>
  <c r="Y155" i="6" s="1"/>
  <c r="Y156" i="6" s="1"/>
  <c r="Y157" i="6" s="1"/>
  <c r="Y158" i="6" s="1"/>
  <c r="Y159" i="6" s="1"/>
  <c r="Y160" i="6" s="1"/>
  <c r="Y161" i="6" s="1"/>
  <c r="Y162" i="6" s="1"/>
  <c r="Y163" i="6" s="1"/>
  <c r="Y164" i="6" s="1"/>
  <c r="Y165" i="6" s="1"/>
  <c r="Y166" i="6" s="1"/>
  <c r="Y167" i="6" s="1"/>
  <c r="Y168" i="6" s="1"/>
  <c r="Y169" i="6" s="1"/>
  <c r="Y170" i="6" s="1"/>
  <c r="Y171" i="6" s="1"/>
  <c r="Y172" i="6" s="1"/>
  <c r="Y173" i="6" s="1"/>
  <c r="Y174" i="6" s="1"/>
  <c r="Y175" i="6" s="1"/>
  <c r="Y176" i="6" s="1"/>
  <c r="Y177" i="6" s="1"/>
  <c r="Y178" i="6" s="1"/>
  <c r="Y179" i="6" s="1"/>
  <c r="Y180" i="6" s="1"/>
  <c r="Y181" i="6" s="1"/>
  <c r="Y182" i="6" s="1"/>
  <c r="Y183" i="6" s="1"/>
  <c r="Y184" i="6" s="1"/>
  <c r="Y185" i="6" s="1"/>
  <c r="Y186" i="6" s="1"/>
  <c r="Y187" i="6" s="1"/>
  <c r="Y188" i="6" s="1"/>
  <c r="Y189" i="6" s="1"/>
  <c r="Y190" i="6" s="1"/>
  <c r="Y191" i="6" s="1"/>
  <c r="Y192" i="6" s="1"/>
  <c r="Y193" i="6" s="1"/>
  <c r="Y194" i="6" s="1"/>
  <c r="Y195" i="6" s="1"/>
  <c r="Y196" i="6" s="1"/>
  <c r="Y197" i="6" s="1"/>
  <c r="Y198" i="6" s="1"/>
  <c r="Y199" i="6" s="1"/>
  <c r="Y200" i="6" s="1"/>
  <c r="Y201" i="6" s="1"/>
  <c r="Y202" i="6" s="1"/>
  <c r="Y203" i="6" s="1"/>
  <c r="Y204" i="6" s="1"/>
  <c r="Y205" i="6" s="1"/>
  <c r="Y206" i="6" s="1"/>
  <c r="Y207" i="6" s="1"/>
  <c r="Y208" i="6" s="1"/>
  <c r="Y209" i="6" s="1"/>
  <c r="Y210" i="6" s="1"/>
  <c r="Y211" i="6" s="1"/>
  <c r="Y212" i="6" s="1"/>
  <c r="Y213" i="6" s="1"/>
  <c r="Y214" i="6" s="1"/>
  <c r="Y215" i="6" s="1"/>
  <c r="Y216" i="6" s="1"/>
  <c r="Y217" i="6" s="1"/>
  <c r="Y218" i="6" s="1"/>
  <c r="Y219" i="6" s="1"/>
  <c r="Y220" i="6" s="1"/>
  <c r="Y221" i="6" s="1"/>
  <c r="Y222" i="6" s="1"/>
  <c r="Y223" i="6" s="1"/>
  <c r="Y224" i="6" s="1"/>
  <c r="Y225" i="6" s="1"/>
  <c r="Y226" i="6" s="1"/>
  <c r="Y227" i="6" s="1"/>
  <c r="Y228" i="6" s="1"/>
  <c r="Y229" i="6" s="1"/>
  <c r="Y230" i="6" s="1"/>
  <c r="Y231" i="6" s="1"/>
  <c r="Y232" i="6" s="1"/>
  <c r="Y233" i="6" s="1"/>
  <c r="Y234" i="6" s="1"/>
  <c r="Y235" i="6" s="1"/>
  <c r="Y236" i="6" s="1"/>
  <c r="Y237" i="6" s="1"/>
  <c r="Y238" i="6" s="1"/>
  <c r="Y239" i="6" s="1"/>
  <c r="Y240" i="6" s="1"/>
  <c r="Y241" i="6" s="1"/>
  <c r="Y242" i="6" s="1"/>
  <c r="Y243" i="6" s="1"/>
  <c r="Y244" i="6" s="1"/>
  <c r="Y245" i="6" s="1"/>
  <c r="Y246" i="6" s="1"/>
  <c r="Y247" i="6" s="1"/>
  <c r="Y248" i="6" s="1"/>
  <c r="Y249" i="6" s="1"/>
  <c r="Y250" i="6" s="1"/>
  <c r="Y251" i="6" s="1"/>
  <c r="Y252" i="6" s="1"/>
  <c r="Y253" i="6" s="1"/>
  <c r="Y254" i="6" s="1"/>
  <c r="Y255" i="6" s="1"/>
  <c r="Y256" i="6" s="1"/>
  <c r="Y257" i="6" s="1"/>
  <c r="Y258" i="6" s="1"/>
  <c r="Y259" i="6" s="1"/>
  <c r="Y260" i="6" s="1"/>
  <c r="Y261" i="6" s="1"/>
  <c r="Y262" i="6" s="1"/>
  <c r="Y263" i="6" s="1"/>
  <c r="Y264" i="6" s="1"/>
  <c r="Y265" i="6" s="1"/>
  <c r="Y266" i="6" s="1"/>
  <c r="Y267" i="6" s="1"/>
  <c r="Y268" i="6" s="1"/>
  <c r="Y269" i="6" s="1"/>
  <c r="Y270" i="6" s="1"/>
  <c r="Y271" i="6" s="1"/>
  <c r="Y272" i="6" s="1"/>
  <c r="Y273" i="6" s="1"/>
  <c r="Y274" i="6" s="1"/>
  <c r="Y275" i="6" s="1"/>
  <c r="Y276" i="6" s="1"/>
  <c r="Y277" i="6" s="1"/>
  <c r="Y278" i="6" s="1"/>
  <c r="Y279" i="6" s="1"/>
  <c r="Y280" i="6" s="1"/>
  <c r="Y281" i="6" s="1"/>
  <c r="Y282" i="6" s="1"/>
  <c r="Y283" i="6" s="1"/>
  <c r="Y284" i="6" s="1"/>
  <c r="Y285" i="6" s="1"/>
  <c r="Y286" i="6" s="1"/>
  <c r="Y287" i="6" s="1"/>
  <c r="Y288" i="6" s="1"/>
  <c r="Y289" i="6" s="1"/>
  <c r="Y290" i="6" s="1"/>
  <c r="Y291" i="6" s="1"/>
  <c r="Y292" i="6" s="1"/>
  <c r="Y293" i="6" s="1"/>
  <c r="Y294" i="6" s="1"/>
  <c r="Y295" i="6" s="1"/>
  <c r="Y296" i="6" s="1"/>
  <c r="Y297" i="6" s="1"/>
  <c r="Y298" i="6" s="1"/>
  <c r="Y299" i="6" s="1"/>
  <c r="Y300" i="6" s="1"/>
  <c r="Y301" i="6" s="1"/>
  <c r="Y302" i="6" s="1"/>
  <c r="Y303" i="6" s="1"/>
  <c r="Y304" i="6" s="1"/>
  <c r="Y305" i="6" s="1"/>
  <c r="Y306" i="6" s="1"/>
  <c r="Y307" i="6" s="1"/>
  <c r="Y308" i="6" s="1"/>
  <c r="Y309" i="6" s="1"/>
  <c r="Y310" i="6" s="1"/>
  <c r="Y311" i="6" s="1"/>
  <c r="Y312" i="6" s="1"/>
  <c r="Y313" i="6" s="1"/>
  <c r="Y314" i="6" s="1"/>
  <c r="Y315" i="6" s="1"/>
  <c r="Y316" i="6" s="1"/>
  <c r="Y317" i="6" s="1"/>
  <c r="Y318" i="6" s="1"/>
  <c r="Y319" i="6" s="1"/>
  <c r="R16" i="6"/>
  <c r="U16" i="6"/>
  <c r="E17" i="6"/>
  <c r="J17" i="6"/>
  <c r="Q18" i="6"/>
  <c r="T18" i="6"/>
  <c r="E19" i="6"/>
  <c r="J19" i="6"/>
  <c r="Q20" i="6"/>
  <c r="T20" i="6"/>
  <c r="H21" i="6"/>
  <c r="E22" i="6"/>
  <c r="J22" i="6"/>
  <c r="R23" i="6"/>
  <c r="U23" i="6"/>
  <c r="E24" i="6"/>
  <c r="J24" i="6"/>
  <c r="R25" i="6"/>
  <c r="U25" i="6"/>
  <c r="E26" i="6"/>
  <c r="J26" i="6"/>
  <c r="Q27" i="6"/>
  <c r="T27" i="6"/>
  <c r="E28" i="6"/>
  <c r="J28" i="6"/>
  <c r="Q29" i="6"/>
  <c r="T29" i="6"/>
  <c r="H30" i="6"/>
  <c r="E31" i="6"/>
  <c r="J31" i="6"/>
  <c r="R32" i="6"/>
  <c r="U32" i="6"/>
  <c r="E33" i="6"/>
  <c r="J33" i="6"/>
  <c r="R34" i="6"/>
  <c r="U34" i="6"/>
  <c r="E35" i="6"/>
  <c r="J35" i="6"/>
  <c r="Q36" i="6"/>
  <c r="T36" i="6"/>
  <c r="E37" i="6"/>
  <c r="J37" i="6"/>
  <c r="Q38" i="6"/>
  <c r="T38" i="6"/>
  <c r="H39" i="6"/>
  <c r="E40" i="6"/>
  <c r="J40" i="6"/>
  <c r="R41" i="6"/>
  <c r="U41" i="6"/>
  <c r="E42" i="6"/>
  <c r="J42" i="6"/>
  <c r="R43" i="6"/>
  <c r="U43" i="6"/>
  <c r="E44" i="6"/>
  <c r="J44" i="6"/>
  <c r="Q45" i="6"/>
  <c r="T45" i="6"/>
  <c r="E46" i="6"/>
  <c r="J46" i="6"/>
  <c r="Q47" i="6"/>
  <c r="T47" i="6"/>
  <c r="H48" i="6"/>
  <c r="E49" i="6"/>
  <c r="J49" i="6"/>
  <c r="R50" i="6"/>
  <c r="U50" i="6"/>
  <c r="E51" i="6"/>
  <c r="J51" i="6"/>
  <c r="R52" i="6"/>
  <c r="U52" i="6"/>
  <c r="E53" i="6"/>
  <c r="I53" i="6"/>
  <c r="Q53" i="6"/>
  <c r="T53" i="6"/>
  <c r="Q54" i="6"/>
  <c r="T54" i="6"/>
  <c r="E55" i="6"/>
  <c r="I55" i="6"/>
  <c r="Q55" i="6"/>
  <c r="T55" i="6"/>
  <c r="Q56" i="6"/>
  <c r="T56" i="6"/>
  <c r="H57" i="6"/>
  <c r="E58" i="6"/>
  <c r="J58" i="6"/>
  <c r="R59" i="6"/>
  <c r="U59" i="6"/>
  <c r="E60" i="6"/>
  <c r="J60" i="6"/>
  <c r="R61" i="6"/>
  <c r="U61" i="6"/>
  <c r="F62" i="6"/>
  <c r="J62" i="6"/>
  <c r="Q63" i="6"/>
  <c r="T63" i="6"/>
  <c r="F64" i="6"/>
  <c r="J64" i="6"/>
  <c r="Q65" i="6"/>
  <c r="T65" i="6"/>
  <c r="H66" i="6"/>
  <c r="E67" i="6"/>
  <c r="J67" i="6"/>
  <c r="R68" i="6"/>
  <c r="U68" i="6"/>
  <c r="E69" i="6"/>
  <c r="J69" i="6"/>
  <c r="R70" i="6"/>
  <c r="U70" i="6"/>
  <c r="E71" i="6"/>
  <c r="J71" i="6"/>
  <c r="Q72" i="6"/>
  <c r="T72" i="6"/>
  <c r="E73" i="6"/>
  <c r="J73" i="6"/>
  <c r="F74" i="6"/>
  <c r="Q74" i="6"/>
  <c r="T74" i="6"/>
  <c r="H75" i="6"/>
  <c r="E76" i="6"/>
  <c r="J76" i="6"/>
  <c r="R77" i="6"/>
  <c r="U77" i="6"/>
  <c r="E78" i="6"/>
  <c r="J78" i="6"/>
  <c r="R79" i="6"/>
  <c r="U79" i="6"/>
  <c r="E80" i="6"/>
  <c r="J80" i="6"/>
  <c r="Q81" i="6"/>
  <c r="T81" i="6"/>
  <c r="E82" i="6"/>
  <c r="J82" i="6"/>
  <c r="Q83" i="6"/>
  <c r="T83" i="6"/>
  <c r="H84" i="6"/>
  <c r="E85" i="6"/>
  <c r="J85" i="6"/>
  <c r="R86" i="6"/>
  <c r="U86" i="6"/>
  <c r="E87" i="6"/>
  <c r="J87" i="6"/>
  <c r="R88" i="6"/>
  <c r="U88" i="6"/>
  <c r="E89" i="6"/>
  <c r="J89" i="6"/>
  <c r="Q90" i="6"/>
  <c r="T90" i="6"/>
  <c r="E91" i="6"/>
  <c r="J91" i="6"/>
  <c r="F92" i="6"/>
  <c r="Q92" i="6"/>
  <c r="T92" i="6"/>
  <c r="H93" i="6"/>
  <c r="E94" i="6"/>
  <c r="J94" i="6"/>
  <c r="R95" i="6"/>
  <c r="U95" i="6"/>
  <c r="E96" i="6"/>
  <c r="J96" i="6"/>
  <c r="F97" i="6"/>
  <c r="R97" i="6"/>
  <c r="U97" i="6"/>
  <c r="E98" i="6"/>
  <c r="J98" i="6"/>
  <c r="Q99" i="6"/>
  <c r="T99" i="6"/>
  <c r="E100" i="6"/>
  <c r="J100" i="6"/>
  <c r="Q101" i="6"/>
  <c r="T101" i="6"/>
  <c r="H102" i="6"/>
  <c r="E103" i="6"/>
  <c r="J103" i="6"/>
  <c r="R104" i="6"/>
  <c r="U104" i="6"/>
  <c r="E105" i="6"/>
  <c r="J105" i="6"/>
  <c r="F106" i="6"/>
  <c r="R106" i="6"/>
  <c r="U106" i="6"/>
  <c r="E107" i="6"/>
  <c r="J107" i="6"/>
  <c r="Q108" i="6"/>
  <c r="T108" i="6"/>
  <c r="E109" i="6"/>
  <c r="J109" i="6"/>
  <c r="F110" i="6"/>
  <c r="Q110" i="6"/>
  <c r="T110" i="6"/>
  <c r="H111" i="6"/>
  <c r="E112" i="6"/>
  <c r="J112" i="6"/>
  <c r="R113" i="6"/>
  <c r="U113" i="6"/>
  <c r="E114" i="6"/>
  <c r="J114" i="6"/>
  <c r="R115" i="6"/>
  <c r="U115" i="6"/>
  <c r="E116" i="6"/>
  <c r="J116" i="6"/>
  <c r="Q117" i="6"/>
  <c r="T117" i="6"/>
  <c r="E118" i="6"/>
  <c r="J118" i="6"/>
  <c r="Q119" i="6"/>
  <c r="T119" i="6"/>
  <c r="H120" i="6"/>
  <c r="E121" i="6"/>
  <c r="J121" i="6"/>
  <c r="R122" i="6"/>
  <c r="U122" i="6"/>
  <c r="E123" i="6"/>
  <c r="J123" i="6"/>
  <c r="F124" i="6"/>
  <c r="R124" i="6"/>
  <c r="U124" i="6"/>
  <c r="E125" i="6"/>
  <c r="J125" i="6"/>
  <c r="Q126" i="6"/>
  <c r="T126" i="6"/>
  <c r="E127" i="6"/>
  <c r="J127" i="6"/>
  <c r="F128" i="6"/>
  <c r="Q128" i="6"/>
  <c r="T128" i="6"/>
  <c r="H129" i="6"/>
  <c r="E130" i="6"/>
  <c r="J130" i="6"/>
  <c r="R131" i="6"/>
  <c r="U131" i="6"/>
  <c r="E132" i="6"/>
  <c r="J132" i="6"/>
  <c r="F133" i="6"/>
  <c r="R133" i="6"/>
  <c r="U133" i="6"/>
  <c r="E134" i="6"/>
  <c r="J134" i="6"/>
  <c r="Q135" i="6"/>
  <c r="T135" i="6"/>
  <c r="E136" i="6"/>
  <c r="J136" i="6"/>
  <c r="Q137" i="6"/>
  <c r="T137" i="6"/>
  <c r="H138" i="6"/>
  <c r="E139" i="6"/>
  <c r="J139" i="6"/>
  <c r="R140" i="6"/>
  <c r="U140" i="6"/>
  <c r="E141" i="6"/>
  <c r="J141" i="6"/>
  <c r="R142" i="6"/>
  <c r="U142" i="6"/>
  <c r="E143" i="6"/>
  <c r="J143" i="6"/>
  <c r="Q144" i="6"/>
  <c r="T144" i="6"/>
  <c r="E145" i="6"/>
  <c r="J145" i="6"/>
  <c r="F146" i="6"/>
  <c r="Q146" i="6"/>
  <c r="T146" i="6"/>
  <c r="H147" i="6"/>
  <c r="E148" i="6"/>
  <c r="J148" i="6"/>
  <c r="R149" i="6"/>
  <c r="U149" i="6"/>
  <c r="E150" i="6"/>
  <c r="J150" i="6"/>
  <c r="F151" i="6"/>
  <c r="R151" i="6"/>
  <c r="U151" i="6"/>
  <c r="E152" i="6"/>
  <c r="J152" i="6"/>
  <c r="Q153" i="6"/>
  <c r="T153" i="6"/>
  <c r="E154" i="6"/>
  <c r="J154" i="6"/>
  <c r="Q155" i="6"/>
  <c r="T155" i="6"/>
  <c r="H156" i="6"/>
  <c r="E157" i="6"/>
  <c r="J157" i="6"/>
  <c r="R158" i="6"/>
  <c r="U158" i="6"/>
  <c r="E159" i="6"/>
  <c r="J159" i="6"/>
  <c r="F160" i="6"/>
  <c r="R160" i="6"/>
  <c r="U160" i="6"/>
  <c r="E161" i="6"/>
  <c r="J161" i="6"/>
  <c r="Q162" i="6"/>
  <c r="T162" i="6"/>
  <c r="E163" i="6"/>
  <c r="J163" i="6"/>
  <c r="Q164" i="6"/>
  <c r="T164" i="6"/>
  <c r="H165" i="6"/>
  <c r="E166" i="6"/>
  <c r="J166" i="6"/>
  <c r="R167" i="6"/>
  <c r="U167" i="6"/>
  <c r="E168" i="6"/>
  <c r="J168" i="6"/>
  <c r="F169" i="6"/>
  <c r="R169" i="6"/>
  <c r="U169" i="6"/>
  <c r="E170" i="6"/>
  <c r="J170" i="6"/>
  <c r="Q171" i="6"/>
  <c r="T171" i="6"/>
  <c r="E172" i="6"/>
  <c r="J172" i="6"/>
  <c r="Q173" i="6"/>
  <c r="T173" i="6"/>
  <c r="H174" i="6"/>
  <c r="E175" i="6"/>
  <c r="J175" i="6"/>
  <c r="R176" i="6"/>
  <c r="U176" i="6"/>
  <c r="E177" i="6"/>
  <c r="J177" i="6"/>
  <c r="R178" i="6"/>
  <c r="U178" i="6"/>
  <c r="E179" i="6"/>
  <c r="J179" i="6"/>
  <c r="Q180" i="6"/>
  <c r="T180" i="6"/>
  <c r="E181" i="6"/>
  <c r="J181" i="6"/>
  <c r="Q182" i="6"/>
  <c r="T182" i="6"/>
  <c r="H183" i="6"/>
  <c r="E184" i="6"/>
  <c r="J184" i="6"/>
  <c r="R185" i="6"/>
  <c r="U185" i="6"/>
  <c r="E186" i="6"/>
  <c r="J186" i="6"/>
  <c r="R187" i="6"/>
  <c r="U187" i="6"/>
  <c r="E188" i="6"/>
  <c r="J188" i="6"/>
  <c r="F189" i="6"/>
  <c r="Q189" i="6"/>
  <c r="T189" i="6"/>
  <c r="E190" i="6"/>
  <c r="J190" i="6"/>
  <c r="Q191" i="6"/>
  <c r="T191" i="6"/>
  <c r="H192" i="6"/>
  <c r="E193" i="6"/>
  <c r="J193" i="6"/>
  <c r="R194" i="6"/>
  <c r="U194" i="6"/>
  <c r="E195" i="6"/>
  <c r="J195" i="6"/>
  <c r="R196" i="6"/>
  <c r="U196" i="6"/>
  <c r="R197" i="6"/>
  <c r="U197" i="6"/>
  <c r="E198" i="6"/>
  <c r="J198" i="6"/>
  <c r="E199" i="6"/>
  <c r="J199" i="6"/>
  <c r="H200" i="6"/>
  <c r="H201" i="6"/>
  <c r="H202" i="6"/>
  <c r="E204" i="6"/>
  <c r="J204" i="6"/>
  <c r="H205" i="6"/>
  <c r="H206" i="6"/>
  <c r="H207" i="6"/>
  <c r="E208" i="6"/>
  <c r="J208" i="6"/>
  <c r="E209" i="6"/>
  <c r="J209" i="6"/>
  <c r="R210" i="6"/>
  <c r="U210" i="6"/>
  <c r="E211" i="6"/>
  <c r="J211" i="6"/>
  <c r="Q212" i="6"/>
  <c r="T212" i="6"/>
  <c r="E213" i="6"/>
  <c r="J213" i="6"/>
  <c r="Q214" i="6"/>
  <c r="T214" i="6"/>
  <c r="H215" i="6"/>
  <c r="E216" i="6"/>
  <c r="J216" i="6"/>
  <c r="R217" i="6"/>
  <c r="U217" i="6"/>
  <c r="E218" i="6"/>
  <c r="J218" i="6"/>
  <c r="R219" i="6"/>
  <c r="U219" i="6"/>
  <c r="E220" i="6"/>
  <c r="J220" i="6"/>
  <c r="Q221" i="6"/>
  <c r="T221" i="6"/>
  <c r="E222" i="6"/>
  <c r="J222" i="6"/>
  <c r="Q223" i="6"/>
  <c r="T223" i="6"/>
  <c r="H224" i="6"/>
  <c r="E225" i="6"/>
  <c r="J225" i="6"/>
  <c r="R226" i="6"/>
  <c r="U226" i="6"/>
  <c r="E227" i="6"/>
  <c r="J227" i="6"/>
  <c r="E228" i="6"/>
  <c r="J228" i="6"/>
  <c r="H229" i="6"/>
  <c r="H230" i="6"/>
  <c r="H231" i="6"/>
  <c r="E233" i="6"/>
  <c r="J233" i="6"/>
  <c r="H234" i="6"/>
  <c r="E235" i="6"/>
  <c r="J235" i="6"/>
  <c r="H236" i="6"/>
  <c r="E237" i="6"/>
  <c r="J237" i="6"/>
  <c r="E238" i="6"/>
  <c r="J238" i="6"/>
  <c r="R239" i="6"/>
  <c r="U239" i="6"/>
  <c r="E240" i="6"/>
  <c r="J240" i="6"/>
  <c r="E242" i="6"/>
  <c r="J242" i="6"/>
  <c r="F243" i="6"/>
  <c r="Q243" i="6"/>
  <c r="T243" i="6"/>
  <c r="H244" i="6"/>
  <c r="E245" i="6"/>
  <c r="J245" i="6"/>
  <c r="F246" i="6"/>
  <c r="R246" i="6"/>
  <c r="U246" i="6"/>
  <c r="E247" i="6"/>
  <c r="J247" i="6"/>
  <c r="R248" i="6"/>
  <c r="U248" i="6"/>
  <c r="E249" i="6"/>
  <c r="J249" i="6"/>
  <c r="E251" i="6"/>
  <c r="J251" i="6"/>
  <c r="Q252" i="6"/>
  <c r="T252" i="6"/>
  <c r="H253" i="6"/>
  <c r="E254" i="6"/>
  <c r="J254" i="6"/>
  <c r="R255" i="6"/>
  <c r="U255" i="6"/>
  <c r="E256" i="6"/>
  <c r="J256" i="6"/>
  <c r="R257" i="6"/>
  <c r="U257" i="6"/>
  <c r="E258" i="6"/>
  <c r="J258" i="6"/>
  <c r="E260" i="6"/>
  <c r="J260" i="6"/>
  <c r="Q261" i="6"/>
  <c r="T261" i="6"/>
  <c r="H262" i="6"/>
  <c r="E263" i="6"/>
  <c r="J263" i="6"/>
  <c r="R264" i="6"/>
  <c r="U264" i="6"/>
  <c r="E265" i="6"/>
  <c r="J265" i="6"/>
  <c r="F266" i="6"/>
  <c r="R266" i="6"/>
  <c r="U266" i="6"/>
  <c r="E267" i="6"/>
  <c r="J267" i="6"/>
  <c r="E269" i="6"/>
  <c r="J269" i="6"/>
  <c r="Q270" i="6"/>
  <c r="T270" i="6"/>
  <c r="H271" i="6"/>
  <c r="E272" i="6"/>
  <c r="J272" i="6"/>
  <c r="R273" i="6"/>
  <c r="U273" i="6"/>
  <c r="E274" i="6"/>
  <c r="J274" i="6"/>
  <c r="F275" i="6"/>
  <c r="R275" i="6"/>
  <c r="T275" i="6"/>
  <c r="E276" i="6"/>
  <c r="J276" i="6"/>
  <c r="E278" i="6"/>
  <c r="J278" i="6"/>
  <c r="Q279" i="6"/>
  <c r="T279" i="6"/>
  <c r="H280" i="6"/>
  <c r="E281" i="6"/>
  <c r="J281" i="6"/>
  <c r="R282" i="6"/>
  <c r="T282" i="6"/>
  <c r="E283" i="6"/>
  <c r="J283" i="6"/>
  <c r="R284" i="6"/>
  <c r="T284" i="6"/>
  <c r="E285" i="6"/>
  <c r="J285" i="6"/>
  <c r="T286" i="6"/>
  <c r="T324" i="6" s="1"/>
  <c r="E287" i="6"/>
  <c r="J287" i="6"/>
  <c r="Q288" i="6"/>
  <c r="T288" i="6"/>
  <c r="H289" i="6"/>
  <c r="E290" i="6"/>
  <c r="J290" i="6"/>
  <c r="R291" i="6"/>
  <c r="T291" i="6"/>
  <c r="E292" i="6"/>
  <c r="J292" i="6"/>
  <c r="R293" i="6"/>
  <c r="T293" i="6"/>
  <c r="E294" i="6"/>
  <c r="J294" i="6"/>
  <c r="E296" i="6"/>
  <c r="J296" i="6"/>
  <c r="Q297" i="6"/>
  <c r="T297" i="6"/>
  <c r="H298" i="6"/>
  <c r="E299" i="6"/>
  <c r="J299" i="6"/>
  <c r="F300" i="6"/>
  <c r="R300" i="6"/>
  <c r="T300" i="6"/>
  <c r="E301" i="6"/>
  <c r="J301" i="6"/>
  <c r="F302" i="6"/>
  <c r="R302" i="6"/>
  <c r="T302" i="6"/>
  <c r="E303" i="6"/>
  <c r="J303" i="6"/>
  <c r="E305" i="6"/>
  <c r="J305" i="6"/>
  <c r="Q306" i="6"/>
  <c r="T306" i="6"/>
  <c r="H307" i="6"/>
  <c r="E308" i="6"/>
  <c r="J308" i="6"/>
  <c r="R309" i="6"/>
  <c r="T309" i="6"/>
  <c r="E310" i="6"/>
  <c r="J310" i="6"/>
  <c r="R311" i="6"/>
  <c r="T311" i="6"/>
  <c r="E312" i="6"/>
  <c r="J312" i="6"/>
  <c r="E314" i="6"/>
  <c r="J314" i="6"/>
  <c r="Q315" i="6"/>
  <c r="T315" i="6"/>
  <c r="H316" i="6"/>
  <c r="E317" i="6"/>
  <c r="J317" i="6"/>
  <c r="R318" i="6"/>
  <c r="T318" i="6"/>
  <c r="E322" i="6"/>
  <c r="J322" i="6"/>
  <c r="H324" i="6"/>
  <c r="Q324" i="6"/>
  <c r="R324" i="6"/>
  <c r="H325" i="6"/>
  <c r="H365" i="6" s="1"/>
  <c r="H326" i="6"/>
  <c r="E328" i="6"/>
  <c r="J328" i="6"/>
  <c r="H329" i="6"/>
  <c r="H330" i="6"/>
  <c r="H331" i="6"/>
  <c r="E332" i="6"/>
  <c r="J332" i="6"/>
  <c r="E333" i="6"/>
  <c r="J333" i="6"/>
  <c r="R334" i="6"/>
  <c r="U334" i="6"/>
  <c r="E335" i="6"/>
  <c r="J335" i="6"/>
  <c r="E337" i="6"/>
  <c r="J337" i="6"/>
  <c r="Q338" i="6"/>
  <c r="T338" i="6"/>
  <c r="H339" i="6"/>
  <c r="E340" i="6"/>
  <c r="J340" i="6"/>
  <c r="R341" i="6"/>
  <c r="R357" i="6" s="1"/>
  <c r="U341" i="6"/>
  <c r="U357" i="6" s="1"/>
  <c r="E342" i="6"/>
  <c r="J342" i="6"/>
  <c r="F343" i="6"/>
  <c r="R343" i="6"/>
  <c r="U343" i="6"/>
  <c r="E344" i="6"/>
  <c r="J344" i="6"/>
  <c r="E346" i="6"/>
  <c r="J346" i="6"/>
  <c r="Q347" i="6"/>
  <c r="T347" i="6"/>
  <c r="H348" i="6"/>
  <c r="E349" i="6"/>
  <c r="J349" i="6"/>
  <c r="R350" i="6"/>
  <c r="R358" i="6" s="1"/>
  <c r="U350" i="6"/>
  <c r="U358" i="6" s="1"/>
  <c r="E351" i="6"/>
  <c r="J351" i="6"/>
  <c r="E352" i="6"/>
  <c r="J352" i="6"/>
  <c r="H353" i="6"/>
  <c r="F354" i="6"/>
  <c r="G354" i="6"/>
  <c r="H354" i="6"/>
  <c r="I354" i="6"/>
  <c r="J354" i="6" s="1"/>
  <c r="M354" i="6"/>
  <c r="N354" i="6"/>
  <c r="Q354" i="6"/>
  <c r="R354" i="6"/>
  <c r="T354" i="6"/>
  <c r="U354" i="6"/>
  <c r="E356" i="6"/>
  <c r="J356" i="6"/>
  <c r="H357" i="6"/>
  <c r="H358" i="6"/>
  <c r="H359" i="6"/>
  <c r="J360" i="6"/>
  <c r="J362" i="6"/>
  <c r="E367" i="6"/>
  <c r="J367" i="6"/>
  <c r="E369" i="6"/>
  <c r="J369" i="6"/>
  <c r="J373" i="6"/>
  <c r="J374" i="6"/>
  <c r="J375" i="6"/>
  <c r="J376" i="6"/>
  <c r="J377" i="6"/>
  <c r="J378" i="6"/>
  <c r="J379" i="6"/>
  <c r="Q380" i="6"/>
  <c r="T380" i="6"/>
  <c r="Q381" i="6"/>
  <c r="T381" i="6"/>
  <c r="H382" i="6"/>
  <c r="J383" i="6"/>
  <c r="J384" i="6"/>
  <c r="R385" i="6"/>
  <c r="U385" i="6"/>
  <c r="R386" i="6"/>
  <c r="U386" i="6"/>
  <c r="H387" i="6"/>
  <c r="J388" i="6"/>
  <c r="J389" i="6"/>
  <c r="R390" i="6"/>
  <c r="U390" i="6"/>
  <c r="R391" i="6"/>
  <c r="U391" i="6"/>
  <c r="H392" i="6"/>
  <c r="J393" i="6"/>
  <c r="J394" i="6"/>
  <c r="F395" i="6"/>
  <c r="R395" i="6"/>
  <c r="U395" i="6"/>
  <c r="F396" i="6"/>
  <c r="R396" i="6"/>
  <c r="U396" i="6"/>
  <c r="H397" i="6"/>
  <c r="J398" i="6"/>
  <c r="J399" i="6"/>
  <c r="F400" i="6"/>
  <c r="R400" i="6"/>
  <c r="U400" i="6"/>
  <c r="F401" i="6"/>
  <c r="R401" i="6"/>
  <c r="U401" i="6"/>
  <c r="H402" i="6"/>
  <c r="J403" i="6"/>
  <c r="J404" i="6"/>
  <c r="F405" i="6"/>
  <c r="R405" i="6"/>
  <c r="U405" i="6"/>
  <c r="F406" i="6"/>
  <c r="R406" i="6"/>
  <c r="U406" i="6"/>
  <c r="H407" i="6"/>
  <c r="J408" i="6"/>
  <c r="J409" i="6"/>
  <c r="F410" i="6"/>
  <c r="R410" i="6"/>
  <c r="U410" i="6"/>
  <c r="F411" i="6"/>
  <c r="R411" i="6"/>
  <c r="U411" i="6"/>
  <c r="H412" i="6"/>
  <c r="J413" i="6"/>
  <c r="J414" i="6"/>
  <c r="F415" i="6"/>
  <c r="R415" i="6"/>
  <c r="U415" i="6"/>
  <c r="F416" i="6"/>
  <c r="R416" i="6"/>
  <c r="U416" i="6"/>
  <c r="H417" i="6"/>
  <c r="J418" i="6"/>
  <c r="J419" i="6"/>
  <c r="R420" i="6"/>
  <c r="U420" i="6"/>
  <c r="F421" i="6"/>
  <c r="R421" i="6"/>
  <c r="U421" i="6"/>
  <c r="H422" i="6"/>
  <c r="J423" i="6"/>
  <c r="J424" i="6"/>
  <c r="F425" i="6"/>
  <c r="R425" i="6"/>
  <c r="U425" i="6"/>
  <c r="R426" i="6"/>
  <c r="U426" i="6"/>
  <c r="H427" i="6"/>
  <c r="J428" i="6"/>
  <c r="J429" i="6"/>
  <c r="R430" i="6"/>
  <c r="U430" i="6"/>
  <c r="F431" i="6"/>
  <c r="R431" i="6"/>
  <c r="U431" i="6"/>
  <c r="H432" i="6"/>
  <c r="J433" i="6"/>
  <c r="J434" i="6"/>
  <c r="F435" i="6"/>
  <c r="R435" i="6"/>
  <c r="U435" i="6"/>
  <c r="R436" i="6"/>
  <c r="U436" i="6"/>
  <c r="H437" i="6"/>
  <c r="J438" i="6"/>
  <c r="J439" i="6"/>
  <c r="R440" i="6"/>
  <c r="U440" i="6"/>
  <c r="F441" i="6"/>
  <c r="R441" i="6"/>
  <c r="U441" i="6"/>
  <c r="H442" i="6"/>
  <c r="J443" i="6"/>
  <c r="J444" i="6"/>
  <c r="F445" i="6"/>
  <c r="R445" i="6"/>
  <c r="U445" i="6"/>
  <c r="R446" i="6"/>
  <c r="U446" i="6"/>
  <c r="H447" i="6"/>
  <c r="J448" i="6"/>
  <c r="J449" i="6"/>
  <c r="F450" i="6"/>
  <c r="R450" i="6"/>
  <c r="U450" i="6"/>
  <c r="F451" i="6"/>
  <c r="R451" i="6"/>
  <c r="U451" i="6"/>
  <c r="H452" i="6"/>
  <c r="J453" i="6"/>
  <c r="J454" i="6"/>
  <c r="R455" i="6"/>
  <c r="U455" i="6"/>
  <c r="R456" i="6"/>
  <c r="U456" i="6"/>
  <c r="H457" i="6"/>
  <c r="J458" i="6"/>
  <c r="J459" i="6"/>
  <c r="Q460" i="6"/>
  <c r="T460" i="6"/>
  <c r="Q461" i="6"/>
  <c r="T461" i="6"/>
  <c r="H462" i="6"/>
  <c r="J463" i="6"/>
  <c r="J464" i="6"/>
  <c r="F465" i="6"/>
  <c r="Q465" i="6"/>
  <c r="T465" i="6"/>
  <c r="R466" i="6"/>
  <c r="U466" i="6"/>
  <c r="H467" i="6"/>
  <c r="J468" i="6"/>
  <c r="J469" i="6"/>
  <c r="Q470" i="6"/>
  <c r="T470" i="6"/>
  <c r="Q471" i="6"/>
  <c r="T471" i="6"/>
  <c r="H472" i="6"/>
  <c r="J473" i="6"/>
  <c r="J474" i="6"/>
  <c r="F475" i="6"/>
  <c r="Q475" i="6"/>
  <c r="T475" i="6"/>
  <c r="R476" i="6"/>
  <c r="U476" i="6"/>
  <c r="H477" i="6"/>
  <c r="J478" i="6"/>
  <c r="J479" i="6"/>
  <c r="Q480" i="6"/>
  <c r="T480" i="6"/>
  <c r="R481" i="6"/>
  <c r="U481" i="6"/>
  <c r="H482" i="6"/>
  <c r="J483" i="6"/>
  <c r="J484" i="6"/>
  <c r="Q485" i="6"/>
  <c r="T485" i="6"/>
  <c r="Q486" i="6"/>
  <c r="T486" i="6"/>
  <c r="H487" i="6"/>
  <c r="J488" i="6"/>
  <c r="J489" i="6"/>
  <c r="Q490" i="6"/>
  <c r="T490" i="6"/>
  <c r="Q491" i="6"/>
  <c r="T491" i="6"/>
  <c r="H492" i="6"/>
  <c r="J493" i="6"/>
  <c r="J494" i="6"/>
  <c r="F495" i="6"/>
  <c r="R495" i="6"/>
  <c r="U495" i="6"/>
  <c r="R496" i="6"/>
  <c r="U496" i="6"/>
  <c r="H497" i="6"/>
  <c r="J498" i="6"/>
  <c r="J499" i="6"/>
  <c r="J500" i="6"/>
  <c r="H501" i="6"/>
  <c r="H502" i="6"/>
  <c r="H503" i="6"/>
  <c r="J504" i="6"/>
  <c r="H505" i="6"/>
  <c r="H506" i="6"/>
  <c r="H507" i="6"/>
  <c r="J508" i="6"/>
  <c r="J510" i="6"/>
  <c r="J511" i="6"/>
  <c r="J513" i="6"/>
  <c r="J514" i="6"/>
  <c r="J515" i="6"/>
  <c r="J516" i="6"/>
  <c r="J517" i="6"/>
  <c r="J518" i="6"/>
  <c r="J519" i="6"/>
  <c r="J520" i="6"/>
  <c r="J521" i="6"/>
  <c r="Q522" i="6"/>
  <c r="T522" i="6"/>
  <c r="Q523" i="6"/>
  <c r="T523" i="6"/>
  <c r="H524" i="6"/>
  <c r="J525" i="6"/>
  <c r="J526" i="6"/>
  <c r="Q527" i="6"/>
  <c r="T527" i="6"/>
  <c r="Q528" i="6"/>
  <c r="T528" i="6"/>
  <c r="H529" i="6"/>
  <c r="J530" i="6"/>
  <c r="J531" i="6"/>
  <c r="Q532" i="6"/>
  <c r="T532" i="6"/>
  <c r="Q533" i="6"/>
  <c r="T533" i="6"/>
  <c r="H534" i="6"/>
  <c r="J535" i="6"/>
  <c r="J536" i="6"/>
  <c r="F537" i="6"/>
  <c r="R537" i="6"/>
  <c r="U537" i="6"/>
  <c r="F538" i="6"/>
  <c r="R538" i="6"/>
  <c r="T538" i="6"/>
  <c r="H539" i="6"/>
  <c r="J540" i="6"/>
  <c r="J541" i="6"/>
  <c r="Q542" i="6"/>
  <c r="T542" i="6"/>
  <c r="Q543" i="6"/>
  <c r="T543" i="6"/>
  <c r="H544" i="6"/>
  <c r="J545" i="6"/>
  <c r="J546" i="6"/>
  <c r="F547" i="6"/>
  <c r="Q547" i="6"/>
  <c r="T547" i="6"/>
  <c r="F548" i="6"/>
  <c r="Q548" i="6"/>
  <c r="T548" i="6"/>
  <c r="H549" i="6"/>
  <c r="J550" i="6"/>
  <c r="J551" i="6"/>
  <c r="F552" i="6"/>
  <c r="Q552" i="6"/>
  <c r="T552" i="6"/>
  <c r="F553" i="6"/>
  <c r="Q553" i="6"/>
  <c r="T553" i="6"/>
  <c r="H554" i="6"/>
  <c r="J555" i="6"/>
  <c r="J556" i="6"/>
  <c r="Q557" i="6"/>
  <c r="T557" i="6"/>
  <c r="Q558" i="6"/>
  <c r="T558" i="6"/>
  <c r="H559" i="6"/>
  <c r="J560" i="6"/>
  <c r="J561" i="6"/>
  <c r="Q562" i="6"/>
  <c r="T562" i="6"/>
  <c r="Q563" i="6"/>
  <c r="T563" i="6"/>
  <c r="H564" i="6"/>
  <c r="J565" i="6"/>
  <c r="J566" i="6"/>
  <c r="F567" i="6"/>
  <c r="Q567" i="6"/>
  <c r="T567" i="6"/>
  <c r="F568" i="6"/>
  <c r="Q568" i="6"/>
  <c r="T568" i="6"/>
  <c r="H569" i="6"/>
  <c r="J570" i="6"/>
  <c r="J571" i="6"/>
  <c r="F572" i="6"/>
  <c r="Q572" i="6"/>
  <c r="T572" i="6"/>
  <c r="F573" i="6"/>
  <c r="Q573" i="6"/>
  <c r="T573" i="6"/>
  <c r="H574" i="6"/>
  <c r="J575" i="6"/>
  <c r="J576" i="6"/>
  <c r="Q577" i="6"/>
  <c r="T577" i="6"/>
  <c r="Q578" i="6"/>
  <c r="T578" i="6"/>
  <c r="H579" i="6"/>
  <c r="J580" i="6"/>
  <c r="J581" i="6"/>
  <c r="Q582" i="6"/>
  <c r="T582" i="6"/>
  <c r="Q583" i="6"/>
  <c r="T583" i="6"/>
  <c r="H584" i="6"/>
  <c r="J585" i="6"/>
  <c r="J586" i="6"/>
  <c r="Q587" i="6"/>
  <c r="T587" i="6"/>
  <c r="Q588" i="6"/>
  <c r="T588" i="6"/>
  <c r="H589" i="6"/>
  <c r="J590" i="6"/>
  <c r="J591" i="6"/>
  <c r="Q592" i="6"/>
  <c r="T592" i="6"/>
  <c r="Q593" i="6"/>
  <c r="T593" i="6"/>
  <c r="H594" i="6"/>
  <c r="J595" i="6"/>
  <c r="J596" i="6"/>
  <c r="Q597" i="6"/>
  <c r="T597" i="6"/>
  <c r="Q598" i="6"/>
  <c r="T598" i="6"/>
  <c r="H599" i="6"/>
  <c r="J600" i="6"/>
  <c r="J601" i="6"/>
  <c r="Q602" i="6"/>
  <c r="T602" i="6"/>
  <c r="Q603" i="6"/>
  <c r="T603" i="6"/>
  <c r="H604" i="6"/>
  <c r="J605" i="6"/>
  <c r="J606" i="6"/>
  <c r="F607" i="6"/>
  <c r="Q607" i="6"/>
  <c r="T607" i="6"/>
  <c r="F608" i="6"/>
  <c r="Q608" i="6"/>
  <c r="T608" i="6"/>
  <c r="H609" i="6"/>
  <c r="J610" i="6"/>
  <c r="J611" i="6"/>
  <c r="F612" i="6"/>
  <c r="Q612" i="6"/>
  <c r="T612" i="6"/>
  <c r="F613" i="6"/>
  <c r="Q613" i="6"/>
  <c r="T613" i="6"/>
  <c r="H614" i="6"/>
  <c r="J615" i="6"/>
  <c r="J616" i="6"/>
  <c r="Q617" i="6"/>
  <c r="T617" i="6"/>
  <c r="Q618" i="6"/>
  <c r="T618" i="6"/>
  <c r="H619" i="6"/>
  <c r="J620" i="6"/>
  <c r="J621" i="6"/>
  <c r="F622" i="6"/>
  <c r="Q622" i="6"/>
  <c r="T622" i="6"/>
  <c r="F623" i="6"/>
  <c r="Q623" i="6"/>
  <c r="T623" i="6"/>
  <c r="H624" i="6"/>
  <c r="J625" i="6"/>
  <c r="J626" i="6"/>
  <c r="R627" i="6"/>
  <c r="U627" i="6"/>
  <c r="R628" i="6"/>
  <c r="U628" i="6"/>
  <c r="F629" i="6"/>
  <c r="H629" i="6"/>
  <c r="H632" i="6" s="1"/>
  <c r="J630" i="6"/>
  <c r="J631" i="6"/>
  <c r="H633" i="6"/>
  <c r="J634" i="6"/>
  <c r="H635" i="6"/>
  <c r="J638" i="6"/>
  <c r="J639" i="6"/>
  <c r="J641" i="6"/>
  <c r="J642" i="6"/>
  <c r="J643" i="6"/>
  <c r="J644" i="6"/>
  <c r="J645" i="6"/>
  <c r="J646" i="6"/>
  <c r="R647" i="6"/>
  <c r="U647" i="6"/>
  <c r="R648" i="6"/>
  <c r="U648" i="6"/>
  <c r="J649" i="6"/>
  <c r="H650" i="6"/>
  <c r="E651" i="6"/>
  <c r="J651" i="6"/>
  <c r="E652" i="6"/>
  <c r="J652" i="6"/>
  <c r="E653" i="6"/>
  <c r="J653" i="6"/>
  <c r="E654" i="6"/>
  <c r="J654" i="6"/>
  <c r="R655" i="6"/>
  <c r="U655" i="6"/>
  <c r="R656" i="6"/>
  <c r="U656" i="6"/>
  <c r="H657" i="6"/>
  <c r="E658" i="6"/>
  <c r="J658" i="6"/>
  <c r="E659" i="6"/>
  <c r="J659" i="6"/>
  <c r="R660" i="6"/>
  <c r="U660" i="6"/>
  <c r="R661" i="6"/>
  <c r="U661" i="6"/>
  <c r="H662" i="6"/>
  <c r="E663" i="6"/>
  <c r="J663" i="6"/>
  <c r="E664" i="6"/>
  <c r="J664" i="6"/>
  <c r="F665" i="6"/>
  <c r="R665" i="6"/>
  <c r="U665" i="6"/>
  <c r="F666" i="6"/>
  <c r="R666" i="6"/>
  <c r="U666" i="6"/>
  <c r="H667" i="6"/>
  <c r="E668" i="6"/>
  <c r="J668" i="6"/>
  <c r="E669" i="6"/>
  <c r="J669" i="6"/>
  <c r="R670" i="6"/>
  <c r="U670" i="6"/>
  <c r="R671" i="6"/>
  <c r="U671" i="6"/>
  <c r="H672" i="6"/>
  <c r="E673" i="6"/>
  <c r="J673" i="6"/>
  <c r="E674" i="6"/>
  <c r="J674" i="6"/>
  <c r="R675" i="6"/>
  <c r="U675" i="6"/>
  <c r="R676" i="6"/>
  <c r="U676" i="6"/>
  <c r="H677" i="6"/>
  <c r="E678" i="6"/>
  <c r="J678" i="6"/>
  <c r="E679" i="6"/>
  <c r="J679" i="6"/>
  <c r="R680" i="6"/>
  <c r="U680" i="6"/>
  <c r="R681" i="6"/>
  <c r="U681" i="6"/>
  <c r="H682" i="6"/>
  <c r="E683" i="6"/>
  <c r="J683" i="6"/>
  <c r="E684" i="6"/>
  <c r="J684" i="6"/>
  <c r="R685" i="6"/>
  <c r="U685" i="6"/>
  <c r="R686" i="6"/>
  <c r="U686" i="6"/>
  <c r="H687" i="6"/>
  <c r="E688" i="6"/>
  <c r="J688" i="6"/>
  <c r="E689" i="6"/>
  <c r="J689" i="6"/>
  <c r="R690" i="6"/>
  <c r="U690" i="6"/>
  <c r="R691" i="6"/>
  <c r="U691" i="6"/>
  <c r="H692" i="6"/>
  <c r="E693" i="6"/>
  <c r="J693" i="6"/>
  <c r="E694" i="6"/>
  <c r="J694" i="6"/>
  <c r="R695" i="6"/>
  <c r="U695" i="6"/>
  <c r="R696" i="6"/>
  <c r="U696" i="6"/>
  <c r="H697" i="6"/>
  <c r="E698" i="6"/>
  <c r="J698" i="6"/>
  <c r="E699" i="6"/>
  <c r="J699" i="6"/>
  <c r="R700" i="6"/>
  <c r="U700" i="6"/>
  <c r="R701" i="6"/>
  <c r="U701" i="6"/>
  <c r="H702" i="6"/>
  <c r="E703" i="6"/>
  <c r="J703" i="6"/>
  <c r="E704" i="6"/>
  <c r="J704" i="6"/>
  <c r="R705" i="6"/>
  <c r="U705" i="6"/>
  <c r="R706" i="6"/>
  <c r="U706" i="6"/>
  <c r="H707" i="6"/>
  <c r="E708" i="6"/>
  <c r="J708" i="6"/>
  <c r="E709" i="6"/>
  <c r="J709" i="6"/>
  <c r="R710" i="6"/>
  <c r="U710" i="6"/>
  <c r="R711" i="6"/>
  <c r="U711" i="6"/>
  <c r="H712" i="6"/>
  <c r="E713" i="6"/>
  <c r="J713" i="6"/>
  <c r="E714" i="6"/>
  <c r="J714" i="6"/>
  <c r="R715" i="6"/>
  <c r="U715" i="6"/>
  <c r="R716" i="6"/>
  <c r="U716" i="6"/>
  <c r="H717" i="6"/>
  <c r="E718" i="6"/>
  <c r="J718" i="6"/>
  <c r="E719" i="6"/>
  <c r="J719" i="6"/>
  <c r="R720" i="6"/>
  <c r="U720" i="6"/>
  <c r="R721" i="6"/>
  <c r="U721" i="6"/>
  <c r="H722" i="6"/>
  <c r="E723" i="6"/>
  <c r="J723" i="6"/>
  <c r="E724" i="6"/>
  <c r="J724" i="6"/>
  <c r="R725" i="6"/>
  <c r="U725" i="6"/>
  <c r="R726" i="6"/>
  <c r="U726" i="6"/>
  <c r="H727" i="6"/>
  <c r="E728" i="6"/>
  <c r="J728" i="6"/>
  <c r="E729" i="6"/>
  <c r="J729" i="6"/>
  <c r="R730" i="6"/>
  <c r="U730" i="6"/>
  <c r="R731" i="6"/>
  <c r="U731" i="6"/>
  <c r="H732" i="6"/>
  <c r="E733" i="6"/>
  <c r="J733" i="6"/>
  <c r="E734" i="6"/>
  <c r="J734" i="6"/>
  <c r="R735" i="6"/>
  <c r="U735" i="6"/>
  <c r="R736" i="6"/>
  <c r="U736" i="6"/>
  <c r="H737" i="6"/>
  <c r="E738" i="6"/>
  <c r="J738" i="6"/>
  <c r="E739" i="6"/>
  <c r="J739" i="6"/>
  <c r="F740" i="6"/>
  <c r="R740" i="6"/>
  <c r="U740" i="6"/>
  <c r="F741" i="6"/>
  <c r="R741" i="6"/>
  <c r="U741" i="6"/>
  <c r="H742" i="6"/>
  <c r="E743" i="6"/>
  <c r="J743" i="6"/>
  <c r="E744" i="6"/>
  <c r="J744" i="6"/>
  <c r="F745" i="6"/>
  <c r="R745" i="6"/>
  <c r="U745" i="6"/>
  <c r="F746" i="6"/>
  <c r="R746" i="6"/>
  <c r="U746" i="6"/>
  <c r="H747" i="6"/>
  <c r="E748" i="6"/>
  <c r="J748" i="6"/>
  <c r="J749" i="6"/>
  <c r="H750" i="6"/>
  <c r="H751" i="6"/>
  <c r="J752" i="6"/>
  <c r="E754" i="6"/>
  <c r="J754" i="6"/>
  <c r="E755" i="6"/>
  <c r="J755" i="6"/>
  <c r="E756" i="6"/>
  <c r="J756" i="6"/>
  <c r="E757" i="6"/>
  <c r="J757" i="6"/>
  <c r="R758" i="6"/>
  <c r="U758" i="6"/>
  <c r="R759" i="6"/>
  <c r="U759" i="6"/>
  <c r="H760" i="6"/>
  <c r="E761" i="6"/>
  <c r="J761" i="6"/>
  <c r="E762" i="6"/>
  <c r="J762" i="6"/>
  <c r="R763" i="6"/>
  <c r="U763" i="6"/>
  <c r="R764" i="6"/>
  <c r="U764" i="6"/>
  <c r="H765" i="6"/>
  <c r="E766" i="6"/>
  <c r="J766" i="6"/>
  <c r="E767" i="6"/>
  <c r="J767" i="6"/>
  <c r="R768" i="6"/>
  <c r="U768" i="6"/>
  <c r="R769" i="6"/>
  <c r="U769" i="6"/>
  <c r="H770" i="6"/>
  <c r="E771" i="6"/>
  <c r="J771" i="6"/>
  <c r="E772" i="6"/>
  <c r="J772" i="6"/>
  <c r="R773" i="6"/>
  <c r="U773" i="6"/>
  <c r="R774" i="6"/>
  <c r="U774" i="6"/>
  <c r="H775" i="6"/>
  <c r="E776" i="6"/>
  <c r="J776" i="6"/>
  <c r="E777" i="6"/>
  <c r="J777" i="6"/>
  <c r="R778" i="6"/>
  <c r="U778" i="6"/>
  <c r="R779" i="6"/>
  <c r="U779" i="6"/>
  <c r="H780" i="6"/>
  <c r="E781" i="6"/>
  <c r="J781" i="6"/>
  <c r="E782" i="6"/>
  <c r="J782" i="6"/>
  <c r="R783" i="6"/>
  <c r="U783" i="6"/>
  <c r="R784" i="6"/>
  <c r="U784" i="6"/>
  <c r="H785" i="6"/>
  <c r="E786" i="6"/>
  <c r="J786" i="6"/>
  <c r="E787" i="6"/>
  <c r="J787" i="6"/>
  <c r="F788" i="6"/>
  <c r="Q788" i="6"/>
  <c r="T788" i="6"/>
  <c r="F789" i="6"/>
  <c r="Q789" i="6"/>
  <c r="T789" i="6"/>
  <c r="H790" i="6"/>
  <c r="E791" i="6"/>
  <c r="J791" i="6"/>
  <c r="E792" i="6"/>
  <c r="J792" i="6"/>
  <c r="F793" i="6"/>
  <c r="Q793" i="6"/>
  <c r="T793" i="6"/>
  <c r="F794" i="6"/>
  <c r="Q794" i="6"/>
  <c r="T794" i="6"/>
  <c r="H795" i="6"/>
  <c r="E796" i="6"/>
  <c r="J796" i="6"/>
  <c r="E797" i="6"/>
  <c r="J797" i="6"/>
  <c r="F798" i="6"/>
  <c r="R798" i="6"/>
  <c r="U798" i="6"/>
  <c r="F799" i="6"/>
  <c r="R799" i="6"/>
  <c r="U799" i="6"/>
  <c r="H800" i="6"/>
  <c r="E801" i="6"/>
  <c r="J801" i="6"/>
  <c r="J802" i="6"/>
  <c r="H803" i="6"/>
  <c r="H804" i="6"/>
  <c r="J805" i="6"/>
  <c r="E807" i="6"/>
  <c r="J807" i="6"/>
  <c r="E808" i="6"/>
  <c r="J808" i="6"/>
  <c r="E809" i="6"/>
  <c r="J809" i="6"/>
  <c r="E810" i="6"/>
  <c r="J810" i="6"/>
  <c r="R811" i="6"/>
  <c r="U811" i="6"/>
  <c r="R812" i="6"/>
  <c r="U812" i="6"/>
  <c r="H813" i="6"/>
  <c r="E814" i="6"/>
  <c r="J814" i="6"/>
  <c r="J815" i="6"/>
  <c r="R816" i="6"/>
  <c r="U816" i="6"/>
  <c r="R817" i="6"/>
  <c r="U817" i="6"/>
  <c r="H818" i="6"/>
  <c r="E819" i="6"/>
  <c r="J819" i="6"/>
  <c r="E820" i="6"/>
  <c r="J820" i="6"/>
  <c r="R821" i="6"/>
  <c r="U821" i="6"/>
  <c r="R822" i="6"/>
  <c r="U822" i="6"/>
  <c r="H823" i="6"/>
  <c r="E824" i="6"/>
  <c r="J824" i="6"/>
  <c r="E825" i="6"/>
  <c r="J825" i="6"/>
  <c r="F826" i="6"/>
  <c r="R826" i="6"/>
  <c r="U826" i="6"/>
  <c r="F827" i="6"/>
  <c r="R827" i="6"/>
  <c r="U827" i="6"/>
  <c r="H828" i="6"/>
  <c r="E829" i="6"/>
  <c r="J829" i="6"/>
  <c r="J830" i="6"/>
  <c r="H831" i="6"/>
  <c r="H832" i="6"/>
  <c r="J833" i="6"/>
  <c r="E835" i="6"/>
  <c r="J835" i="6"/>
  <c r="E836" i="6"/>
  <c r="J836" i="6"/>
  <c r="E837" i="6"/>
  <c r="J837" i="6"/>
  <c r="E838" i="6"/>
  <c r="J838" i="6"/>
  <c r="R839" i="6"/>
  <c r="U839" i="6"/>
  <c r="R840" i="6"/>
  <c r="U840" i="6"/>
  <c r="E842" i="6"/>
  <c r="J842" i="6"/>
  <c r="E843" i="6"/>
  <c r="J843" i="6"/>
  <c r="R844" i="6"/>
  <c r="U844" i="6"/>
  <c r="R845" i="6"/>
  <c r="U845" i="6"/>
  <c r="E847" i="6"/>
  <c r="J847" i="6"/>
  <c r="J848" i="6"/>
  <c r="R849" i="6"/>
  <c r="U849" i="6"/>
  <c r="R850" i="6"/>
  <c r="U850" i="6"/>
  <c r="J852" i="6"/>
  <c r="E853" i="6"/>
  <c r="J853" i="6"/>
  <c r="R854" i="6"/>
  <c r="U854" i="6"/>
  <c r="R855" i="6"/>
  <c r="U855" i="6"/>
  <c r="E857" i="6"/>
  <c r="J857" i="6"/>
  <c r="E858" i="6"/>
  <c r="J858" i="6"/>
  <c r="R859" i="6"/>
  <c r="U859" i="6"/>
  <c r="R860" i="6"/>
  <c r="U860" i="6"/>
  <c r="E862" i="6"/>
  <c r="J862" i="6"/>
  <c r="E863" i="6"/>
  <c r="J863" i="6"/>
  <c r="R864" i="6"/>
  <c r="U864" i="6"/>
  <c r="R865" i="6"/>
  <c r="U865" i="6"/>
  <c r="E867" i="6"/>
  <c r="J867" i="6"/>
  <c r="J868" i="6"/>
  <c r="R869" i="6"/>
  <c r="U869" i="6"/>
  <c r="R870" i="6"/>
  <c r="U870" i="6"/>
  <c r="J872" i="6"/>
  <c r="E873" i="6"/>
  <c r="J873" i="6"/>
  <c r="R874" i="6"/>
  <c r="U874" i="6"/>
  <c r="R875" i="6"/>
  <c r="U875" i="6"/>
  <c r="E877" i="6"/>
  <c r="J877" i="6"/>
  <c r="E878" i="6"/>
  <c r="J878" i="6"/>
  <c r="R879" i="6"/>
  <c r="U879" i="6"/>
  <c r="R880" i="6"/>
  <c r="U880" i="6"/>
  <c r="E882" i="6"/>
  <c r="J882" i="6"/>
  <c r="E883" i="6"/>
  <c r="J883" i="6"/>
  <c r="R884" i="6"/>
  <c r="U884" i="6"/>
  <c r="R885" i="6"/>
  <c r="U885" i="6"/>
  <c r="J887" i="6"/>
  <c r="E888" i="6"/>
  <c r="J888" i="6"/>
  <c r="R889" i="6"/>
  <c r="U889" i="6"/>
  <c r="R890" i="6"/>
  <c r="U890" i="6"/>
  <c r="J892" i="6"/>
  <c r="E893" i="6"/>
  <c r="J893" i="6"/>
  <c r="R894" i="6"/>
  <c r="U894" i="6"/>
  <c r="R895" i="6"/>
  <c r="U895" i="6"/>
  <c r="E897" i="6"/>
  <c r="J897" i="6"/>
  <c r="E898" i="6"/>
  <c r="J898" i="6"/>
  <c r="H899" i="6"/>
  <c r="H900" i="6"/>
  <c r="E901" i="6"/>
  <c r="J901" i="6"/>
  <c r="H902" i="6"/>
  <c r="L902" i="6"/>
  <c r="E903" i="6"/>
  <c r="J903" i="6"/>
  <c r="J904" i="6"/>
  <c r="E906" i="6"/>
  <c r="J906" i="6"/>
  <c r="E907" i="6"/>
  <c r="J907" i="6"/>
  <c r="E908" i="6"/>
  <c r="J908" i="6"/>
  <c r="E909" i="6"/>
  <c r="J909" i="6"/>
  <c r="E910" i="6"/>
  <c r="J910" i="6"/>
  <c r="E911" i="6"/>
  <c r="J911" i="6"/>
  <c r="E912" i="6"/>
  <c r="J912" i="6"/>
  <c r="R913" i="6"/>
  <c r="T913" i="6"/>
  <c r="R914" i="6"/>
  <c r="U914" i="6"/>
  <c r="R915" i="6"/>
  <c r="U915" i="6"/>
  <c r="R916" i="6"/>
  <c r="U916" i="6"/>
  <c r="H917" i="6"/>
  <c r="E918" i="6"/>
  <c r="J918" i="6"/>
  <c r="E919" i="6"/>
  <c r="J919" i="6"/>
  <c r="R920" i="6"/>
  <c r="T920" i="6"/>
  <c r="R921" i="6"/>
  <c r="U921" i="6"/>
  <c r="R922" i="6"/>
  <c r="U922" i="6"/>
  <c r="R923" i="6"/>
  <c r="U923" i="6"/>
  <c r="H924" i="6"/>
  <c r="E925" i="6"/>
  <c r="J925" i="6"/>
  <c r="F927" i="6"/>
  <c r="G927" i="6"/>
  <c r="W914" i="3" s="1"/>
  <c r="H927" i="6"/>
  <c r="I927" i="6"/>
  <c r="J927" i="6" s="1"/>
  <c r="E928" i="6"/>
  <c r="J928" i="6"/>
  <c r="E929" i="6"/>
  <c r="J929" i="6"/>
  <c r="Q929" i="6"/>
  <c r="R929" i="6"/>
  <c r="T929" i="6"/>
  <c r="U929" i="6"/>
  <c r="R930" i="6"/>
  <c r="U930" i="6"/>
  <c r="R931" i="6"/>
  <c r="U931" i="6"/>
  <c r="R932" i="6"/>
  <c r="U932" i="6"/>
  <c r="R933" i="6"/>
  <c r="U933" i="6"/>
  <c r="H934" i="6"/>
  <c r="E935" i="6"/>
  <c r="J935" i="6"/>
  <c r="E937" i="6"/>
  <c r="J937" i="6"/>
  <c r="Q938" i="6"/>
  <c r="R938" i="6"/>
  <c r="T938" i="6"/>
  <c r="U938" i="6"/>
  <c r="J939" i="6"/>
  <c r="Q940" i="6"/>
  <c r="R940" i="6"/>
  <c r="T940" i="6"/>
  <c r="U940" i="6"/>
  <c r="E941" i="6"/>
  <c r="J941" i="6"/>
  <c r="Q942" i="6"/>
  <c r="R942" i="6"/>
  <c r="T942" i="6"/>
  <c r="U942" i="6"/>
  <c r="E943" i="6"/>
  <c r="J943" i="6"/>
  <c r="F944" i="6"/>
  <c r="Q944" i="6"/>
  <c r="R944" i="6"/>
  <c r="T944" i="6"/>
  <c r="U944" i="6"/>
  <c r="E945" i="6"/>
  <c r="J945" i="6"/>
  <c r="E946" i="6"/>
  <c r="J946" i="6"/>
  <c r="E947" i="6"/>
  <c r="J947" i="6"/>
  <c r="E948" i="6"/>
  <c r="J948" i="6"/>
  <c r="E949" i="6"/>
  <c r="J949" i="6"/>
  <c r="E951" i="6"/>
  <c r="J951" i="6"/>
  <c r="E952" i="6"/>
  <c r="J952" i="6"/>
  <c r="E954" i="6"/>
  <c r="J954" i="6"/>
  <c r="E955" i="6"/>
  <c r="J955" i="6"/>
  <c r="E957" i="6"/>
  <c r="J957" i="6"/>
  <c r="E958" i="6"/>
  <c r="J958" i="6"/>
  <c r="E959" i="6"/>
  <c r="J959" i="6"/>
  <c r="E960" i="6"/>
  <c r="J960" i="6"/>
  <c r="E961" i="6"/>
  <c r="J961" i="6"/>
  <c r="E962" i="6"/>
  <c r="J962" i="6"/>
  <c r="E963" i="6"/>
  <c r="J963" i="6"/>
  <c r="E964" i="6"/>
  <c r="J964" i="6"/>
  <c r="E965" i="6"/>
  <c r="J965" i="6"/>
  <c r="R966" i="6"/>
  <c r="R969" i="6" s="1"/>
  <c r="U966" i="6"/>
  <c r="U969" i="6" s="1"/>
  <c r="R967" i="6"/>
  <c r="U967" i="6"/>
  <c r="E970" i="6"/>
  <c r="J970" i="6"/>
  <c r="E971" i="6"/>
  <c r="J971" i="6"/>
  <c r="R972" i="6"/>
  <c r="T972" i="6"/>
  <c r="R973" i="6"/>
  <c r="T973" i="6"/>
  <c r="R974" i="6"/>
  <c r="T974" i="6"/>
  <c r="R975" i="6"/>
  <c r="T975" i="6"/>
  <c r="R976" i="6"/>
  <c r="T976" i="6"/>
  <c r="R977" i="6"/>
  <c r="T977" i="6"/>
  <c r="R978" i="6"/>
  <c r="T978" i="6"/>
  <c r="E979" i="6"/>
  <c r="J979" i="6"/>
  <c r="E981" i="6"/>
  <c r="J981" i="6"/>
  <c r="E982" i="6"/>
  <c r="J982" i="6"/>
  <c r="E993" i="6"/>
  <c r="J993" i="6"/>
  <c r="R994" i="6"/>
  <c r="U994" i="6"/>
  <c r="R995" i="6"/>
  <c r="U995" i="6"/>
  <c r="E997" i="6"/>
  <c r="J997" i="6"/>
  <c r="E998" i="6"/>
  <c r="J998" i="6"/>
  <c r="R999" i="6"/>
  <c r="U999" i="6"/>
  <c r="R1000" i="6"/>
  <c r="U1000" i="6"/>
  <c r="E1002" i="6"/>
  <c r="J1002" i="6"/>
  <c r="E1003" i="6"/>
  <c r="J1003" i="6"/>
  <c r="E1004" i="6"/>
  <c r="J1004" i="6"/>
  <c r="E1005" i="6"/>
  <c r="J1005" i="6"/>
  <c r="E1006" i="6"/>
  <c r="J1006" i="6"/>
  <c r="R1007" i="6"/>
  <c r="U1007" i="6"/>
  <c r="E1008" i="6"/>
  <c r="J1008" i="6"/>
  <c r="E1009" i="6"/>
  <c r="J1009" i="6"/>
  <c r="E1010" i="6"/>
  <c r="J1010" i="6"/>
  <c r="R1011" i="6"/>
  <c r="U1011" i="6"/>
  <c r="H1012" i="6"/>
  <c r="H1044" i="6" s="1"/>
  <c r="E1013" i="6"/>
  <c r="J1013" i="6"/>
  <c r="E1014" i="6"/>
  <c r="J1014" i="6"/>
  <c r="R1015" i="6"/>
  <c r="U1015" i="6"/>
  <c r="R1016" i="6"/>
  <c r="U1016" i="6"/>
  <c r="E1018" i="6"/>
  <c r="J1018" i="6"/>
  <c r="E1019" i="6"/>
  <c r="J1019" i="6"/>
  <c r="R1020" i="6"/>
  <c r="U1020" i="6"/>
  <c r="R1021" i="6"/>
  <c r="U1021" i="6"/>
  <c r="E1023" i="6"/>
  <c r="J1023" i="6"/>
  <c r="E1024" i="6"/>
  <c r="J1024" i="6"/>
  <c r="R1025" i="6"/>
  <c r="U1025" i="6"/>
  <c r="R1026" i="6"/>
  <c r="U1026" i="6"/>
  <c r="E1028" i="6"/>
  <c r="J1028" i="6"/>
  <c r="E1029" i="6"/>
  <c r="J1029" i="6"/>
  <c r="R1030" i="6"/>
  <c r="U1030" i="6"/>
  <c r="R1031" i="6"/>
  <c r="U1031" i="6"/>
  <c r="E1033" i="6"/>
  <c r="J1033" i="6"/>
  <c r="E1034" i="6"/>
  <c r="J1034" i="6"/>
  <c r="R1035" i="6"/>
  <c r="U1035" i="6"/>
  <c r="R1036" i="6"/>
  <c r="U1036" i="6"/>
  <c r="E1038" i="6"/>
  <c r="J1038" i="6"/>
  <c r="E1039" i="6"/>
  <c r="J1039" i="6"/>
  <c r="R1040" i="6"/>
  <c r="U1040" i="6"/>
  <c r="R1041" i="6"/>
  <c r="U1041" i="6"/>
  <c r="E1043" i="6"/>
  <c r="J1043" i="6"/>
  <c r="E1045" i="6"/>
  <c r="J1045" i="6"/>
  <c r="E1046" i="6"/>
  <c r="J1046" i="6"/>
  <c r="E1047" i="6"/>
  <c r="J1047" i="6"/>
  <c r="U1048" i="6"/>
  <c r="U1049" i="6"/>
  <c r="U1050" i="6"/>
  <c r="E1051" i="6"/>
  <c r="J1051" i="6"/>
  <c r="E1052" i="6"/>
  <c r="J1052" i="6"/>
  <c r="R1053" i="6"/>
  <c r="U1053" i="6"/>
  <c r="R1054" i="6"/>
  <c r="U1054" i="6"/>
  <c r="R1055" i="6"/>
  <c r="U1055" i="6"/>
  <c r="R1056" i="6"/>
  <c r="U1056" i="6"/>
  <c r="E1057" i="6"/>
  <c r="J1057" i="6"/>
  <c r="E1058" i="6"/>
  <c r="J1058" i="6"/>
  <c r="R1059" i="6"/>
  <c r="U1059" i="6"/>
  <c r="R1060" i="6"/>
  <c r="U1060" i="6"/>
  <c r="R1061" i="6"/>
  <c r="U1061" i="6"/>
  <c r="R1062" i="6"/>
  <c r="U1062" i="6"/>
  <c r="E1063" i="6"/>
  <c r="J1063" i="6"/>
  <c r="G1064" i="6"/>
  <c r="W1045" i="3" s="1"/>
  <c r="R1065" i="6"/>
  <c r="U1065" i="6"/>
  <c r="R1066" i="6"/>
  <c r="U1066" i="6"/>
  <c r="R1067" i="6"/>
  <c r="U1067" i="6"/>
  <c r="R1068" i="6"/>
  <c r="U1068" i="6"/>
  <c r="E1069" i="6"/>
  <c r="J1069" i="6"/>
  <c r="E1070" i="6"/>
  <c r="J1070" i="6"/>
  <c r="R1071" i="6"/>
  <c r="U1071" i="6"/>
  <c r="R1072" i="6"/>
  <c r="U1072" i="6"/>
  <c r="R1073" i="6"/>
  <c r="U1073" i="6"/>
  <c r="E1074" i="6"/>
  <c r="J1074" i="6"/>
  <c r="E1075" i="6"/>
  <c r="J1075" i="6"/>
  <c r="R1076" i="6"/>
  <c r="U1076" i="6"/>
  <c r="R1077" i="6"/>
  <c r="U1077" i="6"/>
  <c r="R1078" i="6"/>
  <c r="U1078" i="6"/>
  <c r="R1079" i="6"/>
  <c r="U1079" i="6"/>
  <c r="E1080" i="6"/>
  <c r="J1080" i="6"/>
  <c r="E1081" i="6"/>
  <c r="J1081" i="6"/>
  <c r="R1082" i="6"/>
  <c r="U1082" i="6"/>
  <c r="R1083" i="6"/>
  <c r="U1083" i="6"/>
  <c r="R1084" i="6"/>
  <c r="U1084" i="6"/>
  <c r="R1085" i="6"/>
  <c r="U1085" i="6"/>
  <c r="E1086" i="6"/>
  <c r="J1086" i="6"/>
  <c r="E1087" i="6"/>
  <c r="J1087" i="6"/>
  <c r="R1088" i="6"/>
  <c r="U1088" i="6"/>
  <c r="R1089" i="6"/>
  <c r="U1089" i="6"/>
  <c r="R1090" i="6"/>
  <c r="U1090" i="6"/>
  <c r="R1091" i="6"/>
  <c r="U1091" i="6"/>
  <c r="E1092" i="6"/>
  <c r="J1092" i="6"/>
  <c r="J1093" i="6"/>
  <c r="R1094" i="6"/>
  <c r="U1094" i="6"/>
  <c r="R1095" i="6"/>
  <c r="U1095" i="6"/>
  <c r="R1096" i="6"/>
  <c r="U1096" i="6"/>
  <c r="J1097" i="6"/>
  <c r="J1098" i="6"/>
  <c r="R1099" i="6"/>
  <c r="U1099" i="6"/>
  <c r="R1100" i="6"/>
  <c r="U1100" i="6"/>
  <c r="R1101" i="6"/>
  <c r="U1101" i="6"/>
  <c r="R1102" i="6"/>
  <c r="U1102" i="6"/>
  <c r="E1103" i="6"/>
  <c r="J1103" i="6"/>
  <c r="H1104" i="6"/>
  <c r="H1111" i="6" s="1"/>
  <c r="H1151" i="6" s="1"/>
  <c r="E1105" i="6"/>
  <c r="J1105" i="6"/>
  <c r="E1106" i="6"/>
  <c r="J1106" i="6"/>
  <c r="E1107" i="6"/>
  <c r="J1107" i="6"/>
  <c r="H1108" i="6"/>
  <c r="H1148" i="6" s="1"/>
  <c r="H1149" i="6"/>
  <c r="H1150" i="6"/>
  <c r="E1113" i="6"/>
  <c r="J1113" i="6"/>
  <c r="E1114" i="6"/>
  <c r="J1114" i="6"/>
  <c r="R1115" i="6"/>
  <c r="R1116" i="6" s="1"/>
  <c r="U1115" i="6"/>
  <c r="U1116" i="6" s="1"/>
  <c r="H1116" i="6"/>
  <c r="E1117" i="6"/>
  <c r="J1117" i="6"/>
  <c r="E1118" i="6"/>
  <c r="J1118" i="6"/>
  <c r="R1119" i="6"/>
  <c r="U1119" i="6"/>
  <c r="R1120" i="6"/>
  <c r="U1120" i="6"/>
  <c r="R1121" i="6"/>
  <c r="U1121" i="6"/>
  <c r="R1122" i="6"/>
  <c r="U1122" i="6"/>
  <c r="H1123" i="6"/>
  <c r="J1124" i="6"/>
  <c r="J1125" i="6"/>
  <c r="R1126" i="6"/>
  <c r="T1126" i="6"/>
  <c r="R1127" i="6"/>
  <c r="U1127" i="6"/>
  <c r="R1128" i="6"/>
  <c r="U1128" i="6"/>
  <c r="R1129" i="6"/>
  <c r="U1129" i="6"/>
  <c r="H1130" i="6"/>
  <c r="E1131" i="6"/>
  <c r="J1131" i="6"/>
  <c r="E1132" i="6"/>
  <c r="J1132" i="6"/>
  <c r="R1133" i="6"/>
  <c r="T1133" i="6"/>
  <c r="R1134" i="6"/>
  <c r="U1134" i="6"/>
  <c r="R1135" i="6"/>
  <c r="U1135" i="6"/>
  <c r="R1136" i="6"/>
  <c r="U1136" i="6"/>
  <c r="H1137" i="6"/>
  <c r="E1138" i="6"/>
  <c r="J1138" i="6"/>
  <c r="E1146" i="6"/>
  <c r="J1146" i="6"/>
  <c r="E1147" i="6"/>
  <c r="J1147" i="6"/>
  <c r="J1152" i="6"/>
  <c r="E1153" i="6"/>
  <c r="J1153" i="6"/>
  <c r="E1155" i="6"/>
  <c r="J1155" i="6"/>
  <c r="E1156" i="6"/>
  <c r="J1156" i="6"/>
  <c r="E1157" i="6"/>
  <c r="J1157" i="6"/>
  <c r="E1158" i="6"/>
  <c r="J1158" i="6"/>
  <c r="J1159" i="6"/>
  <c r="R1160" i="6"/>
  <c r="U1160" i="6"/>
  <c r="R1161" i="6"/>
  <c r="U1161" i="6"/>
  <c r="H1162" i="6"/>
  <c r="E1163" i="6"/>
  <c r="J1163" i="6"/>
  <c r="E1164" i="6"/>
  <c r="J1164" i="6"/>
  <c r="R1165" i="6"/>
  <c r="R1166" i="6" s="1"/>
  <c r="U1165" i="6"/>
  <c r="U1166" i="6" s="1"/>
  <c r="H1166" i="6"/>
  <c r="E1167" i="6"/>
  <c r="J1167" i="6"/>
  <c r="E1168" i="6"/>
  <c r="J1168" i="6"/>
  <c r="R1169" i="6"/>
  <c r="R1170" i="6" s="1"/>
  <c r="U1169" i="6"/>
  <c r="U1170" i="6" s="1"/>
  <c r="H1170" i="6"/>
  <c r="J1171" i="6"/>
  <c r="E1172" i="6"/>
  <c r="J1172" i="6"/>
  <c r="R1173" i="6"/>
  <c r="T1173" i="6"/>
  <c r="R1174" i="6"/>
  <c r="U1174" i="6"/>
  <c r="R1175" i="6"/>
  <c r="U1175" i="6"/>
  <c r="R1176" i="6"/>
  <c r="U1176" i="6"/>
  <c r="H1177" i="6"/>
  <c r="E1178" i="6"/>
  <c r="J1178" i="6"/>
  <c r="E1179" i="6"/>
  <c r="J1179" i="6"/>
  <c r="R1180" i="6"/>
  <c r="T1180" i="6"/>
  <c r="R1181" i="6"/>
  <c r="U1181" i="6"/>
  <c r="R1182" i="6"/>
  <c r="U1182" i="6"/>
  <c r="R1183" i="6"/>
  <c r="U1183" i="6"/>
  <c r="H1184" i="6"/>
  <c r="E1185" i="6"/>
  <c r="J1185" i="6"/>
  <c r="E1186" i="6"/>
  <c r="J1186" i="6"/>
  <c r="R1187" i="6"/>
  <c r="U1187" i="6"/>
  <c r="R1188" i="6"/>
  <c r="U1188" i="6"/>
  <c r="H1189" i="6"/>
  <c r="E1190" i="6"/>
  <c r="J1190" i="6"/>
  <c r="E1191" i="6"/>
  <c r="J1191" i="6"/>
  <c r="R1192" i="6"/>
  <c r="U1192" i="6"/>
  <c r="R1193" i="6"/>
  <c r="U1193" i="6"/>
  <c r="U1194" i="6" s="1"/>
  <c r="H1194" i="6"/>
  <c r="E1195" i="6"/>
  <c r="J1195" i="6"/>
  <c r="E1196" i="6"/>
  <c r="J1196" i="6"/>
  <c r="R1197" i="6"/>
  <c r="R1198" i="6" s="1"/>
  <c r="U1197" i="6"/>
  <c r="U1198" i="6" s="1"/>
  <c r="H1198" i="6"/>
  <c r="E1199" i="6"/>
  <c r="J1199" i="6"/>
  <c r="E1200" i="6"/>
  <c r="J1200" i="6"/>
  <c r="R1201" i="6"/>
  <c r="T1201" i="6"/>
  <c r="R1202" i="6"/>
  <c r="U1202" i="6"/>
  <c r="R1203" i="6"/>
  <c r="U1203" i="6"/>
  <c r="R1204" i="6"/>
  <c r="U1204" i="6"/>
  <c r="H1205" i="6"/>
  <c r="E1206" i="6"/>
  <c r="J1206" i="6"/>
  <c r="E1207" i="6"/>
  <c r="J1207" i="6"/>
  <c r="R1208" i="6"/>
  <c r="T1208" i="6"/>
  <c r="R1209" i="6"/>
  <c r="U1209" i="6"/>
  <c r="R1210" i="6"/>
  <c r="U1210" i="6"/>
  <c r="R1211" i="6"/>
  <c r="U1211" i="6"/>
  <c r="H1212" i="6"/>
  <c r="E1213" i="6"/>
  <c r="J1213" i="6"/>
  <c r="J1214" i="6"/>
  <c r="R1215" i="6"/>
  <c r="T1215" i="6"/>
  <c r="R1216" i="6"/>
  <c r="U1216" i="6"/>
  <c r="R1217" i="6"/>
  <c r="U1217" i="6"/>
  <c r="R1218" i="6"/>
  <c r="U1218" i="6"/>
  <c r="H1219" i="6"/>
  <c r="J1220" i="6"/>
  <c r="E1221" i="6"/>
  <c r="J1221" i="6"/>
  <c r="F1223" i="6"/>
  <c r="F69" i="654" s="1"/>
  <c r="R1222" i="6"/>
  <c r="R1223" i="6" s="1"/>
  <c r="U1222" i="6"/>
  <c r="U1223" i="6" s="1"/>
  <c r="H1223" i="6"/>
  <c r="H69" i="2" s="1"/>
  <c r="E1224" i="6"/>
  <c r="J1224" i="6"/>
  <c r="E1225" i="6"/>
  <c r="J1225" i="6"/>
  <c r="H1226" i="6"/>
  <c r="H1227" i="6"/>
  <c r="H1228" i="6"/>
  <c r="H1229" i="6"/>
  <c r="E1230" i="6"/>
  <c r="J1230" i="6"/>
  <c r="J1231" i="6"/>
  <c r="E1233" i="6"/>
  <c r="J1233" i="6"/>
  <c r="E1234" i="6"/>
  <c r="J1234" i="6"/>
  <c r="E1239" i="6"/>
  <c r="J1239" i="6"/>
  <c r="J1240" i="6"/>
  <c r="E1242" i="6"/>
  <c r="J1242" i="6"/>
  <c r="J1243" i="6"/>
  <c r="E1244" i="6"/>
  <c r="J1244" i="6"/>
  <c r="E1245" i="6"/>
  <c r="J1245" i="6"/>
  <c r="J1248" i="6"/>
  <c r="N1248" i="6"/>
  <c r="E1251" i="6"/>
  <c r="J1251" i="6"/>
  <c r="N1251" i="6"/>
  <c r="E1252" i="6"/>
  <c r="J1252" i="6"/>
  <c r="N1252" i="6"/>
  <c r="F1253" i="6"/>
  <c r="G1253" i="6"/>
  <c r="H1253" i="6"/>
  <c r="I1253" i="6"/>
  <c r="J1253" i="6" s="1"/>
  <c r="M1253" i="6"/>
  <c r="F1254" i="6"/>
  <c r="G1254" i="6"/>
  <c r="E1254" i="6" s="1"/>
  <c r="H1254" i="6"/>
  <c r="I1254" i="6"/>
  <c r="J1254" i="6" s="1"/>
  <c r="M1254" i="6"/>
  <c r="E1255" i="6"/>
  <c r="J1255" i="6"/>
  <c r="E1257" i="6"/>
  <c r="J1257" i="6"/>
  <c r="E1259" i="6"/>
  <c r="J1259" i="6"/>
  <c r="E1261" i="6"/>
  <c r="J1261" i="6"/>
  <c r="E1262" i="6"/>
  <c r="J1262" i="6"/>
  <c r="R1263" i="6"/>
  <c r="U1263" i="6"/>
  <c r="J1264" i="6"/>
  <c r="E1265" i="6"/>
  <c r="J1265" i="6"/>
  <c r="E1266" i="6"/>
  <c r="J1266" i="6"/>
  <c r="E1271" i="6"/>
  <c r="J1271" i="6"/>
  <c r="E1272" i="6"/>
  <c r="J1272" i="6"/>
  <c r="A1" i="2"/>
  <c r="F6" i="2"/>
  <c r="H6" i="2"/>
  <c r="I6" i="2"/>
  <c r="H7" i="2"/>
  <c r="I7" i="2"/>
  <c r="H8" i="2"/>
  <c r="I8" i="2"/>
  <c r="A12" i="2"/>
  <c r="A13" i="2" s="1"/>
  <c r="A14" i="2" s="1"/>
  <c r="A15" i="2" s="1"/>
  <c r="A16" i="2" s="1"/>
  <c r="A17" i="2" s="1"/>
  <c r="A18" i="2" s="1"/>
  <c r="A20" i="2" s="1"/>
  <c r="A21" i="2" s="1"/>
  <c r="A22" i="2" s="1"/>
  <c r="A23" i="2" s="1"/>
  <c r="A24" i="2" s="1"/>
  <c r="A26" i="2" s="1"/>
  <c r="A27" i="2" s="1"/>
  <c r="A28" i="2" s="1"/>
  <c r="A29" i="2" s="1"/>
  <c r="A30" i="2" s="1"/>
  <c r="A31" i="2" s="1"/>
  <c r="A32" i="2" s="1"/>
  <c r="A34" i="2" s="1"/>
  <c r="A35" i="2" s="1"/>
  <c r="A36" i="2" s="1"/>
  <c r="A37" i="2" s="1"/>
  <c r="A38" i="2" s="1"/>
  <c r="A41" i="2" s="1"/>
  <c r="A44" i="2" s="1"/>
  <c r="A47" i="2" s="1"/>
  <c r="A49" i="2" s="1"/>
  <c r="A50" i="2" s="1"/>
  <c r="A51" i="2" s="1"/>
  <c r="A52" i="2" s="1"/>
  <c r="A53" i="2" s="1"/>
  <c r="A54" i="2" s="1"/>
  <c r="L14" i="2"/>
  <c r="L15" i="2"/>
  <c r="L16" i="2"/>
  <c r="L22" i="2"/>
  <c r="L23" i="2"/>
  <c r="J24" i="2"/>
  <c r="K24" i="2"/>
  <c r="E25" i="2"/>
  <c r="K71" i="2"/>
  <c r="A1" i="5"/>
  <c r="F4" i="5"/>
  <c r="A10" i="5"/>
  <c r="A11" i="5" s="1"/>
  <c r="A12" i="5" s="1"/>
  <c r="A13" i="5" s="1"/>
  <c r="A14" i="5" s="1"/>
  <c r="A15" i="5" s="1"/>
  <c r="A16" i="5" s="1"/>
  <c r="A18" i="5" s="1"/>
  <c r="A19" i="5" s="1"/>
  <c r="A20" i="5" s="1"/>
  <c r="A21" i="5" s="1"/>
  <c r="A22" i="5" s="1"/>
  <c r="A24" i="5" s="1"/>
  <c r="A25" i="5" s="1"/>
  <c r="A26" i="5" s="1"/>
  <c r="A28" i="5" s="1"/>
  <c r="A29" i="5" s="1"/>
  <c r="A30" i="5" s="1"/>
  <c r="A31" i="5" s="1"/>
  <c r="A32" i="5" s="1"/>
  <c r="A33" i="5" s="1"/>
  <c r="A34" i="5" s="1"/>
  <c r="A36" i="5" s="1"/>
  <c r="A37" i="5" s="1"/>
  <c r="A38" i="5" s="1"/>
  <c r="A39" i="5" s="1"/>
  <c r="A40" i="5" s="1"/>
  <c r="A43" i="5" s="1"/>
  <c r="A46" i="5" s="1"/>
  <c r="A49" i="5" s="1"/>
  <c r="A51" i="5" s="1"/>
  <c r="A52" i="5" s="1"/>
  <c r="A53" i="5" s="1"/>
  <c r="A54" i="5" s="1"/>
  <c r="A55" i="5" s="1"/>
  <c r="A56" i="5" s="1"/>
  <c r="E10" i="1"/>
  <c r="I10" i="1"/>
  <c r="K10" i="1"/>
  <c r="H16" i="1"/>
  <c r="J16" i="1"/>
  <c r="F329" i="15"/>
  <c r="M329" i="15" s="1"/>
  <c r="F309" i="6"/>
  <c r="F270" i="6"/>
  <c r="F323" i="15"/>
  <c r="M323" i="15" s="1"/>
  <c r="F338" i="15"/>
  <c r="M338" i="15" s="1"/>
  <c r="F328" i="15"/>
  <c r="M328" i="15" s="1"/>
  <c r="V8" i="4"/>
  <c r="AL235" i="4"/>
  <c r="F347" i="15"/>
  <c r="M347" i="15" s="1"/>
  <c r="V235" i="4"/>
  <c r="Y236" i="4"/>
  <c r="G345" i="6"/>
  <c r="W345" i="3" s="1"/>
  <c r="M326" i="15"/>
  <c r="F325" i="15"/>
  <c r="M325" i="15" s="1"/>
  <c r="F61" i="6"/>
  <c r="F257" i="6"/>
  <c r="H68" i="2" l="1"/>
  <c r="F69" i="2"/>
  <c r="AB261" i="4"/>
  <c r="M64" i="5"/>
  <c r="Q26" i="5"/>
  <c r="O69" i="5"/>
  <c r="O26" i="5"/>
  <c r="P15" i="5"/>
  <c r="P14" i="5"/>
  <c r="N69" i="5"/>
  <c r="N26" i="5"/>
  <c r="O15" i="5"/>
  <c r="O14" i="5"/>
  <c r="L69" i="5"/>
  <c r="P64" i="5"/>
  <c r="L26" i="5"/>
  <c r="M15" i="5"/>
  <c r="M14" i="5"/>
  <c r="M69" i="5"/>
  <c r="O64" i="5"/>
  <c r="L15" i="5"/>
  <c r="L14" i="5"/>
  <c r="Q64" i="5"/>
  <c r="M26" i="5"/>
  <c r="N15" i="5"/>
  <c r="N64" i="5"/>
  <c r="Q69" i="5"/>
  <c r="N14" i="5"/>
  <c r="P69" i="5"/>
  <c r="L64" i="5"/>
  <c r="P26" i="5"/>
  <c r="Q15" i="5"/>
  <c r="Q14" i="5"/>
  <c r="AO223" i="4"/>
  <c r="I26" i="5"/>
  <c r="I14" i="5"/>
  <c r="T20" i="595"/>
  <c r="U20" i="595" s="1"/>
  <c r="I64" i="5"/>
  <c r="I69" i="5"/>
  <c r="I15" i="5"/>
  <c r="M355" i="3"/>
  <c r="U1111" i="6"/>
  <c r="U1151" i="6" s="1"/>
  <c r="R1111" i="6"/>
  <c r="R1151" i="6" s="1"/>
  <c r="V649" i="3"/>
  <c r="V671" i="3"/>
  <c r="V691" i="3"/>
  <c r="V711" i="3"/>
  <c r="V731" i="3"/>
  <c r="U1110" i="6"/>
  <c r="U1150" i="6" s="1"/>
  <c r="T583" i="3"/>
  <c r="T633" i="3"/>
  <c r="U25" i="5" s="1"/>
  <c r="R1110" i="6"/>
  <c r="R1150" i="6" s="1"/>
  <c r="U1109" i="6"/>
  <c r="U1149" i="6" s="1"/>
  <c r="R1109" i="6"/>
  <c r="R1149" i="6" s="1"/>
  <c r="T812" i="3"/>
  <c r="V407" i="3"/>
  <c r="V447" i="3"/>
  <c r="V467" i="3"/>
  <c r="V528" i="3"/>
  <c r="V548" i="3"/>
  <c r="V568" i="3"/>
  <c r="V588" i="3"/>
  <c r="V608" i="3"/>
  <c r="V628" i="3"/>
  <c r="W628" i="3" s="1"/>
  <c r="V774" i="3"/>
  <c r="V827" i="3"/>
  <c r="H366" i="6"/>
  <c r="H15" i="2" s="1"/>
  <c r="T402" i="3"/>
  <c r="O1229" i="3"/>
  <c r="V661" i="3"/>
  <c r="V681" i="3"/>
  <c r="V701" i="3"/>
  <c r="V721" i="3"/>
  <c r="F230" i="6"/>
  <c r="V21" i="595"/>
  <c r="W21" i="595" s="1"/>
  <c r="S34" i="595"/>
  <c r="V921" i="3"/>
  <c r="I355" i="3"/>
  <c r="V505" i="3"/>
  <c r="K157" i="139"/>
  <c r="K158" i="139" s="1"/>
  <c r="K159" i="139" s="1"/>
  <c r="K160" i="139" s="1"/>
  <c r="K161" i="139" s="1"/>
  <c r="K162" i="139" s="1"/>
  <c r="K163" i="139" s="1"/>
  <c r="K164" i="139" s="1"/>
  <c r="K165" i="139" s="1"/>
  <c r="K166" i="139" s="1"/>
  <c r="K167" i="139" s="1"/>
  <c r="K168" i="139" s="1"/>
  <c r="K169" i="139" s="1"/>
  <c r="K170" i="139" s="1"/>
  <c r="K171" i="139" s="1"/>
  <c r="K172" i="139" s="1"/>
  <c r="K173" i="139" s="1"/>
  <c r="K174" i="139" s="1"/>
  <c r="K175" i="139" s="1"/>
  <c r="K176" i="139" s="1"/>
  <c r="K177" i="139" s="1"/>
  <c r="K178" i="139" s="1"/>
  <c r="K179" i="139" s="1"/>
  <c r="K180" i="139" s="1"/>
  <c r="K181" i="139" s="1"/>
  <c r="K182" i="139" s="1"/>
  <c r="K183" i="139" s="1"/>
  <c r="K184" i="139" s="1"/>
  <c r="K185" i="139" s="1"/>
  <c r="K186" i="139" s="1"/>
  <c r="K187" i="139" s="1"/>
  <c r="K188" i="139" s="1"/>
  <c r="K189" i="139" s="1"/>
  <c r="K190" i="139" s="1"/>
  <c r="K191" i="139" s="1"/>
  <c r="K192" i="139" s="1"/>
  <c r="K193" i="139" s="1"/>
  <c r="K194" i="139" s="1"/>
  <c r="K195" i="139" s="1"/>
  <c r="K196" i="139" s="1"/>
  <c r="K197" i="139" s="1"/>
  <c r="K198" i="139" s="1"/>
  <c r="K199" i="139" s="1"/>
  <c r="K200" i="139" s="1"/>
  <c r="K201" i="139" s="1"/>
  <c r="K202" i="139" s="1"/>
  <c r="K203" i="139" s="1"/>
  <c r="K204" i="139" s="1"/>
  <c r="K205" i="139" s="1"/>
  <c r="K206" i="139" s="1"/>
  <c r="K207" i="139" s="1"/>
  <c r="K208" i="139" s="1"/>
  <c r="K209" i="139" s="1"/>
  <c r="K210" i="139" s="1"/>
  <c r="K211" i="139" s="1"/>
  <c r="K212" i="139" s="1"/>
  <c r="K213" i="139" s="1"/>
  <c r="K214" i="139" s="1"/>
  <c r="K215" i="139" s="1"/>
  <c r="K216" i="139" s="1"/>
  <c r="K217" i="139" s="1"/>
  <c r="K218" i="139" s="1"/>
  <c r="K219" i="139" s="1"/>
  <c r="K220" i="139" s="1"/>
  <c r="K221" i="139" s="1"/>
  <c r="K222" i="139" s="1"/>
  <c r="K223" i="139" s="1"/>
  <c r="K224" i="139" s="1"/>
  <c r="K225" i="139" s="1"/>
  <c r="K226" i="139" s="1"/>
  <c r="K227" i="139" s="1"/>
  <c r="K228" i="139" s="1"/>
  <c r="K229" i="139" s="1"/>
  <c r="K230" i="139" s="1"/>
  <c r="K231" i="139" s="1"/>
  <c r="K232" i="139" s="1"/>
  <c r="K233" i="139" s="1"/>
  <c r="K234" i="139" s="1"/>
  <c r="K235" i="139" s="1"/>
  <c r="K236" i="139" s="1"/>
  <c r="K237" i="139" s="1"/>
  <c r="K238" i="139" s="1"/>
  <c r="K239" i="139" s="1"/>
  <c r="K240" i="139" s="1"/>
  <c r="K241" i="139" s="1"/>
  <c r="K242" i="139" s="1"/>
  <c r="K243" i="139" s="1"/>
  <c r="K244" i="139" s="1"/>
  <c r="K245" i="139" s="1"/>
  <c r="K246" i="139" s="1"/>
  <c r="K247" i="139" s="1"/>
  <c r="K248" i="139" s="1"/>
  <c r="K249" i="139" s="1"/>
  <c r="K250" i="139" s="1"/>
  <c r="K251" i="139" s="1"/>
  <c r="K252" i="139" s="1"/>
  <c r="K253" i="139" s="1"/>
  <c r="K254" i="139" s="1"/>
  <c r="K255" i="139" s="1"/>
  <c r="K256" i="139" s="1"/>
  <c r="K257" i="139" s="1"/>
  <c r="K258" i="139" s="1"/>
  <c r="K259" i="139" s="1"/>
  <c r="K260" i="139" s="1"/>
  <c r="K261" i="139" s="1"/>
  <c r="K262" i="139" s="1"/>
  <c r="K263" i="139" s="1"/>
  <c r="K264" i="139" s="1"/>
  <c r="K265" i="139" s="1"/>
  <c r="K266" i="139" s="1"/>
  <c r="K267" i="139" s="1"/>
  <c r="K268" i="139" s="1"/>
  <c r="K269" i="139" s="1"/>
  <c r="K270" i="139" s="1"/>
  <c r="K271" i="139" s="1"/>
  <c r="K272" i="139" s="1"/>
  <c r="K273" i="139" s="1"/>
  <c r="K274" i="139" s="1"/>
  <c r="K275" i="139" s="1"/>
  <c r="K276" i="139" s="1"/>
  <c r="K277" i="139" s="1"/>
  <c r="K278" i="139" s="1"/>
  <c r="K279" i="139" s="1"/>
  <c r="K280" i="139" s="1"/>
  <c r="K281" i="139" s="1"/>
  <c r="K282" i="139" s="1"/>
  <c r="K283" i="139" s="1"/>
  <c r="K284" i="139" s="1"/>
  <c r="K285" i="139" s="1"/>
  <c r="K286" i="139" s="1"/>
  <c r="K287" i="139" s="1"/>
  <c r="K288" i="139" s="1"/>
  <c r="K289" i="139" s="1"/>
  <c r="K290" i="139" s="1"/>
  <c r="K291" i="139" s="1"/>
  <c r="K292" i="139" s="1"/>
  <c r="K293" i="139" s="1"/>
  <c r="K294" i="139" s="1"/>
  <c r="K295" i="139" s="1"/>
  <c r="K296" i="139" s="1"/>
  <c r="K297" i="139" s="1"/>
  <c r="K298" i="139" s="1"/>
  <c r="K299" i="139" s="1"/>
  <c r="K300" i="139" s="1"/>
  <c r="K301" i="139" s="1"/>
  <c r="K302" i="139" s="1"/>
  <c r="K303" i="139" s="1"/>
  <c r="K304" i="139" s="1"/>
  <c r="K305" i="139" s="1"/>
  <c r="K306" i="139" s="1"/>
  <c r="K307" i="139" s="1"/>
  <c r="K308" i="139" s="1"/>
  <c r="K309" i="139" s="1"/>
  <c r="K310" i="139" s="1"/>
  <c r="K311" i="139" s="1"/>
  <c r="K312" i="139" s="1"/>
  <c r="K313" i="139" s="1"/>
  <c r="K314" i="139" s="1"/>
  <c r="K315" i="139" s="1"/>
  <c r="K316" i="139" s="1"/>
  <c r="K317" i="139" s="1"/>
  <c r="K318" i="139" s="1"/>
  <c r="K319" i="139" s="1"/>
  <c r="K320" i="139" s="1"/>
  <c r="K321" i="139" s="1"/>
  <c r="K322" i="139" s="1"/>
  <c r="K323" i="139" s="1"/>
  <c r="K324" i="139" s="1"/>
  <c r="K325" i="139" s="1"/>
  <c r="K326" i="139" s="1"/>
  <c r="K327" i="139" s="1"/>
  <c r="K328" i="139" s="1"/>
  <c r="K329" i="139" s="1"/>
  <c r="K330" i="139" s="1"/>
  <c r="K331" i="139" s="1"/>
  <c r="K332" i="139" s="1"/>
  <c r="K333" i="139" s="1"/>
  <c r="K334" i="139" s="1"/>
  <c r="K335" i="139" s="1"/>
  <c r="K336" i="139" s="1"/>
  <c r="K337" i="139" s="1"/>
  <c r="K338" i="139" s="1"/>
  <c r="K339" i="139" s="1"/>
  <c r="K340" i="139" s="1"/>
  <c r="K341" i="139" s="1"/>
  <c r="K342" i="139" s="1"/>
  <c r="K343" i="139" s="1"/>
  <c r="K344" i="139" s="1"/>
  <c r="K345" i="139" s="1"/>
  <c r="K346" i="139" s="1"/>
  <c r="K347" i="139" s="1"/>
  <c r="K348" i="139" s="1"/>
  <c r="K349" i="139" s="1"/>
  <c r="K350" i="139" s="1"/>
  <c r="K351" i="139" s="1"/>
  <c r="K352" i="139" s="1"/>
  <c r="K353" i="139" s="1"/>
  <c r="K354" i="139" s="1"/>
  <c r="K355" i="139" s="1"/>
  <c r="K356" i="139" s="1"/>
  <c r="K357" i="139" s="1"/>
  <c r="K358" i="139" s="1"/>
  <c r="K359" i="139" s="1"/>
  <c r="K360" i="139" s="1"/>
  <c r="K361" i="139" s="1"/>
  <c r="K362" i="139" s="1"/>
  <c r="K363" i="139" s="1"/>
  <c r="K364" i="139" s="1"/>
  <c r="K365" i="139" s="1"/>
  <c r="K366" i="139" s="1"/>
  <c r="K367" i="139" s="1"/>
  <c r="K368" i="139" s="1"/>
  <c r="K369" i="139" s="1"/>
  <c r="K370" i="139" s="1"/>
  <c r="K371" i="139" s="1"/>
  <c r="K372" i="139" s="1"/>
  <c r="K373" i="139" s="1"/>
  <c r="K374" i="139" s="1"/>
  <c r="K375" i="139" s="1"/>
  <c r="K376" i="139" s="1"/>
  <c r="K377" i="139" s="1"/>
  <c r="K378" i="139" s="1"/>
  <c r="K379" i="139" s="1"/>
  <c r="K380" i="139" s="1"/>
  <c r="K381" i="139" s="1"/>
  <c r="K382" i="139" s="1"/>
  <c r="K383" i="139" s="1"/>
  <c r="K384" i="139" s="1"/>
  <c r="K385" i="139" s="1"/>
  <c r="K386" i="139" s="1"/>
  <c r="K387" i="139" s="1"/>
  <c r="K388" i="139" s="1"/>
  <c r="K389" i="139" s="1"/>
  <c r="K390" i="139" s="1"/>
  <c r="K391" i="139" s="1"/>
  <c r="K392" i="139" s="1"/>
  <c r="K393" i="139" s="1"/>
  <c r="K394" i="139" s="1"/>
  <c r="K395" i="139" s="1"/>
  <c r="K396" i="139" s="1"/>
  <c r="K397" i="139" s="1"/>
  <c r="K398" i="139" s="1"/>
  <c r="K399" i="139" s="1"/>
  <c r="K400" i="139" s="1"/>
  <c r="K401" i="139" s="1"/>
  <c r="K402" i="139" s="1"/>
  <c r="K403" i="139" s="1"/>
  <c r="K404" i="139" s="1"/>
  <c r="K405" i="139" s="1"/>
  <c r="K406" i="139" s="1"/>
  <c r="K407" i="139" s="1"/>
  <c r="K408" i="139" s="1"/>
  <c r="K409" i="139" s="1"/>
  <c r="K410" i="139" s="1"/>
  <c r="K411" i="139" s="1"/>
  <c r="K412" i="139" s="1"/>
  <c r="K413" i="139" s="1"/>
  <c r="K414" i="139" s="1"/>
  <c r="K415" i="139" s="1"/>
  <c r="K416" i="139" s="1"/>
  <c r="K417" i="139" s="1"/>
  <c r="K418" i="139" s="1"/>
  <c r="K419" i="139" s="1"/>
  <c r="K420" i="139" s="1"/>
  <c r="K421" i="139" s="1"/>
  <c r="K422" i="139" s="1"/>
  <c r="K423" i="139" s="1"/>
  <c r="K424" i="139" s="1"/>
  <c r="K425" i="139" s="1"/>
  <c r="K426" i="139" s="1"/>
  <c r="K427" i="139" s="1"/>
  <c r="K428" i="139" s="1"/>
  <c r="K429" i="139" s="1"/>
  <c r="K430" i="139" s="1"/>
  <c r="K431" i="139" s="1"/>
  <c r="K432" i="139" s="1"/>
  <c r="K433" i="139" s="1"/>
  <c r="K434" i="139" s="1"/>
  <c r="K435" i="139" s="1"/>
  <c r="K436" i="139" s="1"/>
  <c r="K437" i="139" s="1"/>
  <c r="K438" i="139" s="1"/>
  <c r="K439" i="139" s="1"/>
  <c r="K440" i="139" s="1"/>
  <c r="K441" i="139" s="1"/>
  <c r="K442" i="139" s="1"/>
  <c r="K443" i="139" s="1"/>
  <c r="K444" i="139" s="1"/>
  <c r="K445" i="139" s="1"/>
  <c r="K446" i="139" s="1"/>
  <c r="K447" i="139" s="1"/>
  <c r="K448" i="139" s="1"/>
  <c r="K449" i="139" s="1"/>
  <c r="K450" i="139" s="1"/>
  <c r="V397" i="3"/>
  <c r="V417" i="3"/>
  <c r="V437" i="3"/>
  <c r="V457" i="3"/>
  <c r="V477" i="3"/>
  <c r="V497" i="3"/>
  <c r="V538" i="3"/>
  <c r="V558" i="3"/>
  <c r="V578" i="3"/>
  <c r="V598" i="3"/>
  <c r="V618" i="3"/>
  <c r="W618" i="3" s="1"/>
  <c r="V764" i="3"/>
  <c r="A55" i="2"/>
  <c r="A56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H26" i="5"/>
  <c r="P355" i="3"/>
  <c r="I232" i="3"/>
  <c r="V741" i="3"/>
  <c r="T769" i="3"/>
  <c r="T721" i="3"/>
  <c r="G740" i="6"/>
  <c r="W739" i="3" s="1"/>
  <c r="T661" i="3"/>
  <c r="T701" i="3"/>
  <c r="T452" i="3"/>
  <c r="T382" i="3"/>
  <c r="T442" i="3"/>
  <c r="T462" i="3"/>
  <c r="T523" i="3"/>
  <c r="G720" i="6"/>
  <c r="E720" i="6" s="1"/>
  <c r="T741" i="3"/>
  <c r="T681" i="3"/>
  <c r="G660" i="6"/>
  <c r="G700" i="6"/>
  <c r="G702" i="6" s="1"/>
  <c r="E702" i="6" s="1"/>
  <c r="T799" i="3"/>
  <c r="W596" i="3"/>
  <c r="G435" i="6"/>
  <c r="W435" i="3" s="1"/>
  <c r="T457" i="3"/>
  <c r="T497" i="3"/>
  <c r="T623" i="3"/>
  <c r="T482" i="3"/>
  <c r="T543" i="3"/>
  <c r="T422" i="3"/>
  <c r="V911" i="3"/>
  <c r="H69" i="5"/>
  <c r="H64" i="5"/>
  <c r="H14" i="5"/>
  <c r="G26" i="5"/>
  <c r="H15" i="5"/>
  <c r="H355" i="3"/>
  <c r="O355" i="3"/>
  <c r="Q232" i="3"/>
  <c r="O232" i="3"/>
  <c r="N232" i="3"/>
  <c r="L232" i="3"/>
  <c r="F324" i="6"/>
  <c r="T691" i="3"/>
  <c r="H833" i="3"/>
  <c r="H32" i="5" s="1"/>
  <c r="N1229" i="3"/>
  <c r="O889" i="3"/>
  <c r="O33" i="5" s="1"/>
  <c r="N913" i="3"/>
  <c r="N37" i="5" s="1"/>
  <c r="L889" i="3"/>
  <c r="L33" i="5" s="1"/>
  <c r="V427" i="3"/>
  <c r="I913" i="3"/>
  <c r="I37" i="5" s="1"/>
  <c r="T427" i="3"/>
  <c r="I752" i="3"/>
  <c r="I30" i="5" s="1"/>
  <c r="P509" i="3"/>
  <c r="N509" i="3"/>
  <c r="T711" i="3"/>
  <c r="G710" i="6"/>
  <c r="G712" i="6" s="1"/>
  <c r="E712" i="6" s="1"/>
  <c r="F15" i="5"/>
  <c r="T779" i="3"/>
  <c r="T407" i="3"/>
  <c r="T477" i="3"/>
  <c r="M913" i="3"/>
  <c r="M37" i="5" s="1"/>
  <c r="I889" i="3"/>
  <c r="I33" i="5" s="1"/>
  <c r="O509" i="3"/>
  <c r="M1212" i="3"/>
  <c r="T750" i="3"/>
  <c r="I1212" i="3"/>
  <c r="L833" i="3"/>
  <c r="L32" i="5" s="1"/>
  <c r="G647" i="6"/>
  <c r="E647" i="6" s="1"/>
  <c r="Q752" i="3"/>
  <c r="Q30" i="5" s="1"/>
  <c r="T432" i="3"/>
  <c r="T598" i="3"/>
  <c r="L913" i="3"/>
  <c r="L37" i="5" s="1"/>
  <c r="H889" i="3"/>
  <c r="H33" i="5" s="1"/>
  <c r="Q833" i="3"/>
  <c r="Q32" i="5" s="1"/>
  <c r="T686" i="3"/>
  <c r="F33" i="5"/>
  <c r="M833" i="3"/>
  <c r="M32" i="5" s="1"/>
  <c r="P752" i="3"/>
  <c r="P30" i="5" s="1"/>
  <c r="I509" i="3"/>
  <c r="H913" i="3"/>
  <c r="H37" i="5" s="1"/>
  <c r="L509" i="3"/>
  <c r="T716" i="3"/>
  <c r="T671" i="3"/>
  <c r="T764" i="3"/>
  <c r="G415" i="6"/>
  <c r="G417" i="6" s="1"/>
  <c r="G475" i="6"/>
  <c r="I475" i="6" s="1"/>
  <c r="M1229" i="3"/>
  <c r="T492" i="3"/>
  <c r="E1064" i="6"/>
  <c r="I295" i="6"/>
  <c r="N295" i="6" s="1"/>
  <c r="W295" i="3"/>
  <c r="E295" i="6"/>
  <c r="W566" i="3"/>
  <c r="T467" i="3"/>
  <c r="T666" i="3"/>
  <c r="G826" i="6"/>
  <c r="I826" i="6" s="1"/>
  <c r="J826" i="6" s="1"/>
  <c r="T726" i="3"/>
  <c r="T613" i="3"/>
  <c r="T573" i="3"/>
  <c r="T634" i="3"/>
  <c r="G930" i="6"/>
  <c r="T731" i="3"/>
  <c r="T921" i="3"/>
  <c r="U38" i="5" s="1"/>
  <c r="T759" i="3"/>
  <c r="T736" i="3"/>
  <c r="G425" i="6"/>
  <c r="G427" i="6" s="1"/>
  <c r="G465" i="6"/>
  <c r="I465" i="6" s="1"/>
  <c r="J465" i="6" s="1"/>
  <c r="T506" i="3"/>
  <c r="T578" i="3"/>
  <c r="T502" i="3"/>
  <c r="P1229" i="3"/>
  <c r="T618" i="3"/>
  <c r="V633" i="3"/>
  <c r="T774" i="3"/>
  <c r="G773" i="6"/>
  <c r="G775" i="6" s="1"/>
  <c r="E775" i="6" s="1"/>
  <c r="G486" i="6"/>
  <c r="G487" i="6" s="1"/>
  <c r="T487" i="3"/>
  <c r="T608" i="3"/>
  <c r="T505" i="3"/>
  <c r="T588" i="3"/>
  <c r="T593" i="3"/>
  <c r="N1212" i="3"/>
  <c r="V749" i="3"/>
  <c r="T706" i="3"/>
  <c r="T746" i="3"/>
  <c r="G730" i="6"/>
  <c r="W729" i="3" s="1"/>
  <c r="T696" i="3"/>
  <c r="T911" i="3"/>
  <c r="T749" i="3"/>
  <c r="T507" i="3"/>
  <c r="T392" i="3"/>
  <c r="L1229" i="3"/>
  <c r="V503" i="3"/>
  <c r="V632" i="3"/>
  <c r="T503" i="3"/>
  <c r="T632" i="3"/>
  <c r="T568" i="3"/>
  <c r="T827" i="3"/>
  <c r="T387" i="3"/>
  <c r="T553" i="3"/>
  <c r="T501" i="3"/>
  <c r="H1229" i="3"/>
  <c r="T649" i="3"/>
  <c r="U29" i="5" s="1"/>
  <c r="G670" i="6"/>
  <c r="G672" i="6" s="1"/>
  <c r="E672" i="6" s="1"/>
  <c r="G920" i="6"/>
  <c r="W907" i="3" s="1"/>
  <c r="T656" i="3"/>
  <c r="T676" i="3"/>
  <c r="G395" i="6"/>
  <c r="W395" i="3" s="1"/>
  <c r="G527" i="6"/>
  <c r="L1212" i="3"/>
  <c r="T447" i="3"/>
  <c r="T538" i="3"/>
  <c r="T472" i="3"/>
  <c r="C30" i="49"/>
  <c r="V236" i="4"/>
  <c r="AA235" i="4"/>
  <c r="A57" i="5"/>
  <c r="A58" i="5" s="1"/>
  <c r="A60" i="5" s="1"/>
  <c r="A61" i="5" s="1"/>
  <c r="A62" i="5" s="1"/>
  <c r="A63" i="5" s="1"/>
  <c r="A65" i="5" s="1"/>
  <c r="A66" i="5" s="1"/>
  <c r="A67" i="5" s="1"/>
  <c r="A68" i="5" s="1"/>
  <c r="A69" i="5" s="1"/>
  <c r="A72" i="5" s="1"/>
  <c r="A75" i="5" s="1"/>
  <c r="Y261" i="4"/>
  <c r="C53" i="49"/>
  <c r="H1238" i="6"/>
  <c r="V382" i="3"/>
  <c r="V506" i="3"/>
  <c r="V507" i="3"/>
  <c r="V392" i="3"/>
  <c r="V402" i="3"/>
  <c r="V412" i="3"/>
  <c r="V422" i="3"/>
  <c r="V432" i="3"/>
  <c r="V442" i="3"/>
  <c r="V452" i="3"/>
  <c r="V462" i="3"/>
  <c r="V472" i="3"/>
  <c r="V482" i="3"/>
  <c r="V492" i="3"/>
  <c r="V523" i="3"/>
  <c r="V634" i="3"/>
  <c r="W634" i="3" s="1"/>
  <c r="V533" i="3"/>
  <c r="V543" i="3"/>
  <c r="V553" i="3"/>
  <c r="V563" i="3"/>
  <c r="V573" i="3"/>
  <c r="V583" i="3"/>
  <c r="V593" i="3"/>
  <c r="V603" i="3"/>
  <c r="V613" i="3"/>
  <c r="V623" i="3"/>
  <c r="V656" i="3"/>
  <c r="V750" i="3"/>
  <c r="V666" i="3"/>
  <c r="V676" i="3"/>
  <c r="V686" i="3"/>
  <c r="V696" i="3"/>
  <c r="V706" i="3"/>
  <c r="V716" i="3"/>
  <c r="V726" i="3"/>
  <c r="V736" i="3"/>
  <c r="V746" i="3"/>
  <c r="V759" i="3"/>
  <c r="V769" i="3"/>
  <c r="V779" i="3"/>
  <c r="V799" i="3"/>
  <c r="V812" i="3"/>
  <c r="V387" i="3"/>
  <c r="V502" i="3"/>
  <c r="V501" i="3"/>
  <c r="V487" i="3"/>
  <c r="F234" i="6"/>
  <c r="F156" i="6"/>
  <c r="AF184" i="4"/>
  <c r="AF185" i="4" s="1"/>
  <c r="AF186" i="4" s="1"/>
  <c r="AF187" i="4" s="1"/>
  <c r="AF188" i="4" s="1"/>
  <c r="AF189" i="4" s="1"/>
  <c r="AF190" i="4" s="1"/>
  <c r="AF191" i="4" s="1"/>
  <c r="AF192" i="4" s="1"/>
  <c r="AF193" i="4" s="1"/>
  <c r="AF194" i="4" s="1"/>
  <c r="AF195" i="4" s="1"/>
  <c r="AF196" i="4" s="1"/>
  <c r="AF197" i="4" s="1"/>
  <c r="AF198" i="4" s="1"/>
  <c r="AF199" i="4" s="1"/>
  <c r="AF200" i="4" s="1"/>
  <c r="AF201" i="4" s="1"/>
  <c r="AF202" i="4" s="1"/>
  <c r="AF203" i="4" s="1"/>
  <c r="AF204" i="4" s="1"/>
  <c r="AF205" i="4" s="1"/>
  <c r="AF206" i="4" s="1"/>
  <c r="AF207" i="4" s="1"/>
  <c r="AF208" i="4" s="1"/>
  <c r="AF209" i="4" s="1"/>
  <c r="AF210" i="4" s="1"/>
  <c r="AF211" i="4" s="1"/>
  <c r="AF212" i="4" s="1"/>
  <c r="AF213" i="4" s="1"/>
  <c r="AF214" i="4" s="1"/>
  <c r="AF215" i="4" s="1"/>
  <c r="AF216" i="4" s="1"/>
  <c r="AF217" i="4" s="1"/>
  <c r="AF218" i="4" s="1"/>
  <c r="AF219" i="4" s="1"/>
  <c r="AF220" i="4" s="1"/>
  <c r="AF221" i="4" s="1"/>
  <c r="AF222" i="4" s="1"/>
  <c r="AF223" i="4" s="1"/>
  <c r="AF224" i="4" s="1"/>
  <c r="AF225" i="4" s="1"/>
  <c r="AF226" i="4" s="1"/>
  <c r="AF227" i="4" s="1"/>
  <c r="AF228" i="4" s="1"/>
  <c r="AF229" i="4" s="1"/>
  <c r="AF230" i="4" s="1"/>
  <c r="AF231" i="4" s="1"/>
  <c r="AF232" i="4" s="1"/>
  <c r="AF233" i="4" s="1"/>
  <c r="AF234" i="4" s="1"/>
  <c r="AF235" i="4" s="1"/>
  <c r="AF236" i="4" s="1"/>
  <c r="AF237" i="4" s="1"/>
  <c r="AF238" i="4" s="1"/>
  <c r="AF239" i="4" s="1"/>
  <c r="AF240" i="4" s="1"/>
  <c r="AF241" i="4" s="1"/>
  <c r="AF242" i="4" s="1"/>
  <c r="AF243" i="4" s="1"/>
  <c r="AF244" i="4" s="1"/>
  <c r="AF245" i="4" s="1"/>
  <c r="AF246" i="4" s="1"/>
  <c r="AF247" i="4" s="1"/>
  <c r="AF248" i="4" s="1"/>
  <c r="AF249" i="4" s="1"/>
  <c r="AF250" i="4" s="1"/>
  <c r="AF251" i="4" s="1"/>
  <c r="AF252" i="4" s="1"/>
  <c r="AF253" i="4" s="1"/>
  <c r="AF254" i="4" s="1"/>
  <c r="AF255" i="4" s="1"/>
  <c r="AF256" i="4" s="1"/>
  <c r="AF257" i="4" s="1"/>
  <c r="AF258" i="4" s="1"/>
  <c r="AF259" i="4" s="1"/>
  <c r="AF260" i="4" s="1"/>
  <c r="AF261" i="4" s="1"/>
  <c r="AF262" i="4" s="1"/>
  <c r="AF263" i="4" s="1"/>
  <c r="AF264" i="4" s="1"/>
  <c r="AF265" i="4" s="1"/>
  <c r="AF266" i="4" s="1"/>
  <c r="AF267" i="4" s="1"/>
  <c r="AF268" i="4" s="1"/>
  <c r="AF269" i="4" s="1"/>
  <c r="AF270" i="4" s="1"/>
  <c r="AF271" i="4" s="1"/>
  <c r="AF272" i="4" s="1"/>
  <c r="AF273" i="4" s="1"/>
  <c r="AF274" i="4" s="1"/>
  <c r="AF275" i="4" s="1"/>
  <c r="AF276" i="4" s="1"/>
  <c r="AF277" i="4" s="1"/>
  <c r="AF278" i="4" s="1"/>
  <c r="AF279" i="4" s="1"/>
  <c r="AF177" i="4"/>
  <c r="AF178" i="4" s="1"/>
  <c r="AF179" i="4" s="1"/>
  <c r="AF180" i="4" s="1"/>
  <c r="AF181" i="4" s="1"/>
  <c r="AF182" i="4" s="1"/>
  <c r="AF183" i="4" s="1"/>
  <c r="F447" i="6"/>
  <c r="F437" i="6"/>
  <c r="F427" i="6"/>
  <c r="H67" i="2"/>
  <c r="AL261" i="4"/>
  <c r="AO261" i="4" s="1"/>
  <c r="AO260" i="4"/>
  <c r="AL236" i="4"/>
  <c r="AO236" i="4" s="1"/>
  <c r="AO235" i="4"/>
  <c r="F497" i="6"/>
  <c r="F432" i="6"/>
  <c r="F422" i="6"/>
  <c r="E241" i="6"/>
  <c r="J55" i="6"/>
  <c r="N55" i="6"/>
  <c r="M55" i="6"/>
  <c r="R55" i="6" s="1"/>
  <c r="J53" i="6"/>
  <c r="N53" i="6"/>
  <c r="M53" i="6"/>
  <c r="R53" i="6" s="1"/>
  <c r="N259" i="6"/>
  <c r="M259" i="6"/>
  <c r="N628" i="6"/>
  <c r="M628" i="6"/>
  <c r="Q628" i="6" s="1"/>
  <c r="N250" i="6"/>
  <c r="M250" i="6"/>
  <c r="N241" i="6"/>
  <c r="M241" i="6"/>
  <c r="F569" i="6"/>
  <c r="F102" i="6"/>
  <c r="F229" i="6"/>
  <c r="F120" i="6"/>
  <c r="I608" i="6"/>
  <c r="J608" i="6" s="1"/>
  <c r="G450" i="6"/>
  <c r="I450" i="6" s="1"/>
  <c r="F354" i="15"/>
  <c r="M354" i="15" s="1"/>
  <c r="F828" i="6"/>
  <c r="F790" i="6"/>
  <c r="F348" i="6"/>
  <c r="O913" i="3"/>
  <c r="O37" i="5" s="1"/>
  <c r="F37" i="5"/>
  <c r="P913" i="3"/>
  <c r="P37" i="5" s="1"/>
  <c r="I833" i="3"/>
  <c r="I32" i="5" s="1"/>
  <c r="F32" i="5"/>
  <c r="P833" i="3"/>
  <c r="P32" i="5" s="1"/>
  <c r="N833" i="3"/>
  <c r="N32" i="5" s="1"/>
  <c r="O752" i="3"/>
  <c r="O30" i="5" s="1"/>
  <c r="L752" i="3"/>
  <c r="L30" i="5" s="1"/>
  <c r="F30" i="5"/>
  <c r="N752" i="3"/>
  <c r="N30" i="5" s="1"/>
  <c r="M752" i="3"/>
  <c r="M30" i="5" s="1"/>
  <c r="H752" i="3"/>
  <c r="H30" i="5" s="1"/>
  <c r="F26" i="5"/>
  <c r="M509" i="3"/>
  <c r="H509" i="3"/>
  <c r="Q509" i="3"/>
  <c r="L355" i="3"/>
  <c r="M232" i="3"/>
  <c r="F253" i="6"/>
  <c r="F244" i="6"/>
  <c r="F183" i="6"/>
  <c r="F206" i="6"/>
  <c r="F93" i="6"/>
  <c r="F75" i="6"/>
  <c r="W396" i="3"/>
  <c r="L24" i="2"/>
  <c r="F16" i="1"/>
  <c r="W521" i="3"/>
  <c r="I416" i="6"/>
  <c r="J416" i="6" s="1"/>
  <c r="I553" i="6"/>
  <c r="J553" i="6" s="1"/>
  <c r="I1229" i="3"/>
  <c r="Q1212" i="3"/>
  <c r="P1212" i="3"/>
  <c r="F38" i="5"/>
  <c r="O1212" i="3"/>
  <c r="Q1229" i="3"/>
  <c r="E927" i="6"/>
  <c r="F165" i="6"/>
  <c r="F147" i="6"/>
  <c r="F138" i="6"/>
  <c r="K275" i="15"/>
  <c r="K276" i="15" s="1"/>
  <c r="K277" i="15" s="1"/>
  <c r="K278" i="15" s="1"/>
  <c r="K279" i="15" s="1"/>
  <c r="K280" i="15" s="1"/>
  <c r="K281" i="15" s="1"/>
  <c r="K282" i="15" s="1"/>
  <c r="K283" i="15" s="1"/>
  <c r="I746" i="6"/>
  <c r="I396" i="6"/>
  <c r="J396" i="6" s="1"/>
  <c r="I573" i="6"/>
  <c r="J573" i="6" s="1"/>
  <c r="I441" i="6"/>
  <c r="J441" i="6" s="1"/>
  <c r="U353" i="6"/>
  <c r="F280" i="6"/>
  <c r="H203" i="3"/>
  <c r="W927" i="3"/>
  <c r="W313" i="3"/>
  <c r="P203" i="3"/>
  <c r="N203" i="3"/>
  <c r="M203" i="3"/>
  <c r="I203" i="3"/>
  <c r="Q203" i="3"/>
  <c r="O203" i="3"/>
  <c r="L203" i="3"/>
  <c r="H327" i="6"/>
  <c r="Y320" i="6"/>
  <c r="Y321" i="6" s="1"/>
  <c r="Y322" i="6" s="1"/>
  <c r="Y323" i="6" s="1"/>
  <c r="Y324" i="6" s="1"/>
  <c r="T307" i="6"/>
  <c r="I410" i="6"/>
  <c r="J410" i="6" s="1"/>
  <c r="I431" i="6"/>
  <c r="F298" i="6"/>
  <c r="W526" i="3"/>
  <c r="W542" i="3"/>
  <c r="H17" i="2"/>
  <c r="R457" i="6"/>
  <c r="U447" i="6"/>
  <c r="U437" i="6"/>
  <c r="U387" i="6"/>
  <c r="R765" i="6"/>
  <c r="U1162" i="6"/>
  <c r="U457" i="6"/>
  <c r="R427" i="6"/>
  <c r="R353" i="6"/>
  <c r="R323" i="6"/>
  <c r="R236" i="6"/>
  <c r="T231" i="6"/>
  <c r="W304" i="3"/>
  <c r="F1197" i="6"/>
  <c r="N1253" i="6"/>
  <c r="F271" i="6"/>
  <c r="H64" i="2"/>
  <c r="H27" i="2"/>
  <c r="F192" i="6"/>
  <c r="T563" i="3"/>
  <c r="R206" i="6"/>
  <c r="U934" i="6"/>
  <c r="Q569" i="6"/>
  <c r="Q462" i="6"/>
  <c r="F215" i="6"/>
  <c r="F231" i="6"/>
  <c r="W798" i="3"/>
  <c r="W700" i="3"/>
  <c r="G597" i="6"/>
  <c r="G599" i="6" s="1"/>
  <c r="W599" i="3" s="1"/>
  <c r="G524" i="6"/>
  <c r="W524" i="3" s="1"/>
  <c r="H60" i="2"/>
  <c r="H51" i="2"/>
  <c r="N1254" i="6"/>
  <c r="H65" i="2"/>
  <c r="H63" i="2"/>
  <c r="H53" i="2"/>
  <c r="H52" i="2"/>
  <c r="F316" i="6"/>
  <c r="H59" i="2"/>
  <c r="T397" i="3"/>
  <c r="T528" i="3"/>
  <c r="T548" i="3"/>
  <c r="T558" i="3"/>
  <c r="T589" i="6"/>
  <c r="T564" i="6"/>
  <c r="U497" i="6"/>
  <c r="R851" i="6"/>
  <c r="T795" i="6"/>
  <c r="U770" i="6"/>
  <c r="R712" i="6"/>
  <c r="U672" i="6"/>
  <c r="T492" i="6"/>
  <c r="Q230" i="6"/>
  <c r="U206" i="6"/>
  <c r="T980" i="6"/>
  <c r="T1108" i="6" s="1"/>
  <c r="T633" i="6"/>
  <c r="R437" i="6"/>
  <c r="E865" i="6"/>
  <c r="W735" i="3"/>
  <c r="G764" i="6"/>
  <c r="W867" i="3"/>
  <c r="G567" i="6"/>
  <c r="I567" i="6" s="1"/>
  <c r="W541" i="3"/>
  <c r="H806" i="6"/>
  <c r="Q913" i="3"/>
  <c r="Q37" i="5" s="1"/>
  <c r="H232" i="3"/>
  <c r="R1022" i="6"/>
  <c r="R876" i="6"/>
  <c r="U866" i="6"/>
  <c r="U861" i="6"/>
  <c r="U846" i="6"/>
  <c r="R846" i="6"/>
  <c r="T790" i="6"/>
  <c r="R775" i="6"/>
  <c r="U727" i="6"/>
  <c r="R687" i="6"/>
  <c r="T614" i="6"/>
  <c r="Q549" i="6"/>
  <c r="T462" i="6"/>
  <c r="U432" i="6"/>
  <c r="R392" i="6"/>
  <c r="Q382" i="6"/>
  <c r="R751" i="6"/>
  <c r="Q524" i="6"/>
  <c r="Q501" i="6"/>
  <c r="R329" i="6"/>
  <c r="T201" i="6"/>
  <c r="R1205" i="6"/>
  <c r="R1130" i="6"/>
  <c r="U1022" i="6"/>
  <c r="R917" i="6"/>
  <c r="U871" i="6"/>
  <c r="R861" i="6"/>
  <c r="R828" i="6"/>
  <c r="R832" i="6"/>
  <c r="U818" i="6"/>
  <c r="R780" i="6"/>
  <c r="U775" i="6"/>
  <c r="R742" i="6"/>
  <c r="R732" i="6"/>
  <c r="U732" i="6"/>
  <c r="U722" i="6"/>
  <c r="U697" i="6"/>
  <c r="U687" i="6"/>
  <c r="U657" i="6"/>
  <c r="R657" i="6"/>
  <c r="R629" i="6"/>
  <c r="R632" i="6" s="1"/>
  <c r="T624" i="6"/>
  <c r="Q614" i="6"/>
  <c r="Q604" i="6"/>
  <c r="T549" i="6"/>
  <c r="Q534" i="6"/>
  <c r="T524" i="6"/>
  <c r="Q487" i="6"/>
  <c r="T472" i="6"/>
  <c r="T501" i="6"/>
  <c r="R432" i="6"/>
  <c r="U427" i="6"/>
  <c r="R412" i="6"/>
  <c r="U412" i="6"/>
  <c r="U402" i="6"/>
  <c r="T325" i="6"/>
  <c r="R331" i="6"/>
  <c r="R234" i="6"/>
  <c r="T230" i="6"/>
  <c r="U229" i="6"/>
  <c r="U236" i="6"/>
  <c r="U200" i="6"/>
  <c r="R207" i="6"/>
  <c r="T289" i="6"/>
  <c r="R1226" i="6"/>
  <c r="U359" i="6"/>
  <c r="R1137" i="6"/>
  <c r="E768" i="6"/>
  <c r="W937" i="3"/>
  <c r="E931" i="6"/>
  <c r="J250" i="6"/>
  <c r="G923" i="6"/>
  <c r="W591" i="3"/>
  <c r="W581" i="3"/>
  <c r="H1236" i="6"/>
  <c r="H1268" i="6" s="1"/>
  <c r="F632" i="6"/>
  <c r="W740" i="3"/>
  <c r="W385" i="3"/>
  <c r="H1112" i="6"/>
  <c r="H1154" i="6" s="1"/>
  <c r="H926" i="6"/>
  <c r="H35" i="2" s="1"/>
  <c r="I741" i="6"/>
  <c r="F549" i="6"/>
  <c r="I538" i="6"/>
  <c r="J538" i="6" s="1"/>
  <c r="H16" i="2"/>
  <c r="F407" i="6"/>
  <c r="H364" i="6"/>
  <c r="H14" i="2" s="1"/>
  <c r="H372" i="6"/>
  <c r="P232" i="3"/>
  <c r="F48" i="6"/>
  <c r="F39" i="6"/>
  <c r="F205" i="15"/>
  <c r="T417" i="3"/>
  <c r="T437" i="3"/>
  <c r="T628" i="3"/>
  <c r="T631" i="3" s="1"/>
  <c r="U24" i="5" s="1"/>
  <c r="Q355" i="3"/>
  <c r="F307" i="6"/>
  <c r="R1194" i="6"/>
  <c r="R1189" i="6"/>
  <c r="U1189" i="6"/>
  <c r="R1042" i="6"/>
  <c r="R1037" i="6"/>
  <c r="U1037" i="6"/>
  <c r="R1032" i="6"/>
  <c r="U1032" i="6"/>
  <c r="U1027" i="6"/>
  <c r="R1017" i="6"/>
  <c r="U1017" i="6"/>
  <c r="U1012" i="6"/>
  <c r="U1001" i="6"/>
  <c r="R1001" i="6"/>
  <c r="U996" i="6"/>
  <c r="R996" i="6"/>
  <c r="U899" i="6"/>
  <c r="R891" i="6"/>
  <c r="R886" i="6"/>
  <c r="U886" i="6"/>
  <c r="R881" i="6"/>
  <c r="U881" i="6"/>
  <c r="U876" i="6"/>
  <c r="R871" i="6"/>
  <c r="R866" i="6"/>
  <c r="U851" i="6"/>
  <c r="U828" i="6"/>
  <c r="R823" i="6"/>
  <c r="R818" i="6"/>
  <c r="U813" i="6"/>
  <c r="U800" i="6"/>
  <c r="R800" i="6"/>
  <c r="Q795" i="6"/>
  <c r="Q790" i="6"/>
  <c r="R785" i="6"/>
  <c r="U785" i="6"/>
  <c r="U780" i="6"/>
  <c r="R770" i="6"/>
  <c r="U765" i="6"/>
  <c r="R747" i="6"/>
  <c r="U742" i="6"/>
  <c r="R737" i="6"/>
  <c r="U737" i="6"/>
  <c r="R727" i="6"/>
  <c r="R722" i="6"/>
  <c r="R717" i="6"/>
  <c r="U712" i="6"/>
  <c r="R707" i="6"/>
  <c r="U707" i="6"/>
  <c r="U702" i="6"/>
  <c r="R702" i="6"/>
  <c r="R697" i="6"/>
  <c r="U692" i="6"/>
  <c r="R692" i="6"/>
  <c r="U682" i="6"/>
  <c r="R682" i="6"/>
  <c r="R677" i="6"/>
  <c r="U677" i="6"/>
  <c r="R672" i="6"/>
  <c r="R667" i="6"/>
  <c r="U667" i="6"/>
  <c r="R650" i="6"/>
  <c r="U650" i="6"/>
  <c r="Q624" i="6"/>
  <c r="T619" i="6"/>
  <c r="Q619" i="6"/>
  <c r="Q609" i="6"/>
  <c r="T599" i="6"/>
  <c r="Q599" i="6"/>
  <c r="Q594" i="6"/>
  <c r="T594" i="6"/>
  <c r="Q589" i="6"/>
  <c r="Q584" i="6"/>
  <c r="T584" i="6"/>
  <c r="T579" i="6"/>
  <c r="Q579" i="6"/>
  <c r="Q574" i="6"/>
  <c r="T574" i="6"/>
  <c r="T569" i="6"/>
  <c r="Q564" i="6"/>
  <c r="T559" i="6"/>
  <c r="Q559" i="6"/>
  <c r="Q554" i="6"/>
  <c r="T554" i="6"/>
  <c r="Q544" i="6"/>
  <c r="T544" i="6"/>
  <c r="R539" i="6"/>
  <c r="T534" i="6"/>
  <c r="Q529" i="6"/>
  <c r="R506" i="6"/>
  <c r="Q492" i="6"/>
  <c r="T487" i="6"/>
  <c r="U506" i="6"/>
  <c r="Q472" i="6"/>
  <c r="U502" i="6"/>
  <c r="R452" i="6"/>
  <c r="R442" i="6"/>
  <c r="U442" i="6"/>
  <c r="R422" i="6"/>
  <c r="R417" i="6"/>
  <c r="U417" i="6"/>
  <c r="R407" i="6"/>
  <c r="U407" i="6"/>
  <c r="R402" i="6"/>
  <c r="R397" i="6"/>
  <c r="U397" i="6"/>
  <c r="U392" i="6"/>
  <c r="T382" i="6"/>
  <c r="R330" i="6"/>
  <c r="T330" i="6"/>
  <c r="T298" i="6"/>
  <c r="R841" i="6"/>
  <c r="U841" i="6"/>
  <c r="U900" i="6"/>
  <c r="R856" i="6"/>
  <c r="U856" i="6"/>
  <c r="R1184" i="6"/>
  <c r="R1177" i="6"/>
  <c r="R980" i="6"/>
  <c r="R1108" i="6" s="1"/>
  <c r="R1148" i="6" s="1"/>
  <c r="R924" i="6"/>
  <c r="U629" i="6"/>
  <c r="U632" i="6" s="1"/>
  <c r="R497" i="6"/>
  <c r="R447" i="6"/>
  <c r="R387" i="6"/>
  <c r="U207" i="6"/>
  <c r="Q202" i="6"/>
  <c r="U234" i="6"/>
  <c r="E942" i="6"/>
  <c r="W929" i="3"/>
  <c r="U1042" i="6"/>
  <c r="R896" i="6"/>
  <c r="R900" i="6"/>
  <c r="R750" i="6"/>
  <c r="R662" i="6"/>
  <c r="R1212" i="6"/>
  <c r="R1227" i="6"/>
  <c r="U1123" i="6"/>
  <c r="R1123" i="6"/>
  <c r="R934" i="6"/>
  <c r="U750" i="6"/>
  <c r="T635" i="6"/>
  <c r="T316" i="6"/>
  <c r="F30" i="6"/>
  <c r="F206" i="15"/>
  <c r="M206" i="15" s="1"/>
  <c r="F21" i="6"/>
  <c r="W665" i="3"/>
  <c r="I666" i="6"/>
  <c r="J666" i="6" s="1"/>
  <c r="W481" i="3"/>
  <c r="J628" i="6"/>
  <c r="E944" i="6"/>
  <c r="W931" i="3"/>
  <c r="U831" i="6"/>
  <c r="U823" i="6"/>
  <c r="W655" i="3"/>
  <c r="F341" i="6"/>
  <c r="F357" i="6" s="1"/>
  <c r="F358" i="15"/>
  <c r="M358" i="15" s="1"/>
  <c r="F356" i="15"/>
  <c r="M356" i="15" s="1"/>
  <c r="F334" i="6"/>
  <c r="F352" i="15"/>
  <c r="M352" i="15" s="1"/>
  <c r="F284" i="6"/>
  <c r="F412" i="15"/>
  <c r="F273" i="6"/>
  <c r="F331" i="6" s="1"/>
  <c r="F330" i="15"/>
  <c r="F197" i="6"/>
  <c r="F200" i="6" s="1"/>
  <c r="Q34" i="20" s="1"/>
  <c r="R1219" i="6"/>
  <c r="U1229" i="6"/>
  <c r="R1228" i="6"/>
  <c r="R831" i="6"/>
  <c r="R804" i="6"/>
  <c r="U804" i="6"/>
  <c r="U751" i="6"/>
  <c r="Q633" i="6"/>
  <c r="U832" i="6"/>
  <c r="T326" i="6"/>
  <c r="U1227" i="6"/>
  <c r="U891" i="6"/>
  <c r="F199" i="15"/>
  <c r="M199" i="15" s="1"/>
  <c r="F202" i="15"/>
  <c r="M202" i="15" s="1"/>
  <c r="R1012" i="6"/>
  <c r="R359" i="6"/>
  <c r="R502" i="6"/>
  <c r="U760" i="6"/>
  <c r="R899" i="6"/>
  <c r="R1162" i="6"/>
  <c r="T529" i="6"/>
  <c r="U662" i="6"/>
  <c r="Q505" i="6"/>
  <c r="W522" i="3"/>
  <c r="W745" i="3"/>
  <c r="E874" i="6"/>
  <c r="F204" i="15"/>
  <c r="M204" i="15" s="1"/>
  <c r="R325" i="6"/>
  <c r="R365" i="6" s="1"/>
  <c r="T280" i="6"/>
  <c r="Q326" i="6"/>
  <c r="R229" i="6"/>
  <c r="Q201" i="6"/>
  <c r="R200" i="6"/>
  <c r="R205" i="6"/>
  <c r="F32" i="6"/>
  <c r="U205" i="6"/>
  <c r="F23" i="6"/>
  <c r="T202" i="6"/>
  <c r="F330" i="6"/>
  <c r="F224" i="6"/>
  <c r="F236" i="6"/>
  <c r="W768" i="3"/>
  <c r="W1233" i="3"/>
  <c r="R27" i="20"/>
  <c r="R24" i="20"/>
  <c r="F800" i="6"/>
  <c r="F742" i="6"/>
  <c r="F667" i="6"/>
  <c r="F609" i="6"/>
  <c r="F539" i="6"/>
  <c r="U1228" i="6"/>
  <c r="R1229" i="6"/>
  <c r="R1027" i="6"/>
  <c r="R813" i="6"/>
  <c r="U747" i="6"/>
  <c r="T609" i="6"/>
  <c r="T604" i="6"/>
  <c r="I451" i="6"/>
  <c r="J451" i="6" s="1"/>
  <c r="F452" i="6"/>
  <c r="Q231" i="6"/>
  <c r="F442" i="6"/>
  <c r="F467" i="6"/>
  <c r="I799" i="6"/>
  <c r="F624" i="6"/>
  <c r="F614" i="6"/>
  <c r="F574" i="6"/>
  <c r="F412" i="6"/>
  <c r="F402" i="6"/>
  <c r="I420" i="6"/>
  <c r="F477" i="6"/>
  <c r="F397" i="6"/>
  <c r="F174" i="6"/>
  <c r="F57" i="6"/>
  <c r="F63" i="6"/>
  <c r="F201" i="6" s="1"/>
  <c r="F65" i="6"/>
  <c r="F202" i="6" s="1"/>
  <c r="F261" i="6"/>
  <c r="F326" i="6" s="1"/>
  <c r="G717" i="6"/>
  <c r="E717" i="6" s="1"/>
  <c r="W778" i="3"/>
  <c r="W685" i="3"/>
  <c r="W855" i="3"/>
  <c r="Q17" i="1"/>
  <c r="Q18" i="1" s="1"/>
  <c r="Q19" i="1" s="1"/>
  <c r="E715" i="6"/>
  <c r="G770" i="6"/>
  <c r="E770" i="6" s="1"/>
  <c r="W241" i="3"/>
  <c r="G921" i="6"/>
  <c r="W767" i="3"/>
  <c r="W715" i="3"/>
  <c r="I313" i="6"/>
  <c r="J313" i="6" s="1"/>
  <c r="W471" i="3"/>
  <c r="G725" i="6"/>
  <c r="E725" i="6" s="1"/>
  <c r="W777" i="3"/>
  <c r="G879" i="6"/>
  <c r="E879" i="6" s="1"/>
  <c r="I827" i="6"/>
  <c r="W858" i="3"/>
  <c r="W705" i="3"/>
  <c r="W431" i="3"/>
  <c r="G432" i="6"/>
  <c r="I430" i="6"/>
  <c r="G577" i="6"/>
  <c r="G470" i="6"/>
  <c r="W470" i="3" s="1"/>
  <c r="G445" i="6"/>
  <c r="I445" i="6" s="1"/>
  <c r="G622" i="6"/>
  <c r="I622" i="6" s="1"/>
  <c r="W621" i="3"/>
  <c r="G562" i="6"/>
  <c r="W561" i="3"/>
  <c r="E304" i="6"/>
  <c r="I304" i="6"/>
  <c r="G552" i="6"/>
  <c r="G495" i="6"/>
  <c r="W495" i="3" s="1"/>
  <c r="G391" i="6"/>
  <c r="G392" i="6" s="1"/>
  <c r="G461" i="6"/>
  <c r="G462" i="6" s="1"/>
  <c r="G584" i="6"/>
  <c r="W584" i="3" s="1"/>
  <c r="H1237" i="6"/>
  <c r="H1269" i="6" s="1"/>
  <c r="H1235" i="6"/>
  <c r="H1267" i="6" s="1"/>
  <c r="H834" i="6"/>
  <c r="H753" i="6"/>
  <c r="H636" i="6"/>
  <c r="H509" i="6"/>
  <c r="H370" i="6"/>
  <c r="H637" i="6"/>
  <c r="H232" i="6"/>
  <c r="H363" i="6"/>
  <c r="N355" i="3"/>
  <c r="H1232" i="6"/>
  <c r="H355" i="6"/>
  <c r="H371" i="6"/>
  <c r="H203" i="6"/>
  <c r="T412" i="3"/>
  <c r="T533" i="3"/>
  <c r="T603" i="3"/>
  <c r="F795" i="6"/>
  <c r="F747" i="6"/>
  <c r="F554" i="6"/>
  <c r="F417" i="6"/>
  <c r="T505" i="6"/>
  <c r="U452" i="6"/>
  <c r="U896" i="6"/>
  <c r="R760" i="6"/>
  <c r="U717" i="6"/>
  <c r="W846" i="3"/>
  <c r="E849" i="6"/>
  <c r="E336" i="6"/>
  <c r="I336" i="6"/>
  <c r="G800" i="6"/>
  <c r="E798" i="6"/>
  <c r="E680" i="6"/>
  <c r="G682" i="6"/>
  <c r="W684" i="3"/>
  <c r="G687" i="6"/>
  <c r="E705" i="6"/>
  <c r="G707" i="6"/>
  <c r="E707" i="6" s="1"/>
  <c r="G745" i="6"/>
  <c r="W744" i="3" s="1"/>
  <c r="G780" i="6"/>
  <c r="E778" i="6"/>
  <c r="G667" i="6"/>
  <c r="E667" i="6" s="1"/>
  <c r="I665" i="6"/>
  <c r="W854" i="3"/>
  <c r="G812" i="6"/>
  <c r="W690" i="3"/>
  <c r="W909" i="3"/>
  <c r="G922" i="6"/>
  <c r="E932" i="6"/>
  <c r="W919" i="3"/>
  <c r="G676" i="6"/>
  <c r="W675" i="3" s="1"/>
  <c r="W400" i="3"/>
  <c r="I400" i="6"/>
  <c r="G405" i="6"/>
  <c r="W405" i="3" s="1"/>
  <c r="G547" i="6"/>
  <c r="W547" i="3" s="1"/>
  <c r="W546" i="3"/>
  <c r="W616" i="3"/>
  <c r="G617" i="6"/>
  <c r="G537" i="6"/>
  <c r="G539" i="6" s="1"/>
  <c r="W539" i="3" s="1"/>
  <c r="G440" i="6"/>
  <c r="G380" i="6"/>
  <c r="W380" i="3" s="1"/>
  <c r="G480" i="6"/>
  <c r="W480" i="3" s="1"/>
  <c r="W436" i="3"/>
  <c r="I436" i="6"/>
  <c r="G557" i="6"/>
  <c r="W556" i="3"/>
  <c r="G607" i="6"/>
  <c r="I607" i="6" s="1"/>
  <c r="G456" i="6"/>
  <c r="G578" i="6"/>
  <c r="G588" i="6"/>
  <c r="G543" i="6"/>
  <c r="G593" i="6"/>
  <c r="W592" i="3"/>
  <c r="G476" i="6"/>
  <c r="I476" i="6" s="1"/>
  <c r="G568" i="6"/>
  <c r="G386" i="6"/>
  <c r="G387" i="6" s="1"/>
  <c r="I496" i="6"/>
  <c r="E345" i="6"/>
  <c r="I345" i="6"/>
  <c r="I944" i="6"/>
  <c r="J944" i="6" s="1"/>
  <c r="W679" i="3"/>
  <c r="W704" i="3"/>
  <c r="W664" i="3"/>
  <c r="W496" i="3"/>
  <c r="W336" i="3"/>
  <c r="I798" i="6"/>
  <c r="E675" i="6"/>
  <c r="W866" i="3"/>
  <c r="G695" i="6"/>
  <c r="G758" i="6"/>
  <c r="W757" i="3" s="1"/>
  <c r="G690" i="6"/>
  <c r="W689" i="3" s="1"/>
  <c r="G759" i="6"/>
  <c r="W758" i="3" s="1"/>
  <c r="G655" i="6"/>
  <c r="G657" i="6" s="1"/>
  <c r="G811" i="6"/>
  <c r="G763" i="6"/>
  <c r="W797" i="3"/>
  <c r="E894" i="6"/>
  <c r="W882" i="3"/>
  <c r="W680" i="3"/>
  <c r="G933" i="6"/>
  <c r="W920" i="3" s="1"/>
  <c r="W871" i="3"/>
  <c r="G880" i="6"/>
  <c r="W883" i="3"/>
  <c r="E875" i="6"/>
  <c r="W773" i="3"/>
  <c r="W859" i="3"/>
  <c r="W720" i="3"/>
  <c r="W441" i="3"/>
  <c r="W466" i="3"/>
  <c r="W416" i="3"/>
  <c r="W606" i="3"/>
  <c r="W536" i="3"/>
  <c r="G572" i="6"/>
  <c r="G455" i="6"/>
  <c r="I426" i="6"/>
  <c r="W426" i="3"/>
  <c r="G490" i="6"/>
  <c r="W420" i="3"/>
  <c r="G411" i="6"/>
  <c r="I411" i="6" s="1"/>
  <c r="W460" i="3"/>
  <c r="G612" i="6"/>
  <c r="W612" i="3" s="1"/>
  <c r="W611" i="3"/>
  <c r="G627" i="6"/>
  <c r="W627" i="3" s="1"/>
  <c r="W626" i="3"/>
  <c r="G602" i="6"/>
  <c r="I466" i="6"/>
  <c r="G532" i="6"/>
  <c r="W410" i="3"/>
  <c r="W586" i="3"/>
  <c r="G587" i="6"/>
  <c r="G401" i="6"/>
  <c r="I401" i="6" s="1"/>
  <c r="G491" i="6"/>
  <c r="W925" i="3"/>
  <c r="E938" i="6"/>
  <c r="G613" i="6"/>
  <c r="I613" i="6" s="1"/>
  <c r="G563" i="6"/>
  <c r="G528" i="6"/>
  <c r="G548" i="6"/>
  <c r="I548" i="6" s="1"/>
  <c r="G623" i="6"/>
  <c r="W250" i="3"/>
  <c r="E250" i="6"/>
  <c r="G268" i="6"/>
  <c r="W268" i="3" s="1"/>
  <c r="Z235" i="4"/>
  <c r="H66" i="2"/>
  <c r="H61" i="2"/>
  <c r="H54" i="2"/>
  <c r="H36" i="2"/>
  <c r="H31" i="2"/>
  <c r="H1249" i="6"/>
  <c r="H62" i="2"/>
  <c r="F111" i="6"/>
  <c r="F129" i="6"/>
  <c r="J18" i="14"/>
  <c r="K18" i="14" s="1"/>
  <c r="L18" i="14"/>
  <c r="Y22" i="42"/>
  <c r="Y23" i="42" s="1"/>
  <c r="J9" i="42" s="1"/>
  <c r="W710" i="3"/>
  <c r="W847" i="3"/>
  <c r="E850" i="6"/>
  <c r="J259" i="6"/>
  <c r="W259" i="3"/>
  <c r="E259" i="6"/>
  <c r="W485" i="3"/>
  <c r="E665" i="6"/>
  <c r="G737" i="6"/>
  <c r="W734" i="3"/>
  <c r="J241" i="6"/>
  <c r="W730" i="3"/>
  <c r="W879" i="3"/>
  <c r="W660" i="3"/>
  <c r="W695" i="3"/>
  <c r="E648" i="6"/>
  <c r="W582" i="3"/>
  <c r="I421" i="6"/>
  <c r="W421" i="3"/>
  <c r="G422" i="6"/>
  <c r="I446" i="6"/>
  <c r="I406" i="6"/>
  <c r="W406" i="3"/>
  <c r="F84" i="6"/>
  <c r="U422" i="6"/>
  <c r="F350" i="6"/>
  <c r="M330" i="15" l="1"/>
  <c r="R330" i="15"/>
  <c r="F325" i="6"/>
  <c r="F365" i="6" s="1"/>
  <c r="A69" i="2"/>
  <c r="A70" i="2" s="1"/>
  <c r="A71" i="2" s="1"/>
  <c r="A74" i="2" s="1"/>
  <c r="A77" i="2" s="1"/>
  <c r="A79" i="2" s="1"/>
  <c r="F370" i="15"/>
  <c r="M370" i="15" s="1"/>
  <c r="M205" i="15"/>
  <c r="M200" i="15"/>
  <c r="F365" i="15"/>
  <c r="M201" i="15"/>
  <c r="V20" i="595"/>
  <c r="Q20" i="1"/>
  <c r="Q21" i="1" s="1"/>
  <c r="F21" i="1" s="1"/>
  <c r="F19" i="1"/>
  <c r="V631" i="3"/>
  <c r="W631" i="3" s="1"/>
  <c r="M295" i="6"/>
  <c r="W659" i="3"/>
  <c r="U26" i="5"/>
  <c r="I425" i="6"/>
  <c r="N425" i="6" s="1"/>
  <c r="E660" i="6"/>
  <c r="W425" i="3"/>
  <c r="R1044" i="6"/>
  <c r="U1044" i="6"/>
  <c r="I435" i="6"/>
  <c r="J435" i="6" s="1"/>
  <c r="R29" i="20"/>
  <c r="R31" i="20" s="1"/>
  <c r="W719" i="3"/>
  <c r="W475" i="3"/>
  <c r="I740" i="6"/>
  <c r="M740" i="6" s="1"/>
  <c r="Q740" i="6" s="1"/>
  <c r="G452" i="6"/>
  <c r="G437" i="6"/>
  <c r="G722" i="6"/>
  <c r="E722" i="6" s="1"/>
  <c r="W486" i="3"/>
  <c r="E740" i="6"/>
  <c r="G742" i="6"/>
  <c r="E742" i="6" s="1"/>
  <c r="G397" i="6"/>
  <c r="I395" i="6"/>
  <c r="N395" i="6" s="1"/>
  <c r="G467" i="6"/>
  <c r="W646" i="3"/>
  <c r="F9" i="12"/>
  <c r="F74" i="12" s="1"/>
  <c r="B2" i="1"/>
  <c r="F364" i="6"/>
  <c r="G662" i="6"/>
  <c r="E662" i="6" s="1"/>
  <c r="W415" i="3"/>
  <c r="E773" i="6"/>
  <c r="G650" i="6"/>
  <c r="G27" i="2" s="1"/>
  <c r="W465" i="3"/>
  <c r="E700" i="6"/>
  <c r="J295" i="6"/>
  <c r="W772" i="3"/>
  <c r="W699" i="3"/>
  <c r="E8" i="548"/>
  <c r="J3" i="582"/>
  <c r="AL9" i="4"/>
  <c r="W709" i="3"/>
  <c r="E710" i="6"/>
  <c r="G732" i="6"/>
  <c r="E732" i="6" s="1"/>
  <c r="E730" i="6"/>
  <c r="U14" i="5"/>
  <c r="E930" i="6"/>
  <c r="W669" i="3"/>
  <c r="W527" i="3"/>
  <c r="T752" i="3"/>
  <c r="U30" i="5" s="1"/>
  <c r="W917" i="3"/>
  <c r="U15" i="5"/>
  <c r="I415" i="6"/>
  <c r="N415" i="6" s="1"/>
  <c r="E826" i="6"/>
  <c r="E670" i="6"/>
  <c r="W825" i="3"/>
  <c r="W567" i="3"/>
  <c r="G828" i="6"/>
  <c r="E828" i="6" s="1"/>
  <c r="W450" i="3"/>
  <c r="E920" i="6"/>
  <c r="Z236" i="4"/>
  <c r="AA236" i="4"/>
  <c r="F232" i="6"/>
  <c r="F363" i="15"/>
  <c r="V752" i="3"/>
  <c r="V509" i="3"/>
  <c r="G727" i="6"/>
  <c r="E727" i="6" s="1"/>
  <c r="U53" i="6"/>
  <c r="U55" i="6"/>
  <c r="T365" i="6"/>
  <c r="H1241" i="6"/>
  <c r="H905" i="6"/>
  <c r="H1247" i="6" s="1"/>
  <c r="G609" i="6"/>
  <c r="W609" i="3" s="1"/>
  <c r="W622" i="3"/>
  <c r="C27" i="49"/>
  <c r="F9" i="6"/>
  <c r="F8" i="654" s="1"/>
  <c r="B3" i="1"/>
  <c r="W445" i="3"/>
  <c r="H30" i="2"/>
  <c r="H28" i="2"/>
  <c r="N345" i="6"/>
  <c r="M345" i="6"/>
  <c r="N304" i="6"/>
  <c r="M304" i="6"/>
  <c r="N313" i="6"/>
  <c r="M313" i="6"/>
  <c r="N336" i="6"/>
  <c r="M336" i="6"/>
  <c r="N406" i="6"/>
  <c r="M406" i="6"/>
  <c r="N446" i="6"/>
  <c r="M446" i="6"/>
  <c r="N548" i="6"/>
  <c r="M548" i="6"/>
  <c r="R548" i="6" s="1"/>
  <c r="N401" i="6"/>
  <c r="M401" i="6"/>
  <c r="N426" i="6"/>
  <c r="M426" i="6"/>
  <c r="Q426" i="6" s="1"/>
  <c r="N607" i="6"/>
  <c r="M607" i="6"/>
  <c r="R607" i="6" s="1"/>
  <c r="N400" i="6"/>
  <c r="M400" i="6"/>
  <c r="Q400" i="6" s="1"/>
  <c r="J622" i="6"/>
  <c r="N622" i="6"/>
  <c r="M622" i="6"/>
  <c r="R622" i="6" s="1"/>
  <c r="I828" i="6"/>
  <c r="J828" i="6" s="1"/>
  <c r="N827" i="6"/>
  <c r="M827" i="6"/>
  <c r="J420" i="6"/>
  <c r="N420" i="6"/>
  <c r="M420" i="6"/>
  <c r="Q420" i="6" s="1"/>
  <c r="J799" i="6"/>
  <c r="N799" i="6"/>
  <c r="M799" i="6"/>
  <c r="Q799" i="6" s="1"/>
  <c r="N451" i="6"/>
  <c r="M451" i="6"/>
  <c r="Q451" i="6" s="1"/>
  <c r="N666" i="6"/>
  <c r="M666" i="6"/>
  <c r="Q666" i="6" s="1"/>
  <c r="N465" i="6"/>
  <c r="M465" i="6"/>
  <c r="R465" i="6" s="1"/>
  <c r="R467" i="6" s="1"/>
  <c r="N538" i="6"/>
  <c r="M538" i="6"/>
  <c r="Q538" i="6" s="1"/>
  <c r="Q635" i="6" s="1"/>
  <c r="J431" i="6"/>
  <c r="N431" i="6"/>
  <c r="M431" i="6"/>
  <c r="Q431" i="6" s="1"/>
  <c r="N441" i="6"/>
  <c r="M441" i="6"/>
  <c r="Q441" i="6" s="1"/>
  <c r="N396" i="6"/>
  <c r="M396" i="6"/>
  <c r="Q396" i="6" s="1"/>
  <c r="N553" i="6"/>
  <c r="M553" i="6"/>
  <c r="R553" i="6" s="1"/>
  <c r="N608" i="6"/>
  <c r="M608" i="6"/>
  <c r="R608" i="6" s="1"/>
  <c r="N421" i="6"/>
  <c r="M421" i="6"/>
  <c r="Q421" i="6" s="1"/>
  <c r="N613" i="6"/>
  <c r="M613" i="6"/>
  <c r="R613" i="6" s="1"/>
  <c r="N466" i="6"/>
  <c r="M466" i="6"/>
  <c r="I412" i="6"/>
  <c r="J412" i="6" s="1"/>
  <c r="N411" i="6"/>
  <c r="M411" i="6"/>
  <c r="Q411" i="6" s="1"/>
  <c r="N567" i="6"/>
  <c r="M567" i="6"/>
  <c r="R567" i="6" s="1"/>
  <c r="N798" i="6"/>
  <c r="M798" i="6"/>
  <c r="N496" i="6"/>
  <c r="M496" i="6"/>
  <c r="Q496" i="6" s="1"/>
  <c r="N476" i="6"/>
  <c r="M476" i="6"/>
  <c r="Q476" i="6" s="1"/>
  <c r="N436" i="6"/>
  <c r="M436" i="6"/>
  <c r="Q436" i="6" s="1"/>
  <c r="N665" i="6"/>
  <c r="M665" i="6"/>
  <c r="N445" i="6"/>
  <c r="M445" i="6"/>
  <c r="Q445" i="6" s="1"/>
  <c r="J430" i="6"/>
  <c r="N430" i="6"/>
  <c r="M430" i="6"/>
  <c r="Q430" i="6" s="1"/>
  <c r="N475" i="6"/>
  <c r="M475" i="6"/>
  <c r="R475" i="6" s="1"/>
  <c r="R477" i="6" s="1"/>
  <c r="J741" i="6"/>
  <c r="N741" i="6"/>
  <c r="M741" i="6"/>
  <c r="N410" i="6"/>
  <c r="M410" i="6"/>
  <c r="Q410" i="6" s="1"/>
  <c r="N573" i="6"/>
  <c r="M573" i="6"/>
  <c r="R573" i="6" s="1"/>
  <c r="J746" i="6"/>
  <c r="N746" i="6"/>
  <c r="M746" i="6"/>
  <c r="Q746" i="6" s="1"/>
  <c r="J450" i="6"/>
  <c r="N450" i="6"/>
  <c r="M450" i="6"/>
  <c r="Q450" i="6" s="1"/>
  <c r="N416" i="6"/>
  <c r="M416" i="6"/>
  <c r="Q416" i="6" s="1"/>
  <c r="N826" i="6"/>
  <c r="M826" i="6"/>
  <c r="Q826" i="6" s="1"/>
  <c r="F1198" i="6"/>
  <c r="F66" i="654" s="1"/>
  <c r="W724" i="3"/>
  <c r="H13" i="2"/>
  <c r="H18" i="2" s="1"/>
  <c r="W9" i="6"/>
  <c r="J6" i="654" s="1"/>
  <c r="L6" i="654" s="1"/>
  <c r="H23" i="2"/>
  <c r="W537" i="3"/>
  <c r="G447" i="6"/>
  <c r="W391" i="3"/>
  <c r="W562" i="3"/>
  <c r="G472" i="6"/>
  <c r="G924" i="6"/>
  <c r="W911" i="3" s="1"/>
  <c r="H368" i="6"/>
  <c r="H512" i="6" s="1"/>
  <c r="W22" i="595"/>
  <c r="U22" i="595"/>
  <c r="R371" i="6"/>
  <c r="T366" i="6"/>
  <c r="I537" i="6"/>
  <c r="I539" i="6" s="1"/>
  <c r="J539" i="6" s="1"/>
  <c r="J304" i="6"/>
  <c r="H22" i="2"/>
  <c r="G502" i="6"/>
  <c r="W577" i="3"/>
  <c r="F366" i="6"/>
  <c r="F15" i="654" s="1"/>
  <c r="K284" i="15"/>
  <c r="K285" i="15" s="1"/>
  <c r="K286" i="15" s="1"/>
  <c r="K287" i="15" s="1"/>
  <c r="K288" i="15" s="1"/>
  <c r="K289" i="15" s="1"/>
  <c r="K290" i="15" s="1"/>
  <c r="K291" i="15" s="1"/>
  <c r="K292" i="15" s="1"/>
  <c r="U834" i="6"/>
  <c r="U753" i="6"/>
  <c r="U902" i="6"/>
  <c r="R372" i="6"/>
  <c r="I432" i="6"/>
  <c r="J432" i="6" s="1"/>
  <c r="J827" i="6"/>
  <c r="I452" i="6"/>
  <c r="J452" i="6" s="1"/>
  <c r="F66" i="6"/>
  <c r="F203" i="6" s="1"/>
  <c r="T364" i="6"/>
  <c r="R1112" i="6"/>
  <c r="R1154" i="6" s="1"/>
  <c r="H361" i="6"/>
  <c r="F320" i="6"/>
  <c r="F323" i="6" s="1"/>
  <c r="W763" i="3"/>
  <c r="R1236" i="6"/>
  <c r="R1268" i="6" s="1"/>
  <c r="Y325" i="6"/>
  <c r="Y326" i="6" s="1"/>
  <c r="Y327" i="6" s="1"/>
  <c r="Y328" i="6" s="1"/>
  <c r="Y329" i="6" s="1"/>
  <c r="Y330" i="6" s="1"/>
  <c r="Y331" i="6" s="1"/>
  <c r="Y332" i="6" s="1"/>
  <c r="Y333" i="6" s="1"/>
  <c r="Y334" i="6" s="1"/>
  <c r="Y335" i="6" s="1"/>
  <c r="Y336" i="6" s="1"/>
  <c r="Y337" i="6" s="1"/>
  <c r="Y338" i="6" s="1"/>
  <c r="Y339" i="6" s="1"/>
  <c r="Y340" i="6" s="1"/>
  <c r="Y341" i="6" s="1"/>
  <c r="Y342" i="6" s="1"/>
  <c r="Y343" i="6" s="1"/>
  <c r="Y344" i="6" s="1"/>
  <c r="Y345" i="6" s="1"/>
  <c r="Y346" i="6" s="1"/>
  <c r="Y347" i="6" s="1"/>
  <c r="R363" i="6"/>
  <c r="R902" i="6"/>
  <c r="U1238" i="6"/>
  <c r="U1270" i="6" s="1"/>
  <c r="R370" i="6"/>
  <c r="F205" i="6"/>
  <c r="F207" i="6"/>
  <c r="W607" i="3"/>
  <c r="J567" i="6"/>
  <c r="G544" i="6"/>
  <c r="W544" i="3" s="1"/>
  <c r="R1238" i="6"/>
  <c r="R1270" i="6" s="1"/>
  <c r="T509" i="3"/>
  <c r="T636" i="6"/>
  <c r="Q364" i="6"/>
  <c r="Q636" i="6"/>
  <c r="R834" i="6"/>
  <c r="F329" i="6"/>
  <c r="H50" i="2"/>
  <c r="H56" i="2" s="1"/>
  <c r="H29" i="2"/>
  <c r="W597" i="3"/>
  <c r="R753" i="6"/>
  <c r="R926" i="6"/>
  <c r="J475" i="6"/>
  <c r="R1232" i="6"/>
  <c r="U1236" i="6"/>
  <c r="U1268" i="6" s="1"/>
  <c r="R1235" i="6"/>
  <c r="R1267" i="6" s="1"/>
  <c r="Q366" i="6"/>
  <c r="U1237" i="6"/>
  <c r="U1269" i="6" s="1"/>
  <c r="R1237" i="6"/>
  <c r="R1269" i="6" s="1"/>
  <c r="F289" i="6"/>
  <c r="F339" i="6"/>
  <c r="F355" i="6" s="1"/>
  <c r="F353" i="6"/>
  <c r="G477" i="6"/>
  <c r="W811" i="3"/>
  <c r="F369" i="15"/>
  <c r="M369" i="15" s="1"/>
  <c r="F371" i="15"/>
  <c r="M371" i="15" s="1"/>
  <c r="T637" i="6"/>
  <c r="F362" i="15"/>
  <c r="M362" i="15" s="1"/>
  <c r="F262" i="6"/>
  <c r="G412" i="6"/>
  <c r="H640" i="6"/>
  <c r="H1246" i="6" s="1"/>
  <c r="W461" i="3"/>
  <c r="I495" i="6"/>
  <c r="G497" i="6"/>
  <c r="W552" i="3"/>
  <c r="I552" i="6"/>
  <c r="G554" i="6"/>
  <c r="W554" i="3" s="1"/>
  <c r="J445" i="6"/>
  <c r="I623" i="6"/>
  <c r="G624" i="6"/>
  <c r="W624" i="3" s="1"/>
  <c r="J548" i="6"/>
  <c r="G505" i="6"/>
  <c r="J401" i="6"/>
  <c r="J466" i="6"/>
  <c r="I467" i="6"/>
  <c r="J467" i="6" s="1"/>
  <c r="W490" i="3"/>
  <c r="G492" i="6"/>
  <c r="G457" i="6"/>
  <c r="I572" i="6"/>
  <c r="G574" i="6"/>
  <c r="W574" i="3" s="1"/>
  <c r="W873" i="3"/>
  <c r="E763" i="6"/>
  <c r="G765" i="6"/>
  <c r="G813" i="6"/>
  <c r="E811" i="6"/>
  <c r="E655" i="6"/>
  <c r="G750" i="6"/>
  <c r="W654" i="3"/>
  <c r="E758" i="6"/>
  <c r="G760" i="6"/>
  <c r="E760" i="6" s="1"/>
  <c r="E695" i="6"/>
  <c r="G697" i="6"/>
  <c r="G402" i="6"/>
  <c r="W572" i="3"/>
  <c r="J496" i="6"/>
  <c r="W411" i="3"/>
  <c r="J476" i="6"/>
  <c r="I477" i="6"/>
  <c r="J477" i="6" s="1"/>
  <c r="G579" i="6"/>
  <c r="W579" i="3" s="1"/>
  <c r="J607" i="6"/>
  <c r="I609" i="6"/>
  <c r="J609" i="6" s="1"/>
  <c r="W617" i="3"/>
  <c r="G619" i="6"/>
  <c r="W619" i="3" s="1"/>
  <c r="G549" i="6"/>
  <c r="W549" i="3" s="1"/>
  <c r="I547" i="6"/>
  <c r="G594" i="6"/>
  <c r="W594" i="3" s="1"/>
  <c r="J400" i="6"/>
  <c r="I402" i="6"/>
  <c r="J402" i="6" s="1"/>
  <c r="G677" i="6"/>
  <c r="E780" i="6"/>
  <c r="E687" i="6"/>
  <c r="E800" i="6"/>
  <c r="L19" i="14"/>
  <c r="J19" i="14"/>
  <c r="K19" i="14" s="1"/>
  <c r="I268" i="6"/>
  <c r="E268" i="6"/>
  <c r="W623" i="3"/>
  <c r="G529" i="6"/>
  <c r="W529" i="3" s="1"/>
  <c r="G635" i="6"/>
  <c r="J613" i="6"/>
  <c r="W491" i="3"/>
  <c r="W401" i="3"/>
  <c r="G589" i="6"/>
  <c r="W589" i="3" s="1"/>
  <c r="G633" i="6"/>
  <c r="W633" i="3" s="1"/>
  <c r="W532" i="3"/>
  <c r="G534" i="6"/>
  <c r="W534" i="3" s="1"/>
  <c r="G604" i="6"/>
  <c r="W604" i="3" s="1"/>
  <c r="W602" i="3"/>
  <c r="I627" i="6"/>
  <c r="G629" i="6"/>
  <c r="W629" i="3" s="1"/>
  <c r="G614" i="6"/>
  <c r="W614" i="3" s="1"/>
  <c r="I612" i="6"/>
  <c r="J411" i="6"/>
  <c r="J426" i="6"/>
  <c r="W455" i="3"/>
  <c r="G934" i="6"/>
  <c r="W762" i="3"/>
  <c r="W810" i="3"/>
  <c r="G692" i="6"/>
  <c r="E692" i="6" s="1"/>
  <c r="E690" i="6"/>
  <c r="W694" i="3"/>
  <c r="I800" i="6"/>
  <c r="J800" i="6" s="1"/>
  <c r="J798" i="6"/>
  <c r="G503" i="6"/>
  <c r="J345" i="6"/>
  <c r="G506" i="6"/>
  <c r="W386" i="3"/>
  <c r="G507" i="6"/>
  <c r="I568" i="6"/>
  <c r="G569" i="6"/>
  <c r="W569" i="3" s="1"/>
  <c r="W476" i="3"/>
  <c r="W587" i="3"/>
  <c r="W456" i="3"/>
  <c r="G559" i="6"/>
  <c r="W559" i="3" s="1"/>
  <c r="W557" i="3"/>
  <c r="J436" i="6"/>
  <c r="G482" i="6"/>
  <c r="G382" i="6"/>
  <c r="G501" i="6"/>
  <c r="W440" i="3"/>
  <c r="G442" i="6"/>
  <c r="I440" i="6"/>
  <c r="G407" i="6"/>
  <c r="I405" i="6"/>
  <c r="E922" i="6"/>
  <c r="G751" i="6"/>
  <c r="J665" i="6"/>
  <c r="I667" i="6"/>
  <c r="J667" i="6" s="1"/>
  <c r="I745" i="6"/>
  <c r="E745" i="6"/>
  <c r="G747" i="6"/>
  <c r="E747" i="6" s="1"/>
  <c r="E682" i="6"/>
  <c r="J336" i="6"/>
  <c r="G564" i="6"/>
  <c r="W564" i="3" s="1"/>
  <c r="J421" i="6"/>
  <c r="E737" i="6"/>
  <c r="E657" i="6"/>
  <c r="I422" i="6"/>
  <c r="J422" i="6" s="1"/>
  <c r="F358" i="6"/>
  <c r="F371" i="6" s="1"/>
  <c r="F359" i="6"/>
  <c r="J406" i="6"/>
  <c r="I447" i="6"/>
  <c r="J447" i="6" s="1"/>
  <c r="J446" i="6"/>
  <c r="T628" i="6"/>
  <c r="E32" i="49" l="1"/>
  <c r="F32" i="49"/>
  <c r="G32" i="49"/>
  <c r="A2" i="654"/>
  <c r="F14" i="2"/>
  <c r="F14" i="654"/>
  <c r="F3" i="654"/>
  <c r="A3" i="654"/>
  <c r="K21" i="548"/>
  <c r="K20" i="548" s="1"/>
  <c r="K19" i="548" s="1"/>
  <c r="K18" i="548" s="1"/>
  <c r="K17" i="548" s="1"/>
  <c r="K16" i="548" s="1"/>
  <c r="K15" i="548" s="1"/>
  <c r="K14" i="548" s="1"/>
  <c r="K13" i="548" s="1"/>
  <c r="K12" i="548" s="1"/>
  <c r="K11" i="548" s="1"/>
  <c r="K10" i="548" s="1"/>
  <c r="K40" i="548"/>
  <c r="K39" i="548" s="1"/>
  <c r="K38" i="548" s="1"/>
  <c r="K37" i="548" s="1"/>
  <c r="K36" i="548" s="1"/>
  <c r="K35" i="548" s="1"/>
  <c r="K34" i="548" s="1"/>
  <c r="K33" i="548" s="1"/>
  <c r="K32" i="548" s="1"/>
  <c r="K31" i="548" s="1"/>
  <c r="K30" i="548" s="1"/>
  <c r="K29" i="548" s="1"/>
  <c r="W984" i="6"/>
  <c r="W989" i="6"/>
  <c r="W990" i="6"/>
  <c r="W985" i="6"/>
  <c r="F66" i="2"/>
  <c r="F8" i="2"/>
  <c r="T10" i="42" s="1"/>
  <c r="Y12" i="42" s="1"/>
  <c r="M365" i="15"/>
  <c r="F417" i="15"/>
  <c r="A4" i="651"/>
  <c r="A3" i="651"/>
  <c r="F415" i="15"/>
  <c r="M363" i="15"/>
  <c r="B4" i="653"/>
  <c r="J3" i="33"/>
  <c r="J4" i="33"/>
  <c r="B5" i="653"/>
  <c r="B10" i="653" s="1"/>
  <c r="T4" i="594"/>
  <c r="K4" i="594"/>
  <c r="K3" i="594"/>
  <c r="Z3" i="594" s="1"/>
  <c r="T3" i="594"/>
  <c r="A3" i="650"/>
  <c r="A2" i="650"/>
  <c r="K1238" i="3"/>
  <c r="R1238" i="3"/>
  <c r="Q22" i="1"/>
  <c r="Q23" i="1" s="1"/>
  <c r="Q24" i="1" s="1"/>
  <c r="Q25" i="1" s="1"/>
  <c r="Q26" i="1" s="1"/>
  <c r="Q27" i="1" s="1"/>
  <c r="Q28" i="1" s="1"/>
  <c r="Q29" i="1" s="1"/>
  <c r="Q30" i="1" s="1"/>
  <c r="Q31" i="1" s="1"/>
  <c r="Q32" i="1" s="1"/>
  <c r="Q33" i="1" s="1"/>
  <c r="Q34" i="1" s="1"/>
  <c r="Q35" i="1" s="1"/>
  <c r="Q36" i="1" s="1"/>
  <c r="Q37" i="1" s="1"/>
  <c r="Q38" i="1" s="1"/>
  <c r="Q39" i="1" s="1"/>
  <c r="Q40" i="1" s="1"/>
  <c r="M435" i="6"/>
  <c r="M437" i="6" s="1"/>
  <c r="I427" i="6"/>
  <c r="J427" i="6" s="1"/>
  <c r="I437" i="6"/>
  <c r="J437" i="6" s="1"/>
  <c r="N435" i="6"/>
  <c r="T435" i="6" s="1"/>
  <c r="J425" i="6"/>
  <c r="M425" i="6"/>
  <c r="M427" i="6" s="1"/>
  <c r="E924" i="6"/>
  <c r="D17" i="20"/>
  <c r="Q36" i="20"/>
  <c r="I742" i="6"/>
  <c r="J742" i="6" s="1"/>
  <c r="N740" i="6"/>
  <c r="T740" i="6" s="1"/>
  <c r="J740" i="6"/>
  <c r="E650" i="6"/>
  <c r="J395" i="6"/>
  <c r="I397" i="6"/>
  <c r="J397" i="6" s="1"/>
  <c r="M395" i="6"/>
  <c r="Q395" i="6" s="1"/>
  <c r="Q397" i="6" s="1"/>
  <c r="F12" i="12"/>
  <c r="F25" i="12"/>
  <c r="F70" i="12"/>
  <c r="F24" i="12"/>
  <c r="F73" i="12"/>
  <c r="F367" i="15"/>
  <c r="M367" i="15" s="1"/>
  <c r="F11" i="15"/>
  <c r="M11" i="15" s="1"/>
  <c r="J415" i="6"/>
  <c r="I417" i="6"/>
  <c r="J417" i="6" s="1"/>
  <c r="M415" i="6"/>
  <c r="M417" i="6" s="1"/>
  <c r="F363" i="6"/>
  <c r="F13" i="654" s="1"/>
  <c r="H24" i="2"/>
  <c r="S1238" i="3"/>
  <c r="V1238" i="3"/>
  <c r="T746" i="6"/>
  <c r="T430" i="6"/>
  <c r="U613" i="6"/>
  <c r="T421" i="6"/>
  <c r="U608" i="6"/>
  <c r="U553" i="6"/>
  <c r="T396" i="6"/>
  <c r="T441" i="6"/>
  <c r="T431" i="6"/>
  <c r="U538" i="6"/>
  <c r="U465" i="6"/>
  <c r="U467" i="6" s="1"/>
  <c r="T666" i="6"/>
  <c r="T451" i="6"/>
  <c r="T799" i="6"/>
  <c r="T420" i="6"/>
  <c r="T401" i="6"/>
  <c r="U548" i="6"/>
  <c r="T826" i="6"/>
  <c r="N417" i="6"/>
  <c r="T416" i="6"/>
  <c r="T450" i="6"/>
  <c r="U573" i="6"/>
  <c r="T410" i="6"/>
  <c r="T741" i="6"/>
  <c r="U475" i="6"/>
  <c r="U477" i="6" s="1"/>
  <c r="T445" i="6"/>
  <c r="T436" i="6"/>
  <c r="T476" i="6"/>
  <c r="T496" i="6"/>
  <c r="T411" i="6"/>
  <c r="U622" i="6"/>
  <c r="T426" i="6"/>
  <c r="B4" i="647"/>
  <c r="A3" i="137"/>
  <c r="A4" i="137"/>
  <c r="B5" i="647"/>
  <c r="B10" i="647" s="1"/>
  <c r="J1238" i="3"/>
  <c r="B4" i="594"/>
  <c r="G17" i="2"/>
  <c r="B4" i="49"/>
  <c r="B18" i="49" s="1"/>
  <c r="C4" i="42"/>
  <c r="A4" i="16"/>
  <c r="A3" i="3"/>
  <c r="A4" i="17"/>
  <c r="B4" i="139"/>
  <c r="K4" i="52"/>
  <c r="B4" i="4"/>
  <c r="A3" i="5"/>
  <c r="J3" i="20"/>
  <c r="J4" i="595"/>
  <c r="B4" i="14"/>
  <c r="B4" i="595"/>
  <c r="P4" i="595" s="1"/>
  <c r="O4" i="42"/>
  <c r="A3" i="6"/>
  <c r="A4" i="548"/>
  <c r="F3" i="2"/>
  <c r="B2" i="12"/>
  <c r="A3" i="20"/>
  <c r="A4" i="50"/>
  <c r="A3" i="2"/>
  <c r="A4" i="15"/>
  <c r="W4" i="42"/>
  <c r="AH5" i="4"/>
  <c r="A4" i="33"/>
  <c r="C32" i="49"/>
  <c r="E35" i="49"/>
  <c r="A3" i="33"/>
  <c r="M609" i="6"/>
  <c r="M452" i="6"/>
  <c r="T415" i="6"/>
  <c r="Q452" i="6"/>
  <c r="N452" i="6"/>
  <c r="N627" i="6"/>
  <c r="M627" i="6"/>
  <c r="N268" i="6"/>
  <c r="M268" i="6"/>
  <c r="M742" i="6"/>
  <c r="W243" i="6"/>
  <c r="A2" i="20"/>
  <c r="M828" i="6"/>
  <c r="W214" i="6"/>
  <c r="W101" i="6"/>
  <c r="N828" i="6"/>
  <c r="N745" i="6"/>
  <c r="M745" i="6"/>
  <c r="R609" i="6"/>
  <c r="I407" i="6"/>
  <c r="J407" i="6" s="1"/>
  <c r="N405" i="6"/>
  <c r="M405" i="6"/>
  <c r="Q405" i="6" s="1"/>
  <c r="N568" i="6"/>
  <c r="M568" i="6"/>
  <c r="N623" i="6"/>
  <c r="M623" i="6"/>
  <c r="I497" i="6"/>
  <c r="J497" i="6" s="1"/>
  <c r="N495" i="6"/>
  <c r="M495" i="6"/>
  <c r="J537" i="6"/>
  <c r="N537" i="6"/>
  <c r="M537" i="6"/>
  <c r="M539" i="6" s="1"/>
  <c r="N440" i="6"/>
  <c r="M440" i="6"/>
  <c r="N612" i="6"/>
  <c r="M612" i="6"/>
  <c r="N547" i="6"/>
  <c r="M547" i="6"/>
  <c r="N572" i="6"/>
  <c r="M572" i="6"/>
  <c r="N552" i="6"/>
  <c r="M552" i="6"/>
  <c r="W279" i="6"/>
  <c r="W83" i="6"/>
  <c r="W27" i="6"/>
  <c r="F372" i="6"/>
  <c r="F15" i="2"/>
  <c r="N432" i="6"/>
  <c r="R1241" i="6"/>
  <c r="R1273" i="6" s="1"/>
  <c r="W3" i="42"/>
  <c r="T827" i="6"/>
  <c r="Q741" i="6"/>
  <c r="Q742" i="6" s="1"/>
  <c r="W20" i="6"/>
  <c r="W288" i="6"/>
  <c r="W223" i="6"/>
  <c r="W90" i="6"/>
  <c r="W60" i="6"/>
  <c r="Q827" i="6"/>
  <c r="Q828" i="6" s="1"/>
  <c r="W201" i="6"/>
  <c r="W56" i="6"/>
  <c r="W45" i="6"/>
  <c r="W162" i="6"/>
  <c r="W189" i="6"/>
  <c r="W306" i="6"/>
  <c r="W117" i="6"/>
  <c r="A3" i="17"/>
  <c r="W221" i="6"/>
  <c r="W252" i="6"/>
  <c r="W212" i="6"/>
  <c r="W297" i="6"/>
  <c r="W74" i="6"/>
  <c r="W108" i="6"/>
  <c r="W286" i="6"/>
  <c r="J6" i="2"/>
  <c r="L6" i="2" s="1"/>
  <c r="W81" i="6"/>
  <c r="W164" i="6"/>
  <c r="W110" i="6"/>
  <c r="W191" i="6"/>
  <c r="W261" i="6"/>
  <c r="W119" i="6"/>
  <c r="D32" i="49"/>
  <c r="F370" i="6"/>
  <c r="G1238" i="3"/>
  <c r="I1238" i="3"/>
  <c r="L1238" i="3"/>
  <c r="O1238" i="3"/>
  <c r="Q1238" i="3"/>
  <c r="H1238" i="3"/>
  <c r="M1238" i="3"/>
  <c r="N1238" i="3"/>
  <c r="P1238" i="3"/>
  <c r="G509" i="6"/>
  <c r="M432" i="6"/>
  <c r="O3" i="42"/>
  <c r="W202" i="6"/>
  <c r="W230" i="6"/>
  <c r="W324" i="6"/>
  <c r="W38" i="6"/>
  <c r="W235" i="6"/>
  <c r="W173" i="6"/>
  <c r="W29" i="6"/>
  <c r="W270" i="6"/>
  <c r="W18" i="6"/>
  <c r="W47" i="6"/>
  <c r="W99" i="6"/>
  <c r="W62" i="6"/>
  <c r="W171" i="6"/>
  <c r="W135" i="6"/>
  <c r="W63" i="6"/>
  <c r="W182" i="6"/>
  <c r="W92" i="6"/>
  <c r="W231" i="6"/>
  <c r="W144" i="6"/>
  <c r="W64" i="6"/>
  <c r="W153" i="6"/>
  <c r="W126" i="6"/>
  <c r="W128" i="6"/>
  <c r="W315" i="6"/>
  <c r="W180" i="6"/>
  <c r="W54" i="6"/>
  <c r="W146" i="6"/>
  <c r="W53" i="6"/>
  <c r="W155" i="6"/>
  <c r="G753" i="6"/>
  <c r="E753" i="6" s="1"/>
  <c r="W65" i="6"/>
  <c r="W36" i="6"/>
  <c r="W72" i="6"/>
  <c r="W55" i="6"/>
  <c r="W137" i="6"/>
  <c r="W338" i="6"/>
  <c r="G632" i="6"/>
  <c r="W632" i="3" s="1"/>
  <c r="W326" i="6"/>
  <c r="B3" i="594"/>
  <c r="B3" i="4"/>
  <c r="B3" i="49"/>
  <c r="B17" i="49" s="1"/>
  <c r="J2" i="20"/>
  <c r="C3" i="42"/>
  <c r="AH4" i="4"/>
  <c r="K3" i="52"/>
  <c r="A2" i="2"/>
  <c r="J3" i="595"/>
  <c r="B1" i="12"/>
  <c r="A2" i="5"/>
  <c r="A2" i="3"/>
  <c r="A3" i="548"/>
  <c r="B3" i="14"/>
  <c r="A4" i="582"/>
  <c r="A3" i="50"/>
  <c r="A3" i="15"/>
  <c r="B3" i="595"/>
  <c r="A2" i="6"/>
  <c r="K293" i="15"/>
  <c r="K294" i="15" s="1"/>
  <c r="K295" i="15" s="1"/>
  <c r="K296" i="15" s="1"/>
  <c r="K297" i="15" s="1"/>
  <c r="K298" i="15" s="1"/>
  <c r="K299" i="15" s="1"/>
  <c r="K300" i="15" s="1"/>
  <c r="K301" i="15" s="1"/>
  <c r="T21" i="595"/>
  <c r="U21" i="595" s="1"/>
  <c r="A3" i="16"/>
  <c r="B3" i="139"/>
  <c r="N477" i="6"/>
  <c r="F327" i="6"/>
  <c r="F368" i="6" s="1"/>
  <c r="Y348" i="6"/>
  <c r="Y349" i="6" s="1"/>
  <c r="Y350" i="6" s="1"/>
  <c r="Y351" i="6" s="1"/>
  <c r="Y352" i="6" s="1"/>
  <c r="Y353" i="6" s="1"/>
  <c r="Y354" i="6" s="1"/>
  <c r="W347" i="6"/>
  <c r="F411" i="15"/>
  <c r="F413" i="15" s="1"/>
  <c r="M477" i="6"/>
  <c r="H32" i="2"/>
  <c r="T395" i="6"/>
  <c r="N397" i="6"/>
  <c r="J552" i="6"/>
  <c r="I554" i="6"/>
  <c r="J554" i="6" s="1"/>
  <c r="J495" i="6"/>
  <c r="N422" i="6"/>
  <c r="M422" i="6"/>
  <c r="N412" i="6"/>
  <c r="E27" i="1"/>
  <c r="M667" i="6"/>
  <c r="Q665" i="6"/>
  <c r="J405" i="6"/>
  <c r="J568" i="6"/>
  <c r="M800" i="6"/>
  <c r="Q798" i="6"/>
  <c r="T425" i="6"/>
  <c r="N427" i="6"/>
  <c r="U567" i="6"/>
  <c r="I629" i="6"/>
  <c r="J627" i="6"/>
  <c r="J268" i="6"/>
  <c r="Q637" i="6"/>
  <c r="Q412" i="6"/>
  <c r="T400" i="6"/>
  <c r="N402" i="6"/>
  <c r="E697" i="6"/>
  <c r="J572" i="6"/>
  <c r="I574" i="6"/>
  <c r="J574" i="6" s="1"/>
  <c r="T466" i="6"/>
  <c r="T467" i="6" s="1"/>
  <c r="N467" i="6"/>
  <c r="M402" i="6"/>
  <c r="Q401" i="6"/>
  <c r="H1260" i="6"/>
  <c r="M1260" i="6"/>
  <c r="G1260" i="6"/>
  <c r="C16" i="12"/>
  <c r="N1260" i="6"/>
  <c r="F1260" i="6"/>
  <c r="W1238" i="3"/>
  <c r="E16" i="12"/>
  <c r="T1238" i="3"/>
  <c r="I1260" i="6"/>
  <c r="J1260" i="6" s="1"/>
  <c r="F1238" i="3"/>
  <c r="D16" i="12"/>
  <c r="J745" i="6"/>
  <c r="I747" i="6"/>
  <c r="J747" i="6" s="1"/>
  <c r="N667" i="6"/>
  <c r="T665" i="6"/>
  <c r="E751" i="6"/>
  <c r="I442" i="6"/>
  <c r="J442" i="6" s="1"/>
  <c r="J440" i="6"/>
  <c r="G16" i="2"/>
  <c r="N800" i="6"/>
  <c r="T798" i="6"/>
  <c r="G36" i="2"/>
  <c r="G1249" i="6"/>
  <c r="E934" i="6"/>
  <c r="I569" i="6"/>
  <c r="J569" i="6" s="1"/>
  <c r="I614" i="6"/>
  <c r="J614" i="6" s="1"/>
  <c r="J612" i="6"/>
  <c r="L20" i="14"/>
  <c r="E677" i="6"/>
  <c r="M412" i="6"/>
  <c r="I549" i="6"/>
  <c r="J549" i="6" s="1"/>
  <c r="J547" i="6"/>
  <c r="U607" i="6"/>
  <c r="N609" i="6"/>
  <c r="Q477" i="6"/>
  <c r="E813" i="6"/>
  <c r="E765" i="6"/>
  <c r="Q466" i="6"/>
  <c r="M467" i="6"/>
  <c r="J623" i="6"/>
  <c r="I624" i="6"/>
  <c r="J624" i="6" s="1"/>
  <c r="E13" i="12"/>
  <c r="C66" i="12"/>
  <c r="D13" i="12"/>
  <c r="D66" i="12"/>
  <c r="C13" i="12"/>
  <c r="E66" i="12"/>
  <c r="Q432" i="6"/>
  <c r="Q446" i="6"/>
  <c r="M447" i="6"/>
  <c r="T406" i="6"/>
  <c r="Q422" i="6"/>
  <c r="T446" i="6"/>
  <c r="N447" i="6"/>
  <c r="Q406" i="6"/>
  <c r="M6" i="20" l="1"/>
  <c r="F418" i="15"/>
  <c r="F419" i="15" s="1"/>
  <c r="F27" i="1"/>
  <c r="B27" i="1" s="1"/>
  <c r="AM9" i="4" s="1"/>
  <c r="Q41" i="1"/>
  <c r="F40" i="1"/>
  <c r="B40" i="1" s="1"/>
  <c r="S9" i="3" s="1"/>
  <c r="S6" i="5" s="1"/>
  <c r="E40" i="1"/>
  <c r="E34" i="1"/>
  <c r="E31" i="1"/>
  <c r="F31" i="1"/>
  <c r="B31" i="1" s="1"/>
  <c r="Q435" i="6"/>
  <c r="Q437" i="6" s="1"/>
  <c r="N437" i="6"/>
  <c r="Q425" i="6"/>
  <c r="Q427" i="6" s="1"/>
  <c r="M397" i="6"/>
  <c r="N742" i="6"/>
  <c r="F13" i="12"/>
  <c r="Q415" i="6"/>
  <c r="Q417" i="6" s="1"/>
  <c r="G28" i="2"/>
  <c r="E1240" i="6"/>
  <c r="T800" i="6"/>
  <c r="T667" i="6"/>
  <c r="T477" i="6"/>
  <c r="T427" i="6"/>
  <c r="T447" i="6"/>
  <c r="T437" i="6"/>
  <c r="T417" i="6"/>
  <c r="U609" i="6"/>
  <c r="T452" i="6"/>
  <c r="T432" i="6"/>
  <c r="U539" i="6"/>
  <c r="T422" i="6"/>
  <c r="T402" i="6"/>
  <c r="T412" i="6"/>
  <c r="T742" i="6"/>
  <c r="T828" i="6"/>
  <c r="T537" i="6"/>
  <c r="T539" i="6" s="1"/>
  <c r="T640" i="6" s="1"/>
  <c r="U568" i="6"/>
  <c r="T405" i="6"/>
  <c r="N539" i="6"/>
  <c r="F8" i="3"/>
  <c r="F1" i="3" s="1"/>
  <c r="Q537" i="6"/>
  <c r="Q539" i="6" s="1"/>
  <c r="F16" i="12"/>
  <c r="F361" i="6"/>
  <c r="E1260" i="6"/>
  <c r="F13" i="2"/>
  <c r="W20" i="595"/>
  <c r="K302" i="15"/>
  <c r="K303" i="15" s="1"/>
  <c r="K304" i="15" s="1"/>
  <c r="K305" i="15" s="1"/>
  <c r="K306" i="15" s="1"/>
  <c r="K307" i="15" s="1"/>
  <c r="K308" i="15" s="1"/>
  <c r="K309" i="15" s="1"/>
  <c r="K310" i="15" s="1"/>
  <c r="Y355" i="6"/>
  <c r="Y356" i="6" s="1"/>
  <c r="Y357" i="6" s="1"/>
  <c r="Y358" i="6" s="1"/>
  <c r="Y359" i="6" s="1"/>
  <c r="Y360" i="6" s="1"/>
  <c r="W354" i="6"/>
  <c r="T397" i="6"/>
  <c r="M407" i="6"/>
  <c r="Q402" i="6"/>
  <c r="F66" i="12"/>
  <c r="T495" i="6"/>
  <c r="N497" i="6"/>
  <c r="U552" i="6"/>
  <c r="U554" i="6" s="1"/>
  <c r="N554" i="6"/>
  <c r="Q495" i="6"/>
  <c r="Q497" i="6" s="1"/>
  <c r="M497" i="6"/>
  <c r="R552" i="6"/>
  <c r="R554" i="6" s="1"/>
  <c r="M554" i="6"/>
  <c r="N407" i="6"/>
  <c r="N569" i="6"/>
  <c r="L28" i="12"/>
  <c r="L27" i="12"/>
  <c r="E50" i="12" s="1"/>
  <c r="N25" i="52"/>
  <c r="U623" i="6"/>
  <c r="U624" i="6" s="1"/>
  <c r="N624" i="6"/>
  <c r="R547" i="6"/>
  <c r="R549" i="6" s="1"/>
  <c r="M549" i="6"/>
  <c r="N549" i="6"/>
  <c r="U547" i="6"/>
  <c r="U549" i="6" s="1"/>
  <c r="L21" i="14"/>
  <c r="T440" i="6"/>
  <c r="T442" i="6" s="1"/>
  <c r="N442" i="6"/>
  <c r="Q745" i="6"/>
  <c r="M747" i="6"/>
  <c r="R572" i="6"/>
  <c r="R574" i="6" s="1"/>
  <c r="M574" i="6"/>
  <c r="J629" i="6"/>
  <c r="I632" i="6"/>
  <c r="J632" i="6" s="1"/>
  <c r="T627" i="6"/>
  <c r="T629" i="6" s="1"/>
  <c r="N629" i="6"/>
  <c r="Q800" i="6"/>
  <c r="R623" i="6"/>
  <c r="R624" i="6" s="1"/>
  <c r="M624" i="6"/>
  <c r="Q467" i="6"/>
  <c r="R612" i="6"/>
  <c r="R614" i="6" s="1"/>
  <c r="M614" i="6"/>
  <c r="U612" i="6"/>
  <c r="U614" i="6" s="1"/>
  <c r="N614" i="6"/>
  <c r="Q440" i="6"/>
  <c r="M442" i="6"/>
  <c r="N747" i="6"/>
  <c r="T745" i="6"/>
  <c r="T747" i="6" s="1"/>
  <c r="U572" i="6"/>
  <c r="U574" i="6" s="1"/>
  <c r="N574" i="6"/>
  <c r="Q627" i="6"/>
  <c r="M629" i="6"/>
  <c r="M632" i="6" s="1"/>
  <c r="R568" i="6"/>
  <c r="R569" i="6" s="1"/>
  <c r="M569" i="6"/>
  <c r="Q667" i="6"/>
  <c r="F28" i="1"/>
  <c r="B28" i="1" s="1"/>
  <c r="E28" i="1"/>
  <c r="G8" i="3" s="1"/>
  <c r="Q447" i="6"/>
  <c r="Q407" i="6"/>
  <c r="AC8" i="4" l="1"/>
  <c r="Q42" i="1"/>
  <c r="Q43" i="1" s="1"/>
  <c r="F41" i="1"/>
  <c r="M8" i="3"/>
  <c r="F34" i="1"/>
  <c r="E35" i="1"/>
  <c r="N8" i="3" s="1"/>
  <c r="G9" i="3"/>
  <c r="G6" i="5" s="1"/>
  <c r="F202" i="3"/>
  <c r="F205" i="3"/>
  <c r="F207" i="3"/>
  <c r="F324" i="3"/>
  <c r="F326" i="3"/>
  <c r="F329" i="3"/>
  <c r="F331" i="3"/>
  <c r="F989" i="3"/>
  <c r="T989" i="3" s="1"/>
  <c r="F992" i="3"/>
  <c r="T992" i="3" s="1"/>
  <c r="F994" i="3"/>
  <c r="T994" i="3" s="1"/>
  <c r="F201" i="3"/>
  <c r="F206" i="3"/>
  <c r="F323" i="3"/>
  <c r="F363" i="3" s="1"/>
  <c r="F325" i="3"/>
  <c r="F365" i="3" s="1"/>
  <c r="F327" i="3"/>
  <c r="F368" i="3" s="1"/>
  <c r="F512" i="3" s="1"/>
  <c r="F330" i="3"/>
  <c r="F988" i="3"/>
  <c r="T988" i="3" s="1"/>
  <c r="F990" i="3"/>
  <c r="T990" i="3" s="1"/>
  <c r="F993" i="3"/>
  <c r="T993" i="3" s="1"/>
  <c r="T632" i="6"/>
  <c r="T407" i="6"/>
  <c r="U569" i="6"/>
  <c r="N632" i="6"/>
  <c r="F5" i="5"/>
  <c r="K311" i="15"/>
  <c r="K312" i="15" s="1"/>
  <c r="K313" i="15" s="1"/>
  <c r="K314" i="15" s="1"/>
  <c r="K315" i="15" s="1"/>
  <c r="K316" i="15" s="1"/>
  <c r="K317" i="15" s="1"/>
  <c r="K318" i="15" s="1"/>
  <c r="K319" i="15" s="1"/>
  <c r="K320" i="15" s="1"/>
  <c r="K321" i="15" s="1"/>
  <c r="K322" i="15" s="1"/>
  <c r="K323" i="15" s="1"/>
  <c r="K324" i="15" s="1"/>
  <c r="K325" i="15" s="1"/>
  <c r="K326" i="15" s="1"/>
  <c r="K327" i="15" s="1"/>
  <c r="K328" i="15" s="1"/>
  <c r="K329" i="15" s="1"/>
  <c r="K330" i="15" s="1"/>
  <c r="K331" i="15" s="1"/>
  <c r="Y361" i="6"/>
  <c r="Y362" i="6" s="1"/>
  <c r="Y363" i="6" s="1"/>
  <c r="Y364" i="6" s="1"/>
  <c r="T497" i="6"/>
  <c r="G196" i="15"/>
  <c r="Q442" i="6"/>
  <c r="L22" i="14"/>
  <c r="F29" i="1"/>
  <c r="B29" i="1" s="1"/>
  <c r="E29" i="1"/>
  <c r="H8" i="3" s="1"/>
  <c r="Q629" i="6"/>
  <c r="Q747" i="6"/>
  <c r="D50" i="12"/>
  <c r="F50" i="12" s="1"/>
  <c r="C50" i="12"/>
  <c r="Q640" i="6"/>
  <c r="AC17" i="4" l="1"/>
  <c r="AD17" i="4" s="1"/>
  <c r="F952" i="3" s="1"/>
  <c r="T952" i="3" s="1"/>
  <c r="V952" i="3" s="1"/>
  <c r="G968" i="6" s="1"/>
  <c r="AC28" i="4"/>
  <c r="AC19" i="4"/>
  <c r="AC20" i="4"/>
  <c r="AC32" i="4"/>
  <c r="AC30" i="4"/>
  <c r="AC31" i="4"/>
  <c r="B34" i="1"/>
  <c r="N1" i="3"/>
  <c r="N5" i="5"/>
  <c r="M1" i="3"/>
  <c r="M1102" i="3" s="1"/>
  <c r="M5" i="5"/>
  <c r="F35" i="1"/>
  <c r="B35" i="1" s="1"/>
  <c r="E36" i="1"/>
  <c r="O8" i="3" s="1"/>
  <c r="F366" i="3"/>
  <c r="F13" i="5" s="1"/>
  <c r="F371" i="3"/>
  <c r="F364" i="3"/>
  <c r="F12" i="5" s="1"/>
  <c r="F635" i="3"/>
  <c r="F370" i="3"/>
  <c r="F372" i="3"/>
  <c r="F636" i="3"/>
  <c r="H9" i="3"/>
  <c r="H6" i="5" s="1"/>
  <c r="V993" i="3"/>
  <c r="W993" i="3" s="1"/>
  <c r="V990" i="3"/>
  <c r="W990" i="3" s="1"/>
  <c r="V989" i="3"/>
  <c r="W989" i="3" s="1"/>
  <c r="V994" i="3"/>
  <c r="W994" i="3" s="1"/>
  <c r="V992" i="3"/>
  <c r="W992" i="3" s="1"/>
  <c r="G5" i="5"/>
  <c r="K332" i="15"/>
  <c r="K333" i="15" s="1"/>
  <c r="K334" i="15" s="1"/>
  <c r="K335" i="15" s="1"/>
  <c r="K336" i="15" s="1"/>
  <c r="K337" i="15" s="1"/>
  <c r="K338" i="15" s="1"/>
  <c r="K339" i="15" s="1"/>
  <c r="K340" i="15" s="1"/>
  <c r="K341" i="15" s="1"/>
  <c r="K342" i="15" s="1"/>
  <c r="K343" i="15" s="1"/>
  <c r="K344" i="15" s="1"/>
  <c r="K345" i="15" s="1"/>
  <c r="K346" i="15" s="1"/>
  <c r="K347" i="15" s="1"/>
  <c r="K348" i="15" s="1"/>
  <c r="K349" i="15" s="1"/>
  <c r="K350" i="15" s="1"/>
  <c r="K351" i="15" s="1"/>
  <c r="K352" i="15" s="1"/>
  <c r="K353" i="15" s="1"/>
  <c r="K354" i="15" s="1"/>
  <c r="K355" i="15" s="1"/>
  <c r="K356" i="15" s="1"/>
  <c r="K357" i="15" s="1"/>
  <c r="K358" i="15" s="1"/>
  <c r="K359" i="15" s="1"/>
  <c r="K360" i="15" s="1"/>
  <c r="K361" i="15" s="1"/>
  <c r="K362" i="15" s="1"/>
  <c r="K363" i="15" s="1"/>
  <c r="K364" i="15" s="1"/>
  <c r="K365" i="15" s="1"/>
  <c r="K366" i="15" s="1"/>
  <c r="K367" i="15" s="1"/>
  <c r="K368" i="15" s="1"/>
  <c r="K369" i="15" s="1"/>
  <c r="K370" i="15" s="1"/>
  <c r="K371" i="15" s="1"/>
  <c r="K372" i="15" s="1"/>
  <c r="K373" i="15" s="1"/>
  <c r="K374" i="15" s="1"/>
  <c r="K375" i="15" s="1"/>
  <c r="K376" i="15" s="1"/>
  <c r="K377" i="15" s="1"/>
  <c r="K378" i="15" s="1"/>
  <c r="K379" i="15" s="1"/>
  <c r="K380" i="15" s="1"/>
  <c r="K381" i="15" s="1"/>
  <c r="K382" i="15" s="1"/>
  <c r="K383" i="15" s="1"/>
  <c r="K384" i="15" s="1"/>
  <c r="K385" i="15" s="1"/>
  <c r="K386" i="15" s="1"/>
  <c r="K387" i="15" s="1"/>
  <c r="K388" i="15" s="1"/>
  <c r="K389" i="15" s="1"/>
  <c r="K390" i="15" s="1"/>
  <c r="K391" i="15" s="1"/>
  <c r="K392" i="15" s="1"/>
  <c r="K393" i="15" s="1"/>
  <c r="K394" i="15" s="1"/>
  <c r="K395" i="15" s="1"/>
  <c r="K396" i="15" s="1"/>
  <c r="K397" i="15" s="1"/>
  <c r="K398" i="15" s="1"/>
  <c r="K399" i="15" s="1"/>
  <c r="K400" i="15" s="1"/>
  <c r="K401" i="15" s="1"/>
  <c r="K402" i="15" s="1"/>
  <c r="K403" i="15" s="1"/>
  <c r="K404" i="15" s="1"/>
  <c r="K405" i="15" s="1"/>
  <c r="K406" i="15" s="1"/>
  <c r="K407" i="15" s="1"/>
  <c r="K408" i="15" s="1"/>
  <c r="K409" i="15" s="1"/>
  <c r="K410" i="15" s="1"/>
  <c r="K411" i="15" s="1"/>
  <c r="K412" i="15" s="1"/>
  <c r="K413" i="15" s="1"/>
  <c r="K414" i="15" s="1"/>
  <c r="K415" i="15" s="1"/>
  <c r="K416" i="15" s="1"/>
  <c r="K417" i="15" s="1"/>
  <c r="K418" i="15" s="1"/>
  <c r="K419" i="15" s="1"/>
  <c r="K420" i="15" s="1"/>
  <c r="K421" i="15" s="1"/>
  <c r="Y365" i="6"/>
  <c r="Y366" i="6" s="1"/>
  <c r="W366" i="6" s="1"/>
  <c r="W364" i="6"/>
  <c r="E30" i="1"/>
  <c r="I8" i="3" s="1"/>
  <c r="I5" i="5" s="1"/>
  <c r="F30" i="1"/>
  <c r="B30" i="1" s="1"/>
  <c r="L23" i="14"/>
  <c r="J23" i="14"/>
  <c r="K23" i="14" s="1"/>
  <c r="G130" i="15"/>
  <c r="I130" i="15" s="1"/>
  <c r="G65" i="15"/>
  <c r="I65" i="15" s="1"/>
  <c r="G69" i="15"/>
  <c r="I69" i="15" s="1"/>
  <c r="G128" i="15"/>
  <c r="I128" i="15" s="1"/>
  <c r="G251" i="15"/>
  <c r="I251" i="15" s="1"/>
  <c r="G121" i="15"/>
  <c r="I121" i="15" s="1"/>
  <c r="G107" i="15"/>
  <c r="I107" i="15" s="1"/>
  <c r="G225" i="15"/>
  <c r="I225" i="15" s="1"/>
  <c r="G127" i="15"/>
  <c r="I127" i="15" s="1"/>
  <c r="G38" i="15"/>
  <c r="I38" i="15" s="1"/>
  <c r="G260" i="15"/>
  <c r="I260" i="15" s="1"/>
  <c r="G177" i="15"/>
  <c r="I177" i="15" s="1"/>
  <c r="G314" i="15"/>
  <c r="I314" i="15" s="1"/>
  <c r="G234" i="15"/>
  <c r="I234" i="15" s="1"/>
  <c r="G172" i="15"/>
  <c r="I172" i="15" s="1"/>
  <c r="G276" i="15"/>
  <c r="I276" i="15" s="1"/>
  <c r="G98" i="15"/>
  <c r="I98" i="15" s="1"/>
  <c r="G116" i="15"/>
  <c r="I116" i="15" s="1"/>
  <c r="G202" i="15"/>
  <c r="I202" i="15" s="1"/>
  <c r="G279" i="15"/>
  <c r="I279" i="15" s="1"/>
  <c r="G322" i="15"/>
  <c r="I322" i="15" s="1"/>
  <c r="G200" i="15"/>
  <c r="G139" i="15"/>
  <c r="I139" i="15" s="1"/>
  <c r="G132" i="15"/>
  <c r="I132" i="15" s="1"/>
  <c r="G269" i="15"/>
  <c r="I269" i="15" s="1"/>
  <c r="G20" i="15"/>
  <c r="I20" i="15" s="1"/>
  <c r="G205" i="15"/>
  <c r="I205" i="15" s="1"/>
  <c r="G91" i="15"/>
  <c r="I91" i="15" s="1"/>
  <c r="G315" i="15"/>
  <c r="I315" i="15" s="1"/>
  <c r="G67" i="15"/>
  <c r="I67" i="15" s="1"/>
  <c r="G51" i="15"/>
  <c r="I51" i="15" s="1"/>
  <c r="G159" i="15"/>
  <c r="I159" i="15" s="1"/>
  <c r="G40" i="15"/>
  <c r="I40" i="15" s="1"/>
  <c r="G103" i="15"/>
  <c r="I103" i="15" s="1"/>
  <c r="G42" i="15"/>
  <c r="I42" i="15" s="1"/>
  <c r="G283" i="15"/>
  <c r="I283" i="15" s="1"/>
  <c r="G71" i="15"/>
  <c r="I71" i="15" s="1"/>
  <c r="G299" i="15"/>
  <c r="I299" i="15" s="1"/>
  <c r="G292" i="15"/>
  <c r="I292" i="15" s="1"/>
  <c r="G281" i="15"/>
  <c r="I281" i="15" s="1"/>
  <c r="G182" i="15"/>
  <c r="I182" i="15" s="1"/>
  <c r="G229" i="15"/>
  <c r="I229" i="15" s="1"/>
  <c r="G154" i="15"/>
  <c r="I154" i="15" s="1"/>
  <c r="G163" i="15"/>
  <c r="I163" i="15" s="1"/>
  <c r="G89" i="15"/>
  <c r="I89" i="15" s="1"/>
  <c r="G223" i="15"/>
  <c r="I223" i="15" s="1"/>
  <c r="G261" i="15"/>
  <c r="I261" i="15" s="1"/>
  <c r="G199" i="15"/>
  <c r="I199" i="15" s="1"/>
  <c r="G290" i="15"/>
  <c r="I290" i="15" s="1"/>
  <c r="G297" i="15"/>
  <c r="I297" i="15" s="1"/>
  <c r="G274" i="15"/>
  <c r="I274" i="15" s="1"/>
  <c r="G186" i="15"/>
  <c r="I186" i="15" s="1"/>
  <c r="G265" i="15"/>
  <c r="I265" i="15" s="1"/>
  <c r="G44" i="15"/>
  <c r="I44" i="15" s="1"/>
  <c r="G80" i="15"/>
  <c r="I80" i="15" s="1"/>
  <c r="G175" i="15"/>
  <c r="I175" i="15" s="1"/>
  <c r="I196" i="15"/>
  <c r="G125" i="15"/>
  <c r="I125" i="15" s="1"/>
  <c r="G31" i="15"/>
  <c r="I31" i="15" s="1"/>
  <c r="G235" i="15"/>
  <c r="I235" i="15" s="1"/>
  <c r="G181" i="15"/>
  <c r="I181" i="15" s="1"/>
  <c r="G73" i="15"/>
  <c r="I73" i="15" s="1"/>
  <c r="G328" i="15"/>
  <c r="I328" i="15" s="1"/>
  <c r="G209" i="15"/>
  <c r="I209" i="15" s="1"/>
  <c r="G324" i="15"/>
  <c r="I324" i="15" s="1"/>
  <c r="G206" i="15"/>
  <c r="I206" i="15" s="1"/>
  <c r="G301" i="15"/>
  <c r="I301" i="15" s="1"/>
  <c r="G306" i="15"/>
  <c r="I306" i="15" s="1"/>
  <c r="G105" i="15"/>
  <c r="I105" i="15" s="1"/>
  <c r="G56" i="15"/>
  <c r="I56" i="15" s="1"/>
  <c r="G320" i="15"/>
  <c r="I320" i="15" s="1"/>
  <c r="G288" i="15"/>
  <c r="I288" i="15" s="1"/>
  <c r="G19" i="15"/>
  <c r="I19" i="15" s="1"/>
  <c r="G222" i="15"/>
  <c r="I222" i="15" s="1"/>
  <c r="G166" i="15"/>
  <c r="I166" i="15" s="1"/>
  <c r="G22" i="15"/>
  <c r="I22" i="15" s="1"/>
  <c r="G100" i="15"/>
  <c r="I100" i="15" s="1"/>
  <c r="G204" i="15"/>
  <c r="I204" i="15" s="1"/>
  <c r="G201" i="15"/>
  <c r="G323" i="15"/>
  <c r="I323" i="15" s="1"/>
  <c r="G62" i="15"/>
  <c r="I62" i="15" s="1"/>
  <c r="G319" i="15"/>
  <c r="I319" i="15" s="1"/>
  <c r="G37" i="15"/>
  <c r="I37" i="15" s="1"/>
  <c r="G148" i="15"/>
  <c r="I148" i="15" s="1"/>
  <c r="G252" i="15"/>
  <c r="I252" i="15" s="1"/>
  <c r="G325" i="15"/>
  <c r="I325" i="15" s="1"/>
  <c r="G245" i="15"/>
  <c r="I245" i="15" s="1"/>
  <c r="G101" i="15"/>
  <c r="I101" i="15" s="1"/>
  <c r="G47" i="15"/>
  <c r="I47" i="15" s="1"/>
  <c r="G216" i="15"/>
  <c r="I216" i="15" s="1"/>
  <c r="G141" i="15"/>
  <c r="I141" i="15" s="1"/>
  <c r="G256" i="15"/>
  <c r="I256" i="15" s="1"/>
  <c r="G230" i="15"/>
  <c r="I230" i="15" s="1"/>
  <c r="G64" i="15"/>
  <c r="I64" i="15" s="1"/>
  <c r="G53" i="15"/>
  <c r="I53" i="15" s="1"/>
  <c r="G161" i="15"/>
  <c r="I161" i="15" s="1"/>
  <c r="G285" i="15"/>
  <c r="I285" i="15" s="1"/>
  <c r="G228" i="15"/>
  <c r="I228" i="15" s="1"/>
  <c r="G28" i="15"/>
  <c r="I28" i="15" s="1"/>
  <c r="G326" i="15"/>
  <c r="I326" i="15" s="1"/>
  <c r="G211" i="15"/>
  <c r="I211" i="15" s="1"/>
  <c r="G85" i="15"/>
  <c r="I85" i="15" s="1"/>
  <c r="G35" i="15"/>
  <c r="I35" i="15" s="1"/>
  <c r="G155" i="15"/>
  <c r="I155" i="15" s="1"/>
  <c r="G190" i="15"/>
  <c r="I190" i="15" s="1"/>
  <c r="G82" i="15"/>
  <c r="I82" i="15" s="1"/>
  <c r="G29" i="15"/>
  <c r="I29" i="15" s="1"/>
  <c r="G238" i="15"/>
  <c r="G76" i="15"/>
  <c r="I76" i="15" s="1"/>
  <c r="G33" i="15"/>
  <c r="I33" i="15" s="1"/>
  <c r="G137" i="15"/>
  <c r="I137" i="15" s="1"/>
  <c r="G123" i="15"/>
  <c r="I123" i="15" s="1"/>
  <c r="G94" i="15"/>
  <c r="I94" i="15" s="1"/>
  <c r="G46" i="15"/>
  <c r="I46" i="15" s="1"/>
  <c r="G242" i="15"/>
  <c r="I242" i="15" s="1"/>
  <c r="G58" i="15"/>
  <c r="I58" i="15" s="1"/>
  <c r="G247" i="15"/>
  <c r="I247" i="15" s="1"/>
  <c r="G195" i="15"/>
  <c r="I195" i="15" s="1"/>
  <c r="G136" i="15"/>
  <c r="I136" i="15" s="1"/>
  <c r="G188" i="15"/>
  <c r="I188" i="15" s="1"/>
  <c r="G110" i="15"/>
  <c r="I110" i="15" s="1"/>
  <c r="G118" i="15"/>
  <c r="I118" i="15" s="1"/>
  <c r="G170" i="15"/>
  <c r="I170" i="15" s="1"/>
  <c r="G254" i="15"/>
  <c r="I254" i="15" s="1"/>
  <c r="G96" i="15"/>
  <c r="I96" i="15" s="1"/>
  <c r="G330" i="15"/>
  <c r="I330" i="15" s="1"/>
  <c r="G114" i="15"/>
  <c r="I114" i="15" s="1"/>
  <c r="G78" i="15"/>
  <c r="I78" i="15" s="1"/>
  <c r="G310" i="15"/>
  <c r="I310" i="15" s="1"/>
  <c r="G231" i="15"/>
  <c r="I231" i="15" s="1"/>
  <c r="G109" i="15"/>
  <c r="I109" i="15" s="1"/>
  <c r="G179" i="15"/>
  <c r="I179" i="15" s="1"/>
  <c r="G60" i="15"/>
  <c r="I60" i="15" s="1"/>
  <c r="G193" i="15"/>
  <c r="I193" i="15" s="1"/>
  <c r="G24" i="15"/>
  <c r="I24" i="15" s="1"/>
  <c r="G146" i="15"/>
  <c r="I146" i="15" s="1"/>
  <c r="G112" i="15"/>
  <c r="I112" i="15" s="1"/>
  <c r="G17" i="15"/>
  <c r="I17" i="15" s="1"/>
  <c r="G287" i="15"/>
  <c r="I287" i="15" s="1"/>
  <c r="G83" i="15"/>
  <c r="I83" i="15" s="1"/>
  <c r="G243" i="15"/>
  <c r="I243" i="15" s="1"/>
  <c r="G233" i="15"/>
  <c r="I233" i="15" s="1"/>
  <c r="G173" i="15"/>
  <c r="I173" i="15" s="1"/>
  <c r="G263" i="15"/>
  <c r="I263" i="15" s="1"/>
  <c r="G49" i="15"/>
  <c r="I49" i="15" s="1"/>
  <c r="G134" i="15"/>
  <c r="I134" i="15" s="1"/>
  <c r="G87" i="15"/>
  <c r="I87" i="15" s="1"/>
  <c r="G168" i="15"/>
  <c r="I168" i="15" s="1"/>
  <c r="G143" i="15"/>
  <c r="I143" i="15" s="1"/>
  <c r="G26" i="15"/>
  <c r="I26" i="15" s="1"/>
  <c r="G278" i="15"/>
  <c r="I278" i="15" s="1"/>
  <c r="G15" i="15"/>
  <c r="I15" i="15" s="1"/>
  <c r="G220" i="15"/>
  <c r="I220" i="15" s="1"/>
  <c r="G270" i="15"/>
  <c r="I270" i="15" s="1"/>
  <c r="G308" i="15"/>
  <c r="I308" i="15" s="1"/>
  <c r="G157" i="15"/>
  <c r="I157" i="15" s="1"/>
  <c r="G11" i="15"/>
  <c r="G92" i="15"/>
  <c r="I92" i="15" s="1"/>
  <c r="G152" i="15"/>
  <c r="I152" i="15" s="1"/>
  <c r="G145" i="15"/>
  <c r="I145" i="15" s="1"/>
  <c r="G272" i="15"/>
  <c r="I272" i="15" s="1"/>
  <c r="G305" i="15"/>
  <c r="I305" i="15" s="1"/>
  <c r="G184" i="15"/>
  <c r="I184" i="15" s="1"/>
  <c r="G119" i="15"/>
  <c r="I119" i="15" s="1"/>
  <c r="G213" i="15"/>
  <c r="I213" i="15" s="1"/>
  <c r="G317" i="15"/>
  <c r="I317" i="15" s="1"/>
  <c r="V318" i="3" s="1"/>
  <c r="G150" i="15"/>
  <c r="I150" i="15" s="1"/>
  <c r="G214" i="15"/>
  <c r="I214" i="15" s="1"/>
  <c r="G329" i="15"/>
  <c r="I329" i="15" s="1"/>
  <c r="G74" i="15"/>
  <c r="I74" i="15" s="1"/>
  <c r="G164" i="15"/>
  <c r="I164" i="15" s="1"/>
  <c r="G218" i="15"/>
  <c r="I218" i="15" s="1"/>
  <c r="G296" i="15"/>
  <c r="I296" i="15" s="1"/>
  <c r="G55" i="15"/>
  <c r="I55" i="15" s="1"/>
  <c r="G191" i="15"/>
  <c r="I191" i="15" s="1"/>
  <c r="F11" i="5"/>
  <c r="Q632" i="6"/>
  <c r="E968" i="6" l="1"/>
  <c r="I968" i="6"/>
  <c r="J968" i="6" s="1"/>
  <c r="W952" i="3"/>
  <c r="I238" i="15"/>
  <c r="R238" i="15"/>
  <c r="I201" i="15"/>
  <c r="M9" i="3"/>
  <c r="M6" i="5" s="1"/>
  <c r="O1" i="3"/>
  <c r="O5" i="5"/>
  <c r="F36" i="1"/>
  <c r="G385" i="15"/>
  <c r="I385" i="15" s="1"/>
  <c r="G363" i="15"/>
  <c r="G415" i="15" s="1"/>
  <c r="G362" i="15"/>
  <c r="I362" i="15" s="1"/>
  <c r="G347" i="15"/>
  <c r="I347" i="15" s="1"/>
  <c r="G404" i="15"/>
  <c r="I404" i="15" s="1"/>
  <c r="G387" i="15"/>
  <c r="I387" i="15" s="1"/>
  <c r="G365" i="15"/>
  <c r="G346" i="15"/>
  <c r="I346" i="15" s="1"/>
  <c r="G333" i="15"/>
  <c r="I333" i="15" s="1"/>
  <c r="G377" i="15"/>
  <c r="I377" i="15" s="1"/>
  <c r="G349" i="15"/>
  <c r="I349" i="15" s="1"/>
  <c r="G396" i="15"/>
  <c r="I396" i="15" s="1"/>
  <c r="G367" i="15"/>
  <c r="I367" i="15" s="1"/>
  <c r="G401" i="15"/>
  <c r="I401" i="15" s="1"/>
  <c r="G380" i="15"/>
  <c r="I380" i="15" s="1"/>
  <c r="G338" i="15"/>
  <c r="I338" i="15" s="1"/>
  <c r="G382" i="15"/>
  <c r="I382" i="15" s="1"/>
  <c r="G340" i="15"/>
  <c r="I340" i="15" s="1"/>
  <c r="G398" i="15"/>
  <c r="I398" i="15" s="1"/>
  <c r="G390" i="15"/>
  <c r="I390" i="15" s="1"/>
  <c r="G369" i="15"/>
  <c r="I369" i="15" s="1"/>
  <c r="G376" i="15"/>
  <c r="I376" i="15" s="1"/>
  <c r="G358" i="15"/>
  <c r="I358" i="15" s="1"/>
  <c r="G337" i="15"/>
  <c r="I337" i="15" s="1"/>
  <c r="G357" i="15"/>
  <c r="I357" i="15" s="1"/>
  <c r="G354" i="15"/>
  <c r="I354" i="15" s="1"/>
  <c r="G393" i="15"/>
  <c r="I393" i="15" s="1"/>
  <c r="G386" i="15"/>
  <c r="I386" i="15" s="1"/>
  <c r="G375" i="15"/>
  <c r="I375" i="15" s="1"/>
  <c r="G364" i="15"/>
  <c r="I364" i="15" s="1"/>
  <c r="G403" i="15"/>
  <c r="I403" i="15" s="1"/>
  <c r="G383" i="15"/>
  <c r="I383" i="15" s="1"/>
  <c r="G352" i="15"/>
  <c r="I352" i="15" s="1"/>
  <c r="G389" i="15"/>
  <c r="I389" i="15" s="1"/>
  <c r="G353" i="15"/>
  <c r="I353" i="15" s="1"/>
  <c r="G371" i="15"/>
  <c r="I371" i="15" s="1"/>
  <c r="G391" i="15"/>
  <c r="I391" i="15" s="1"/>
  <c r="G397" i="15"/>
  <c r="I397" i="15" s="1"/>
  <c r="G405" i="15"/>
  <c r="I405" i="15" s="1"/>
  <c r="G342" i="15"/>
  <c r="I342" i="15" s="1"/>
  <c r="G384" i="15"/>
  <c r="I384" i="15" s="1"/>
  <c r="G394" i="15"/>
  <c r="I394" i="15" s="1"/>
  <c r="G392" i="15"/>
  <c r="I392" i="15" s="1"/>
  <c r="G388" i="15"/>
  <c r="I388" i="15" s="1"/>
  <c r="G381" i="15"/>
  <c r="I381" i="15" s="1"/>
  <c r="G379" i="15"/>
  <c r="I379" i="15" s="1"/>
  <c r="G370" i="15"/>
  <c r="I370" i="15" s="1"/>
  <c r="G399" i="15"/>
  <c r="I399" i="15" s="1"/>
  <c r="G373" i="15"/>
  <c r="I373" i="15" s="1"/>
  <c r="G400" i="15"/>
  <c r="I400" i="15" s="1"/>
  <c r="G374" i="15"/>
  <c r="I374" i="15" s="1"/>
  <c r="G395" i="15"/>
  <c r="I395" i="15" s="1"/>
  <c r="G402" i="15"/>
  <c r="I402" i="15" s="1"/>
  <c r="G378" i="15"/>
  <c r="I378" i="15" s="1"/>
  <c r="G356" i="15"/>
  <c r="I356" i="15" s="1"/>
  <c r="F639" i="3"/>
  <c r="F1226" i="3" s="1"/>
  <c r="Y367" i="6"/>
  <c r="Y368" i="6" s="1"/>
  <c r="Y369" i="6" s="1"/>
  <c r="Y370" i="6" s="1"/>
  <c r="Y371" i="6" s="1"/>
  <c r="Y372" i="6" s="1"/>
  <c r="Y373" i="6" s="1"/>
  <c r="Y374" i="6" s="1"/>
  <c r="Y375" i="6" s="1"/>
  <c r="Y376" i="6" s="1"/>
  <c r="Y377" i="6" s="1"/>
  <c r="Y378" i="6" s="1"/>
  <c r="Y379" i="6" s="1"/>
  <c r="Y380" i="6" s="1"/>
  <c r="Y381" i="6" s="1"/>
  <c r="F21" i="5"/>
  <c r="I9" i="3"/>
  <c r="I6" i="5" s="1"/>
  <c r="V988" i="3"/>
  <c r="W988" i="3" s="1"/>
  <c r="F37" i="1"/>
  <c r="B37" i="1" s="1"/>
  <c r="E37" i="1"/>
  <c r="P8" i="3" s="1"/>
  <c r="G1" i="3"/>
  <c r="G1085" i="3" s="1"/>
  <c r="H5" i="5"/>
  <c r="E19" i="548"/>
  <c r="F16" i="5"/>
  <c r="I200" i="15"/>
  <c r="J24" i="14"/>
  <c r="K24" i="14" s="1"/>
  <c r="L24" i="14"/>
  <c r="G318" i="6"/>
  <c r="W318" i="3" s="1"/>
  <c r="E33" i="1"/>
  <c r="L8" i="3" s="1"/>
  <c r="F20" i="5"/>
  <c r="I365" i="15" l="1"/>
  <c r="G417" i="15"/>
  <c r="B36" i="1"/>
  <c r="N9" i="3" s="1"/>
  <c r="N6" i="5" s="1"/>
  <c r="P1" i="3"/>
  <c r="P5" i="5"/>
  <c r="L1" i="3"/>
  <c r="L5" i="5"/>
  <c r="I363" i="15"/>
  <c r="G411" i="15"/>
  <c r="I411" i="15" s="1"/>
  <c r="F32" i="1"/>
  <c r="B32" i="1" s="1"/>
  <c r="K9" i="3" s="1"/>
  <c r="K6" i="5" s="1"/>
  <c r="E32" i="1"/>
  <c r="F39" i="1"/>
  <c r="G412" i="15"/>
  <c r="I412" i="15" s="1"/>
  <c r="G321" i="3"/>
  <c r="T321" i="3" s="1"/>
  <c r="G1090" i="3"/>
  <c r="G1089" i="3"/>
  <c r="W380" i="6"/>
  <c r="G117" i="3"/>
  <c r="T117" i="3" s="1"/>
  <c r="G1124" i="3"/>
  <c r="G57" i="5" s="1"/>
  <c r="F38" i="1"/>
  <c r="B38" i="1" s="1"/>
  <c r="P9" i="3" s="1"/>
  <c r="P6" i="5" s="1"/>
  <c r="E38" i="1"/>
  <c r="Q8" i="3" s="1"/>
  <c r="G52" i="3"/>
  <c r="T52" i="3" s="1"/>
  <c r="G226" i="3"/>
  <c r="T226" i="3" s="1"/>
  <c r="G164" i="3"/>
  <c r="T164" i="3" s="1"/>
  <c r="G126" i="3"/>
  <c r="T126" i="3" s="1"/>
  <c r="G23" i="3"/>
  <c r="T23" i="3" s="1"/>
  <c r="G149" i="3"/>
  <c r="T149" i="3" s="1"/>
  <c r="G83" i="3"/>
  <c r="T83" i="3" s="1"/>
  <c r="G65" i="3"/>
  <c r="T65" i="3" s="1"/>
  <c r="G180" i="3"/>
  <c r="T180" i="3" s="1"/>
  <c r="G252" i="3"/>
  <c r="T252" i="3" s="1"/>
  <c r="G140" i="3"/>
  <c r="T140" i="3" s="1"/>
  <c r="G72" i="3"/>
  <c r="T72" i="3" s="1"/>
  <c r="G45" i="3"/>
  <c r="T45" i="3" s="1"/>
  <c r="G20" i="3"/>
  <c r="T20" i="3" s="1"/>
  <c r="G63" i="3"/>
  <c r="T63" i="3" s="1"/>
  <c r="G246" i="3"/>
  <c r="T246" i="3" s="1"/>
  <c r="G212" i="3"/>
  <c r="T212" i="3" s="1"/>
  <c r="G47" i="3"/>
  <c r="T47" i="3" s="1"/>
  <c r="G264" i="3"/>
  <c r="T264" i="3" s="1"/>
  <c r="G77" i="3"/>
  <c r="T77" i="3" s="1"/>
  <c r="G255" i="3"/>
  <c r="T255" i="3" s="1"/>
  <c r="G113" i="3"/>
  <c r="T113" i="3" s="1"/>
  <c r="G27" i="3"/>
  <c r="T27" i="3" s="1"/>
  <c r="G221" i="3"/>
  <c r="T221" i="3" s="1"/>
  <c r="G178" i="3"/>
  <c r="T178" i="3" s="1"/>
  <c r="G43" i="3"/>
  <c r="T43" i="3" s="1"/>
  <c r="G275" i="3"/>
  <c r="T275" i="3" s="1"/>
  <c r="G142" i="3"/>
  <c r="T142" i="3" s="1"/>
  <c r="G248" i="3"/>
  <c r="T248" i="3" s="1"/>
  <c r="G169" i="3"/>
  <c r="T169" i="3" s="1"/>
  <c r="G133" i="3"/>
  <c r="T133" i="3" s="1"/>
  <c r="G160" i="3"/>
  <c r="T160" i="3" s="1"/>
  <c r="G284" i="3"/>
  <c r="T284" i="3" s="1"/>
  <c r="G302" i="3"/>
  <c r="T302" i="3" s="1"/>
  <c r="G816" i="3"/>
  <c r="T816" i="3" s="1"/>
  <c r="G320" i="3"/>
  <c r="T320" i="3" s="1"/>
  <c r="G257" i="3"/>
  <c r="T257" i="3" s="1"/>
  <c r="G239" i="3"/>
  <c r="T239" i="3" s="1"/>
  <c r="G124" i="3"/>
  <c r="T124" i="3" s="1"/>
  <c r="G196" i="3"/>
  <c r="T196" i="3" s="1"/>
  <c r="G97" i="3"/>
  <c r="T97" i="3" s="1"/>
  <c r="G311" i="3"/>
  <c r="T311" i="3" s="1"/>
  <c r="G61" i="3"/>
  <c r="T61" i="3" s="1"/>
  <c r="G88" i="3"/>
  <c r="T88" i="3" s="1"/>
  <c r="G16" i="3"/>
  <c r="G151" i="3"/>
  <c r="T151" i="3" s="1"/>
  <c r="G70" i="3"/>
  <c r="T70" i="3" s="1"/>
  <c r="G108" i="3"/>
  <c r="T108" i="3" s="1"/>
  <c r="G99" i="3"/>
  <c r="T99" i="3" s="1"/>
  <c r="G270" i="3"/>
  <c r="T270" i="3" s="1"/>
  <c r="G41" i="3"/>
  <c r="T41" i="3" s="1"/>
  <c r="G282" i="3"/>
  <c r="T282" i="3" s="1"/>
  <c r="G266" i="3"/>
  <c r="T266" i="3" s="1"/>
  <c r="G176" i="3"/>
  <c r="T176" i="3" s="1"/>
  <c r="G106" i="3"/>
  <c r="T106" i="3" s="1"/>
  <c r="G223" i="3"/>
  <c r="T223" i="3" s="1"/>
  <c r="G338" i="3"/>
  <c r="T338" i="3" s="1"/>
  <c r="G38" i="3"/>
  <c r="T38" i="3" s="1"/>
  <c r="G350" i="3"/>
  <c r="T350" i="3" s="1"/>
  <c r="G217" i="3"/>
  <c r="T217" i="3" s="1"/>
  <c r="G162" i="3"/>
  <c r="T162" i="3" s="1"/>
  <c r="G36" i="3"/>
  <c r="T36" i="3" s="1"/>
  <c r="G334" i="3"/>
  <c r="T334" i="3" s="1"/>
  <c r="G95" i="3"/>
  <c r="T95" i="3" s="1"/>
  <c r="G137" i="3"/>
  <c r="T137" i="3" s="1"/>
  <c r="G347" i="3"/>
  <c r="T347" i="3" s="1"/>
  <c r="G25" i="3"/>
  <c r="T25" i="3" s="1"/>
  <c r="G288" i="3"/>
  <c r="T288" i="3" s="1"/>
  <c r="G135" i="3"/>
  <c r="T135" i="3" s="1"/>
  <c r="G279" i="3"/>
  <c r="T279" i="3" s="1"/>
  <c r="G153" i="3"/>
  <c r="T153" i="3" s="1"/>
  <c r="G219" i="3"/>
  <c r="T219" i="3" s="1"/>
  <c r="G122" i="3"/>
  <c r="T122" i="3" s="1"/>
  <c r="G173" i="3"/>
  <c r="T173" i="3" s="1"/>
  <c r="G68" i="3"/>
  <c r="T68" i="3" s="1"/>
  <c r="G309" i="3"/>
  <c r="T309" i="3" s="1"/>
  <c r="G306" i="3"/>
  <c r="T306" i="3" s="1"/>
  <c r="G56" i="3"/>
  <c r="T56" i="3" s="1"/>
  <c r="G261" i="3"/>
  <c r="T261" i="3" s="1"/>
  <c r="H1" i="3"/>
  <c r="H1085" i="3" s="1"/>
  <c r="G1110" i="3"/>
  <c r="G55" i="5" s="1"/>
  <c r="G666" i="3"/>
  <c r="G711" i="3"/>
  <c r="G701" i="3"/>
  <c r="G387" i="3"/>
  <c r="G497" i="3"/>
  <c r="G417" i="3"/>
  <c r="G1164" i="3"/>
  <c r="G503" i="3"/>
  <c r="G686" i="3"/>
  <c r="G397" i="3"/>
  <c r="G844" i="3"/>
  <c r="G593" i="3"/>
  <c r="G452" i="3"/>
  <c r="G457" i="3"/>
  <c r="G578" i="3"/>
  <c r="G750" i="3"/>
  <c r="G731" i="3"/>
  <c r="G432" i="3"/>
  <c r="G502" i="3"/>
  <c r="G15" i="5" s="1"/>
  <c r="G1203" i="3"/>
  <c r="G70" i="5" s="1"/>
  <c r="G1142" i="3"/>
  <c r="G61" i="5" s="1"/>
  <c r="G774" i="3"/>
  <c r="G608" i="3"/>
  <c r="G487" i="3"/>
  <c r="G1146" i="3"/>
  <c r="G62" i="5" s="1"/>
  <c r="G749" i="3"/>
  <c r="G442" i="3"/>
  <c r="G538" i="3"/>
  <c r="G860" i="3"/>
  <c r="G741" i="3"/>
  <c r="G392" i="3"/>
  <c r="G528" i="3"/>
  <c r="G886" i="3"/>
  <c r="G1157" i="3"/>
  <c r="G598" i="3"/>
  <c r="G603" i="3"/>
  <c r="G812" i="3"/>
  <c r="G887" i="3"/>
  <c r="G868" i="3"/>
  <c r="G852" i="3"/>
  <c r="G477" i="3"/>
  <c r="G382" i="3"/>
  <c r="G402" i="3"/>
  <c r="G803" i="3"/>
  <c r="G696" i="3"/>
  <c r="G64" i="3"/>
  <c r="W64" i="3" s="1"/>
  <c r="G1088" i="3"/>
  <c r="G691" i="3"/>
  <c r="G412" i="3"/>
  <c r="G588" i="3"/>
  <c r="G799" i="3"/>
  <c r="G840" i="3"/>
  <c r="G921" i="3"/>
  <c r="G38" i="5" s="1"/>
  <c r="G523" i="3"/>
  <c r="G904" i="3"/>
  <c r="G573" i="3"/>
  <c r="G880" i="3"/>
  <c r="G501" i="3"/>
  <c r="G14" i="5" s="1"/>
  <c r="G1117" i="3"/>
  <c r="G56" i="5" s="1"/>
  <c r="G558" i="3"/>
  <c r="G1192" i="3"/>
  <c r="G407" i="3"/>
  <c r="G848" i="3"/>
  <c r="G62" i="3"/>
  <c r="G784" i="3"/>
  <c r="G746" i="3"/>
  <c r="G716" i="3"/>
  <c r="G472" i="3"/>
  <c r="G533" i="3"/>
  <c r="G1169" i="3"/>
  <c r="G65" i="5" s="1"/>
  <c r="G422" i="3"/>
  <c r="G864" i="3"/>
  <c r="G876" i="3"/>
  <c r="G583" i="3"/>
  <c r="G764" i="3"/>
  <c r="G736" i="3"/>
  <c r="G462" i="3"/>
  <c r="G759" i="3"/>
  <c r="G827" i="3"/>
  <c r="G1185" i="3"/>
  <c r="G68" i="5" s="1"/>
  <c r="G676" i="3"/>
  <c r="G884" i="3"/>
  <c r="G822" i="3"/>
  <c r="G656" i="3"/>
  <c r="G354" i="3"/>
  <c r="G437" i="3"/>
  <c r="G856" i="3"/>
  <c r="G467" i="3"/>
  <c r="G681" i="3"/>
  <c r="G1199" i="3"/>
  <c r="G721" i="3"/>
  <c r="G649" i="3"/>
  <c r="G29" i="5" s="1"/>
  <c r="G661" i="3"/>
  <c r="G726" i="3"/>
  <c r="G568" i="3"/>
  <c r="G706" i="3"/>
  <c r="G507" i="3"/>
  <c r="G543" i="3"/>
  <c r="G613" i="3"/>
  <c r="G769" i="3"/>
  <c r="G427" i="3"/>
  <c r="G553" i="3"/>
  <c r="G548" i="3"/>
  <c r="G563" i="3"/>
  <c r="G482" i="3"/>
  <c r="G1150" i="3"/>
  <c r="G63" i="5" s="1"/>
  <c r="G872" i="3"/>
  <c r="G1178" i="3"/>
  <c r="G67" i="5" s="1"/>
  <c r="G779" i="3"/>
  <c r="G447" i="3"/>
  <c r="G492" i="3"/>
  <c r="G671" i="3"/>
  <c r="G131" i="3"/>
  <c r="T131" i="3" s="1"/>
  <c r="G128" i="3"/>
  <c r="T128" i="3" s="1"/>
  <c r="G315" i="3"/>
  <c r="T315" i="3" s="1"/>
  <c r="G277" i="3"/>
  <c r="T277" i="3" s="1"/>
  <c r="G92" i="3"/>
  <c r="T92" i="3" s="1"/>
  <c r="G104" i="3"/>
  <c r="T104" i="3" s="1"/>
  <c r="G293" i="3"/>
  <c r="T293" i="3" s="1"/>
  <c r="G90" i="3"/>
  <c r="T90" i="3" s="1"/>
  <c r="G187" i="3"/>
  <c r="T187" i="3" s="1"/>
  <c r="G32" i="3"/>
  <c r="T32" i="3" s="1"/>
  <c r="G74" i="3"/>
  <c r="T74" i="3" s="1"/>
  <c r="G341" i="3"/>
  <c r="T341" i="3" s="1"/>
  <c r="G101" i="3"/>
  <c r="T101" i="3" s="1"/>
  <c r="G54" i="3"/>
  <c r="T54" i="3" s="1"/>
  <c r="G29" i="3"/>
  <c r="T29" i="3" s="1"/>
  <c r="G191" i="3"/>
  <c r="T191" i="3" s="1"/>
  <c r="G243" i="3"/>
  <c r="T243" i="3" s="1"/>
  <c r="G189" i="3"/>
  <c r="T189" i="3" s="1"/>
  <c r="G171" i="3"/>
  <c r="T171" i="3" s="1"/>
  <c r="G79" i="3"/>
  <c r="T79" i="3" s="1"/>
  <c r="G194" i="3"/>
  <c r="T194" i="3" s="1"/>
  <c r="G50" i="3"/>
  <c r="T50" i="3" s="1"/>
  <c r="G158" i="3"/>
  <c r="T158" i="3" s="1"/>
  <c r="G273" i="3"/>
  <c r="T273" i="3" s="1"/>
  <c r="G214" i="3"/>
  <c r="T214" i="3" s="1"/>
  <c r="G300" i="3"/>
  <c r="T300" i="3" s="1"/>
  <c r="G155" i="3"/>
  <c r="T155" i="3" s="1"/>
  <c r="G291" i="3"/>
  <c r="T291" i="3" s="1"/>
  <c r="G81" i="3"/>
  <c r="T81" i="3" s="1"/>
  <c r="G182" i="3"/>
  <c r="T182" i="3" s="1"/>
  <c r="G210" i="3"/>
  <c r="T210" i="3" s="1"/>
  <c r="G167" i="3"/>
  <c r="T167" i="3" s="1"/>
  <c r="G343" i="3"/>
  <c r="T343" i="3" s="1"/>
  <c r="G286" i="3"/>
  <c r="T286" i="3" s="1"/>
  <c r="G86" i="3"/>
  <c r="T86" i="3" s="1"/>
  <c r="G34" i="3"/>
  <c r="T34" i="3" s="1"/>
  <c r="G59" i="3"/>
  <c r="T59" i="3" s="1"/>
  <c r="G119" i="3"/>
  <c r="T119" i="3" s="1"/>
  <c r="G115" i="3"/>
  <c r="T115" i="3" s="1"/>
  <c r="G110" i="3"/>
  <c r="T110" i="3" s="1"/>
  <c r="G18" i="3"/>
  <c r="T18" i="3" s="1"/>
  <c r="G144" i="3"/>
  <c r="T144" i="3" s="1"/>
  <c r="G146" i="3"/>
  <c r="T146" i="3" s="1"/>
  <c r="G185" i="3"/>
  <c r="T185" i="3" s="1"/>
  <c r="G297" i="3"/>
  <c r="T297" i="3" s="1"/>
  <c r="E20" i="548"/>
  <c r="E14" i="548"/>
  <c r="Y382" i="6"/>
  <c r="W381" i="6"/>
  <c r="I11" i="15"/>
  <c r="F22" i="5"/>
  <c r="F33" i="1"/>
  <c r="B33" i="1" s="1"/>
  <c r="L9" i="3" s="1"/>
  <c r="L6" i="5" s="1"/>
  <c r="L25" i="14"/>
  <c r="I415" i="15"/>
  <c r="G418" i="15"/>
  <c r="I418" i="15" s="1"/>
  <c r="E318" i="6"/>
  <c r="I318" i="6"/>
  <c r="I417" i="15"/>
  <c r="O9" i="3" l="1"/>
  <c r="O6" i="5" s="1"/>
  <c r="Q1" i="3"/>
  <c r="Q5" i="5"/>
  <c r="K8" i="3"/>
  <c r="G413" i="15"/>
  <c r="I413" i="15" s="1"/>
  <c r="F5" i="20"/>
  <c r="F8" i="20" s="1"/>
  <c r="H1089" i="3"/>
  <c r="H1090" i="3"/>
  <c r="G64" i="5"/>
  <c r="G69" i="5"/>
  <c r="V185" i="3"/>
  <c r="E671" i="6"/>
  <c r="E769" i="6"/>
  <c r="E706" i="6"/>
  <c r="E726" i="6"/>
  <c r="E736" i="6"/>
  <c r="E864" i="6"/>
  <c r="E746" i="6"/>
  <c r="E62" i="6"/>
  <c r="W62" i="3"/>
  <c r="G1130" i="3"/>
  <c r="E880" i="6"/>
  <c r="E691" i="6"/>
  <c r="E852" i="6"/>
  <c r="E887" i="6"/>
  <c r="E741" i="6"/>
  <c r="E749" i="6"/>
  <c r="E774" i="6"/>
  <c r="E750" i="6"/>
  <c r="E701" i="6"/>
  <c r="E666" i="6"/>
  <c r="V261" i="3"/>
  <c r="G261" i="6" s="1"/>
  <c r="W261" i="3" s="1"/>
  <c r="V306" i="3"/>
  <c r="G306" i="6" s="1"/>
  <c r="W306" i="3" s="1"/>
  <c r="V68" i="3"/>
  <c r="V122" i="3"/>
  <c r="G122" i="6" s="1"/>
  <c r="W122" i="3" s="1"/>
  <c r="V279" i="3"/>
  <c r="V288" i="3"/>
  <c r="V347" i="3"/>
  <c r="G347" i="6" s="1"/>
  <c r="W347" i="3" s="1"/>
  <c r="V95" i="3"/>
  <c r="G95" i="6" s="1"/>
  <c r="W95" i="3" s="1"/>
  <c r="V217" i="3"/>
  <c r="V223" i="3"/>
  <c r="V176" i="3"/>
  <c r="V282" i="3"/>
  <c r="V270" i="3"/>
  <c r="G270" i="6" s="1"/>
  <c r="W270" i="3" s="1"/>
  <c r="V108" i="3"/>
  <c r="G108" i="6" s="1"/>
  <c r="W108" i="3" s="1"/>
  <c r="V151" i="3"/>
  <c r="G151" i="6" s="1"/>
  <c r="W151" i="3" s="1"/>
  <c r="V302" i="3"/>
  <c r="G302" i="6" s="1"/>
  <c r="W302" i="3" s="1"/>
  <c r="V160" i="3"/>
  <c r="V169" i="3"/>
  <c r="G169" i="6" s="1"/>
  <c r="W169" i="3" s="1"/>
  <c r="V63" i="3"/>
  <c r="G63" i="6" s="1"/>
  <c r="W63" i="3" s="1"/>
  <c r="V140" i="3"/>
  <c r="G140" i="6" s="1"/>
  <c r="W140" i="3" s="1"/>
  <c r="V83" i="3"/>
  <c r="G83" i="6" s="1"/>
  <c r="W83" i="3" s="1"/>
  <c r="V86" i="3"/>
  <c r="G86" i="6" s="1"/>
  <c r="W86" i="3" s="1"/>
  <c r="V101" i="3"/>
  <c r="G101" i="6" s="1"/>
  <c r="E779" i="6"/>
  <c r="E872" i="6"/>
  <c r="E661" i="6"/>
  <c r="E721" i="6"/>
  <c r="E681" i="6"/>
  <c r="E354" i="6"/>
  <c r="W354" i="3"/>
  <c r="E676" i="6"/>
  <c r="E827" i="6"/>
  <c r="E764" i="6"/>
  <c r="E716" i="6"/>
  <c r="E848" i="6"/>
  <c r="G1129" i="3"/>
  <c r="E799" i="6"/>
  <c r="E696" i="6"/>
  <c r="E868" i="6"/>
  <c r="E812" i="6"/>
  <c r="E860" i="6"/>
  <c r="E731" i="6"/>
  <c r="E686" i="6"/>
  <c r="E711" i="6"/>
  <c r="V309" i="3"/>
  <c r="V173" i="3"/>
  <c r="V153" i="3"/>
  <c r="V135" i="3"/>
  <c r="V137" i="3"/>
  <c r="V162" i="3"/>
  <c r="G162" i="6" s="1"/>
  <c r="W162" i="3" s="1"/>
  <c r="V350" i="3"/>
  <c r="V358" i="3" s="1"/>
  <c r="V338" i="3"/>
  <c r="V106" i="3"/>
  <c r="V266" i="3"/>
  <c r="V99" i="3"/>
  <c r="G99" i="6" s="1"/>
  <c r="W99" i="3" s="1"/>
  <c r="V70" i="3"/>
  <c r="V61" i="3"/>
  <c r="V97" i="3"/>
  <c r="V124" i="3"/>
  <c r="V257" i="3"/>
  <c r="V816" i="3"/>
  <c r="V284" i="3"/>
  <c r="G284" i="6" s="1"/>
  <c r="I284" i="6" s="1"/>
  <c r="V133" i="3"/>
  <c r="G253" i="3"/>
  <c r="V275" i="3"/>
  <c r="V178" i="3"/>
  <c r="G178" i="6" s="1"/>
  <c r="W178" i="3" s="1"/>
  <c r="V221" i="3"/>
  <c r="V113" i="3"/>
  <c r="V77" i="3"/>
  <c r="V246" i="3"/>
  <c r="V72" i="3"/>
  <c r="V252" i="3"/>
  <c r="G252" i="6" s="1"/>
  <c r="W252" i="3" s="1"/>
  <c r="V65" i="3"/>
  <c r="G65" i="6" s="1"/>
  <c r="W65" i="3" s="1"/>
  <c r="V149" i="3"/>
  <c r="G149" i="6" s="1"/>
  <c r="W149" i="3" s="1"/>
  <c r="V126" i="3"/>
  <c r="G126" i="6" s="1"/>
  <c r="W126" i="3" s="1"/>
  <c r="V226" i="3"/>
  <c r="V197" i="3"/>
  <c r="G197" i="6" s="1"/>
  <c r="W197" i="3" s="1"/>
  <c r="V117" i="3"/>
  <c r="G117" i="6" s="1"/>
  <c r="V52" i="3"/>
  <c r="V56" i="3"/>
  <c r="V32" i="3"/>
  <c r="V36" i="3"/>
  <c r="V38" i="3"/>
  <c r="G38" i="6" s="1"/>
  <c r="W38" i="3" s="1"/>
  <c r="V43" i="3"/>
  <c r="G43" i="6" s="1"/>
  <c r="W43" i="3" s="1"/>
  <c r="V27" i="3"/>
  <c r="G27" i="6" s="1"/>
  <c r="W27" i="3" s="1"/>
  <c r="V45" i="3"/>
  <c r="V23" i="3"/>
  <c r="V25" i="3"/>
  <c r="G25" i="6" s="1"/>
  <c r="W25" i="3" s="1"/>
  <c r="V41" i="3"/>
  <c r="V47" i="3"/>
  <c r="G47" i="6" s="1"/>
  <c r="W47" i="3" s="1"/>
  <c r="V20" i="3"/>
  <c r="G1128" i="3"/>
  <c r="E1145" i="6"/>
  <c r="I1124" i="3"/>
  <c r="I57" i="5" s="1"/>
  <c r="G316" i="3"/>
  <c r="G271" i="3"/>
  <c r="G174" i="3"/>
  <c r="G323" i="3"/>
  <c r="G289" i="3"/>
  <c r="V248" i="3"/>
  <c r="G48" i="3"/>
  <c r="G21" i="3"/>
  <c r="G156" i="3"/>
  <c r="G244" i="3"/>
  <c r="G262" i="3"/>
  <c r="G280" i="3"/>
  <c r="G831" i="3"/>
  <c r="G165" i="3"/>
  <c r="G138" i="3"/>
  <c r="G200" i="3"/>
  <c r="G93" i="3"/>
  <c r="G129" i="3"/>
  <c r="G325" i="3"/>
  <c r="G147" i="3"/>
  <c r="G102" i="3"/>
  <c r="G307" i="3"/>
  <c r="G183" i="3"/>
  <c r="G66" i="3"/>
  <c r="G230" i="3"/>
  <c r="V334" i="3"/>
  <c r="G339" i="3"/>
  <c r="G236" i="3"/>
  <c r="G358" i="3"/>
  <c r="G234" i="3"/>
  <c r="V54" i="3"/>
  <c r="G57" i="3"/>
  <c r="G889" i="3"/>
  <c r="G33" i="5" s="1"/>
  <c r="V219" i="3"/>
  <c r="G224" i="3"/>
  <c r="V110" i="3"/>
  <c r="G111" i="3"/>
  <c r="G30" i="3"/>
  <c r="T30" i="3" s="1"/>
  <c r="G75" i="3"/>
  <c r="I1" i="3"/>
  <c r="I1085" i="3" s="1"/>
  <c r="V18" i="3"/>
  <c r="G201" i="3"/>
  <c r="V115" i="3"/>
  <c r="G120" i="3"/>
  <c r="V343" i="3"/>
  <c r="G353" i="3"/>
  <c r="G348" i="3"/>
  <c r="V210" i="3"/>
  <c r="G215" i="3"/>
  <c r="G229" i="3"/>
  <c r="V273" i="3"/>
  <c r="G331" i="3"/>
  <c r="G329" i="3"/>
  <c r="V50" i="3"/>
  <c r="G205" i="3"/>
  <c r="G207" i="3"/>
  <c r="V79" i="3"/>
  <c r="G84" i="3"/>
  <c r="V341" i="3"/>
  <c r="G359" i="3"/>
  <c r="G357" i="3"/>
  <c r="G324" i="3"/>
  <c r="E1152" i="6"/>
  <c r="E649" i="6"/>
  <c r="E1097" i="6"/>
  <c r="E904" i="6"/>
  <c r="G913" i="3"/>
  <c r="G37" i="5" s="1"/>
  <c r="G1229" i="3"/>
  <c r="E921" i="6"/>
  <c r="G1212" i="3"/>
  <c r="V34" i="3"/>
  <c r="G39" i="3"/>
  <c r="T39" i="3" s="1"/>
  <c r="V300" i="3"/>
  <c r="G330" i="3"/>
  <c r="V214" i="3"/>
  <c r="G231" i="3"/>
  <c r="G326" i="3"/>
  <c r="V187" i="3"/>
  <c r="G192" i="3"/>
  <c r="V293" i="3"/>
  <c r="G298" i="3"/>
  <c r="V131" i="3"/>
  <c r="G206" i="3"/>
  <c r="E656" i="6"/>
  <c r="G752" i="3"/>
  <c r="G30" i="5" s="1"/>
  <c r="E759" i="6"/>
  <c r="G805" i="3"/>
  <c r="G31" i="5" s="1"/>
  <c r="E1171" i="6"/>
  <c r="E1098" i="6"/>
  <c r="E64" i="6"/>
  <c r="G202" i="3"/>
  <c r="G509" i="3"/>
  <c r="E1159" i="6"/>
  <c r="E1093" i="6"/>
  <c r="G1091" i="3"/>
  <c r="H327" i="3"/>
  <c r="H368" i="3" s="1"/>
  <c r="H512" i="3" s="1"/>
  <c r="H1091" i="3"/>
  <c r="H325" i="3"/>
  <c r="H365" i="3" s="1"/>
  <c r="H207" i="3"/>
  <c r="H1088" i="3"/>
  <c r="H1128" i="3" s="1"/>
  <c r="H326" i="3"/>
  <c r="H331" i="3"/>
  <c r="H205" i="3"/>
  <c r="H330" i="3"/>
  <c r="H323" i="3"/>
  <c r="H363" i="3" s="1"/>
  <c r="H329" i="3"/>
  <c r="H324" i="3"/>
  <c r="H206" i="3"/>
  <c r="H202" i="3"/>
  <c r="H201" i="3"/>
  <c r="N318" i="6"/>
  <c r="M318" i="6"/>
  <c r="Q318" i="6" s="1"/>
  <c r="W318" i="6" s="1"/>
  <c r="G815" i="3"/>
  <c r="T815" i="3" s="1"/>
  <c r="Y383" i="6"/>
  <c r="Y384" i="6" s="1"/>
  <c r="Y385" i="6" s="1"/>
  <c r="W382" i="6"/>
  <c r="G419" i="15"/>
  <c r="I419" i="15" s="1"/>
  <c r="J318" i="6"/>
  <c r="L26" i="14"/>
  <c r="F3" i="33"/>
  <c r="K1" i="3" l="1"/>
  <c r="K5" i="5"/>
  <c r="I1089" i="3"/>
  <c r="I1090" i="3"/>
  <c r="H11" i="5"/>
  <c r="T289" i="3"/>
  <c r="T165" i="3"/>
  <c r="T156" i="3"/>
  <c r="T66" i="3"/>
  <c r="T230" i="3"/>
  <c r="T316" i="3"/>
  <c r="V348" i="3"/>
  <c r="T307" i="3"/>
  <c r="T234" i="3"/>
  <c r="T358" i="3"/>
  <c r="T183" i="3"/>
  <c r="T271" i="3"/>
  <c r="T48" i="3"/>
  <c r="T138" i="3"/>
  <c r="V262" i="3"/>
  <c r="T174" i="3"/>
  <c r="T147" i="3"/>
  <c r="T93" i="3"/>
  <c r="T129" i="3"/>
  <c r="T262" i="3"/>
  <c r="V231" i="3"/>
  <c r="T102" i="3"/>
  <c r="V224" i="3"/>
  <c r="T236" i="3"/>
  <c r="V253" i="3"/>
  <c r="V271" i="3"/>
  <c r="V138" i="3"/>
  <c r="V307" i="3"/>
  <c r="W117" i="3"/>
  <c r="E117" i="6"/>
  <c r="I117" i="6"/>
  <c r="N117" i="6" s="1"/>
  <c r="V29" i="3"/>
  <c r="G29" i="6" s="1"/>
  <c r="V48" i="3"/>
  <c r="V57" i="3"/>
  <c r="T244" i="3"/>
  <c r="V243" i="3"/>
  <c r="T280" i="3"/>
  <c r="V277" i="3"/>
  <c r="V280" i="3" s="1"/>
  <c r="V229" i="3"/>
  <c r="V66" i="3"/>
  <c r="V111" i="3"/>
  <c r="V330" i="3"/>
  <c r="V315" i="3"/>
  <c r="G315" i="6" s="1"/>
  <c r="V194" i="3"/>
  <c r="G194" i="6" s="1"/>
  <c r="V155" i="3"/>
  <c r="G155" i="6" s="1"/>
  <c r="V146" i="3"/>
  <c r="G146" i="6" s="1"/>
  <c r="V164" i="3"/>
  <c r="G164" i="6" s="1"/>
  <c r="V180" i="3"/>
  <c r="G180" i="6" s="1"/>
  <c r="V264" i="3"/>
  <c r="G264" i="6" s="1"/>
  <c r="V321" i="3"/>
  <c r="G321" i="6" s="1"/>
  <c r="V239" i="3"/>
  <c r="G239" i="6" s="1"/>
  <c r="V311" i="3"/>
  <c r="G311" i="6" s="1"/>
  <c r="V236" i="3"/>
  <c r="V234" i="3"/>
  <c r="V104" i="3"/>
  <c r="G104" i="6" s="1"/>
  <c r="V191" i="3"/>
  <c r="G191" i="6" s="1"/>
  <c r="V291" i="3"/>
  <c r="G291" i="6" s="1"/>
  <c r="V167" i="3"/>
  <c r="G167" i="6" s="1"/>
  <c r="V119" i="3"/>
  <c r="G119" i="6" s="1"/>
  <c r="V359" i="3"/>
  <c r="V357" i="3"/>
  <c r="T75" i="3"/>
  <c r="V74" i="3"/>
  <c r="V75" i="3" s="1"/>
  <c r="V353" i="3"/>
  <c r="V339" i="3"/>
  <c r="V102" i="3"/>
  <c r="V92" i="3"/>
  <c r="G92" i="6" s="1"/>
  <c r="V171" i="3"/>
  <c r="G171" i="6" s="1"/>
  <c r="V158" i="3"/>
  <c r="V81" i="3"/>
  <c r="G81" i="6" s="1"/>
  <c r="V59" i="3"/>
  <c r="V297" i="3"/>
  <c r="V298" i="3" s="1"/>
  <c r="V212" i="3"/>
  <c r="V230" i="3" s="1"/>
  <c r="V255" i="3"/>
  <c r="V142" i="3"/>
  <c r="G142" i="6" s="1"/>
  <c r="V320" i="3"/>
  <c r="G320" i="6" s="1"/>
  <c r="I320" i="6" s="1"/>
  <c r="V196" i="3"/>
  <c r="G196" i="6" s="1"/>
  <c r="V88" i="3"/>
  <c r="G88" i="6" s="1"/>
  <c r="V128" i="3"/>
  <c r="V129" i="3" s="1"/>
  <c r="V90" i="3"/>
  <c r="G90" i="6" s="1"/>
  <c r="V189" i="3"/>
  <c r="V182" i="3"/>
  <c r="V286" i="3"/>
  <c r="V289" i="3" s="1"/>
  <c r="V144" i="3"/>
  <c r="G144" i="6" s="1"/>
  <c r="G282" i="6"/>
  <c r="G176" i="6"/>
  <c r="G223" i="6"/>
  <c r="G288" i="6"/>
  <c r="G279" i="6"/>
  <c r="G68" i="6"/>
  <c r="E1214" i="6"/>
  <c r="E1231" i="6"/>
  <c r="G365" i="3"/>
  <c r="G1215" i="3"/>
  <c r="G1245" i="3" s="1"/>
  <c r="G20" i="6"/>
  <c r="G41" i="6"/>
  <c r="G56" i="6"/>
  <c r="G226" i="6"/>
  <c r="G72" i="6"/>
  <c r="G246" i="6"/>
  <c r="G77" i="6"/>
  <c r="G113" i="6"/>
  <c r="G133" i="6"/>
  <c r="G817" i="6"/>
  <c r="G124" i="6"/>
  <c r="G97" i="6"/>
  <c r="G102" i="6" s="1"/>
  <c r="E102" i="6" s="1"/>
  <c r="G61" i="6"/>
  <c r="G66" i="6" s="1"/>
  <c r="E66" i="6" s="1"/>
  <c r="G70" i="6"/>
  <c r="G106" i="6"/>
  <c r="G338" i="6"/>
  <c r="G137" i="6"/>
  <c r="G135" i="6"/>
  <c r="G153" i="6"/>
  <c r="G173" i="6"/>
  <c r="G309" i="6"/>
  <c r="G185" i="6"/>
  <c r="G52" i="6"/>
  <c r="V30" i="3"/>
  <c r="V39" i="3"/>
  <c r="G23" i="6"/>
  <c r="G45" i="6"/>
  <c r="G48" i="6" s="1"/>
  <c r="E48" i="6" s="1"/>
  <c r="G36" i="6"/>
  <c r="H1130" i="3"/>
  <c r="H1217" i="3" s="1"/>
  <c r="H1247" i="3" s="1"/>
  <c r="H1129" i="3"/>
  <c r="H1216" i="3" s="1"/>
  <c r="H1246" i="3" s="1"/>
  <c r="H1131" i="3"/>
  <c r="H1218" i="3" s="1"/>
  <c r="G1092" i="3"/>
  <c r="G52" i="5" s="1"/>
  <c r="G58" i="5" s="1"/>
  <c r="G1131" i="3"/>
  <c r="G1218" i="3" s="1"/>
  <c r="B39" i="1"/>
  <c r="R9" i="3" s="1"/>
  <c r="R6" i="5" s="1"/>
  <c r="E39" i="1"/>
  <c r="U318" i="6"/>
  <c r="H636" i="3"/>
  <c r="H21" i="5" s="1"/>
  <c r="I178" i="6"/>
  <c r="N178" i="6" s="1"/>
  <c r="G232" i="3"/>
  <c r="H366" i="3"/>
  <c r="H13" i="5" s="1"/>
  <c r="W284" i="3"/>
  <c r="E302" i="6"/>
  <c r="G363" i="3"/>
  <c r="G327" i="3"/>
  <c r="T323" i="3"/>
  <c r="G203" i="3"/>
  <c r="T253" i="3"/>
  <c r="G355" i="3"/>
  <c r="T202" i="3"/>
  <c r="I302" i="6"/>
  <c r="M302" i="6" s="1"/>
  <c r="G307" i="6"/>
  <c r="E307" i="6" s="1"/>
  <c r="I126" i="6"/>
  <c r="E126" i="6"/>
  <c r="I149" i="6"/>
  <c r="E149" i="6"/>
  <c r="E83" i="6"/>
  <c r="I83" i="6"/>
  <c r="E65" i="6"/>
  <c r="I65" i="6"/>
  <c r="E252" i="6"/>
  <c r="I252" i="6"/>
  <c r="I47" i="6"/>
  <c r="E47" i="6"/>
  <c r="I140" i="6"/>
  <c r="E140" i="6"/>
  <c r="E63" i="6"/>
  <c r="I63" i="6"/>
  <c r="E27" i="6"/>
  <c r="I27" i="6"/>
  <c r="G221" i="6"/>
  <c r="W221" i="3" s="1"/>
  <c r="H371" i="3"/>
  <c r="G217" i="6"/>
  <c r="I95" i="6"/>
  <c r="E95" i="6"/>
  <c r="E347" i="6"/>
  <c r="I347" i="6"/>
  <c r="G266" i="6"/>
  <c r="G350" i="6"/>
  <c r="I108" i="6"/>
  <c r="E108" i="6"/>
  <c r="E270" i="6"/>
  <c r="I270" i="6"/>
  <c r="E38" i="6"/>
  <c r="I38" i="6"/>
  <c r="I99" i="6"/>
  <c r="E99" i="6"/>
  <c r="E162" i="6"/>
  <c r="I162" i="6"/>
  <c r="T339" i="3"/>
  <c r="E25" i="6"/>
  <c r="I25" i="6"/>
  <c r="G366" i="3"/>
  <c r="G13" i="5" s="1"/>
  <c r="G371" i="3"/>
  <c r="T111" i="3"/>
  <c r="E889" i="6"/>
  <c r="T57" i="3"/>
  <c r="T224" i="3"/>
  <c r="I327" i="3"/>
  <c r="I368" i="3" s="1"/>
  <c r="I512" i="3" s="1"/>
  <c r="I205" i="3"/>
  <c r="I326" i="3"/>
  <c r="I1091" i="3"/>
  <c r="I207" i="3"/>
  <c r="I331" i="3"/>
  <c r="I202" i="3"/>
  <c r="I324" i="3"/>
  <c r="I325" i="3"/>
  <c r="I365" i="3" s="1"/>
  <c r="I201" i="3"/>
  <c r="I330" i="3"/>
  <c r="I206" i="3"/>
  <c r="I329" i="3"/>
  <c r="I323" i="3"/>
  <c r="I363" i="3" s="1"/>
  <c r="E122" i="6"/>
  <c r="I122" i="6"/>
  <c r="I306" i="6"/>
  <c r="E306" i="6"/>
  <c r="E261" i="6"/>
  <c r="I261" i="6"/>
  <c r="H635" i="3"/>
  <c r="H20" i="5" s="1"/>
  <c r="H364" i="3"/>
  <c r="H12" i="5" s="1"/>
  <c r="H372" i="3"/>
  <c r="T206" i="3"/>
  <c r="T298" i="3"/>
  <c r="T325" i="3"/>
  <c r="T365" i="3" s="1"/>
  <c r="T192" i="3"/>
  <c r="I101" i="6"/>
  <c r="E101" i="6"/>
  <c r="T326" i="3"/>
  <c r="T231" i="3"/>
  <c r="T330" i="3"/>
  <c r="G34" i="6"/>
  <c r="W34" i="3" s="1"/>
  <c r="E1124" i="6"/>
  <c r="G1216" i="3"/>
  <c r="T324" i="3"/>
  <c r="G32" i="6"/>
  <c r="W32" i="3" s="1"/>
  <c r="G372" i="3"/>
  <c r="T207" i="3"/>
  <c r="T229" i="3"/>
  <c r="T215" i="3"/>
  <c r="G635" i="3"/>
  <c r="G20" i="5" s="1"/>
  <c r="G364" i="3"/>
  <c r="G12" i="5" s="1"/>
  <c r="H370" i="3"/>
  <c r="H1092" i="3"/>
  <c r="H52" i="5" s="1"/>
  <c r="H58" i="5" s="1"/>
  <c r="E1125" i="6"/>
  <c r="G1217" i="3"/>
  <c r="E805" i="6"/>
  <c r="E752" i="6"/>
  <c r="W101" i="3"/>
  <c r="G636" i="3"/>
  <c r="G21" i="5" s="1"/>
  <c r="T205" i="3"/>
  <c r="T359" i="3"/>
  <c r="T357" i="3"/>
  <c r="T84" i="3"/>
  <c r="G370" i="3"/>
  <c r="T331" i="3"/>
  <c r="T329" i="3"/>
  <c r="T348" i="3"/>
  <c r="T353" i="3"/>
  <c r="I86" i="6"/>
  <c r="E86" i="6"/>
  <c r="T120" i="3"/>
  <c r="T201" i="3"/>
  <c r="E284" i="6"/>
  <c r="I43" i="6"/>
  <c r="N43" i="6" s="1"/>
  <c r="E151" i="6"/>
  <c r="I151" i="6"/>
  <c r="M151" i="6" s="1"/>
  <c r="E178" i="6"/>
  <c r="M284" i="6"/>
  <c r="N284" i="6"/>
  <c r="I169" i="6"/>
  <c r="N169" i="6" s="1"/>
  <c r="E169" i="6"/>
  <c r="E43" i="6"/>
  <c r="I197" i="6"/>
  <c r="E197" i="6"/>
  <c r="G275" i="6"/>
  <c r="G248" i="6"/>
  <c r="W248" i="3" s="1"/>
  <c r="G160" i="6"/>
  <c r="G257" i="6"/>
  <c r="V815" i="3"/>
  <c r="G817" i="3"/>
  <c r="E815" i="6"/>
  <c r="G830" i="3"/>
  <c r="Y386" i="6"/>
  <c r="F9" i="20"/>
  <c r="F17" i="20"/>
  <c r="F10" i="20"/>
  <c r="L27" i="14"/>
  <c r="J284" i="6"/>
  <c r="K613" i="3" l="1"/>
  <c r="K900" i="3"/>
  <c r="S8" i="3"/>
  <c r="R8" i="3"/>
  <c r="K827" i="3"/>
  <c r="K417" i="3"/>
  <c r="K656" i="3"/>
  <c r="K327" i="3"/>
  <c r="K368" i="3" s="1"/>
  <c r="K1085" i="3"/>
  <c r="K1091" i="3" s="1"/>
  <c r="K1131" i="3" s="1"/>
  <c r="K1218" i="3" s="1"/>
  <c r="K382" i="3"/>
  <c r="K706" i="3"/>
  <c r="K402" i="3"/>
  <c r="K784" i="3"/>
  <c r="K868" i="3"/>
  <c r="K497" i="3"/>
  <c r="K799" i="3"/>
  <c r="K330" i="3"/>
  <c r="K880" i="3"/>
  <c r="K506" i="3"/>
  <c r="K202" i="3"/>
  <c r="K666" i="3"/>
  <c r="K774" i="3"/>
  <c r="K501" i="3"/>
  <c r="K649" i="3"/>
  <c r="K29" i="5" s="1"/>
  <c r="K437" i="3"/>
  <c r="K528" i="3"/>
  <c r="K759" i="3"/>
  <c r="K803" i="3"/>
  <c r="K676" i="3"/>
  <c r="K764" i="3"/>
  <c r="K397" i="3"/>
  <c r="K538" i="3"/>
  <c r="K487" i="3"/>
  <c r="K452" i="3"/>
  <c r="K593" i="3"/>
  <c r="K812" i="3"/>
  <c r="K831" i="3"/>
  <c r="K588" i="3"/>
  <c r="K691" i="3"/>
  <c r="K696" i="3"/>
  <c r="K548" i="3"/>
  <c r="K840" i="3"/>
  <c r="K573" i="3"/>
  <c r="K830" i="3"/>
  <c r="K207" i="3"/>
  <c r="K598" i="3"/>
  <c r="K432" i="3"/>
  <c r="K325" i="3"/>
  <c r="K365" i="3" s="1"/>
  <c r="K921" i="3"/>
  <c r="K38" i="5" s="1"/>
  <c r="K533" i="3"/>
  <c r="K876" i="3"/>
  <c r="K603" i="3"/>
  <c r="K462" i="3"/>
  <c r="K422" i="3"/>
  <c r="K721" i="3"/>
  <c r="K749" i="3"/>
  <c r="K387" i="3"/>
  <c r="K864" i="3"/>
  <c r="K205" i="3"/>
  <c r="K817" i="3"/>
  <c r="K671" i="3"/>
  <c r="K583" i="3"/>
  <c r="K746" i="3"/>
  <c r="K331" i="3"/>
  <c r="K884" i="3"/>
  <c r="K741" i="3"/>
  <c r="K492" i="3"/>
  <c r="K822" i="3"/>
  <c r="K1088" i="3"/>
  <c r="K1128" i="3" s="1"/>
  <c r="K1215" i="3" s="1"/>
  <c r="K1245" i="3" s="1"/>
  <c r="K505" i="3"/>
  <c r="K407" i="3"/>
  <c r="K427" i="3"/>
  <c r="K578" i="3"/>
  <c r="K507" i="3"/>
  <c r="K568" i="3"/>
  <c r="K326" i="3"/>
  <c r="K852" i="3"/>
  <c r="K502" i="3"/>
  <c r="K769" i="3"/>
  <c r="K736" i="3"/>
  <c r="K447" i="3"/>
  <c r="K324" i="3"/>
  <c r="K681" i="3"/>
  <c r="K860" i="3"/>
  <c r="K731" i="3"/>
  <c r="K392" i="3"/>
  <c r="K543" i="3"/>
  <c r="K442" i="3"/>
  <c r="K750" i="3"/>
  <c r="K661" i="3"/>
  <c r="K1089" i="3"/>
  <c r="K1129" i="3" s="1"/>
  <c r="K1216" i="3" s="1"/>
  <c r="K1246" i="3" s="1"/>
  <c r="K201" i="3"/>
  <c r="K563" i="3"/>
  <c r="K477" i="3"/>
  <c r="K856" i="3"/>
  <c r="K503" i="3"/>
  <c r="K329" i="3"/>
  <c r="K726" i="3"/>
  <c r="K457" i="3"/>
  <c r="K716" i="3"/>
  <c r="K323" i="3"/>
  <c r="K363" i="3" s="1"/>
  <c r="K701" i="3"/>
  <c r="K686" i="3"/>
  <c r="K482" i="3"/>
  <c r="K467" i="3"/>
  <c r="K558" i="3"/>
  <c r="K848" i="3"/>
  <c r="K1090" i="3"/>
  <c r="K1130" i="3" s="1"/>
  <c r="K1217" i="3" s="1"/>
  <c r="K1247" i="3" s="1"/>
  <c r="K472" i="3"/>
  <c r="K779" i="3"/>
  <c r="K412" i="3"/>
  <c r="K523" i="3"/>
  <c r="K608" i="3"/>
  <c r="K872" i="3"/>
  <c r="K553" i="3"/>
  <c r="K711" i="3"/>
  <c r="K206" i="3"/>
  <c r="E9" i="582"/>
  <c r="Q9" i="3"/>
  <c r="Q6" i="5" s="1"/>
  <c r="L22" i="1"/>
  <c r="N22" i="1"/>
  <c r="I11" i="5"/>
  <c r="V156" i="3"/>
  <c r="H22" i="5"/>
  <c r="G11" i="5"/>
  <c r="G16" i="5" s="1"/>
  <c r="G22" i="5"/>
  <c r="H16" i="5"/>
  <c r="V325" i="3"/>
  <c r="V365" i="3" s="1"/>
  <c r="V183" i="3"/>
  <c r="I366" i="3"/>
  <c r="I13" i="5" s="1"/>
  <c r="V165" i="3"/>
  <c r="V192" i="3"/>
  <c r="V205" i="3"/>
  <c r="V355" i="3"/>
  <c r="G323" i="6"/>
  <c r="M178" i="6"/>
  <c r="Q178" i="6" s="1"/>
  <c r="J117" i="6"/>
  <c r="M117" i="6"/>
  <c r="R117" i="6" s="1"/>
  <c r="V331" i="3"/>
  <c r="V206" i="3"/>
  <c r="V371" i="3" s="1"/>
  <c r="G156" i="6"/>
  <c r="E156" i="6" s="1"/>
  <c r="M43" i="6"/>
  <c r="Q43" i="6" s="1"/>
  <c r="G286" i="6"/>
  <c r="G289" i="6" s="1"/>
  <c r="E289" i="6" s="1"/>
  <c r="G182" i="6"/>
  <c r="G183" i="6" s="1"/>
  <c r="E183" i="6" s="1"/>
  <c r="G189" i="6"/>
  <c r="I189" i="6" s="1"/>
  <c r="G128" i="6"/>
  <c r="G129" i="6" s="1"/>
  <c r="E129" i="6" s="1"/>
  <c r="E29" i="6"/>
  <c r="I29" i="6"/>
  <c r="I30" i="6" s="1"/>
  <c r="J30" i="6" s="1"/>
  <c r="W29" i="3"/>
  <c r="G30" i="6"/>
  <c r="W30" i="3" s="1"/>
  <c r="N151" i="6"/>
  <c r="T151" i="6" s="1"/>
  <c r="T156" i="6" s="1"/>
  <c r="V202" i="3"/>
  <c r="I81" i="6"/>
  <c r="E81" i="6"/>
  <c r="E171" i="6"/>
  <c r="I171" i="6"/>
  <c r="G174" i="6"/>
  <c r="E174" i="6" s="1"/>
  <c r="W239" i="3"/>
  <c r="E239" i="6"/>
  <c r="I239" i="6"/>
  <c r="I142" i="6"/>
  <c r="E142" i="6"/>
  <c r="G147" i="6"/>
  <c r="E147" i="6" s="1"/>
  <c r="I92" i="6"/>
  <c r="E92" i="6"/>
  <c r="I311" i="6"/>
  <c r="E311" i="6"/>
  <c r="G316" i="6"/>
  <c r="E316" i="6" s="1"/>
  <c r="W144" i="3"/>
  <c r="W90" i="3"/>
  <c r="V93" i="3"/>
  <c r="W196" i="3"/>
  <c r="W320" i="3"/>
  <c r="G255" i="6"/>
  <c r="W255" i="3" s="1"/>
  <c r="G212" i="6"/>
  <c r="G230" i="6" s="1"/>
  <c r="G297" i="6"/>
  <c r="G59" i="6"/>
  <c r="G158" i="6"/>
  <c r="W119" i="3"/>
  <c r="W291" i="3"/>
  <c r="W104" i="3"/>
  <c r="W321" i="3"/>
  <c r="W164" i="3"/>
  <c r="W155" i="3"/>
  <c r="W194" i="3"/>
  <c r="W315" i="3"/>
  <c r="V207" i="3"/>
  <c r="V120" i="3"/>
  <c r="V215" i="3"/>
  <c r="V232" i="3" s="1"/>
  <c r="V817" i="3"/>
  <c r="E144" i="6"/>
  <c r="I144" i="6"/>
  <c r="I90" i="6"/>
  <c r="E90" i="6"/>
  <c r="W88" i="3"/>
  <c r="E88" i="6"/>
  <c r="I88" i="6"/>
  <c r="G93" i="6"/>
  <c r="E93" i="6" s="1"/>
  <c r="E196" i="6"/>
  <c r="I196" i="6"/>
  <c r="N320" i="6"/>
  <c r="T320" i="6" s="1"/>
  <c r="M320" i="6"/>
  <c r="Q320" i="6" s="1"/>
  <c r="J320" i="6"/>
  <c r="V147" i="3"/>
  <c r="W142" i="3"/>
  <c r="W81" i="3"/>
  <c r="W171" i="3"/>
  <c r="W92" i="3"/>
  <c r="V329" i="3"/>
  <c r="V84" i="3"/>
  <c r="E119" i="6"/>
  <c r="I119" i="6"/>
  <c r="W167" i="3"/>
  <c r="E167" i="6"/>
  <c r="I167" i="6"/>
  <c r="I291" i="6"/>
  <c r="E291" i="6"/>
  <c r="W191" i="3"/>
  <c r="I191" i="6"/>
  <c r="E191" i="6"/>
  <c r="I104" i="6"/>
  <c r="E104" i="6"/>
  <c r="V316" i="3"/>
  <c r="W311" i="3"/>
  <c r="V244" i="3"/>
  <c r="V323" i="3"/>
  <c r="V174" i="3"/>
  <c r="E321" i="6"/>
  <c r="I321" i="6"/>
  <c r="W264" i="3"/>
  <c r="I264" i="6"/>
  <c r="E264" i="6"/>
  <c r="W180" i="3"/>
  <c r="I180" i="6"/>
  <c r="E180" i="6"/>
  <c r="E164" i="6"/>
  <c r="I164" i="6"/>
  <c r="W146" i="3"/>
  <c r="I146" i="6"/>
  <c r="E146" i="6"/>
  <c r="I155" i="6"/>
  <c r="E155" i="6"/>
  <c r="E194" i="6"/>
  <c r="I194" i="6"/>
  <c r="E315" i="6"/>
  <c r="I315" i="6"/>
  <c r="V324" i="3"/>
  <c r="V326" i="3"/>
  <c r="V201" i="3"/>
  <c r="E1220" i="6"/>
  <c r="E185" i="6"/>
  <c r="W185" i="3"/>
  <c r="I185" i="6"/>
  <c r="E173" i="6"/>
  <c r="I173" i="6"/>
  <c r="W173" i="3"/>
  <c r="E135" i="6"/>
  <c r="I135" i="6"/>
  <c r="W135" i="3"/>
  <c r="E338" i="6"/>
  <c r="I338" i="6"/>
  <c r="W338" i="3"/>
  <c r="W70" i="3"/>
  <c r="I70" i="6"/>
  <c r="E70" i="6"/>
  <c r="W97" i="3"/>
  <c r="I97" i="6"/>
  <c r="I102" i="6" s="1"/>
  <c r="J102" i="6" s="1"/>
  <c r="E97" i="6"/>
  <c r="W816" i="3"/>
  <c r="W113" i="3"/>
  <c r="E113" i="6"/>
  <c r="I113" i="6"/>
  <c r="W246" i="3"/>
  <c r="E246" i="6"/>
  <c r="I246" i="6"/>
  <c r="E226" i="6"/>
  <c r="I226" i="6"/>
  <c r="W226" i="3"/>
  <c r="E41" i="6"/>
  <c r="I41" i="6"/>
  <c r="W41" i="3"/>
  <c r="I279" i="6"/>
  <c r="E279" i="6"/>
  <c r="W279" i="3"/>
  <c r="W223" i="3"/>
  <c r="E223" i="6"/>
  <c r="I223" i="6"/>
  <c r="E282" i="6"/>
  <c r="W282" i="3"/>
  <c r="I282" i="6"/>
  <c r="E830" i="6"/>
  <c r="G1247" i="3"/>
  <c r="I309" i="6"/>
  <c r="W309" i="3"/>
  <c r="E309" i="6"/>
  <c r="E153" i="6"/>
  <c r="W153" i="3"/>
  <c r="I153" i="6"/>
  <c r="W137" i="3"/>
  <c r="I137" i="6"/>
  <c r="E137" i="6"/>
  <c r="W106" i="3"/>
  <c r="E106" i="6"/>
  <c r="I106" i="6"/>
  <c r="E61" i="6"/>
  <c r="W61" i="3"/>
  <c r="I61" i="6"/>
  <c r="E124" i="6"/>
  <c r="W124" i="3"/>
  <c r="I124" i="6"/>
  <c r="W133" i="3"/>
  <c r="E133" i="6"/>
  <c r="I133" i="6"/>
  <c r="G138" i="6"/>
  <c r="W77" i="3"/>
  <c r="E77" i="6"/>
  <c r="I77" i="6"/>
  <c r="I72" i="6"/>
  <c r="E72" i="6"/>
  <c r="W72" i="3"/>
  <c r="W56" i="3"/>
  <c r="I56" i="6"/>
  <c r="E56" i="6"/>
  <c r="W20" i="3"/>
  <c r="E20" i="6"/>
  <c r="I20" i="6"/>
  <c r="W68" i="3"/>
  <c r="E68" i="6"/>
  <c r="I68" i="6"/>
  <c r="I288" i="6"/>
  <c r="E288" i="6"/>
  <c r="W288" i="3"/>
  <c r="E176" i="6"/>
  <c r="W176" i="3"/>
  <c r="I176" i="6"/>
  <c r="W52" i="3"/>
  <c r="I52" i="6"/>
  <c r="E52" i="6"/>
  <c r="E45" i="6"/>
  <c r="I45" i="6"/>
  <c r="I48" i="6" s="1"/>
  <c r="J48" i="6" s="1"/>
  <c r="W45" i="3"/>
  <c r="E36" i="6"/>
  <c r="W36" i="3"/>
  <c r="I36" i="6"/>
  <c r="W23" i="3"/>
  <c r="I23" i="6"/>
  <c r="E23" i="6"/>
  <c r="H1134" i="3"/>
  <c r="I1129" i="3"/>
  <c r="I1216" i="3" s="1"/>
  <c r="I1246" i="3" s="1"/>
  <c r="I1130" i="3"/>
  <c r="I1217" i="3" s="1"/>
  <c r="I1247" i="3" s="1"/>
  <c r="I1131" i="3"/>
  <c r="I1218" i="3" s="1"/>
  <c r="G1134" i="3"/>
  <c r="G1221" i="3" s="1"/>
  <c r="J8" i="3"/>
  <c r="J5" i="5" s="1"/>
  <c r="J9" i="3"/>
  <c r="J6" i="5" s="1"/>
  <c r="W66" i="3"/>
  <c r="J178" i="6"/>
  <c r="U117" i="6"/>
  <c r="I307" i="6"/>
  <c r="J307" i="6" s="1"/>
  <c r="W307" i="3"/>
  <c r="T327" i="3"/>
  <c r="G74" i="6"/>
  <c r="G75" i="6" s="1"/>
  <c r="E75" i="6" s="1"/>
  <c r="W102" i="3"/>
  <c r="H22" i="1"/>
  <c r="J22" i="1"/>
  <c r="G368" i="3"/>
  <c r="T232" i="3"/>
  <c r="N302" i="6"/>
  <c r="J302" i="6"/>
  <c r="T355" i="3"/>
  <c r="M126" i="6"/>
  <c r="R126" i="6" s="1"/>
  <c r="N126" i="6"/>
  <c r="J126" i="6"/>
  <c r="M149" i="6"/>
  <c r="Q149" i="6" s="1"/>
  <c r="N149" i="6"/>
  <c r="J149" i="6"/>
  <c r="M83" i="6"/>
  <c r="R83" i="6" s="1"/>
  <c r="J83" i="6"/>
  <c r="N83" i="6"/>
  <c r="M65" i="6"/>
  <c r="R65" i="6" s="1"/>
  <c r="J65" i="6"/>
  <c r="N65" i="6"/>
  <c r="M63" i="6"/>
  <c r="R63" i="6" s="1"/>
  <c r="J63" i="6"/>
  <c r="N63" i="6"/>
  <c r="M252" i="6"/>
  <c r="R252" i="6" s="1"/>
  <c r="R253" i="6" s="1"/>
  <c r="J252" i="6"/>
  <c r="N252" i="6"/>
  <c r="M140" i="6"/>
  <c r="Q140" i="6" s="1"/>
  <c r="J140" i="6"/>
  <c r="N140" i="6"/>
  <c r="M47" i="6"/>
  <c r="R47" i="6" s="1"/>
  <c r="J47" i="6"/>
  <c r="N47" i="6"/>
  <c r="M27" i="6"/>
  <c r="R27" i="6" s="1"/>
  <c r="J27" i="6"/>
  <c r="N27" i="6"/>
  <c r="I221" i="6"/>
  <c r="E221" i="6"/>
  <c r="G334" i="6"/>
  <c r="M99" i="6"/>
  <c r="R99" i="6" s="1"/>
  <c r="N99" i="6"/>
  <c r="J99" i="6"/>
  <c r="M108" i="6"/>
  <c r="R108" i="6" s="1"/>
  <c r="J108" i="6"/>
  <c r="N108" i="6"/>
  <c r="W350" i="3"/>
  <c r="I350" i="6"/>
  <c r="E350" i="6"/>
  <c r="G358" i="6"/>
  <c r="G271" i="6"/>
  <c r="I266" i="6"/>
  <c r="E266" i="6"/>
  <c r="W266" i="3"/>
  <c r="M95" i="6"/>
  <c r="Q95" i="6" s="1"/>
  <c r="J95" i="6"/>
  <c r="N95" i="6"/>
  <c r="M25" i="6"/>
  <c r="Q25" i="6" s="1"/>
  <c r="J25" i="6"/>
  <c r="N25" i="6"/>
  <c r="M162" i="6"/>
  <c r="R162" i="6" s="1"/>
  <c r="J162" i="6"/>
  <c r="N162" i="6"/>
  <c r="M38" i="6"/>
  <c r="R38" i="6" s="1"/>
  <c r="N38" i="6"/>
  <c r="J38" i="6"/>
  <c r="M270" i="6"/>
  <c r="R270" i="6" s="1"/>
  <c r="R271" i="6" s="1"/>
  <c r="N270" i="6"/>
  <c r="J270" i="6"/>
  <c r="M347" i="6"/>
  <c r="R347" i="6" s="1"/>
  <c r="R348" i="6" s="1"/>
  <c r="J347" i="6"/>
  <c r="N347" i="6"/>
  <c r="I217" i="6"/>
  <c r="G234" i="6"/>
  <c r="W217" i="3"/>
  <c r="G236" i="6"/>
  <c r="E217" i="6"/>
  <c r="T636" i="3"/>
  <c r="U21" i="5" s="1"/>
  <c r="T366" i="3"/>
  <c r="U13" i="5" s="1"/>
  <c r="I372" i="3"/>
  <c r="G219" i="6"/>
  <c r="W219" i="3" s="1"/>
  <c r="G54" i="6"/>
  <c r="W54" i="3" s="1"/>
  <c r="G110" i="6"/>
  <c r="T370" i="3"/>
  <c r="T371" i="3"/>
  <c r="M306" i="6"/>
  <c r="R306" i="6" s="1"/>
  <c r="R307" i="6" s="1"/>
  <c r="N306" i="6"/>
  <c r="J306" i="6"/>
  <c r="I371" i="3"/>
  <c r="I635" i="3"/>
  <c r="I20" i="5" s="1"/>
  <c r="I364" i="3"/>
  <c r="I12" i="5" s="1"/>
  <c r="I636" i="3"/>
  <c r="I21" i="5" s="1"/>
  <c r="I370" i="3"/>
  <c r="N261" i="6"/>
  <c r="M261" i="6"/>
  <c r="R261" i="6" s="1"/>
  <c r="R262" i="6" s="1"/>
  <c r="J261" i="6"/>
  <c r="M122" i="6"/>
  <c r="Q122" i="6" s="1"/>
  <c r="J122" i="6"/>
  <c r="N122" i="6"/>
  <c r="L1085" i="3"/>
  <c r="T635" i="3"/>
  <c r="T364" i="3"/>
  <c r="U12" i="5" s="1"/>
  <c r="M86" i="6"/>
  <c r="Q86" i="6" s="1"/>
  <c r="N86" i="6"/>
  <c r="J86" i="6"/>
  <c r="G273" i="6"/>
  <c r="W273" i="3" s="1"/>
  <c r="G639" i="3"/>
  <c r="T372" i="3"/>
  <c r="G277" i="6"/>
  <c r="G280" i="6" s="1"/>
  <c r="G1246" i="3"/>
  <c r="G243" i="6"/>
  <c r="G244" i="6" s="1"/>
  <c r="G293" i="6"/>
  <c r="G131" i="6"/>
  <c r="H639" i="3"/>
  <c r="H1226" i="3" s="1"/>
  <c r="G18" i="6"/>
  <c r="W18" i="3" s="1"/>
  <c r="G115" i="6"/>
  <c r="W115" i="3" s="1"/>
  <c r="G343" i="6"/>
  <c r="G79" i="6"/>
  <c r="W79" i="3" s="1"/>
  <c r="G341" i="6"/>
  <c r="G210" i="6"/>
  <c r="G50" i="6"/>
  <c r="E32" i="6"/>
  <c r="I32" i="6"/>
  <c r="I34" i="6"/>
  <c r="E34" i="6"/>
  <c r="G39" i="6"/>
  <c r="G300" i="6"/>
  <c r="W300" i="3" s="1"/>
  <c r="G214" i="6"/>
  <c r="W214" i="3" s="1"/>
  <c r="M101" i="6"/>
  <c r="R101" i="6" s="1"/>
  <c r="N101" i="6"/>
  <c r="J101" i="6"/>
  <c r="G187" i="6"/>
  <c r="J43" i="6"/>
  <c r="J151" i="6"/>
  <c r="W48" i="3"/>
  <c r="M197" i="6"/>
  <c r="Q197" i="6" s="1"/>
  <c r="N197" i="6"/>
  <c r="J169" i="6"/>
  <c r="M169" i="6"/>
  <c r="Q169" i="6" s="1"/>
  <c r="J197" i="6"/>
  <c r="W257" i="3"/>
  <c r="G262" i="6"/>
  <c r="I257" i="6"/>
  <c r="E257" i="6"/>
  <c r="E275" i="6"/>
  <c r="W275" i="3"/>
  <c r="I275" i="6"/>
  <c r="I160" i="6"/>
  <c r="E160" i="6"/>
  <c r="W160" i="3"/>
  <c r="G165" i="6"/>
  <c r="I248" i="6"/>
  <c r="G253" i="6"/>
  <c r="E248" i="6"/>
  <c r="E817" i="6"/>
  <c r="G833" i="3"/>
  <c r="G32" i="5" s="1"/>
  <c r="G34" i="5" s="1"/>
  <c r="T817" i="3"/>
  <c r="Y387" i="6"/>
  <c r="Q284" i="6"/>
  <c r="T43" i="6"/>
  <c r="T48" i="6" s="1"/>
  <c r="Q302" i="6"/>
  <c r="T169" i="6"/>
  <c r="T174" i="6" s="1"/>
  <c r="T178" i="6"/>
  <c r="T183" i="6" s="1"/>
  <c r="U284" i="6"/>
  <c r="J28" i="14"/>
  <c r="K28" i="14" s="1"/>
  <c r="L28" i="14"/>
  <c r="Q151" i="6"/>
  <c r="S1" i="3" l="1"/>
  <c r="S5" i="5"/>
  <c r="R1" i="3"/>
  <c r="R205" i="3" s="1"/>
  <c r="R5" i="5"/>
  <c r="K372" i="3"/>
  <c r="K636" i="3"/>
  <c r="K21" i="5" s="1"/>
  <c r="K1229" i="3"/>
  <c r="K364" i="3"/>
  <c r="K12" i="5" s="1"/>
  <c r="K833" i="3"/>
  <c r="K32" i="5" s="1"/>
  <c r="K370" i="3"/>
  <c r="K371" i="3"/>
  <c r="K15" i="5"/>
  <c r="K635" i="3"/>
  <c r="K20" i="5" s="1"/>
  <c r="K366" i="3"/>
  <c r="K13" i="5" s="1"/>
  <c r="K509" i="3"/>
  <c r="K512" i="3" s="1"/>
  <c r="K1092" i="3"/>
  <c r="K52" i="5" s="1"/>
  <c r="K58" i="5" s="1"/>
  <c r="K11" i="5"/>
  <c r="K752" i="3"/>
  <c r="K30" i="5" s="1"/>
  <c r="K805" i="3"/>
  <c r="K31" i="5" s="1"/>
  <c r="K14" i="5"/>
  <c r="I16" i="5"/>
  <c r="I22" i="5"/>
  <c r="L1089" i="3"/>
  <c r="L1090" i="3"/>
  <c r="W174" i="3"/>
  <c r="J1" i="3"/>
  <c r="J1085" i="3" s="1"/>
  <c r="V370" i="3"/>
  <c r="V327" i="3"/>
  <c r="I323" i="6"/>
  <c r="J323" i="6" s="1"/>
  <c r="J29" i="6"/>
  <c r="W183" i="3"/>
  <c r="I174" i="6"/>
  <c r="J174" i="6" s="1"/>
  <c r="W156" i="3"/>
  <c r="W189" i="3"/>
  <c r="I156" i="6"/>
  <c r="J156" i="6" s="1"/>
  <c r="E189" i="6"/>
  <c r="E286" i="6"/>
  <c r="W289" i="3"/>
  <c r="W316" i="3"/>
  <c r="I286" i="6"/>
  <c r="J286" i="6" s="1"/>
  <c r="W286" i="3"/>
  <c r="V372" i="3"/>
  <c r="E30" i="6"/>
  <c r="N29" i="6"/>
  <c r="U29" i="6" s="1"/>
  <c r="I128" i="6"/>
  <c r="M128" i="6" s="1"/>
  <c r="R128" i="6" s="1"/>
  <c r="R129" i="6" s="1"/>
  <c r="I182" i="6"/>
  <c r="I183" i="6" s="1"/>
  <c r="J183" i="6" s="1"/>
  <c r="M29" i="6"/>
  <c r="R29" i="6" s="1"/>
  <c r="R30" i="6" s="1"/>
  <c r="W129" i="3"/>
  <c r="V366" i="3"/>
  <c r="W147" i="3"/>
  <c r="E128" i="6"/>
  <c r="W128" i="3"/>
  <c r="E182" i="6"/>
  <c r="W182" i="3"/>
  <c r="W320" i="6"/>
  <c r="V364" i="3"/>
  <c r="V635" i="3"/>
  <c r="V636" i="3"/>
  <c r="M315" i="6"/>
  <c r="R315" i="6" s="1"/>
  <c r="R316" i="6" s="1"/>
  <c r="N315" i="6"/>
  <c r="U315" i="6" s="1"/>
  <c r="J315" i="6"/>
  <c r="N194" i="6"/>
  <c r="T194" i="6" s="1"/>
  <c r="M194" i="6"/>
  <c r="Q194" i="6" s="1"/>
  <c r="J194" i="6"/>
  <c r="N180" i="6"/>
  <c r="M180" i="6"/>
  <c r="J180" i="6"/>
  <c r="M291" i="6"/>
  <c r="Q291" i="6" s="1"/>
  <c r="W291" i="6" s="1"/>
  <c r="J291" i="6"/>
  <c r="N291" i="6"/>
  <c r="U291" i="6" s="1"/>
  <c r="M119" i="6"/>
  <c r="R119" i="6" s="1"/>
  <c r="R120" i="6" s="1"/>
  <c r="J119" i="6"/>
  <c r="N119" i="6"/>
  <c r="U119" i="6" s="1"/>
  <c r="N88" i="6"/>
  <c r="I93" i="6"/>
  <c r="J93" i="6" s="1"/>
  <c r="M88" i="6"/>
  <c r="J88" i="6"/>
  <c r="M144" i="6"/>
  <c r="R144" i="6" s="1"/>
  <c r="J144" i="6"/>
  <c r="N144" i="6"/>
  <c r="U144" i="6" s="1"/>
  <c r="W158" i="3"/>
  <c r="I158" i="6"/>
  <c r="E158" i="6"/>
  <c r="W297" i="3"/>
  <c r="E297" i="6"/>
  <c r="I297" i="6"/>
  <c r="E255" i="6"/>
  <c r="I255" i="6"/>
  <c r="M92" i="6"/>
  <c r="R92" i="6" s="1"/>
  <c r="J92" i="6"/>
  <c r="N92" i="6"/>
  <c r="U92" i="6" s="1"/>
  <c r="N142" i="6"/>
  <c r="J142" i="6"/>
  <c r="M142" i="6"/>
  <c r="I147" i="6"/>
  <c r="J147" i="6" s="1"/>
  <c r="M81" i="6"/>
  <c r="R81" i="6" s="1"/>
  <c r="R84" i="6" s="1"/>
  <c r="J81" i="6"/>
  <c r="N81" i="6"/>
  <c r="U81" i="6" s="1"/>
  <c r="M155" i="6"/>
  <c r="R155" i="6" s="1"/>
  <c r="J155" i="6"/>
  <c r="N155" i="6"/>
  <c r="U155" i="6" s="1"/>
  <c r="M146" i="6"/>
  <c r="R146" i="6" s="1"/>
  <c r="J146" i="6"/>
  <c r="N146" i="6"/>
  <c r="U146" i="6" s="1"/>
  <c r="M164" i="6"/>
  <c r="R164" i="6" s="1"/>
  <c r="R165" i="6" s="1"/>
  <c r="J164" i="6"/>
  <c r="N164" i="6"/>
  <c r="U164" i="6" s="1"/>
  <c r="M264" i="6"/>
  <c r="Q264" i="6" s="1"/>
  <c r="J264" i="6"/>
  <c r="N264" i="6"/>
  <c r="T264" i="6" s="1"/>
  <c r="N321" i="6"/>
  <c r="T321" i="6" s="1"/>
  <c r="J321" i="6"/>
  <c r="M321" i="6"/>
  <c r="Q321" i="6" s="1"/>
  <c r="M104" i="6"/>
  <c r="Q104" i="6" s="1"/>
  <c r="J104" i="6"/>
  <c r="N104" i="6"/>
  <c r="T104" i="6" s="1"/>
  <c r="J191" i="6"/>
  <c r="N191" i="6"/>
  <c r="U191" i="6" s="1"/>
  <c r="M191" i="6"/>
  <c r="R191" i="6" s="1"/>
  <c r="N167" i="6"/>
  <c r="T167" i="6" s="1"/>
  <c r="M167" i="6"/>
  <c r="Q167" i="6" s="1"/>
  <c r="J167" i="6"/>
  <c r="N196" i="6"/>
  <c r="T196" i="6" s="1"/>
  <c r="M196" i="6"/>
  <c r="Q196" i="6" s="1"/>
  <c r="J196" i="6"/>
  <c r="M90" i="6"/>
  <c r="R90" i="6" s="1"/>
  <c r="N90" i="6"/>
  <c r="U90" i="6" s="1"/>
  <c r="J90" i="6"/>
  <c r="N189" i="6"/>
  <c r="U189" i="6" s="1"/>
  <c r="J189" i="6"/>
  <c r="M189" i="6"/>
  <c r="R189" i="6" s="1"/>
  <c r="W59" i="3"/>
  <c r="I59" i="6"/>
  <c r="E59" i="6"/>
  <c r="W212" i="3"/>
  <c r="I212" i="6"/>
  <c r="I230" i="6" s="1"/>
  <c r="J230" i="6" s="1"/>
  <c r="E212" i="6"/>
  <c r="W93" i="3"/>
  <c r="N311" i="6"/>
  <c r="M311" i="6"/>
  <c r="I316" i="6"/>
  <c r="J316" i="6" s="1"/>
  <c r="J311" i="6"/>
  <c r="N239" i="6"/>
  <c r="T239" i="6" s="1"/>
  <c r="J239" i="6"/>
  <c r="M239" i="6"/>
  <c r="Q239" i="6" s="1"/>
  <c r="Q244" i="6" s="1"/>
  <c r="N171" i="6"/>
  <c r="U171" i="6" s="1"/>
  <c r="J171" i="6"/>
  <c r="M171" i="6"/>
  <c r="R171" i="6" s="1"/>
  <c r="G1226" i="3"/>
  <c r="G512" i="3"/>
  <c r="J176" i="6"/>
  <c r="N176" i="6"/>
  <c r="T176" i="6" s="1"/>
  <c r="M176" i="6"/>
  <c r="Q176" i="6" s="1"/>
  <c r="N68" i="6"/>
  <c r="T68" i="6" s="1"/>
  <c r="M68" i="6"/>
  <c r="Q68" i="6" s="1"/>
  <c r="J68" i="6"/>
  <c r="M77" i="6"/>
  <c r="Q77" i="6" s="1"/>
  <c r="N77" i="6"/>
  <c r="T77" i="6" s="1"/>
  <c r="J77" i="6"/>
  <c r="N133" i="6"/>
  <c r="J133" i="6"/>
  <c r="M133" i="6"/>
  <c r="I138" i="6"/>
  <c r="J138" i="6" s="1"/>
  <c r="M61" i="6"/>
  <c r="Q61" i="6" s="1"/>
  <c r="Q66" i="6" s="1"/>
  <c r="J61" i="6"/>
  <c r="N61" i="6"/>
  <c r="T61" i="6" s="1"/>
  <c r="T66" i="6" s="1"/>
  <c r="M309" i="6"/>
  <c r="Q309" i="6" s="1"/>
  <c r="W309" i="6" s="1"/>
  <c r="N309" i="6"/>
  <c r="U309" i="6" s="1"/>
  <c r="J309" i="6"/>
  <c r="I66" i="6"/>
  <c r="J66" i="6" s="1"/>
  <c r="E1249" i="6"/>
  <c r="N282" i="6"/>
  <c r="U282" i="6" s="1"/>
  <c r="J282" i="6"/>
  <c r="M282" i="6"/>
  <c r="Q282" i="6" s="1"/>
  <c r="W282" i="6" s="1"/>
  <c r="M279" i="6"/>
  <c r="R279" i="6" s="1"/>
  <c r="R280" i="6" s="1"/>
  <c r="J279" i="6"/>
  <c r="N279" i="6"/>
  <c r="U279" i="6" s="1"/>
  <c r="N226" i="6"/>
  <c r="T226" i="6" s="1"/>
  <c r="M226" i="6"/>
  <c r="Q226" i="6" s="1"/>
  <c r="J226" i="6"/>
  <c r="M246" i="6"/>
  <c r="Q246" i="6" s="1"/>
  <c r="J246" i="6"/>
  <c r="N246" i="6"/>
  <c r="T246" i="6" s="1"/>
  <c r="M70" i="6"/>
  <c r="Q70" i="6" s="1"/>
  <c r="Q75" i="6" s="1"/>
  <c r="J70" i="6"/>
  <c r="N70" i="6"/>
  <c r="T70" i="6" s="1"/>
  <c r="T75" i="6" s="1"/>
  <c r="M135" i="6"/>
  <c r="R135" i="6" s="1"/>
  <c r="N135" i="6"/>
  <c r="U135" i="6" s="1"/>
  <c r="J135" i="6"/>
  <c r="E1248" i="6"/>
  <c r="M288" i="6"/>
  <c r="J288" i="6"/>
  <c r="N288" i="6"/>
  <c r="M20" i="6"/>
  <c r="R20" i="6" s="1"/>
  <c r="J20" i="6"/>
  <c r="N20" i="6"/>
  <c r="U20" i="6" s="1"/>
  <c r="N56" i="6"/>
  <c r="U56" i="6" s="1"/>
  <c r="M56" i="6"/>
  <c r="R56" i="6" s="1"/>
  <c r="J56" i="6"/>
  <c r="M72" i="6"/>
  <c r="R72" i="6" s="1"/>
  <c r="J72" i="6"/>
  <c r="N72" i="6"/>
  <c r="U72" i="6" s="1"/>
  <c r="E138" i="6"/>
  <c r="W138" i="3"/>
  <c r="M124" i="6"/>
  <c r="Q124" i="6" s="1"/>
  <c r="Q129" i="6" s="1"/>
  <c r="J124" i="6"/>
  <c r="N124" i="6"/>
  <c r="T124" i="6" s="1"/>
  <c r="T129" i="6" s="1"/>
  <c r="M106" i="6"/>
  <c r="Q106" i="6" s="1"/>
  <c r="Q111" i="6" s="1"/>
  <c r="N106" i="6"/>
  <c r="T106" i="6" s="1"/>
  <c r="T111" i="6" s="1"/>
  <c r="J106" i="6"/>
  <c r="M137" i="6"/>
  <c r="R137" i="6" s="1"/>
  <c r="J137" i="6"/>
  <c r="N137" i="6"/>
  <c r="U137" i="6" s="1"/>
  <c r="N153" i="6"/>
  <c r="M153" i="6"/>
  <c r="J153" i="6"/>
  <c r="N223" i="6"/>
  <c r="U223" i="6" s="1"/>
  <c r="J223" i="6"/>
  <c r="M223" i="6"/>
  <c r="R223" i="6" s="1"/>
  <c r="N41" i="6"/>
  <c r="T41" i="6" s="1"/>
  <c r="M41" i="6"/>
  <c r="Q41" i="6" s="1"/>
  <c r="J41" i="6"/>
  <c r="N113" i="6"/>
  <c r="T113" i="6" s="1"/>
  <c r="M113" i="6"/>
  <c r="Q113" i="6" s="1"/>
  <c r="J113" i="6"/>
  <c r="M97" i="6"/>
  <c r="Q97" i="6" s="1"/>
  <c r="Q102" i="6" s="1"/>
  <c r="J97" i="6"/>
  <c r="N97" i="6"/>
  <c r="T97" i="6" s="1"/>
  <c r="T102" i="6" s="1"/>
  <c r="N338" i="6"/>
  <c r="M338" i="6"/>
  <c r="R338" i="6" s="1"/>
  <c r="R339" i="6" s="1"/>
  <c r="R355" i="6" s="1"/>
  <c r="J338" i="6"/>
  <c r="M173" i="6"/>
  <c r="R173" i="6" s="1"/>
  <c r="N173" i="6"/>
  <c r="J173" i="6"/>
  <c r="M185" i="6"/>
  <c r="Q185" i="6" s="1"/>
  <c r="J185" i="6"/>
  <c r="N185" i="6"/>
  <c r="T185" i="6" s="1"/>
  <c r="N52" i="6"/>
  <c r="T52" i="6" s="1"/>
  <c r="T57" i="6" s="1"/>
  <c r="M52" i="6"/>
  <c r="Q52" i="6" s="1"/>
  <c r="Q57" i="6" s="1"/>
  <c r="J52" i="6"/>
  <c r="M23" i="6"/>
  <c r="Q23" i="6" s="1"/>
  <c r="J23" i="6"/>
  <c r="N23" i="6"/>
  <c r="T23" i="6" s="1"/>
  <c r="J36" i="6"/>
  <c r="M36" i="6"/>
  <c r="R36" i="6" s="1"/>
  <c r="R39" i="6" s="1"/>
  <c r="N36" i="6"/>
  <c r="U36" i="6" s="1"/>
  <c r="M45" i="6"/>
  <c r="R45" i="6" s="1"/>
  <c r="R48" i="6" s="1"/>
  <c r="J45" i="6"/>
  <c r="N45" i="6"/>
  <c r="U45" i="6" s="1"/>
  <c r="B41" i="1"/>
  <c r="W74" i="3"/>
  <c r="T197" i="6"/>
  <c r="U101" i="6"/>
  <c r="T86" i="6"/>
  <c r="U261" i="6"/>
  <c r="U262" i="6" s="1"/>
  <c r="U306" i="6"/>
  <c r="U38" i="6"/>
  <c r="U162" i="6"/>
  <c r="T95" i="6"/>
  <c r="U27" i="6"/>
  <c r="U252" i="6"/>
  <c r="U253" i="6" s="1"/>
  <c r="U65" i="6"/>
  <c r="U126" i="6"/>
  <c r="T122" i="6"/>
  <c r="U347" i="6"/>
  <c r="U348" i="6" s="1"/>
  <c r="U270" i="6"/>
  <c r="U271" i="6" s="1"/>
  <c r="T25" i="6"/>
  <c r="T30" i="6" s="1"/>
  <c r="U108" i="6"/>
  <c r="U99" i="6"/>
  <c r="U47" i="6"/>
  <c r="T140" i="6"/>
  <c r="U63" i="6"/>
  <c r="U83" i="6"/>
  <c r="T149" i="6"/>
  <c r="I74" i="6"/>
  <c r="I75" i="6" s="1"/>
  <c r="J75" i="6" s="1"/>
  <c r="R102" i="6"/>
  <c r="E74" i="6"/>
  <c r="W75" i="3"/>
  <c r="G202" i="6"/>
  <c r="M307" i="6"/>
  <c r="N307" i="6"/>
  <c r="U302" i="6"/>
  <c r="R66" i="6"/>
  <c r="E230" i="6"/>
  <c r="W230" i="3"/>
  <c r="N221" i="6"/>
  <c r="M221" i="6"/>
  <c r="J221" i="6"/>
  <c r="E236" i="6"/>
  <c r="W236" i="3"/>
  <c r="E234" i="6"/>
  <c r="W234" i="3"/>
  <c r="Q30" i="6"/>
  <c r="M266" i="6"/>
  <c r="J266" i="6"/>
  <c r="N266" i="6"/>
  <c r="I271" i="6"/>
  <c r="J271" i="6" s="1"/>
  <c r="E358" i="6"/>
  <c r="W358" i="3"/>
  <c r="N350" i="6"/>
  <c r="J350" i="6"/>
  <c r="M350" i="6"/>
  <c r="I358" i="6"/>
  <c r="J358" i="6" s="1"/>
  <c r="N217" i="6"/>
  <c r="M217" i="6"/>
  <c r="J217" i="6"/>
  <c r="I236" i="6"/>
  <c r="J236" i="6" s="1"/>
  <c r="I234" i="6"/>
  <c r="J234" i="6" s="1"/>
  <c r="E271" i="6"/>
  <c r="W271" i="3"/>
  <c r="W334" i="3"/>
  <c r="E334" i="6"/>
  <c r="I334" i="6"/>
  <c r="G339" i="6"/>
  <c r="E339" i="6" s="1"/>
  <c r="G224" i="6"/>
  <c r="E224" i="6" s="1"/>
  <c r="I219" i="6"/>
  <c r="E219" i="6"/>
  <c r="W244" i="3"/>
  <c r="E244" i="6"/>
  <c r="G111" i="6"/>
  <c r="E111" i="6" s="1"/>
  <c r="I110" i="6"/>
  <c r="W110" i="3"/>
  <c r="E110" i="6"/>
  <c r="I54" i="6"/>
  <c r="E54" i="6"/>
  <c r="G57" i="6"/>
  <c r="E57" i="6" s="1"/>
  <c r="L327" i="3"/>
  <c r="L207" i="3"/>
  <c r="L331" i="3"/>
  <c r="L323" i="3"/>
  <c r="L326" i="3"/>
  <c r="L201" i="3"/>
  <c r="L206" i="3"/>
  <c r="L325" i="3"/>
  <c r="L202" i="3"/>
  <c r="L329" i="3"/>
  <c r="L324" i="3"/>
  <c r="L205" i="3"/>
  <c r="L1088" i="3"/>
  <c r="L330" i="3"/>
  <c r="I639" i="3"/>
  <c r="I1226" i="3" s="1"/>
  <c r="W187" i="3"/>
  <c r="G192" i="6"/>
  <c r="E192" i="6" s="1"/>
  <c r="E187" i="6"/>
  <c r="I187" i="6"/>
  <c r="G231" i="6"/>
  <c r="E231" i="6" s="1"/>
  <c r="E214" i="6"/>
  <c r="I214" i="6"/>
  <c r="E39" i="6"/>
  <c r="W39" i="3"/>
  <c r="M34" i="6"/>
  <c r="J34" i="6"/>
  <c r="N34" i="6"/>
  <c r="I39" i="6"/>
  <c r="J39" i="6" s="1"/>
  <c r="M32" i="6"/>
  <c r="J32" i="6"/>
  <c r="N32" i="6"/>
  <c r="I50" i="6"/>
  <c r="E50" i="6"/>
  <c r="G207" i="6"/>
  <c r="E210" i="6"/>
  <c r="G229" i="6"/>
  <c r="E229" i="6" s="1"/>
  <c r="I210" i="6"/>
  <c r="G215" i="6"/>
  <c r="W215" i="3" s="1"/>
  <c r="I343" i="6"/>
  <c r="G353" i="6"/>
  <c r="E353" i="6" s="1"/>
  <c r="E343" i="6"/>
  <c r="G348" i="6"/>
  <c r="W293" i="3"/>
  <c r="E293" i="6"/>
  <c r="G298" i="6"/>
  <c r="E298" i="6" s="1"/>
  <c r="I293" i="6"/>
  <c r="I325" i="6" s="1"/>
  <c r="G325" i="6"/>
  <c r="E243" i="6"/>
  <c r="G326" i="6"/>
  <c r="E326" i="6" s="1"/>
  <c r="I243" i="6"/>
  <c r="I244" i="6" s="1"/>
  <c r="J244" i="6" s="1"/>
  <c r="U20" i="5"/>
  <c r="U22" i="5" s="1"/>
  <c r="T639" i="3"/>
  <c r="I300" i="6"/>
  <c r="E300" i="6"/>
  <c r="G330" i="6"/>
  <c r="E330" i="6" s="1"/>
  <c r="G205" i="6"/>
  <c r="W50" i="3"/>
  <c r="W210" i="3"/>
  <c r="W341" i="3"/>
  <c r="E341" i="6"/>
  <c r="I341" i="6"/>
  <c r="G357" i="6"/>
  <c r="E357" i="6" s="1"/>
  <c r="G359" i="6"/>
  <c r="E359" i="6" s="1"/>
  <c r="E79" i="6"/>
  <c r="I79" i="6"/>
  <c r="G84" i="6"/>
  <c r="E84" i="6" s="1"/>
  <c r="W343" i="3"/>
  <c r="G120" i="6"/>
  <c r="E120" i="6" s="1"/>
  <c r="I115" i="6"/>
  <c r="E115" i="6"/>
  <c r="E18" i="6"/>
  <c r="G201" i="6"/>
  <c r="I18" i="6"/>
  <c r="W131" i="3"/>
  <c r="E131" i="6"/>
  <c r="G206" i="6"/>
  <c r="I131" i="6"/>
  <c r="W243" i="3"/>
  <c r="W277" i="3"/>
  <c r="I277" i="6"/>
  <c r="I280" i="6" s="1"/>
  <c r="J280" i="6" s="1"/>
  <c r="E277" i="6"/>
  <c r="G324" i="6"/>
  <c r="E273" i="6"/>
  <c r="I273" i="6"/>
  <c r="G331" i="6"/>
  <c r="E331" i="6" s="1"/>
  <c r="G329" i="6"/>
  <c r="E329" i="6" s="1"/>
  <c r="M275" i="6"/>
  <c r="N275" i="6"/>
  <c r="M257" i="6"/>
  <c r="N257" i="6"/>
  <c r="M248" i="6"/>
  <c r="N248" i="6"/>
  <c r="M160" i="6"/>
  <c r="N160" i="6"/>
  <c r="E323" i="6"/>
  <c r="J248" i="6"/>
  <c r="I253" i="6"/>
  <c r="I165" i="6"/>
  <c r="J165" i="6" s="1"/>
  <c r="J160" i="6"/>
  <c r="E280" i="6"/>
  <c r="W280" i="3"/>
  <c r="E262" i="6"/>
  <c r="W262" i="3"/>
  <c r="E253" i="6"/>
  <c r="W253" i="3"/>
  <c r="E165" i="6"/>
  <c r="W165" i="3"/>
  <c r="J275" i="6"/>
  <c r="I262" i="6"/>
  <c r="J262" i="6" s="1"/>
  <c r="J257" i="6"/>
  <c r="G816" i="6"/>
  <c r="W815" i="3" s="1"/>
  <c r="E833" i="6"/>
  <c r="G892" i="3"/>
  <c r="Y388" i="6"/>
  <c r="Y389" i="6" s="1"/>
  <c r="Y390" i="6" s="1"/>
  <c r="F22" i="1"/>
  <c r="Q156" i="6"/>
  <c r="W156" i="6" s="1"/>
  <c r="W151" i="6"/>
  <c r="Q48" i="6"/>
  <c r="W48" i="6" s="1"/>
  <c r="W43" i="6"/>
  <c r="Q174" i="6"/>
  <c r="W174" i="6" s="1"/>
  <c r="W169" i="6"/>
  <c r="Q307" i="6"/>
  <c r="W307" i="6" s="1"/>
  <c r="W302" i="6"/>
  <c r="Q183" i="6"/>
  <c r="W183" i="6" s="1"/>
  <c r="W178" i="6"/>
  <c r="F7" i="595"/>
  <c r="L29" i="14"/>
  <c r="J29" i="14"/>
  <c r="K29" i="14" s="1"/>
  <c r="Q289" i="6"/>
  <c r="W289" i="6" s="1"/>
  <c r="W284" i="6"/>
  <c r="S1197" i="3" l="1"/>
  <c r="S1198" i="3"/>
  <c r="S1196" i="3"/>
  <c r="S1195" i="3"/>
  <c r="S1191" i="3"/>
  <c r="S1189" i="3"/>
  <c r="S1190" i="3"/>
  <c r="S1188" i="3"/>
  <c r="N30" i="12"/>
  <c r="S21" i="3"/>
  <c r="S203" i="3" s="1"/>
  <c r="R563" i="3"/>
  <c r="T16" i="3"/>
  <c r="V16" i="3" s="1"/>
  <c r="V200" i="3" s="1"/>
  <c r="V363" i="3" s="1"/>
  <c r="S200" i="3"/>
  <c r="R603" i="3"/>
  <c r="R830" i="3"/>
  <c r="R666" i="3"/>
  <c r="R736" i="3"/>
  <c r="R1085" i="3"/>
  <c r="R1091" i="3" s="1"/>
  <c r="R1131" i="3" s="1"/>
  <c r="R1218" i="3" s="1"/>
  <c r="R750" i="3"/>
  <c r="R844" i="3"/>
  <c r="R397" i="3"/>
  <c r="R477" i="3"/>
  <c r="R330" i="3"/>
  <c r="R407" i="3"/>
  <c r="R848" i="3"/>
  <c r="R860" i="3"/>
  <c r="R507" i="3"/>
  <c r="R904" i="3"/>
  <c r="R913" i="3" s="1"/>
  <c r="R37" i="5" s="1"/>
  <c r="R492" i="3"/>
  <c r="R769" i="3"/>
  <c r="R402" i="3"/>
  <c r="R528" i="3"/>
  <c r="R323" i="3"/>
  <c r="R363" i="3" s="1"/>
  <c r="R329" i="3"/>
  <c r="R370" i="3" s="1"/>
  <c r="R462" i="3"/>
  <c r="R613" i="3"/>
  <c r="R207" i="3"/>
  <c r="R588" i="3"/>
  <c r="R852" i="3"/>
  <c r="R417" i="3"/>
  <c r="R437" i="3"/>
  <c r="R472" i="3"/>
  <c r="R856" i="3"/>
  <c r="R387" i="3"/>
  <c r="R578" i="3"/>
  <c r="R505" i="3"/>
  <c r="R656" i="3"/>
  <c r="R412" i="3"/>
  <c r="R467" i="3"/>
  <c r="R868" i="3"/>
  <c r="R721" i="3"/>
  <c r="R201" i="3"/>
  <c r="R432" i="3"/>
  <c r="R206" i="3"/>
  <c r="R803" i="3"/>
  <c r="R422" i="3"/>
  <c r="R457" i="3"/>
  <c r="R523" i="3"/>
  <c r="R681" i="3"/>
  <c r="R506" i="3"/>
  <c r="R726" i="3"/>
  <c r="R553" i="3"/>
  <c r="R427" i="3"/>
  <c r="R741" i="3"/>
  <c r="R325" i="3"/>
  <c r="R365" i="3" s="1"/>
  <c r="R686" i="3"/>
  <c r="R799" i="3"/>
  <c r="R812" i="3"/>
  <c r="R1090" i="3"/>
  <c r="R1130" i="3" s="1"/>
  <c r="R1217" i="3" s="1"/>
  <c r="R1247" i="3" s="1"/>
  <c r="R831" i="3"/>
  <c r="R442" i="3"/>
  <c r="R568" i="3"/>
  <c r="R583" i="3"/>
  <c r="R558" i="3"/>
  <c r="R872" i="3"/>
  <c r="R326" i="3"/>
  <c r="R548" i="3"/>
  <c r="R716" i="3"/>
  <c r="R671" i="3"/>
  <c r="R749" i="3"/>
  <c r="R202" i="3"/>
  <c r="R921" i="3"/>
  <c r="R38" i="5" s="1"/>
  <c r="R1088" i="3"/>
  <c r="R1128" i="3" s="1"/>
  <c r="R1215" i="3" s="1"/>
  <c r="R1245" i="3" s="1"/>
  <c r="R497" i="3"/>
  <c r="R817" i="3"/>
  <c r="R452" i="3"/>
  <c r="R746" i="3"/>
  <c r="R501" i="3"/>
  <c r="R538" i="3"/>
  <c r="R691" i="3"/>
  <c r="R573" i="3"/>
  <c r="R774" i="3"/>
  <c r="R608" i="3"/>
  <c r="R503" i="3"/>
  <c r="R827" i="3"/>
  <c r="R649" i="3"/>
  <c r="R29" i="5" s="1"/>
  <c r="R759" i="3"/>
  <c r="R876" i="3"/>
  <c r="R884" i="3"/>
  <c r="R327" i="3"/>
  <c r="R368" i="3" s="1"/>
  <c r="R661" i="3"/>
  <c r="R764" i="3"/>
  <c r="R676" i="3"/>
  <c r="R864" i="3"/>
  <c r="R711" i="3"/>
  <c r="R696" i="3"/>
  <c r="R880" i="3"/>
  <c r="R731" i="3"/>
  <c r="R382" i="3"/>
  <c r="R331" i="3"/>
  <c r="R324" i="3"/>
  <c r="R543" i="3"/>
  <c r="R822" i="3"/>
  <c r="R447" i="3"/>
  <c r="R706" i="3"/>
  <c r="R1089" i="3"/>
  <c r="R1129" i="3" s="1"/>
  <c r="R1216" i="3" s="1"/>
  <c r="R1246" i="3" s="1"/>
  <c r="R779" i="3"/>
  <c r="R784" i="3"/>
  <c r="R593" i="3"/>
  <c r="R701" i="3"/>
  <c r="R487" i="3"/>
  <c r="R392" i="3"/>
  <c r="R533" i="3"/>
  <c r="R598" i="3"/>
  <c r="R502" i="3"/>
  <c r="R482" i="3"/>
  <c r="K22" i="5"/>
  <c r="K639" i="3"/>
  <c r="K1226" i="3" s="1"/>
  <c r="K16" i="5"/>
  <c r="K1134" i="3"/>
  <c r="K1221" i="3" s="1"/>
  <c r="J1089" i="3"/>
  <c r="J1090" i="3"/>
  <c r="W321" i="6"/>
  <c r="W23" i="6"/>
  <c r="W185" i="6"/>
  <c r="W264" i="6"/>
  <c r="R192" i="6"/>
  <c r="N128" i="6"/>
  <c r="U128" i="6" s="1"/>
  <c r="U129" i="6" s="1"/>
  <c r="U84" i="6"/>
  <c r="R174" i="6"/>
  <c r="U138" i="6"/>
  <c r="W97" i="6"/>
  <c r="W52" i="6"/>
  <c r="U165" i="6"/>
  <c r="I129" i="6"/>
  <c r="J129" i="6" s="1"/>
  <c r="I289" i="6"/>
  <c r="J289" i="6" s="1"/>
  <c r="M30" i="6"/>
  <c r="N286" i="6"/>
  <c r="U286" i="6" s="1"/>
  <c r="W75" i="6"/>
  <c r="W66" i="6"/>
  <c r="J128" i="6"/>
  <c r="M66" i="6"/>
  <c r="N66" i="6"/>
  <c r="U147" i="6"/>
  <c r="N30" i="6"/>
  <c r="J182" i="6"/>
  <c r="W124" i="6"/>
  <c r="M182" i="6"/>
  <c r="W57" i="6"/>
  <c r="W102" i="6"/>
  <c r="W129" i="6"/>
  <c r="W70" i="6"/>
  <c r="W61" i="6"/>
  <c r="M174" i="6"/>
  <c r="M102" i="6"/>
  <c r="N102" i="6"/>
  <c r="M286" i="6"/>
  <c r="M289" i="6" s="1"/>
  <c r="R93" i="6"/>
  <c r="W239" i="6"/>
  <c r="W106" i="6"/>
  <c r="N182" i="6"/>
  <c r="U182" i="6" s="1"/>
  <c r="N48" i="6"/>
  <c r="U48" i="6"/>
  <c r="W41" i="6"/>
  <c r="W167" i="6"/>
  <c r="M48" i="6"/>
  <c r="W113" i="6"/>
  <c r="W111" i="6"/>
  <c r="W246" i="6"/>
  <c r="W226" i="6"/>
  <c r="W68" i="6"/>
  <c r="W176" i="6"/>
  <c r="W196" i="6"/>
  <c r="W104" i="6"/>
  <c r="W194" i="6"/>
  <c r="T244" i="6"/>
  <c r="W244" i="6" s="1"/>
  <c r="I205" i="6"/>
  <c r="M129" i="6"/>
  <c r="U39" i="6"/>
  <c r="U120" i="6"/>
  <c r="W77" i="6"/>
  <c r="V639" i="3"/>
  <c r="U311" i="6"/>
  <c r="N316" i="6"/>
  <c r="N59" i="6"/>
  <c r="T59" i="6" s="1"/>
  <c r="M59" i="6"/>
  <c r="Q59" i="6" s="1"/>
  <c r="J59" i="6"/>
  <c r="U192" i="6"/>
  <c r="U180" i="6"/>
  <c r="M316" i="6"/>
  <c r="Q311" i="6"/>
  <c r="N212" i="6"/>
  <c r="U212" i="6" s="1"/>
  <c r="M212" i="6"/>
  <c r="R212" i="6" s="1"/>
  <c r="J212" i="6"/>
  <c r="U93" i="6"/>
  <c r="Q142" i="6"/>
  <c r="M147" i="6"/>
  <c r="T142" i="6"/>
  <c r="N147" i="6"/>
  <c r="M255" i="6"/>
  <c r="Q255" i="6" s="1"/>
  <c r="N255" i="6"/>
  <c r="J255" i="6"/>
  <c r="N297" i="6"/>
  <c r="U297" i="6" s="1"/>
  <c r="M297" i="6"/>
  <c r="R297" i="6" s="1"/>
  <c r="R298" i="6" s="1"/>
  <c r="J297" i="6"/>
  <c r="N158" i="6"/>
  <c r="T158" i="6" s="1"/>
  <c r="J158" i="6"/>
  <c r="M158" i="6"/>
  <c r="Q158" i="6" s="1"/>
  <c r="R147" i="6"/>
  <c r="M93" i="6"/>
  <c r="Q88" i="6"/>
  <c r="T88" i="6"/>
  <c r="N93" i="6"/>
  <c r="R180" i="6"/>
  <c r="U153" i="6"/>
  <c r="N156" i="6"/>
  <c r="U329" i="6"/>
  <c r="U370" i="6" s="1"/>
  <c r="M138" i="6"/>
  <c r="Q133" i="6"/>
  <c r="N138" i="6"/>
  <c r="T133" i="6"/>
  <c r="L1091" i="3"/>
  <c r="L1131" i="3" s="1"/>
  <c r="L365" i="3"/>
  <c r="L363" i="3"/>
  <c r="L368" i="3"/>
  <c r="U173" i="6"/>
  <c r="N174" i="6"/>
  <c r="U338" i="6"/>
  <c r="U339" i="6" s="1"/>
  <c r="U355" i="6" s="1"/>
  <c r="R153" i="6"/>
  <c r="R156" i="6" s="1"/>
  <c r="M156" i="6"/>
  <c r="U288" i="6"/>
  <c r="R288" i="6"/>
  <c r="R289" i="6" s="1"/>
  <c r="R138" i="6"/>
  <c r="L1128" i="3"/>
  <c r="L1215" i="3" s="1"/>
  <c r="L1245" i="3" s="1"/>
  <c r="L1129" i="3"/>
  <c r="L1130" i="3"/>
  <c r="W122" i="6"/>
  <c r="M74" i="6"/>
  <c r="M75" i="6" s="1"/>
  <c r="I202" i="6"/>
  <c r="J202" i="6" s="1"/>
  <c r="W149" i="6"/>
  <c r="W30" i="6"/>
  <c r="W86" i="6"/>
  <c r="W197" i="6"/>
  <c r="W25" i="6"/>
  <c r="W140" i="6"/>
  <c r="U66" i="6"/>
  <c r="W95" i="6"/>
  <c r="U30" i="6"/>
  <c r="U307" i="6"/>
  <c r="U102" i="6"/>
  <c r="E202" i="6"/>
  <c r="N74" i="6"/>
  <c r="U74" i="6" s="1"/>
  <c r="J74" i="6"/>
  <c r="L370" i="3"/>
  <c r="W192" i="3"/>
  <c r="W353" i="3"/>
  <c r="G327" i="6"/>
  <c r="E327" i="6" s="1"/>
  <c r="W298" i="3"/>
  <c r="W231" i="3"/>
  <c r="W357" i="3"/>
  <c r="L372" i="3"/>
  <c r="R221" i="6"/>
  <c r="U221" i="6"/>
  <c r="J334" i="6"/>
  <c r="I339" i="6"/>
  <c r="J339" i="6" s="1"/>
  <c r="Q217" i="6"/>
  <c r="M236" i="6"/>
  <c r="M234" i="6"/>
  <c r="W339" i="3"/>
  <c r="Q350" i="6"/>
  <c r="M358" i="6"/>
  <c r="T350" i="6"/>
  <c r="T358" i="6" s="1"/>
  <c r="N358" i="6"/>
  <c r="N271" i="6"/>
  <c r="T266" i="6"/>
  <c r="T271" i="6" s="1"/>
  <c r="M271" i="6"/>
  <c r="Q266" i="6"/>
  <c r="N236" i="6"/>
  <c r="T217" i="6"/>
  <c r="N234" i="6"/>
  <c r="G366" i="6"/>
  <c r="G15" i="654" s="1"/>
  <c r="W224" i="3"/>
  <c r="I111" i="6"/>
  <c r="J111" i="6" s="1"/>
  <c r="M110" i="6"/>
  <c r="J110" i="6"/>
  <c r="N110" i="6"/>
  <c r="N219" i="6"/>
  <c r="J219" i="6"/>
  <c r="M219" i="6"/>
  <c r="I224" i="6"/>
  <c r="J224" i="6" s="1"/>
  <c r="W57" i="3"/>
  <c r="M54" i="6"/>
  <c r="N54" i="6"/>
  <c r="J54" i="6"/>
  <c r="I57" i="6"/>
  <c r="J57" i="6" s="1"/>
  <c r="W111" i="3"/>
  <c r="L636" i="3"/>
  <c r="L21" i="5" s="1"/>
  <c r="L366" i="3"/>
  <c r="L13" i="5" s="1"/>
  <c r="L635" i="3"/>
  <c r="L20" i="5" s="1"/>
  <c r="L364" i="3"/>
  <c r="L12" i="5" s="1"/>
  <c r="M1085" i="3"/>
  <c r="L371" i="3"/>
  <c r="G637" i="6"/>
  <c r="G23" i="654" s="1"/>
  <c r="E324" i="6"/>
  <c r="N277" i="6"/>
  <c r="J277" i="6"/>
  <c r="I324" i="6"/>
  <c r="M277" i="6"/>
  <c r="G371" i="6"/>
  <c r="E371" i="6" s="1"/>
  <c r="E206" i="6"/>
  <c r="G364" i="6"/>
  <c r="G14" i="654" s="1"/>
  <c r="G636" i="6"/>
  <c r="G22" i="654" s="1"/>
  <c r="E201" i="6"/>
  <c r="N79" i="6"/>
  <c r="J79" i="6"/>
  <c r="I84" i="6"/>
  <c r="J84" i="6" s="1"/>
  <c r="M79" i="6"/>
  <c r="E205" i="6"/>
  <c r="G370" i="6"/>
  <c r="E370" i="6" s="1"/>
  <c r="G365" i="6"/>
  <c r="E365" i="6" s="1"/>
  <c r="E325" i="6"/>
  <c r="E348" i="6"/>
  <c r="G355" i="6"/>
  <c r="E355" i="6" s="1"/>
  <c r="W348" i="3"/>
  <c r="W84" i="3"/>
  <c r="G232" i="6"/>
  <c r="E232" i="6" s="1"/>
  <c r="E215" i="6"/>
  <c r="W229" i="3"/>
  <c r="N187" i="6"/>
  <c r="I192" i="6"/>
  <c r="J192" i="6" s="1"/>
  <c r="M187" i="6"/>
  <c r="J187" i="6"/>
  <c r="N273" i="6"/>
  <c r="M273" i="6"/>
  <c r="J273" i="6"/>
  <c r="I331" i="6"/>
  <c r="J331" i="6" s="1"/>
  <c r="I329" i="6"/>
  <c r="N131" i="6"/>
  <c r="J131" i="6"/>
  <c r="M131" i="6"/>
  <c r="I206" i="6"/>
  <c r="M18" i="6"/>
  <c r="I201" i="6"/>
  <c r="J18" i="6"/>
  <c r="N18" i="6"/>
  <c r="N115" i="6"/>
  <c r="J115" i="6"/>
  <c r="I120" i="6"/>
  <c r="J120" i="6" s="1"/>
  <c r="M115" i="6"/>
  <c r="N341" i="6"/>
  <c r="I359" i="6"/>
  <c r="J359" i="6" s="1"/>
  <c r="I357" i="6"/>
  <c r="J357" i="6" s="1"/>
  <c r="M341" i="6"/>
  <c r="J341" i="6"/>
  <c r="M300" i="6"/>
  <c r="N300" i="6"/>
  <c r="J300" i="6"/>
  <c r="I330" i="6"/>
  <c r="J330" i="6" s="1"/>
  <c r="M243" i="6"/>
  <c r="M244" i="6" s="1"/>
  <c r="I326" i="6"/>
  <c r="J326" i="6" s="1"/>
  <c r="J243" i="6"/>
  <c r="N243" i="6"/>
  <c r="N293" i="6"/>
  <c r="J293" i="6"/>
  <c r="M293" i="6"/>
  <c r="I298" i="6"/>
  <c r="J298" i="6" s="1"/>
  <c r="W120" i="3"/>
  <c r="I348" i="6"/>
  <c r="J343" i="6"/>
  <c r="I353" i="6"/>
  <c r="J353" i="6" s="1"/>
  <c r="W359" i="3"/>
  <c r="N210" i="6"/>
  <c r="J210" i="6"/>
  <c r="I229" i="6"/>
  <c r="J229" i="6" s="1"/>
  <c r="I215" i="6"/>
  <c r="M210" i="6"/>
  <c r="E207" i="6"/>
  <c r="G372" i="6"/>
  <c r="N50" i="6"/>
  <c r="M50" i="6"/>
  <c r="J50" i="6"/>
  <c r="I207" i="6"/>
  <c r="T32" i="6"/>
  <c r="Q32" i="6"/>
  <c r="T34" i="6"/>
  <c r="T39" i="6" s="1"/>
  <c r="N39" i="6"/>
  <c r="Q34" i="6"/>
  <c r="M39" i="6"/>
  <c r="M214" i="6"/>
  <c r="I231" i="6"/>
  <c r="J231" i="6" s="1"/>
  <c r="J214" i="6"/>
  <c r="N214" i="6"/>
  <c r="Q275" i="6"/>
  <c r="J253" i="6"/>
  <c r="M323" i="6"/>
  <c r="Q248" i="6"/>
  <c r="M253" i="6"/>
  <c r="N262" i="6"/>
  <c r="T257" i="6"/>
  <c r="T262" i="6" s="1"/>
  <c r="M262" i="6"/>
  <c r="Q257" i="6"/>
  <c r="U275" i="6"/>
  <c r="T160" i="6"/>
  <c r="T165" i="6" s="1"/>
  <c r="N165" i="6"/>
  <c r="Q160" i="6"/>
  <c r="M165" i="6"/>
  <c r="T248" i="6"/>
  <c r="N323" i="6"/>
  <c r="N253" i="6"/>
  <c r="E892" i="6"/>
  <c r="G1227" i="3"/>
  <c r="G923" i="3"/>
  <c r="G39" i="5" s="1"/>
  <c r="G40" i="5" s="1"/>
  <c r="G43" i="5" s="1"/>
  <c r="G46" i="5" s="1"/>
  <c r="E816" i="6"/>
  <c r="G818" i="6"/>
  <c r="E818" i="6" s="1"/>
  <c r="Y391" i="6"/>
  <c r="L30" i="12"/>
  <c r="J30" i="14"/>
  <c r="K30" i="14" s="1"/>
  <c r="L30" i="14"/>
  <c r="F10" i="594"/>
  <c r="F14" i="594" s="1"/>
  <c r="N15" i="654" l="1"/>
  <c r="G24" i="654"/>
  <c r="N14" i="654"/>
  <c r="S1199" i="3"/>
  <c r="S1208" i="3"/>
  <c r="S1207" i="3"/>
  <c r="S1206" i="3"/>
  <c r="S1192" i="3"/>
  <c r="T21" i="3"/>
  <c r="V21" i="3" s="1"/>
  <c r="V203" i="3" s="1"/>
  <c r="V368" i="3" s="1"/>
  <c r="J205" i="6"/>
  <c r="G16" i="6"/>
  <c r="E16" i="6" s="1"/>
  <c r="T200" i="3"/>
  <c r="T363" i="3" s="1"/>
  <c r="U11" i="5" s="1"/>
  <c r="U16" i="5" s="1"/>
  <c r="R14" i="5"/>
  <c r="R371" i="3"/>
  <c r="R11" i="5"/>
  <c r="R372" i="3"/>
  <c r="R15" i="5"/>
  <c r="R364" i="3"/>
  <c r="R12" i="5" s="1"/>
  <c r="R366" i="3"/>
  <c r="R13" i="5" s="1"/>
  <c r="R509" i="3"/>
  <c r="R512" i="3" s="1"/>
  <c r="R805" i="3"/>
  <c r="R31" i="5" s="1"/>
  <c r="R635" i="3"/>
  <c r="R20" i="5" s="1"/>
  <c r="R1229" i="3"/>
  <c r="R636" i="3"/>
  <c r="R21" i="5" s="1"/>
  <c r="R833" i="3"/>
  <c r="R32" i="5" s="1"/>
  <c r="R1092" i="3"/>
  <c r="R1134" i="3" s="1"/>
  <c r="R1221" i="3" s="1"/>
  <c r="R752" i="3"/>
  <c r="R30" i="5" s="1"/>
  <c r="L11" i="5"/>
  <c r="L16" i="5" s="1"/>
  <c r="L22" i="5"/>
  <c r="S1085" i="3"/>
  <c r="S1089" i="3"/>
  <c r="S1090" i="3"/>
  <c r="M1089" i="3"/>
  <c r="M1090" i="3"/>
  <c r="W158" i="6"/>
  <c r="N129" i="6"/>
  <c r="N289" i="6"/>
  <c r="L1092" i="3"/>
  <c r="L52" i="5" s="1"/>
  <c r="L58" i="5" s="1"/>
  <c r="R182" i="6"/>
  <c r="R183" i="6" s="1"/>
  <c r="M183" i="6"/>
  <c r="M324" i="6"/>
  <c r="N230" i="6"/>
  <c r="M205" i="6"/>
  <c r="D43" i="50"/>
  <c r="M230" i="6"/>
  <c r="N183" i="6"/>
  <c r="W59" i="6"/>
  <c r="T93" i="6"/>
  <c r="T147" i="6"/>
  <c r="Q147" i="6"/>
  <c r="W142" i="6"/>
  <c r="W311" i="6"/>
  <c r="Q316" i="6"/>
  <c r="W316" i="6" s="1"/>
  <c r="Q93" i="6"/>
  <c r="W88" i="6"/>
  <c r="T255" i="6"/>
  <c r="W255" i="6" s="1"/>
  <c r="U183" i="6"/>
  <c r="U316" i="6"/>
  <c r="L1216" i="3"/>
  <c r="L1218" i="3"/>
  <c r="U289" i="6"/>
  <c r="U174" i="6"/>
  <c r="L512" i="3"/>
  <c r="L1217" i="3"/>
  <c r="T138" i="6"/>
  <c r="Q138" i="6"/>
  <c r="W133" i="6"/>
  <c r="U156" i="6"/>
  <c r="M202" i="6"/>
  <c r="R74" i="6"/>
  <c r="R75" i="6" s="1"/>
  <c r="N205" i="6"/>
  <c r="N244" i="6"/>
  <c r="N202" i="6"/>
  <c r="N75" i="6"/>
  <c r="N325" i="6"/>
  <c r="N365" i="6" s="1"/>
  <c r="N324" i="6"/>
  <c r="U277" i="6"/>
  <c r="U324" i="6" s="1"/>
  <c r="E366" i="6"/>
  <c r="G15" i="2"/>
  <c r="N15" i="2" s="1"/>
  <c r="M280" i="6"/>
  <c r="W355" i="3"/>
  <c r="N280" i="6"/>
  <c r="I327" i="6"/>
  <c r="J327" i="6" s="1"/>
  <c r="U224" i="6"/>
  <c r="U230" i="6"/>
  <c r="R224" i="6"/>
  <c r="R230" i="6"/>
  <c r="W232" i="3"/>
  <c r="T236" i="6"/>
  <c r="T234" i="6"/>
  <c r="Q271" i="6"/>
  <c r="W271" i="6" s="1"/>
  <c r="W266" i="6"/>
  <c r="Q358" i="6"/>
  <c r="W358" i="6" s="1"/>
  <c r="W350" i="6"/>
  <c r="Q234" i="6"/>
  <c r="W217" i="6"/>
  <c r="Q236" i="6"/>
  <c r="U75" i="6"/>
  <c r="R54" i="6"/>
  <c r="R57" i="6" s="1"/>
  <c r="M57" i="6"/>
  <c r="U110" i="6"/>
  <c r="U111" i="6" s="1"/>
  <c r="N111" i="6"/>
  <c r="R110" i="6"/>
  <c r="R111" i="6" s="1"/>
  <c r="M111" i="6"/>
  <c r="U54" i="6"/>
  <c r="U57" i="6" s="1"/>
  <c r="N57" i="6"/>
  <c r="M224" i="6"/>
  <c r="Q219" i="6"/>
  <c r="N224" i="6"/>
  <c r="T219" i="6"/>
  <c r="T224" i="6" s="1"/>
  <c r="M327" i="3"/>
  <c r="M207" i="3"/>
  <c r="M326" i="3"/>
  <c r="M1091" i="3"/>
  <c r="M206" i="3"/>
  <c r="M1088" i="3"/>
  <c r="M202" i="3"/>
  <c r="M205" i="3"/>
  <c r="M323" i="3"/>
  <c r="M325" i="3"/>
  <c r="M201" i="3"/>
  <c r="M331" i="3"/>
  <c r="M330" i="3"/>
  <c r="M324" i="3"/>
  <c r="M329" i="3"/>
  <c r="L639" i="3"/>
  <c r="N231" i="6"/>
  <c r="U214" i="6"/>
  <c r="I372" i="6"/>
  <c r="J372" i="6" s="1"/>
  <c r="J207" i="6"/>
  <c r="Q50" i="6"/>
  <c r="Q205" i="6" s="1"/>
  <c r="M207" i="6"/>
  <c r="E372" i="6"/>
  <c r="I232" i="6"/>
  <c r="J232" i="6" s="1"/>
  <c r="J215" i="6"/>
  <c r="J348" i="6"/>
  <c r="I355" i="6"/>
  <c r="J355" i="6" s="1"/>
  <c r="I365" i="6"/>
  <c r="J365" i="6" s="1"/>
  <c r="N298" i="6"/>
  <c r="U293" i="6"/>
  <c r="U325" i="6" s="1"/>
  <c r="R243" i="6"/>
  <c r="M326" i="6"/>
  <c r="U300" i="6"/>
  <c r="N330" i="6"/>
  <c r="Q341" i="6"/>
  <c r="M357" i="6"/>
  <c r="M359" i="6"/>
  <c r="Q115" i="6"/>
  <c r="M120" i="6"/>
  <c r="U18" i="6"/>
  <c r="N201" i="6"/>
  <c r="I364" i="6"/>
  <c r="I14" i="654" s="1"/>
  <c r="E14" i="654" s="1"/>
  <c r="J201" i="6"/>
  <c r="I371" i="6"/>
  <c r="J371" i="6" s="1"/>
  <c r="J206" i="6"/>
  <c r="J329" i="6"/>
  <c r="E43" i="50"/>
  <c r="T273" i="6"/>
  <c r="N329" i="6"/>
  <c r="N331" i="6"/>
  <c r="M192" i="6"/>
  <c r="Q187" i="6"/>
  <c r="N192" i="6"/>
  <c r="T187" i="6"/>
  <c r="T192" i="6" s="1"/>
  <c r="T79" i="6"/>
  <c r="T84" i="6" s="1"/>
  <c r="N84" i="6"/>
  <c r="G640" i="6"/>
  <c r="G1246" i="6" s="1"/>
  <c r="E1246" i="6" s="1"/>
  <c r="G22" i="2"/>
  <c r="I370" i="6"/>
  <c r="J370" i="6" s="1"/>
  <c r="M231" i="6"/>
  <c r="R214" i="6"/>
  <c r="Q39" i="6"/>
  <c r="W39" i="6" s="1"/>
  <c r="W34" i="6"/>
  <c r="W32" i="6"/>
  <c r="T50" i="6"/>
  <c r="T205" i="6" s="1"/>
  <c r="N207" i="6"/>
  <c r="Q210" i="6"/>
  <c r="M215" i="6"/>
  <c r="M229" i="6"/>
  <c r="N229" i="6"/>
  <c r="T210" i="6"/>
  <c r="N215" i="6"/>
  <c r="M325" i="6"/>
  <c r="M365" i="6" s="1"/>
  <c r="Q293" i="6"/>
  <c r="M298" i="6"/>
  <c r="U243" i="6"/>
  <c r="N326" i="6"/>
  <c r="Q300" i="6"/>
  <c r="M330" i="6"/>
  <c r="N359" i="6"/>
  <c r="N357" i="6"/>
  <c r="T341" i="6"/>
  <c r="N120" i="6"/>
  <c r="T115" i="6"/>
  <c r="T120" i="6" s="1"/>
  <c r="R18" i="6"/>
  <c r="M201" i="6"/>
  <c r="Q131" i="6"/>
  <c r="M206" i="6"/>
  <c r="T131" i="6"/>
  <c r="T206" i="6" s="1"/>
  <c r="T371" i="6" s="1"/>
  <c r="N206" i="6"/>
  <c r="Q273" i="6"/>
  <c r="M331" i="6"/>
  <c r="M329" i="6"/>
  <c r="I366" i="6"/>
  <c r="I15" i="654" s="1"/>
  <c r="E15" i="654" s="1"/>
  <c r="Q79" i="6"/>
  <c r="M84" i="6"/>
  <c r="G14" i="2"/>
  <c r="E364" i="6"/>
  <c r="J324" i="6"/>
  <c r="G23" i="2"/>
  <c r="F18" i="594"/>
  <c r="U323" i="6"/>
  <c r="U363" i="6" s="1"/>
  <c r="W257" i="6"/>
  <c r="Q262" i="6"/>
  <c r="W262" i="6" s="1"/>
  <c r="Q253" i="6"/>
  <c r="Q323" i="6"/>
  <c r="W248" i="6"/>
  <c r="W275" i="6"/>
  <c r="Q280" i="6"/>
  <c r="W280" i="6" s="1"/>
  <c r="T253" i="6"/>
  <c r="T327" i="6" s="1"/>
  <c r="T323" i="6"/>
  <c r="W160" i="6"/>
  <c r="Q165" i="6"/>
  <c r="W165" i="6" s="1"/>
  <c r="G1230" i="3"/>
  <c r="G933" i="3"/>
  <c r="E923" i="6"/>
  <c r="Y392" i="6"/>
  <c r="L6" i="42"/>
  <c r="L31" i="14"/>
  <c r="J31" i="14"/>
  <c r="K31" i="14" s="1"/>
  <c r="M15" i="654" l="1"/>
  <c r="M14" i="654"/>
  <c r="S69" i="5"/>
  <c r="W16" i="3"/>
  <c r="T203" i="3"/>
  <c r="T368" i="3" s="1"/>
  <c r="I16" i="6"/>
  <c r="N16" i="6" s="1"/>
  <c r="G21" i="6"/>
  <c r="W21" i="3" s="1"/>
  <c r="G200" i="6"/>
  <c r="G363" i="6" s="1"/>
  <c r="R639" i="3"/>
  <c r="R1226" i="3" s="1"/>
  <c r="R52" i="5"/>
  <c r="M635" i="3"/>
  <c r="M20" i="5" s="1"/>
  <c r="L1134" i="3"/>
  <c r="L1221" i="3" s="1"/>
  <c r="F43" i="50"/>
  <c r="D46" i="50" s="1"/>
  <c r="W138" i="6"/>
  <c r="W147" i="6"/>
  <c r="W93" i="6"/>
  <c r="L1226" i="3"/>
  <c r="M365" i="3"/>
  <c r="M368" i="3"/>
  <c r="G1234" i="3"/>
  <c r="M363" i="3"/>
  <c r="M1128" i="3"/>
  <c r="M1215" i="3" s="1"/>
  <c r="M1245" i="3" s="1"/>
  <c r="L1247" i="3"/>
  <c r="L1246" i="3"/>
  <c r="M1131" i="3"/>
  <c r="M1129" i="3"/>
  <c r="M1216" i="3" s="1"/>
  <c r="M1246" i="3" s="1"/>
  <c r="W234" i="6"/>
  <c r="U280" i="6"/>
  <c r="F6" i="137"/>
  <c r="M370" i="3"/>
  <c r="N232" i="6"/>
  <c r="M327" i="6"/>
  <c r="M372" i="3"/>
  <c r="M364" i="3"/>
  <c r="M12" i="5" s="1"/>
  <c r="M232" i="6"/>
  <c r="M370" i="6"/>
  <c r="W236" i="6"/>
  <c r="N327" i="6"/>
  <c r="N371" i="6"/>
  <c r="M371" i="3"/>
  <c r="M366" i="6"/>
  <c r="M371" i="6"/>
  <c r="M636" i="3"/>
  <c r="M21" i="5" s="1"/>
  <c r="U202" i="6"/>
  <c r="M366" i="3"/>
  <c r="M13" i="5" s="1"/>
  <c r="R231" i="6"/>
  <c r="R215" i="6"/>
  <c r="R232" i="6" s="1"/>
  <c r="W219" i="6"/>
  <c r="Q224" i="6"/>
  <c r="W224" i="6" s="1"/>
  <c r="U231" i="6"/>
  <c r="U215" i="6"/>
  <c r="U232" i="6" s="1"/>
  <c r="R202" i="6"/>
  <c r="N370" i="6"/>
  <c r="N366" i="6"/>
  <c r="M1092" i="3"/>
  <c r="M52" i="5" s="1"/>
  <c r="N1085" i="3"/>
  <c r="N14" i="2"/>
  <c r="Q84" i="6"/>
  <c r="W84" i="6" s="1"/>
  <c r="W79" i="6"/>
  <c r="W273" i="6"/>
  <c r="Q331" i="6"/>
  <c r="Q329" i="6"/>
  <c r="W131" i="6"/>
  <c r="Q206" i="6"/>
  <c r="R21" i="6"/>
  <c r="R203" i="6" s="1"/>
  <c r="R201" i="6"/>
  <c r="T229" i="6"/>
  <c r="T215" i="6"/>
  <c r="T232" i="6" s="1"/>
  <c r="Q229" i="6"/>
  <c r="Q215" i="6"/>
  <c r="W210" i="6"/>
  <c r="T207" i="6"/>
  <c r="G24" i="2"/>
  <c r="U201" i="6"/>
  <c r="U21" i="6"/>
  <c r="U203" i="6" s="1"/>
  <c r="W115" i="6"/>
  <c r="Q120" i="6"/>
  <c r="W120" i="6" s="1"/>
  <c r="W50" i="6"/>
  <c r="Q207" i="6"/>
  <c r="I15" i="2"/>
  <c r="J366" i="6"/>
  <c r="M364" i="6"/>
  <c r="T357" i="6"/>
  <c r="T359" i="6"/>
  <c r="W300" i="6"/>
  <c r="Q330" i="6"/>
  <c r="W330" i="6" s="1"/>
  <c r="U326" i="6"/>
  <c r="U244" i="6"/>
  <c r="Q298" i="6"/>
  <c r="W298" i="6" s="1"/>
  <c r="W293" i="6"/>
  <c r="Q325" i="6"/>
  <c r="N372" i="6"/>
  <c r="W187" i="6"/>
  <c r="Q192" i="6"/>
  <c r="W192" i="6" s="1"/>
  <c r="T329" i="6"/>
  <c r="T331" i="6"/>
  <c r="I14" i="2"/>
  <c r="E14" i="2" s="1"/>
  <c r="J364" i="6"/>
  <c r="N364" i="6"/>
  <c r="Q359" i="6"/>
  <c r="Q357" i="6"/>
  <c r="W341" i="6"/>
  <c r="U330" i="6"/>
  <c r="U371" i="6" s="1"/>
  <c r="U331" i="6"/>
  <c r="U372" i="6" s="1"/>
  <c r="R326" i="6"/>
  <c r="R244" i="6"/>
  <c r="R327" i="6" s="1"/>
  <c r="U298" i="6"/>
  <c r="M372" i="6"/>
  <c r="W323" i="6"/>
  <c r="W253" i="6"/>
  <c r="E933" i="6"/>
  <c r="G936" i="3"/>
  <c r="Y393" i="6"/>
  <c r="Y394" i="6" s="1"/>
  <c r="Y395" i="6" s="1"/>
  <c r="J32" i="14"/>
  <c r="L32" i="14"/>
  <c r="L9" i="42"/>
  <c r="F15" i="137" l="1"/>
  <c r="G13" i="2"/>
  <c r="G13" i="654"/>
  <c r="I200" i="6"/>
  <c r="I363" i="6" s="1"/>
  <c r="I13" i="654" s="1"/>
  <c r="J16" i="6"/>
  <c r="M16" i="6"/>
  <c r="G203" i="6"/>
  <c r="G368" i="6" s="1"/>
  <c r="I21" i="6"/>
  <c r="J21" i="6" s="1"/>
  <c r="E21" i="6"/>
  <c r="W200" i="3"/>
  <c r="E200" i="6"/>
  <c r="M11" i="5"/>
  <c r="M16" i="5" s="1"/>
  <c r="M22" i="5"/>
  <c r="N1089" i="3"/>
  <c r="N1090" i="3"/>
  <c r="F13" i="137"/>
  <c r="F14" i="137"/>
  <c r="F11" i="137"/>
  <c r="F12" i="137"/>
  <c r="E46" i="50"/>
  <c r="N4" i="6" s="1"/>
  <c r="W205" i="6"/>
  <c r="G1236" i="3"/>
  <c r="M512" i="3"/>
  <c r="G939" i="3"/>
  <c r="M1218" i="3"/>
  <c r="W229" i="6"/>
  <c r="W359" i="6"/>
  <c r="U365" i="6"/>
  <c r="Q327" i="6"/>
  <c r="W327" i="6" s="1"/>
  <c r="W357" i="6"/>
  <c r="M639" i="3"/>
  <c r="W331" i="6"/>
  <c r="W329" i="6"/>
  <c r="T370" i="6"/>
  <c r="M4" i="6"/>
  <c r="U327" i="6"/>
  <c r="N323" i="3"/>
  <c r="N331" i="3"/>
  <c r="N207" i="3"/>
  <c r="N202" i="3"/>
  <c r="N327" i="3"/>
  <c r="N325" i="3"/>
  <c r="N205" i="3"/>
  <c r="N1091" i="3"/>
  <c r="N1088" i="3"/>
  <c r="N1128" i="3" s="1"/>
  <c r="N201" i="3"/>
  <c r="N326" i="3"/>
  <c r="N206" i="3"/>
  <c r="N330" i="3"/>
  <c r="N329" i="3"/>
  <c r="N324" i="3"/>
  <c r="O1085" i="3"/>
  <c r="E15" i="2"/>
  <c r="M15" i="2"/>
  <c r="Q372" i="6"/>
  <c r="R366" i="6"/>
  <c r="Q370" i="6"/>
  <c r="R368" i="6"/>
  <c r="W206" i="6"/>
  <c r="Q365" i="6"/>
  <c r="W365" i="6" s="1"/>
  <c r="W325" i="6"/>
  <c r="U366" i="6"/>
  <c r="W207" i="6"/>
  <c r="U364" i="6"/>
  <c r="T372" i="6"/>
  <c r="Q232" i="6"/>
  <c r="W232" i="6" s="1"/>
  <c r="W215" i="6"/>
  <c r="R364" i="6"/>
  <c r="Q371" i="6"/>
  <c r="W371" i="6" s="1"/>
  <c r="M14" i="2"/>
  <c r="F16" i="137"/>
  <c r="F20" i="137"/>
  <c r="F17" i="137"/>
  <c r="F22" i="137"/>
  <c r="G361" i="6"/>
  <c r="Y396" i="6"/>
  <c r="W395" i="6"/>
  <c r="L33" i="14"/>
  <c r="J33" i="14"/>
  <c r="K33" i="14" s="1"/>
  <c r="E363" i="6"/>
  <c r="K32" i="14"/>
  <c r="G18" i="654" l="1"/>
  <c r="N13" i="654"/>
  <c r="M13" i="654" s="1"/>
  <c r="E13" i="654"/>
  <c r="I13" i="2"/>
  <c r="J200" i="6"/>
  <c r="E203" i="6"/>
  <c r="I203" i="6"/>
  <c r="I368" i="6" s="1"/>
  <c r="O1090" i="3"/>
  <c r="O1089" i="3"/>
  <c r="F787" i="3"/>
  <c r="F782" i="3"/>
  <c r="F792" i="3"/>
  <c r="F783" i="3"/>
  <c r="F793" i="3"/>
  <c r="F788" i="3"/>
  <c r="N783" i="3"/>
  <c r="N803" i="3" s="1"/>
  <c r="N334" i="6"/>
  <c r="M783" i="3"/>
  <c r="M803" i="3" s="1"/>
  <c r="H783" i="3"/>
  <c r="H803" i="3" s="1"/>
  <c r="N343" i="6"/>
  <c r="M793" i="3"/>
  <c r="H793" i="3"/>
  <c r="M788" i="3"/>
  <c r="I783" i="3"/>
  <c r="I803" i="3" s="1"/>
  <c r="H788" i="3"/>
  <c r="E793" i="3"/>
  <c r="E783" i="3"/>
  <c r="F46" i="50"/>
  <c r="N793" i="3"/>
  <c r="I793" i="3"/>
  <c r="E788" i="3"/>
  <c r="I788" i="3"/>
  <c r="N788" i="3"/>
  <c r="N368" i="3"/>
  <c r="N365" i="3"/>
  <c r="M1226" i="3"/>
  <c r="E939" i="6"/>
  <c r="G1241" i="3"/>
  <c r="G71" i="5" s="1"/>
  <c r="G72" i="5" s="1"/>
  <c r="G75" i="5" s="1"/>
  <c r="N1130" i="3"/>
  <c r="N1217" i="3" s="1"/>
  <c r="N1129" i="3"/>
  <c r="N1216" i="3" s="1"/>
  <c r="N1246" i="3" s="1"/>
  <c r="N1131" i="3"/>
  <c r="N1218" i="3" s="1"/>
  <c r="U368" i="6"/>
  <c r="N787" i="3"/>
  <c r="W370" i="6"/>
  <c r="N635" i="3"/>
  <c r="N20" i="5" s="1"/>
  <c r="W372" i="6"/>
  <c r="N372" i="3"/>
  <c r="N366" i="3"/>
  <c r="N13" i="5" s="1"/>
  <c r="N363" i="3"/>
  <c r="N371" i="3"/>
  <c r="N636" i="3"/>
  <c r="N21" i="5" s="1"/>
  <c r="N370" i="3"/>
  <c r="M343" i="6"/>
  <c r="M334" i="6"/>
  <c r="H792" i="3"/>
  <c r="M792" i="3"/>
  <c r="H787" i="3"/>
  <c r="E787" i="3"/>
  <c r="I787" i="3"/>
  <c r="N782" i="3"/>
  <c r="M787" i="3"/>
  <c r="I782" i="3"/>
  <c r="E782" i="3"/>
  <c r="I792" i="3"/>
  <c r="N792" i="3"/>
  <c r="E792" i="3"/>
  <c r="H782" i="3"/>
  <c r="M782" i="3"/>
  <c r="N364" i="3"/>
  <c r="N12" i="5" s="1"/>
  <c r="N1215" i="3"/>
  <c r="N1245" i="3" s="1"/>
  <c r="N1092" i="3"/>
  <c r="N52" i="5" s="1"/>
  <c r="N58" i="5" s="1"/>
  <c r="O788" i="3"/>
  <c r="O207" i="3"/>
  <c r="O326" i="3"/>
  <c r="O323" i="3"/>
  <c r="O783" i="3" s="1"/>
  <c r="O803" i="3" s="1"/>
  <c r="O324" i="3"/>
  <c r="O329" i="3"/>
  <c r="O331" i="3"/>
  <c r="O202" i="3"/>
  <c r="O327" i="3"/>
  <c r="O368" i="3" s="1"/>
  <c r="O512" i="3" s="1"/>
  <c r="O793" i="3"/>
  <c r="O1088" i="3"/>
  <c r="O1128" i="3" s="1"/>
  <c r="O206" i="3"/>
  <c r="O205" i="3"/>
  <c r="O787" i="3" s="1"/>
  <c r="O325" i="3"/>
  <c r="O365" i="3" s="1"/>
  <c r="O1091" i="3"/>
  <c r="O330" i="3"/>
  <c r="O201" i="3"/>
  <c r="O792" i="3"/>
  <c r="O782" i="3"/>
  <c r="N13" i="2"/>
  <c r="I361" i="6"/>
  <c r="J361" i="6" s="1"/>
  <c r="Y397" i="6"/>
  <c r="W396" i="6"/>
  <c r="G18" i="2"/>
  <c r="J34" i="14"/>
  <c r="K34" i="14" s="1"/>
  <c r="L34" i="14"/>
  <c r="J363" i="6"/>
  <c r="G512" i="6"/>
  <c r="E368" i="6"/>
  <c r="J203" i="6" l="1"/>
  <c r="N11" i="5"/>
  <c r="N16" i="5" s="1"/>
  <c r="N22" i="5"/>
  <c r="F803" i="3"/>
  <c r="F789" i="3"/>
  <c r="F794" i="3"/>
  <c r="F784" i="3"/>
  <c r="F802" i="3"/>
  <c r="E794" i="3"/>
  <c r="O363" i="3"/>
  <c r="O11" i="5" s="1"/>
  <c r="O366" i="3"/>
  <c r="O13" i="5" s="1"/>
  <c r="M789" i="3"/>
  <c r="N789" i="3"/>
  <c r="I794" i="3"/>
  <c r="E784" i="3"/>
  <c r="M794" i="3"/>
  <c r="N794" i="3"/>
  <c r="I789" i="3"/>
  <c r="E789" i="3"/>
  <c r="O636" i="3"/>
  <c r="O21" i="5" s="1"/>
  <c r="H789" i="3"/>
  <c r="H794" i="3"/>
  <c r="N1247" i="3"/>
  <c r="N512" i="3"/>
  <c r="E1243" i="6"/>
  <c r="G1248" i="3"/>
  <c r="G1251" i="3"/>
  <c r="O1131" i="3"/>
  <c r="O1218" i="3" s="1"/>
  <c r="O1129" i="3"/>
  <c r="O1216" i="3" s="1"/>
  <c r="O1246" i="3" s="1"/>
  <c r="O1130" i="3"/>
  <c r="O1217" i="3" s="1"/>
  <c r="O1247" i="3" s="1"/>
  <c r="N1134" i="3"/>
  <c r="N1221" i="3" s="1"/>
  <c r="N639" i="3"/>
  <c r="O789" i="3"/>
  <c r="J324" i="3"/>
  <c r="J387" i="3"/>
  <c r="J427" i="3"/>
  <c r="J467" i="3"/>
  <c r="J502" i="3"/>
  <c r="J538" i="3"/>
  <c r="J578" i="3"/>
  <c r="J649" i="3"/>
  <c r="J29" i="5" s="1"/>
  <c r="J691" i="3"/>
  <c r="J731" i="3"/>
  <c r="J774" i="3"/>
  <c r="J848" i="3"/>
  <c r="J880" i="3"/>
  <c r="J326" i="3"/>
  <c r="J417" i="3"/>
  <c r="J457" i="3"/>
  <c r="J497" i="3"/>
  <c r="J528" i="3"/>
  <c r="J568" i="3"/>
  <c r="J608" i="3"/>
  <c r="J681" i="3"/>
  <c r="J721" i="3"/>
  <c r="J764" i="3"/>
  <c r="J817" i="3"/>
  <c r="J856" i="3"/>
  <c r="J904" i="3"/>
  <c r="J913" i="3" s="1"/>
  <c r="J37" i="5" s="1"/>
  <c r="J205" i="3"/>
  <c r="J323" i="3"/>
  <c r="J327" i="3"/>
  <c r="J382" i="3"/>
  <c r="J402" i="3"/>
  <c r="J422" i="3"/>
  <c r="J442" i="3"/>
  <c r="J462" i="3"/>
  <c r="J482" i="3"/>
  <c r="J501" i="3"/>
  <c r="J506" i="3"/>
  <c r="J533" i="3"/>
  <c r="J553" i="3"/>
  <c r="J573" i="3"/>
  <c r="J593" i="3"/>
  <c r="J613" i="3"/>
  <c r="J666" i="3"/>
  <c r="J686" i="3"/>
  <c r="J706" i="3"/>
  <c r="J726" i="3"/>
  <c r="J746" i="3"/>
  <c r="J759" i="3"/>
  <c r="J779" i="3"/>
  <c r="J803" i="3"/>
  <c r="J822" i="3"/>
  <c r="J844" i="3"/>
  <c r="J860" i="3"/>
  <c r="J201" i="3"/>
  <c r="J329" i="3"/>
  <c r="J407" i="3"/>
  <c r="J447" i="3"/>
  <c r="J487" i="3"/>
  <c r="J507" i="3"/>
  <c r="J558" i="3"/>
  <c r="J598" i="3"/>
  <c r="J671" i="3"/>
  <c r="J711" i="3"/>
  <c r="J749" i="3"/>
  <c r="J827" i="3"/>
  <c r="J864" i="3"/>
  <c r="J921" i="3"/>
  <c r="J38" i="5" s="1"/>
  <c r="J206" i="3"/>
  <c r="J331" i="3"/>
  <c r="J397" i="3"/>
  <c r="J437" i="3"/>
  <c r="J477" i="3"/>
  <c r="J505" i="3"/>
  <c r="J548" i="3"/>
  <c r="J588" i="3"/>
  <c r="J661" i="3"/>
  <c r="J701" i="3"/>
  <c r="J741" i="3"/>
  <c r="J784" i="3"/>
  <c r="J831" i="3"/>
  <c r="J872" i="3"/>
  <c r="J1088" i="3"/>
  <c r="J202" i="3"/>
  <c r="J207" i="3"/>
  <c r="J325" i="3"/>
  <c r="J330" i="3"/>
  <c r="J392" i="3"/>
  <c r="J412" i="3"/>
  <c r="J432" i="3"/>
  <c r="J452" i="3"/>
  <c r="J472" i="3"/>
  <c r="J492" i="3"/>
  <c r="J503" i="3"/>
  <c r="J523" i="3"/>
  <c r="J543" i="3"/>
  <c r="J563" i="3"/>
  <c r="J583" i="3"/>
  <c r="J603" i="3"/>
  <c r="J656" i="3"/>
  <c r="J676" i="3"/>
  <c r="J696" i="3"/>
  <c r="J716" i="3"/>
  <c r="J736" i="3"/>
  <c r="J750" i="3"/>
  <c r="J769" i="3"/>
  <c r="J799" i="3"/>
  <c r="J812" i="3"/>
  <c r="J830" i="3"/>
  <c r="J852" i="3"/>
  <c r="J868" i="3"/>
  <c r="J884" i="3"/>
  <c r="O635" i="3"/>
  <c r="O20" i="5" s="1"/>
  <c r="O372" i="3"/>
  <c r="O370" i="3"/>
  <c r="O364" i="3"/>
  <c r="O12" i="5" s="1"/>
  <c r="O794" i="3"/>
  <c r="O371" i="3"/>
  <c r="M784" i="3"/>
  <c r="M802" i="3"/>
  <c r="H784" i="3"/>
  <c r="H802" i="3"/>
  <c r="I802" i="3"/>
  <c r="I784" i="3"/>
  <c r="N784" i="3"/>
  <c r="N802" i="3"/>
  <c r="O784" i="3"/>
  <c r="O802" i="3"/>
  <c r="O1092" i="3"/>
  <c r="O52" i="5" s="1"/>
  <c r="O58" i="5" s="1"/>
  <c r="O1215" i="3"/>
  <c r="O1245" i="3" s="1"/>
  <c r="P1085" i="3"/>
  <c r="M13" i="2"/>
  <c r="Y398" i="6"/>
  <c r="Y399" i="6" s="1"/>
  <c r="Y400" i="6" s="1"/>
  <c r="W397" i="6"/>
  <c r="E13" i="2"/>
  <c r="J368" i="6"/>
  <c r="L35" i="14"/>
  <c r="J35" i="14"/>
  <c r="K35" i="14" s="1"/>
  <c r="O22" i="5" l="1"/>
  <c r="O16" i="5"/>
  <c r="J14" i="5"/>
  <c r="J15" i="5"/>
  <c r="P1089" i="3"/>
  <c r="P1090" i="3"/>
  <c r="F805" i="3"/>
  <c r="F892" i="3" s="1"/>
  <c r="M805" i="3"/>
  <c r="M31" i="5" s="1"/>
  <c r="I805" i="3"/>
  <c r="I31" i="5" s="1"/>
  <c r="I34" i="5" s="1"/>
  <c r="N805" i="3"/>
  <c r="N31" i="5" s="1"/>
  <c r="S666" i="3"/>
  <c r="H805" i="3"/>
  <c r="H31" i="5" s="1"/>
  <c r="H34" i="5" s="1"/>
  <c r="J1091" i="3"/>
  <c r="J1128" i="3"/>
  <c r="J1215" i="3" s="1"/>
  <c r="J363" i="3"/>
  <c r="N1226" i="3"/>
  <c r="E1253" i="6"/>
  <c r="J365" i="3"/>
  <c r="J368" i="3"/>
  <c r="O1134" i="3"/>
  <c r="O1221" i="3" s="1"/>
  <c r="J1129" i="3"/>
  <c r="J1130" i="3"/>
  <c r="S1129" i="3"/>
  <c r="S1216" i="3" s="1"/>
  <c r="S1246" i="3" s="1"/>
  <c r="S1088" i="3"/>
  <c r="S505" i="3"/>
  <c r="S558" i="3"/>
  <c r="S676" i="3"/>
  <c r="S921" i="3"/>
  <c r="S38" i="5" s="1"/>
  <c r="S407" i="3"/>
  <c r="S749" i="3"/>
  <c r="S492" i="3"/>
  <c r="S201" i="3"/>
  <c r="S701" i="3"/>
  <c r="S482" i="3"/>
  <c r="S830" i="3"/>
  <c r="S822" i="3"/>
  <c r="S503" i="3"/>
  <c r="S324" i="3"/>
  <c r="S844" i="3"/>
  <c r="S206" i="3"/>
  <c r="S507" i="3"/>
  <c r="S711" i="3"/>
  <c r="S880" i="3"/>
  <c r="T880" i="3" s="1"/>
  <c r="S452" i="3"/>
  <c r="S603" i="3"/>
  <c r="S799" i="3"/>
  <c r="S207" i="3"/>
  <c r="S477" i="3"/>
  <c r="S661" i="3"/>
  <c r="S856" i="3"/>
  <c r="T856" i="3" s="1"/>
  <c r="S442" i="3"/>
  <c r="S593" i="3"/>
  <c r="S779" i="3"/>
  <c r="S578" i="3"/>
  <c r="S325" i="3"/>
  <c r="S365" i="3" s="1"/>
  <c r="S852" i="3"/>
  <c r="S528" i="3"/>
  <c r="S721" i="3"/>
  <c r="S501" i="3"/>
  <c r="S387" i="3"/>
  <c r="S502" i="3"/>
  <c r="S691" i="3"/>
  <c r="S432" i="3"/>
  <c r="S583" i="3"/>
  <c r="S769" i="3"/>
  <c r="S202" i="3"/>
  <c r="S457" i="3"/>
  <c r="S608" i="3"/>
  <c r="S827" i="3"/>
  <c r="S422" i="3"/>
  <c r="S573" i="3"/>
  <c r="S759" i="3"/>
  <c r="W573" i="3"/>
  <c r="J364" i="3"/>
  <c r="J12" i="5" s="1"/>
  <c r="S329" i="3"/>
  <c r="S538" i="3"/>
  <c r="S731" i="3"/>
  <c r="S904" i="3"/>
  <c r="S913" i="3" s="1"/>
  <c r="S37" i="5" s="1"/>
  <c r="S472" i="3"/>
  <c r="S656" i="3"/>
  <c r="S812" i="3"/>
  <c r="S326" i="3"/>
  <c r="S497" i="3"/>
  <c r="S681" i="3"/>
  <c r="S872" i="3"/>
  <c r="T872" i="3" s="1"/>
  <c r="S462" i="3"/>
  <c r="S613" i="3"/>
  <c r="S803" i="3"/>
  <c r="S427" i="3"/>
  <c r="S774" i="3"/>
  <c r="S696" i="3"/>
  <c r="S686" i="3"/>
  <c r="S205" i="3"/>
  <c r="S598" i="3"/>
  <c r="S330" i="3"/>
  <c r="S523" i="3"/>
  <c r="S868" i="3"/>
  <c r="T868" i="3" s="1"/>
  <c r="S397" i="3"/>
  <c r="S741" i="3"/>
  <c r="S327" i="3"/>
  <c r="S368" i="3" s="1"/>
  <c r="S706" i="3"/>
  <c r="S860" i="3"/>
  <c r="T860" i="3" s="1"/>
  <c r="S323" i="3"/>
  <c r="S363" i="3" s="1"/>
  <c r="S467" i="3"/>
  <c r="S649" i="3"/>
  <c r="S29" i="5" s="1"/>
  <c r="S831" i="3"/>
  <c r="S392" i="3"/>
  <c r="S543" i="3"/>
  <c r="S736" i="3"/>
  <c r="S884" i="3"/>
  <c r="T884" i="3" s="1"/>
  <c r="S417" i="3"/>
  <c r="S568" i="3"/>
  <c r="S764" i="3"/>
  <c r="S382" i="3"/>
  <c r="S533" i="3"/>
  <c r="S726" i="3"/>
  <c r="S876" i="3"/>
  <c r="S447" i="3"/>
  <c r="S817" i="3"/>
  <c r="S716" i="3"/>
  <c r="S548" i="3"/>
  <c r="S506" i="3"/>
  <c r="W442" i="3"/>
  <c r="S331" i="3"/>
  <c r="S487" i="3"/>
  <c r="S671" i="3"/>
  <c r="S848" i="3"/>
  <c r="T848" i="3" s="1"/>
  <c r="S412" i="3"/>
  <c r="S563" i="3"/>
  <c r="S750" i="3"/>
  <c r="S1091" i="3"/>
  <c r="S437" i="3"/>
  <c r="S588" i="3"/>
  <c r="S784" i="3"/>
  <c r="S402" i="3"/>
  <c r="S553" i="3"/>
  <c r="S746" i="3"/>
  <c r="J1229" i="3"/>
  <c r="W492" i="3"/>
  <c r="W457" i="3"/>
  <c r="W382" i="3"/>
  <c r="W603" i="3"/>
  <c r="W482" i="3"/>
  <c r="J371" i="3"/>
  <c r="W593" i="3"/>
  <c r="W827" i="3"/>
  <c r="W533" i="3"/>
  <c r="W666" i="3"/>
  <c r="W507" i="3"/>
  <c r="W749" i="3"/>
  <c r="W583" i="3"/>
  <c r="W736" i="3"/>
  <c r="W726" i="3"/>
  <c r="W706" i="3"/>
  <c r="W750" i="3"/>
  <c r="W528" i="3"/>
  <c r="W543" i="3"/>
  <c r="W746" i="3"/>
  <c r="W817" i="3"/>
  <c r="W696" i="3"/>
  <c r="W779" i="3"/>
  <c r="W497" i="3"/>
  <c r="W412" i="3"/>
  <c r="W563" i="3"/>
  <c r="W523" i="3"/>
  <c r="W676" i="3"/>
  <c r="W716" i="3"/>
  <c r="W769" i="3"/>
  <c r="W731" i="3"/>
  <c r="W422" i="3"/>
  <c r="W741" i="3"/>
  <c r="W427" i="3"/>
  <c r="W681" i="3"/>
  <c r="W721" i="3"/>
  <c r="W392" i="3"/>
  <c r="J833" i="3"/>
  <c r="J32" i="5" s="1"/>
  <c r="J366" i="3"/>
  <c r="J13" i="5" s="1"/>
  <c r="W578" i="3"/>
  <c r="W437" i="3"/>
  <c r="W417" i="3"/>
  <c r="W538" i="3"/>
  <c r="W505" i="3"/>
  <c r="W558" i="3"/>
  <c r="W661" i="3"/>
  <c r="W397" i="3"/>
  <c r="W487" i="3"/>
  <c r="W774" i="3"/>
  <c r="W503" i="3"/>
  <c r="W387" i="3"/>
  <c r="W764" i="3"/>
  <c r="W613" i="3"/>
  <c r="W553" i="3"/>
  <c r="W447" i="3"/>
  <c r="W598" i="3"/>
  <c r="W462" i="3"/>
  <c r="W691" i="3"/>
  <c r="W548" i="3"/>
  <c r="W452" i="3"/>
  <c r="W656" i="3"/>
  <c r="W711" i="3"/>
  <c r="W701" i="3"/>
  <c r="W506" i="3"/>
  <c r="W759" i="3"/>
  <c r="W568" i="3"/>
  <c r="W799" i="3"/>
  <c r="W477" i="3"/>
  <c r="W432" i="3"/>
  <c r="W608" i="3"/>
  <c r="W467" i="3"/>
  <c r="W686" i="3"/>
  <c r="J372" i="3"/>
  <c r="J752" i="3"/>
  <c r="J30" i="5" s="1"/>
  <c r="J805" i="3"/>
  <c r="J31" i="5" s="1"/>
  <c r="J509" i="3"/>
  <c r="J635" i="3"/>
  <c r="J20" i="5" s="1"/>
  <c r="J370" i="3"/>
  <c r="J636" i="3"/>
  <c r="J21" i="5" s="1"/>
  <c r="O639" i="3"/>
  <c r="O1226" i="3" s="1"/>
  <c r="O805" i="3"/>
  <c r="O31" i="5" s="1"/>
  <c r="Q1085" i="3"/>
  <c r="P327" i="3"/>
  <c r="P782" i="3"/>
  <c r="P331" i="3"/>
  <c r="P325" i="3"/>
  <c r="P365" i="3" s="1"/>
  <c r="P207" i="3"/>
  <c r="P323" i="3"/>
  <c r="P783" i="3" s="1"/>
  <c r="P326" i="3"/>
  <c r="P793" i="3"/>
  <c r="P792" i="3"/>
  <c r="P330" i="3"/>
  <c r="P206" i="3"/>
  <c r="P329" i="3"/>
  <c r="P205" i="3"/>
  <c r="P787" i="3" s="1"/>
  <c r="P201" i="3"/>
  <c r="P1088" i="3"/>
  <c r="P1128" i="3" s="1"/>
  <c r="P788" i="3"/>
  <c r="P202" i="3"/>
  <c r="P324" i="3"/>
  <c r="P1091" i="3"/>
  <c r="N21" i="6"/>
  <c r="T16" i="6"/>
  <c r="N200" i="6"/>
  <c r="Y401" i="6"/>
  <c r="W400" i="6"/>
  <c r="E14" i="582"/>
  <c r="F43" i="1"/>
  <c r="J36" i="14"/>
  <c r="K36" i="14" s="1"/>
  <c r="L36" i="14"/>
  <c r="H37" i="49" l="1"/>
  <c r="H22" i="49"/>
  <c r="S11" i="5"/>
  <c r="S15" i="5"/>
  <c r="S14" i="5"/>
  <c r="J1131" i="3"/>
  <c r="J1218" i="3" s="1"/>
  <c r="P803" i="3"/>
  <c r="F923" i="3"/>
  <c r="F933" i="3" s="1"/>
  <c r="F936" i="3" s="1"/>
  <c r="F939" i="3" s="1"/>
  <c r="J22" i="5"/>
  <c r="J11" i="5"/>
  <c r="J16" i="5" s="1"/>
  <c r="Q1089" i="3"/>
  <c r="Q1090" i="3"/>
  <c r="F1227" i="3"/>
  <c r="H892" i="3"/>
  <c r="H1227" i="3" s="1"/>
  <c r="W502" i="3"/>
  <c r="S1229" i="3"/>
  <c r="T1229" i="3" s="1"/>
  <c r="F31" i="5"/>
  <c r="F34" i="5" s="1"/>
  <c r="J1092" i="3"/>
  <c r="J52" i="5" s="1"/>
  <c r="J58" i="5" s="1"/>
  <c r="J512" i="3"/>
  <c r="I892" i="3"/>
  <c r="I923" i="3" s="1"/>
  <c r="I39" i="5" s="1"/>
  <c r="I40" i="5" s="1"/>
  <c r="I43" i="5" s="1"/>
  <c r="I46" i="5" s="1"/>
  <c r="J1245" i="3"/>
  <c r="W671" i="3"/>
  <c r="W501" i="3"/>
  <c r="W407" i="3"/>
  <c r="J1217" i="3"/>
  <c r="W812" i="3"/>
  <c r="W921" i="3"/>
  <c r="W649" i="3"/>
  <c r="W402" i="3"/>
  <c r="W472" i="3"/>
  <c r="W588" i="3"/>
  <c r="J1216" i="3"/>
  <c r="P1131" i="3"/>
  <c r="P1218" i="3" s="1"/>
  <c r="P1129" i="3"/>
  <c r="P1216" i="3" s="1"/>
  <c r="P1246" i="3" s="1"/>
  <c r="P1130" i="3"/>
  <c r="P1217" i="3" s="1"/>
  <c r="P1247" i="3" s="1"/>
  <c r="S1128" i="3"/>
  <c r="S1215" i="3" s="1"/>
  <c r="S1245" i="3" s="1"/>
  <c r="S1131" i="3"/>
  <c r="S1130" i="3"/>
  <c r="S1217" i="3" s="1"/>
  <c r="S1247" i="3" s="1"/>
  <c r="N203" i="6"/>
  <c r="S635" i="3"/>
  <c r="S20" i="5" s="1"/>
  <c r="S372" i="3"/>
  <c r="S509" i="3"/>
  <c r="S512" i="3" s="1"/>
  <c r="S833" i="3"/>
  <c r="S32" i="5" s="1"/>
  <c r="S370" i="3"/>
  <c r="S636" i="3"/>
  <c r="S21" i="5" s="1"/>
  <c r="S805" i="3"/>
  <c r="S31" i="5" s="1"/>
  <c r="P366" i="3"/>
  <c r="P13" i="5" s="1"/>
  <c r="S364" i="3"/>
  <c r="S12" i="5" s="1"/>
  <c r="S752" i="3"/>
  <c r="S30" i="5" s="1"/>
  <c r="P372" i="3"/>
  <c r="S1092" i="3"/>
  <c r="P363" i="3"/>
  <c r="P11" i="5" s="1"/>
  <c r="S366" i="3"/>
  <c r="S13" i="5" s="1"/>
  <c r="S371" i="3"/>
  <c r="J639" i="3"/>
  <c r="P371" i="3"/>
  <c r="P636" i="3"/>
  <c r="P21" i="5" s="1"/>
  <c r="P364" i="3"/>
  <c r="P12" i="5" s="1"/>
  <c r="P370" i="3"/>
  <c r="P794" i="3"/>
  <c r="P789" i="3"/>
  <c r="P635" i="3"/>
  <c r="P20" i="5" s="1"/>
  <c r="P802" i="3"/>
  <c r="P784" i="3"/>
  <c r="Q327" i="3"/>
  <c r="W327" i="3" s="1"/>
  <c r="Q324" i="3"/>
  <c r="W324" i="3" s="1"/>
  <c r="Q207" i="3"/>
  <c r="W207" i="3" s="1"/>
  <c r="Q323" i="3"/>
  <c r="Q783" i="3" s="1"/>
  <c r="Q803" i="3" s="1"/>
  <c r="Q206" i="3"/>
  <c r="W206" i="3" s="1"/>
  <c r="Q331" i="3"/>
  <c r="W331" i="3" s="1"/>
  <c r="Q1088" i="3"/>
  <c r="Q1128" i="3" s="1"/>
  <c r="Q326" i="3"/>
  <c r="W326" i="3" s="1"/>
  <c r="Q205" i="3"/>
  <c r="Q787" i="3" s="1"/>
  <c r="Q793" i="3"/>
  <c r="Q792" i="3"/>
  <c r="Q782" i="3"/>
  <c r="Q202" i="3"/>
  <c r="W202" i="3" s="1"/>
  <c r="Q325" i="3"/>
  <c r="Q365" i="3" s="1"/>
  <c r="W365" i="3" s="1"/>
  <c r="Q330" i="3"/>
  <c r="W330" i="3" s="1"/>
  <c r="Q201" i="3"/>
  <c r="W201" i="3" s="1"/>
  <c r="Q1091" i="3"/>
  <c r="Q329" i="3"/>
  <c r="W329" i="3" s="1"/>
  <c r="Q788" i="3"/>
  <c r="P1092" i="3"/>
  <c r="P52" i="5" s="1"/>
  <c r="P58" i="5" s="1"/>
  <c r="P1215" i="3"/>
  <c r="P1245" i="3" s="1"/>
  <c r="G6" i="52"/>
  <c r="G8" i="52" s="1"/>
  <c r="F9" i="3"/>
  <c r="F6" i="5" s="1"/>
  <c r="T21" i="6"/>
  <c r="T203" i="6" s="1"/>
  <c r="T200" i="6"/>
  <c r="O16" i="6"/>
  <c r="Y402" i="6"/>
  <c r="W401" i="6"/>
  <c r="B4" i="1"/>
  <c r="B43" i="1"/>
  <c r="Q852" i="3"/>
  <c r="T852" i="3" s="1"/>
  <c r="L37" i="14"/>
  <c r="J37" i="14"/>
  <c r="V868" i="3"/>
  <c r="V880" i="3"/>
  <c r="V884" i="3"/>
  <c r="V848" i="3"/>
  <c r="V856" i="3"/>
  <c r="V872" i="3"/>
  <c r="V860" i="3"/>
  <c r="H60" i="49" l="1"/>
  <c r="N56" i="52" s="1"/>
  <c r="H32" i="49"/>
  <c r="E9" i="49" s="1"/>
  <c r="H58" i="49"/>
  <c r="H49" i="49"/>
  <c r="H42" i="49"/>
  <c r="H31" i="49"/>
  <c r="H25" i="49"/>
  <c r="H57" i="49"/>
  <c r="H41" i="49"/>
  <c r="H59" i="49"/>
  <c r="H51" i="49"/>
  <c r="H44" i="49"/>
  <c r="H40" i="49"/>
  <c r="H50" i="49"/>
  <c r="H43" i="49"/>
  <c r="A4" i="650"/>
  <c r="S16" i="5"/>
  <c r="S22" i="5"/>
  <c r="R58" i="5"/>
  <c r="S52" i="5"/>
  <c r="S58" i="5" s="1"/>
  <c r="R22" i="5"/>
  <c r="R16" i="5"/>
  <c r="P22" i="5"/>
  <c r="P16" i="5"/>
  <c r="F1230" i="3"/>
  <c r="F1234" i="3" s="1"/>
  <c r="F1236" i="3" s="1"/>
  <c r="F1241" i="3" s="1"/>
  <c r="F71" i="5" s="1"/>
  <c r="H923" i="3"/>
  <c r="H39" i="5" s="1"/>
  <c r="H40" i="5" s="1"/>
  <c r="H43" i="5" s="1"/>
  <c r="H46" i="5" s="1"/>
  <c r="J1134" i="3"/>
  <c r="J1221" i="3" s="1"/>
  <c r="Q368" i="3"/>
  <c r="Q512" i="3" s="1"/>
  <c r="I1227" i="3"/>
  <c r="F39" i="5"/>
  <c r="F40" i="5" s="1"/>
  <c r="F43" i="5" s="1"/>
  <c r="F46" i="5" s="1"/>
  <c r="W752" i="3"/>
  <c r="W323" i="3"/>
  <c r="J1226" i="3"/>
  <c r="W509" i="3"/>
  <c r="W205" i="3"/>
  <c r="J1246" i="3"/>
  <c r="W325" i="3"/>
  <c r="J1247" i="3"/>
  <c r="P1134" i="3"/>
  <c r="P1221" i="3" s="1"/>
  <c r="Q1131" i="3"/>
  <c r="Q1218" i="3" s="1"/>
  <c r="Q1129" i="3"/>
  <c r="Q1216" i="3" s="1"/>
  <c r="Q1246" i="3" s="1"/>
  <c r="Q1130" i="3"/>
  <c r="Q1217" i="3" s="1"/>
  <c r="Q1247" i="3" s="1"/>
  <c r="S1134" i="3"/>
  <c r="S639" i="3"/>
  <c r="S1226" i="3" s="1"/>
  <c r="Q370" i="3"/>
  <c r="W370" i="3" s="1"/>
  <c r="Q372" i="3"/>
  <c r="W372" i="3" s="1"/>
  <c r="Q635" i="3"/>
  <c r="Q20" i="5" s="1"/>
  <c r="Q363" i="3"/>
  <c r="Q11" i="5" s="1"/>
  <c r="Q366" i="3"/>
  <c r="Q13" i="5" s="1"/>
  <c r="Q371" i="3"/>
  <c r="W371" i="3" s="1"/>
  <c r="P805" i="3"/>
  <c r="P31" i="5" s="1"/>
  <c r="Q364" i="3"/>
  <c r="Q12" i="5" s="1"/>
  <c r="Q794" i="3"/>
  <c r="Q789" i="3"/>
  <c r="I933" i="3"/>
  <c r="I936" i="3" s="1"/>
  <c r="I939" i="3" s="1"/>
  <c r="I1230" i="3"/>
  <c r="Q1215" i="3"/>
  <c r="Q1245" i="3" s="1"/>
  <c r="Q1092" i="3"/>
  <c r="Q52" i="5" s="1"/>
  <c r="Q58" i="5" s="1"/>
  <c r="Q802" i="3"/>
  <c r="Q784" i="3"/>
  <c r="Q636" i="3"/>
  <c r="Q21" i="5" s="1"/>
  <c r="P639" i="3"/>
  <c r="P1226" i="3" s="1"/>
  <c r="M21" i="6"/>
  <c r="M203" i="6" s="1"/>
  <c r="M200" i="6"/>
  <c r="Q16" i="6"/>
  <c r="Y403" i="6"/>
  <c r="Y404" i="6" s="1"/>
  <c r="Y405" i="6" s="1"/>
  <c r="W402" i="6"/>
  <c r="G866" i="6"/>
  <c r="E866" i="6" s="1"/>
  <c r="G896" i="6"/>
  <c r="W884" i="3" s="1"/>
  <c r="W868" i="3"/>
  <c r="G876" i="6"/>
  <c r="G861" i="6"/>
  <c r="E861" i="6" s="1"/>
  <c r="T900" i="3"/>
  <c r="V900" i="3" s="1"/>
  <c r="K37" i="14"/>
  <c r="A5" i="15"/>
  <c r="A4" i="20"/>
  <c r="A5" i="50"/>
  <c r="B3" i="12"/>
  <c r="J4" i="20"/>
  <c r="W872" i="3"/>
  <c r="G881" i="6"/>
  <c r="E881" i="6" s="1"/>
  <c r="G851" i="6"/>
  <c r="E851" i="6" s="1"/>
  <c r="G891" i="6"/>
  <c r="E891" i="6" s="1"/>
  <c r="J38" i="14"/>
  <c r="K38" i="14" s="1"/>
  <c r="L38" i="14"/>
  <c r="D5" i="49"/>
  <c r="N36" i="52"/>
  <c r="L79" i="2" l="1"/>
  <c r="L79" i="654"/>
  <c r="Q22" i="5"/>
  <c r="Q16" i="5"/>
  <c r="N46" i="52"/>
  <c r="E8" i="49"/>
  <c r="N39" i="52"/>
  <c r="N48" i="52"/>
  <c r="N47" i="52"/>
  <c r="N57" i="52"/>
  <c r="N41" i="52"/>
  <c r="N55" i="52"/>
  <c r="N40" i="52"/>
  <c r="N54" i="52"/>
  <c r="D8" i="49"/>
  <c r="N38" i="52"/>
  <c r="M12" i="52"/>
  <c r="H1230" i="3"/>
  <c r="H1234" i="3" s="1"/>
  <c r="H933" i="3"/>
  <c r="H936" i="3" s="1"/>
  <c r="W364" i="3"/>
  <c r="I1234" i="3"/>
  <c r="I1236" i="3" s="1"/>
  <c r="I1241" i="3" s="1"/>
  <c r="I71" i="5" s="1"/>
  <c r="I72" i="5" s="1"/>
  <c r="V1229" i="3"/>
  <c r="W1229" i="3" s="1"/>
  <c r="W363" i="3"/>
  <c r="W636" i="3"/>
  <c r="W635" i="3"/>
  <c r="W366" i="3"/>
  <c r="Q1134" i="3"/>
  <c r="Q1221" i="3" s="1"/>
  <c r="Q805" i="3"/>
  <c r="Q31" i="5" s="1"/>
  <c r="Q639" i="3"/>
  <c r="Q1226" i="3" s="1"/>
  <c r="T1226" i="3" s="1"/>
  <c r="Q21" i="6"/>
  <c r="Q200" i="6"/>
  <c r="W200" i="6" s="1"/>
  <c r="W16" i="6"/>
  <c r="Y406" i="6"/>
  <c r="W405" i="6"/>
  <c r="W880" i="3"/>
  <c r="W869" i="3"/>
  <c r="E876" i="6"/>
  <c r="L39" i="14"/>
  <c r="J39" i="14"/>
  <c r="K39" i="14" s="1"/>
  <c r="W848" i="3"/>
  <c r="W856" i="3"/>
  <c r="E896" i="6"/>
  <c r="W860" i="3"/>
  <c r="I1248" i="3" l="1"/>
  <c r="H1236" i="3"/>
  <c r="H939" i="3"/>
  <c r="W639" i="3"/>
  <c r="W21" i="6"/>
  <c r="Q203" i="6"/>
  <c r="W203" i="6" s="1"/>
  <c r="H8" i="49"/>
  <c r="Y407" i="6"/>
  <c r="W406" i="6"/>
  <c r="J40" i="14"/>
  <c r="K40" i="14" s="1"/>
  <c r="L40" i="14"/>
  <c r="G913" i="6"/>
  <c r="V1226" i="3" l="1"/>
  <c r="W1226" i="3" s="1"/>
  <c r="H1241" i="3"/>
  <c r="H71" i="5" s="1"/>
  <c r="Y408" i="6"/>
  <c r="Y409" i="6" s="1"/>
  <c r="Y410" i="6" s="1"/>
  <c r="W407" i="6"/>
  <c r="E913" i="6"/>
  <c r="L41" i="14"/>
  <c r="J41" i="14"/>
  <c r="K41" i="14" s="1"/>
  <c r="W900" i="3"/>
  <c r="H1248" i="3" l="1"/>
  <c r="Y411" i="6"/>
  <c r="W410" i="6"/>
  <c r="J42" i="14"/>
  <c r="L42" i="14"/>
  <c r="Y412" i="6" l="1"/>
  <c r="W411" i="6"/>
  <c r="K42" i="14"/>
  <c r="L43" i="14"/>
  <c r="J43" i="14"/>
  <c r="K43" i="14" s="1"/>
  <c r="Y413" i="6" l="1"/>
  <c r="Y414" i="6" s="1"/>
  <c r="Y415" i="6" s="1"/>
  <c r="W412" i="6"/>
  <c r="J44" i="14"/>
  <c r="K44" i="14" s="1"/>
  <c r="L44" i="14"/>
  <c r="Y416" i="6" l="1"/>
  <c r="W415" i="6"/>
  <c r="L45" i="14"/>
  <c r="J45" i="14"/>
  <c r="K45" i="14" s="1"/>
  <c r="Y417" i="6" l="1"/>
  <c r="W416" i="6"/>
  <c r="J46" i="14"/>
  <c r="K46" i="14" s="1"/>
  <c r="L46" i="14"/>
  <c r="Y418" i="6" l="1"/>
  <c r="Y419" i="6" s="1"/>
  <c r="Y420" i="6" s="1"/>
  <c r="W417" i="6"/>
  <c r="L47" i="14"/>
  <c r="J47" i="14"/>
  <c r="Y421" i="6" l="1"/>
  <c r="W420" i="6"/>
  <c r="K47" i="14"/>
  <c r="J48" i="14"/>
  <c r="K48" i="14" s="1"/>
  <c r="L48" i="14"/>
  <c r="Y422" i="6" l="1"/>
  <c r="W421" i="6"/>
  <c r="L49" i="14"/>
  <c r="J49" i="14"/>
  <c r="K49" i="14" s="1"/>
  <c r="Y423" i="6" l="1"/>
  <c r="Y424" i="6" s="1"/>
  <c r="Y425" i="6" s="1"/>
  <c r="W422" i="6"/>
  <c r="J50" i="14"/>
  <c r="K50" i="14" s="1"/>
  <c r="L50" i="14"/>
  <c r="N348" i="6" l="1"/>
  <c r="T343" i="6"/>
  <c r="Q334" i="6"/>
  <c r="M353" i="6"/>
  <c r="M363" i="6" s="1"/>
  <c r="M339" i="6"/>
  <c r="N353" i="6"/>
  <c r="T334" i="6"/>
  <c r="N339" i="6"/>
  <c r="M348" i="6"/>
  <c r="Q343" i="6"/>
  <c r="Y426" i="6"/>
  <c r="W425" i="6"/>
  <c r="L51" i="14"/>
  <c r="J51" i="14"/>
  <c r="K51" i="14" s="1"/>
  <c r="Q37" i="20" l="1"/>
  <c r="N363" i="6"/>
  <c r="T348" i="6"/>
  <c r="N355" i="6"/>
  <c r="W343" i="6"/>
  <c r="Q348" i="6"/>
  <c r="T353" i="6"/>
  <c r="T363" i="6" s="1"/>
  <c r="T339" i="6"/>
  <c r="M355" i="6"/>
  <c r="M368" i="6" s="1"/>
  <c r="Q339" i="6"/>
  <c r="W334" i="6"/>
  <c r="Q353" i="6"/>
  <c r="Y427" i="6"/>
  <c r="W426" i="6"/>
  <c r="J52" i="14"/>
  <c r="L52" i="14"/>
  <c r="T355" i="6" l="1"/>
  <c r="T368" i="6" s="1"/>
  <c r="W348" i="6"/>
  <c r="N368" i="6"/>
  <c r="Q38" i="20"/>
  <c r="W353" i="6"/>
  <c r="Q363" i="6"/>
  <c r="W363" i="6" s="1"/>
  <c r="Q355" i="6"/>
  <c r="W339" i="6"/>
  <c r="Y428" i="6"/>
  <c r="Y429" i="6" s="1"/>
  <c r="Y430" i="6" s="1"/>
  <c r="W427" i="6"/>
  <c r="K52" i="14"/>
  <c r="L53" i="14"/>
  <c r="J53" i="14"/>
  <c r="K53" i="14" s="1"/>
  <c r="W355" i="6" l="1"/>
  <c r="Q368" i="6"/>
  <c r="Y431" i="6"/>
  <c r="W430" i="6"/>
  <c r="J54" i="14"/>
  <c r="K54" i="14" s="1"/>
  <c r="L54" i="14"/>
  <c r="W368" i="6" l="1"/>
  <c r="J13" i="654" s="1"/>
  <c r="Y432" i="6"/>
  <c r="W431" i="6"/>
  <c r="L55" i="14"/>
  <c r="J55" i="14"/>
  <c r="K55" i="14" s="1"/>
  <c r="Y13" i="654" l="1"/>
  <c r="Z13" i="654" s="1"/>
  <c r="O13" i="654"/>
  <c r="P13" i="654" s="1"/>
  <c r="J13" i="2"/>
  <c r="Y433" i="6"/>
  <c r="Y434" i="6" s="1"/>
  <c r="Y435" i="6" s="1"/>
  <c r="W432" i="6"/>
  <c r="J56" i="14"/>
  <c r="K56" i="14" s="1"/>
  <c r="L56" i="14"/>
  <c r="Y436" i="6" l="1"/>
  <c r="W435" i="6"/>
  <c r="L57" i="14"/>
  <c r="J57" i="14"/>
  <c r="Y437" i="6" l="1"/>
  <c r="W436" i="6"/>
  <c r="J58" i="14"/>
  <c r="K58" i="14" s="1"/>
  <c r="L58" i="14"/>
  <c r="K57" i="14"/>
  <c r="Y438" i="6" l="1"/>
  <c r="Y439" i="6" s="1"/>
  <c r="Y440" i="6" s="1"/>
  <c r="W437" i="6"/>
  <c r="L59" i="14"/>
  <c r="J59" i="14"/>
  <c r="K59" i="14" s="1"/>
  <c r="Y441" i="6" l="1"/>
  <c r="W440" i="6"/>
  <c r="J60" i="14"/>
  <c r="K60" i="14" s="1"/>
  <c r="L60" i="14"/>
  <c r="Y442" i="6" l="1"/>
  <c r="W441" i="6"/>
  <c r="L61" i="14"/>
  <c r="J61" i="14"/>
  <c r="K61" i="14" s="1"/>
  <c r="Y443" i="6" l="1"/>
  <c r="Y444" i="6" s="1"/>
  <c r="Y445" i="6" s="1"/>
  <c r="W442" i="6"/>
  <c r="J62" i="14"/>
  <c r="L62" i="14"/>
  <c r="Y446" i="6" l="1"/>
  <c r="W445" i="6"/>
  <c r="K62" i="14"/>
  <c r="L63" i="14"/>
  <c r="J63" i="14"/>
  <c r="K63" i="14" s="1"/>
  <c r="Y447" i="6" l="1"/>
  <c r="W446" i="6"/>
  <c r="J64" i="14"/>
  <c r="K64" i="14" s="1"/>
  <c r="L64" i="14"/>
  <c r="Y448" i="6" l="1"/>
  <c r="Y449" i="6" s="1"/>
  <c r="Y450" i="6" s="1"/>
  <c r="W447" i="6"/>
  <c r="L65" i="14"/>
  <c r="J65" i="14"/>
  <c r="K65" i="14" s="1"/>
  <c r="Y451" i="6" l="1"/>
  <c r="W450" i="6"/>
  <c r="J66" i="14"/>
  <c r="K66" i="14" s="1"/>
  <c r="L66" i="14"/>
  <c r="Y452" i="6" l="1"/>
  <c r="W451" i="6"/>
  <c r="L67" i="14"/>
  <c r="J67" i="14"/>
  <c r="Y453" i="6" l="1"/>
  <c r="Y454" i="6" s="1"/>
  <c r="Y455" i="6" s="1"/>
  <c r="W452" i="6"/>
  <c r="K67" i="14"/>
  <c r="J68" i="14"/>
  <c r="K68" i="14" s="1"/>
  <c r="L68" i="14"/>
  <c r="Y456" i="6" l="1"/>
  <c r="L69" i="14"/>
  <c r="J69" i="14"/>
  <c r="K69" i="14" s="1"/>
  <c r="Y457" i="6" l="1"/>
  <c r="J70" i="14"/>
  <c r="K70" i="14" s="1"/>
  <c r="L70" i="14"/>
  <c r="Y458" i="6" l="1"/>
  <c r="Y459" i="6" s="1"/>
  <c r="Y460" i="6" s="1"/>
  <c r="L71" i="14"/>
  <c r="J71" i="14"/>
  <c r="K71" i="14" s="1"/>
  <c r="Y461" i="6" l="1"/>
  <c r="W460" i="6"/>
  <c r="J72" i="14"/>
  <c r="L72" i="14"/>
  <c r="Y462" i="6" l="1"/>
  <c r="W461" i="6"/>
  <c r="L73" i="14"/>
  <c r="J73" i="14"/>
  <c r="K73" i="14" s="1"/>
  <c r="K72" i="14"/>
  <c r="Y463" i="6" l="1"/>
  <c r="Y464" i="6" s="1"/>
  <c r="Y465" i="6" s="1"/>
  <c r="W462" i="6"/>
  <c r="J74" i="14"/>
  <c r="K74" i="14" s="1"/>
  <c r="L74" i="14"/>
  <c r="Y466" i="6" l="1"/>
  <c r="W465" i="6"/>
  <c r="L75" i="14"/>
  <c r="J75" i="14"/>
  <c r="K75" i="14" s="1"/>
  <c r="Y467" i="6" l="1"/>
  <c r="W466" i="6"/>
  <c r="J76" i="14"/>
  <c r="K76" i="14" s="1"/>
  <c r="L76" i="14"/>
  <c r="Y468" i="6" l="1"/>
  <c r="Y469" i="6" s="1"/>
  <c r="Y470" i="6" s="1"/>
  <c r="W467" i="6"/>
  <c r="L77" i="14"/>
  <c r="J77" i="14"/>
  <c r="Y471" i="6" l="1"/>
  <c r="W470" i="6"/>
  <c r="J78" i="14"/>
  <c r="K78" i="14" s="1"/>
  <c r="L78" i="14"/>
  <c r="K77" i="14"/>
  <c r="Y472" i="6" l="1"/>
  <c r="W471" i="6"/>
  <c r="L79" i="14"/>
  <c r="J79" i="14"/>
  <c r="K79" i="14" s="1"/>
  <c r="Y473" i="6" l="1"/>
  <c r="Y474" i="6" s="1"/>
  <c r="Y475" i="6" s="1"/>
  <c r="W472" i="6"/>
  <c r="J80" i="14"/>
  <c r="K80" i="14" s="1"/>
  <c r="L80" i="14"/>
  <c r="Y476" i="6" l="1"/>
  <c r="W475" i="6"/>
  <c r="L81" i="14"/>
  <c r="J81" i="14"/>
  <c r="K81" i="14" s="1"/>
  <c r="Y477" i="6" l="1"/>
  <c r="W476" i="6"/>
  <c r="J82" i="14"/>
  <c r="L82" i="14"/>
  <c r="Y478" i="6" l="1"/>
  <c r="Y479" i="6" s="1"/>
  <c r="Y480" i="6" s="1"/>
  <c r="W477" i="6"/>
  <c r="K82" i="14"/>
  <c r="L83" i="14"/>
  <c r="J83" i="14"/>
  <c r="K83" i="14" s="1"/>
  <c r="Y481" i="6" l="1"/>
  <c r="W480" i="6"/>
  <c r="J84" i="14"/>
  <c r="K84" i="14" s="1"/>
  <c r="L84" i="14"/>
  <c r="Y482" i="6" l="1"/>
  <c r="L85" i="14"/>
  <c r="J85" i="14"/>
  <c r="K85" i="14" s="1"/>
  <c r="Y483" i="6" l="1"/>
  <c r="Y484" i="6" s="1"/>
  <c r="Y485" i="6" s="1"/>
  <c r="J86" i="14"/>
  <c r="K86" i="14" s="1"/>
  <c r="L86" i="14"/>
  <c r="Y486" i="6" l="1"/>
  <c r="W485" i="6"/>
  <c r="L87" i="14"/>
  <c r="J87" i="14"/>
  <c r="Y487" i="6" l="1"/>
  <c r="W486" i="6"/>
  <c r="J88" i="14"/>
  <c r="K88" i="14" s="1"/>
  <c r="L88" i="14"/>
  <c r="K87" i="14"/>
  <c r="Y488" i="6" l="1"/>
  <c r="Y489" i="6" s="1"/>
  <c r="Y490" i="6" s="1"/>
  <c r="W487" i="6"/>
  <c r="L89" i="14"/>
  <c r="J89" i="14"/>
  <c r="K89" i="14" s="1"/>
  <c r="Y491" i="6" l="1"/>
  <c r="W490" i="6"/>
  <c r="L90" i="14"/>
  <c r="Y492" i="6" l="1"/>
  <c r="W491" i="6"/>
  <c r="L91" i="14"/>
  <c r="Y493" i="6" l="1"/>
  <c r="Y494" i="6" s="1"/>
  <c r="Y495" i="6" s="1"/>
  <c r="W492" i="6"/>
  <c r="L92" i="14"/>
  <c r="Y496" i="6" l="1"/>
  <c r="W495" i="6"/>
  <c r="L93" i="14"/>
  <c r="J93" i="14"/>
  <c r="K93" i="14" s="1"/>
  <c r="Y497" i="6" l="1"/>
  <c r="W496" i="6"/>
  <c r="J94" i="14"/>
  <c r="K94" i="14" s="1"/>
  <c r="L94" i="14"/>
  <c r="Y498" i="6" l="1"/>
  <c r="Y499" i="6" s="1"/>
  <c r="Y500" i="6" s="1"/>
  <c r="Y501" i="6" s="1"/>
  <c r="W497" i="6"/>
  <c r="L95" i="14"/>
  <c r="Y502" i="6" l="1"/>
  <c r="W501" i="6"/>
  <c r="L96" i="14"/>
  <c r="Y503" i="6" l="1"/>
  <c r="L97" i="14"/>
  <c r="Y504" i="6" l="1"/>
  <c r="Y505" i="6" s="1"/>
  <c r="L98" i="14"/>
  <c r="J98" i="14"/>
  <c r="K98" i="14" s="1"/>
  <c r="Y506" i="6" l="1"/>
  <c r="W505" i="6"/>
  <c r="L99" i="14"/>
  <c r="J99" i="14"/>
  <c r="K99" i="14" s="1"/>
  <c r="Y507" i="6" l="1"/>
  <c r="L100" i="14"/>
  <c r="J100" i="14"/>
  <c r="K100" i="14" s="1"/>
  <c r="Y508" i="6" l="1"/>
  <c r="Y509" i="6" s="1"/>
  <c r="L101" i="14"/>
  <c r="J101" i="14"/>
  <c r="K101" i="14" s="1"/>
  <c r="Y510" i="6" l="1"/>
  <c r="Y511" i="6" s="1"/>
  <c r="Y512" i="6" s="1"/>
  <c r="L102" i="14"/>
  <c r="J102" i="14"/>
  <c r="Y513" i="6" l="1"/>
  <c r="Y514" i="6" s="1"/>
  <c r="Y515" i="6" s="1"/>
  <c r="Y516" i="6" s="1"/>
  <c r="Y517" i="6" s="1"/>
  <c r="Y518" i="6" s="1"/>
  <c r="Y519" i="6" s="1"/>
  <c r="Y520" i="6" s="1"/>
  <c r="Y521" i="6" s="1"/>
  <c r="Y522" i="6" s="1"/>
  <c r="K102" i="14"/>
  <c r="L103" i="14"/>
  <c r="J103" i="14"/>
  <c r="K103" i="14" s="1"/>
  <c r="Y523" i="6" l="1"/>
  <c r="W522" i="6"/>
  <c r="L104" i="14"/>
  <c r="J104" i="14"/>
  <c r="K104" i="14" s="1"/>
  <c r="Y524" i="6" l="1"/>
  <c r="W523" i="6"/>
  <c r="L105" i="14"/>
  <c r="Y525" i="6" l="1"/>
  <c r="Y526" i="6" s="1"/>
  <c r="Y527" i="6" s="1"/>
  <c r="W524" i="6"/>
  <c r="L106" i="14"/>
  <c r="Y528" i="6" l="1"/>
  <c r="W527" i="6"/>
  <c r="L107" i="14"/>
  <c r="Y529" i="6" l="1"/>
  <c r="W528" i="6"/>
  <c r="L108" i="14"/>
  <c r="J108" i="14"/>
  <c r="K108" i="14" s="1"/>
  <c r="Y530" i="6" l="1"/>
  <c r="Y531" i="6" s="1"/>
  <c r="Y532" i="6" s="1"/>
  <c r="W529" i="6"/>
  <c r="L109" i="14"/>
  <c r="J109" i="14"/>
  <c r="K109" i="14" s="1"/>
  <c r="Y533" i="6" l="1"/>
  <c r="W532" i="6"/>
  <c r="L110" i="14"/>
  <c r="J110" i="14"/>
  <c r="K110" i="14" s="1"/>
  <c r="Y534" i="6" l="1"/>
  <c r="W533" i="6"/>
  <c r="L111" i="14"/>
  <c r="J111" i="14"/>
  <c r="K111" i="14" s="1"/>
  <c r="Y535" i="6" l="1"/>
  <c r="Y536" i="6" s="1"/>
  <c r="Y537" i="6" s="1"/>
  <c r="W534" i="6"/>
  <c r="L112" i="14"/>
  <c r="J112" i="14"/>
  <c r="Y538" i="6" l="1"/>
  <c r="W537" i="6"/>
  <c r="L113" i="14"/>
  <c r="J113" i="14"/>
  <c r="K113" i="14" s="1"/>
  <c r="K112" i="14"/>
  <c r="Y539" i="6" l="1"/>
  <c r="W538" i="6"/>
  <c r="L114" i="14"/>
  <c r="J114" i="14"/>
  <c r="K114" i="14" s="1"/>
  <c r="Y540" i="6" l="1"/>
  <c r="Y541" i="6" s="1"/>
  <c r="Y542" i="6" s="1"/>
  <c r="W539" i="6"/>
  <c r="L115" i="14"/>
  <c r="Y543" i="6" l="1"/>
  <c r="W542" i="6"/>
  <c r="L116" i="14"/>
  <c r="Y544" i="6" l="1"/>
  <c r="W543" i="6"/>
  <c r="L117" i="14"/>
  <c r="Y545" i="6" l="1"/>
  <c r="Y546" i="6" s="1"/>
  <c r="Y547" i="6" s="1"/>
  <c r="W544" i="6"/>
  <c r="L118" i="14"/>
  <c r="J118" i="14"/>
  <c r="K118" i="14" s="1"/>
  <c r="Y548" i="6" l="1"/>
  <c r="W547" i="6"/>
  <c r="L119" i="14"/>
  <c r="J119" i="14"/>
  <c r="K119" i="14" s="1"/>
  <c r="Y549" i="6" l="1"/>
  <c r="W548" i="6"/>
  <c r="L120" i="14"/>
  <c r="Y550" i="6" l="1"/>
  <c r="Y551" i="6" s="1"/>
  <c r="Y552" i="6" s="1"/>
  <c r="W549" i="6"/>
  <c r="L121" i="14"/>
  <c r="Y553" i="6" l="1"/>
  <c r="W552" i="6"/>
  <c r="L122" i="14"/>
  <c r="Y554" i="6" l="1"/>
  <c r="W553" i="6"/>
  <c r="L123" i="14"/>
  <c r="J123" i="14"/>
  <c r="K123" i="14" s="1"/>
  <c r="Y555" i="6" l="1"/>
  <c r="Y556" i="6" s="1"/>
  <c r="Y557" i="6" s="1"/>
  <c r="W554" i="6"/>
  <c r="L124" i="14"/>
  <c r="J124" i="14"/>
  <c r="K124" i="14" s="1"/>
  <c r="Y558" i="6" l="1"/>
  <c r="W557" i="6"/>
  <c r="L125" i="14"/>
  <c r="Y559" i="6" l="1"/>
  <c r="W558" i="6"/>
  <c r="L126" i="14"/>
  <c r="Y560" i="6" l="1"/>
  <c r="Y561" i="6" s="1"/>
  <c r="Y562" i="6" s="1"/>
  <c r="W559" i="6"/>
  <c r="L127" i="14"/>
  <c r="Y563" i="6" l="1"/>
  <c r="W562" i="6"/>
  <c r="L128" i="14"/>
  <c r="J128" i="14"/>
  <c r="K128" i="14" s="1"/>
  <c r="Y564" i="6" l="1"/>
  <c r="W563" i="6"/>
  <c r="L129" i="14"/>
  <c r="J129" i="14"/>
  <c r="K129" i="14" s="1"/>
  <c r="Y565" i="6" l="1"/>
  <c r="Y566" i="6" s="1"/>
  <c r="Y567" i="6" s="1"/>
  <c r="W564" i="6"/>
  <c r="L130" i="14"/>
  <c r="J130" i="14"/>
  <c r="K130" i="14" s="1"/>
  <c r="Y568" i="6" l="1"/>
  <c r="W567" i="6"/>
  <c r="L131" i="14"/>
  <c r="J131" i="14"/>
  <c r="K131" i="14" s="1"/>
  <c r="Y569" i="6" l="1"/>
  <c r="W568" i="6"/>
  <c r="L132" i="14"/>
  <c r="J132" i="14"/>
  <c r="Y570" i="6" l="1"/>
  <c r="Y571" i="6" s="1"/>
  <c r="Y572" i="6" s="1"/>
  <c r="W569" i="6"/>
  <c r="K132" i="14"/>
  <c r="L133" i="14"/>
  <c r="J133" i="14"/>
  <c r="K133" i="14" s="1"/>
  <c r="Y573" i="6" l="1"/>
  <c r="W572" i="6"/>
  <c r="L134" i="14"/>
  <c r="L135" i="14" s="1"/>
  <c r="J134" i="14"/>
  <c r="K134" i="14" s="1"/>
  <c r="Y574" i="6" l="1"/>
  <c r="W573" i="6"/>
  <c r="L136" i="14"/>
  <c r="Y575" i="6" l="1"/>
  <c r="Y576" i="6" s="1"/>
  <c r="Y577" i="6" s="1"/>
  <c r="W574" i="6"/>
  <c r="L137" i="14"/>
  <c r="Y578" i="6" l="1"/>
  <c r="W577" i="6"/>
  <c r="L138" i="14"/>
  <c r="L139" i="14" s="1"/>
  <c r="Y579" i="6" l="1"/>
  <c r="W578" i="6"/>
  <c r="L140" i="14"/>
  <c r="Y580" i="6" l="1"/>
  <c r="Y581" i="6" s="1"/>
  <c r="Y582" i="6" s="1"/>
  <c r="W579" i="6"/>
  <c r="L141" i="14"/>
  <c r="Y583" i="6" l="1"/>
  <c r="W582" i="6"/>
  <c r="L142" i="14"/>
  <c r="L143" i="14" s="1"/>
  <c r="L144" i="14" s="1"/>
  <c r="L145" i="14" s="1"/>
  <c r="L146" i="14" s="1"/>
  <c r="L147" i="14" s="1"/>
  <c r="L148" i="14" s="1"/>
  <c r="Y584" i="6" l="1"/>
  <c r="W583" i="6"/>
  <c r="Y585" i="6" l="1"/>
  <c r="Y586" i="6" s="1"/>
  <c r="Y587" i="6" s="1"/>
  <c r="W584" i="6"/>
  <c r="Y588" i="6" l="1"/>
  <c r="W587" i="6"/>
  <c r="Y589" i="6" l="1"/>
  <c r="W588" i="6"/>
  <c r="Y590" i="6" l="1"/>
  <c r="Y591" i="6" s="1"/>
  <c r="Y592" i="6" s="1"/>
  <c r="W589" i="6"/>
  <c r="Y593" i="6" l="1"/>
  <c r="W592" i="6"/>
  <c r="Y594" i="6" l="1"/>
  <c r="W593" i="6"/>
  <c r="Y595" i="6" l="1"/>
  <c r="Y596" i="6" s="1"/>
  <c r="Y597" i="6" s="1"/>
  <c r="W594" i="6"/>
  <c r="Y598" i="6" l="1"/>
  <c r="W597" i="6"/>
  <c r="Y599" i="6" l="1"/>
  <c r="W598" i="6"/>
  <c r="Y600" i="6" l="1"/>
  <c r="Y601" i="6" s="1"/>
  <c r="Y602" i="6" s="1"/>
  <c r="W599" i="6"/>
  <c r="Y603" i="6" l="1"/>
  <c r="W602" i="6"/>
  <c r="Y604" i="6" l="1"/>
  <c r="W603" i="6"/>
  <c r="Y605" i="6" l="1"/>
  <c r="Y606" i="6" s="1"/>
  <c r="Y607" i="6" s="1"/>
  <c r="W604" i="6"/>
  <c r="Y608" i="6" l="1"/>
  <c r="W607" i="6"/>
  <c r="Y609" i="6" l="1"/>
  <c r="W608" i="6"/>
  <c r="Y610" i="6" l="1"/>
  <c r="Y611" i="6" s="1"/>
  <c r="Y612" i="6" s="1"/>
  <c r="W609" i="6"/>
  <c r="Y613" i="6" l="1"/>
  <c r="W612" i="6"/>
  <c r="Y614" i="6" l="1"/>
  <c r="W613" i="6"/>
  <c r="Y615" i="6" l="1"/>
  <c r="Y616" i="6" s="1"/>
  <c r="Y617" i="6" s="1"/>
  <c r="W614" i="6"/>
  <c r="Y618" i="6" l="1"/>
  <c r="W617" i="6"/>
  <c r="Y619" i="6" l="1"/>
  <c r="W618" i="6"/>
  <c r="Y620" i="6" l="1"/>
  <c r="Y621" i="6" s="1"/>
  <c r="Y622" i="6" s="1"/>
  <c r="W619" i="6"/>
  <c r="Y623" i="6" l="1"/>
  <c r="W622" i="6"/>
  <c r="Y624" i="6" l="1"/>
  <c r="W623" i="6"/>
  <c r="Y625" i="6" l="1"/>
  <c r="Y626" i="6" s="1"/>
  <c r="Y627" i="6" s="1"/>
  <c r="W624" i="6"/>
  <c r="Y628" i="6" l="1"/>
  <c r="W627" i="6"/>
  <c r="Y629" i="6" l="1"/>
  <c r="W628" i="6"/>
  <c r="Y630" i="6" l="1"/>
  <c r="Y631" i="6" s="1"/>
  <c r="Y632" i="6" s="1"/>
  <c r="W629" i="6"/>
  <c r="Y633" i="6" l="1"/>
  <c r="W632" i="6"/>
  <c r="Y634" i="6" l="1"/>
  <c r="Y635" i="6" s="1"/>
  <c r="W633" i="6"/>
  <c r="Y636" i="6" l="1"/>
  <c r="W635" i="6"/>
  <c r="Y637" i="6" l="1"/>
  <c r="W636" i="6"/>
  <c r="Y638" i="6" l="1"/>
  <c r="Y639" i="6" s="1"/>
  <c r="Y640" i="6" s="1"/>
  <c r="W637" i="6"/>
  <c r="Y641" i="6" l="1"/>
  <c r="Y642" i="6" s="1"/>
  <c r="Y643" i="6" s="1"/>
  <c r="Y644" i="6" s="1"/>
  <c r="Y645" i="6" s="1"/>
  <c r="Y646" i="6" s="1"/>
  <c r="Y647" i="6" s="1"/>
  <c r="W640" i="6"/>
  <c r="Y648" i="6" l="1"/>
  <c r="Y649" i="6" l="1"/>
  <c r="Y650" i="6" l="1"/>
  <c r="W649" i="6"/>
  <c r="Y651" i="6" l="1"/>
  <c r="Y652" i="6" s="1"/>
  <c r="Y653" i="6" s="1"/>
  <c r="Y654" i="6" s="1"/>
  <c r="Y655" i="6" s="1"/>
  <c r="Y656" i="6" l="1"/>
  <c r="Y657" i="6" l="1"/>
  <c r="Y658" i="6" l="1"/>
  <c r="Y659" i="6" s="1"/>
  <c r="Y660" i="6" s="1"/>
  <c r="Y661" i="6" l="1"/>
  <c r="Y662" i="6" l="1"/>
  <c r="Y663" i="6" l="1"/>
  <c r="Y664" i="6" s="1"/>
  <c r="Y665" i="6" s="1"/>
  <c r="Y666" i="6" l="1"/>
  <c r="W665" i="6"/>
  <c r="Y667" i="6" l="1"/>
  <c r="W666" i="6"/>
  <c r="Y668" i="6" l="1"/>
  <c r="Y669" i="6" s="1"/>
  <c r="Y670" i="6" s="1"/>
  <c r="W667" i="6"/>
  <c r="Y671" i="6" l="1"/>
  <c r="Y672" i="6" l="1"/>
  <c r="Y673" i="6" l="1"/>
  <c r="Y674" i="6" s="1"/>
  <c r="Y675" i="6" s="1"/>
  <c r="Y676" i="6" l="1"/>
  <c r="Y677" i="6" l="1"/>
  <c r="Y678" i="6" l="1"/>
  <c r="Y679" i="6" s="1"/>
  <c r="Y680" i="6" s="1"/>
  <c r="Y681" i="6" l="1"/>
  <c r="Y682" i="6" l="1"/>
  <c r="Y683" i="6" l="1"/>
  <c r="Y684" i="6" s="1"/>
  <c r="Y685" i="6" s="1"/>
  <c r="Y686" i="6" l="1"/>
  <c r="Y687" i="6" l="1"/>
  <c r="Y688" i="6" l="1"/>
  <c r="Y689" i="6" s="1"/>
  <c r="Y690" i="6" s="1"/>
  <c r="Y691" i="6" l="1"/>
  <c r="Y692" i="6" l="1"/>
  <c r="Y693" i="6" l="1"/>
  <c r="Y694" i="6" s="1"/>
  <c r="Y695" i="6" s="1"/>
  <c r="Y696" i="6" l="1"/>
  <c r="Y697" i="6" l="1"/>
  <c r="Y698" i="6" l="1"/>
  <c r="Y699" i="6" s="1"/>
  <c r="Y700" i="6" s="1"/>
  <c r="Y701" i="6" l="1"/>
  <c r="Y702" i="6" l="1"/>
  <c r="Y703" i="6" l="1"/>
  <c r="Y704" i="6" s="1"/>
  <c r="Y705" i="6" s="1"/>
  <c r="Y706" i="6" l="1"/>
  <c r="Y707" i="6" l="1"/>
  <c r="Y708" i="6" l="1"/>
  <c r="Y709" i="6" s="1"/>
  <c r="Y710" i="6" s="1"/>
  <c r="Y711" i="6" l="1"/>
  <c r="Y712" i="6" l="1"/>
  <c r="Y713" i="6" l="1"/>
  <c r="Y714" i="6" s="1"/>
  <c r="Y715" i="6" s="1"/>
  <c r="Y716" i="6" l="1"/>
  <c r="Y717" i="6" l="1"/>
  <c r="Y718" i="6" l="1"/>
  <c r="Y719" i="6" s="1"/>
  <c r="Y720" i="6" s="1"/>
  <c r="Y721" i="6" l="1"/>
  <c r="Y722" i="6" l="1"/>
  <c r="Y723" i="6" l="1"/>
  <c r="Y724" i="6" s="1"/>
  <c r="Y725" i="6" s="1"/>
  <c r="Y726" i="6" l="1"/>
  <c r="Y727" i="6" l="1"/>
  <c r="Y728" i="6" l="1"/>
  <c r="Y729" i="6" s="1"/>
  <c r="Y730" i="6" s="1"/>
  <c r="Y731" i="6" l="1"/>
  <c r="Y732" i="6" l="1"/>
  <c r="Y733" i="6" l="1"/>
  <c r="Y734" i="6" s="1"/>
  <c r="Y735" i="6" s="1"/>
  <c r="Y736" i="6" l="1"/>
  <c r="Y737" i="6" l="1"/>
  <c r="Y738" i="6" l="1"/>
  <c r="Y739" i="6" s="1"/>
  <c r="Y740" i="6" s="1"/>
  <c r="Y741" i="6" l="1"/>
  <c r="W740" i="6"/>
  <c r="Y742" i="6" l="1"/>
  <c r="W741" i="6"/>
  <c r="Y743" i="6" l="1"/>
  <c r="Y744" i="6" s="1"/>
  <c r="Y745" i="6" s="1"/>
  <c r="W742" i="6"/>
  <c r="Y746" i="6" l="1"/>
  <c r="W745" i="6"/>
  <c r="Y747" i="6" l="1"/>
  <c r="W746" i="6"/>
  <c r="Y748" i="6" l="1"/>
  <c r="Y749" i="6" s="1"/>
  <c r="Y750" i="6" s="1"/>
  <c r="W747" i="6"/>
  <c r="Y751" i="6" l="1"/>
  <c r="Y752" i="6" l="1"/>
  <c r="Y753" i="6" l="1"/>
  <c r="W752" i="6"/>
  <c r="Y754" i="6" l="1"/>
  <c r="Y755" i="6" s="1"/>
  <c r="Y756" i="6" s="1"/>
  <c r="Y757" i="6" s="1"/>
  <c r="Y758" i="6" s="1"/>
  <c r="Y759" i="6" l="1"/>
  <c r="Y760" i="6" l="1"/>
  <c r="Y761" i="6" l="1"/>
  <c r="Y762" i="6" s="1"/>
  <c r="Y763" i="6" s="1"/>
  <c r="Y764" i="6" l="1"/>
  <c r="Y765" i="6" l="1"/>
  <c r="Y766" i="6" l="1"/>
  <c r="Y767" i="6" s="1"/>
  <c r="Y768" i="6" s="1"/>
  <c r="Y769" i="6" l="1"/>
  <c r="Y770" i="6" l="1"/>
  <c r="Y771" i="6" l="1"/>
  <c r="Y772" i="6" s="1"/>
  <c r="Y773" i="6" s="1"/>
  <c r="Y774" i="6" l="1"/>
  <c r="Y775" i="6" l="1"/>
  <c r="Y776" i="6" l="1"/>
  <c r="Y777" i="6" s="1"/>
  <c r="Y778" i="6" s="1"/>
  <c r="Y779" i="6" l="1"/>
  <c r="Y780" i="6" l="1"/>
  <c r="Y781" i="6" l="1"/>
  <c r="Y782" i="6" s="1"/>
  <c r="Y783" i="6" s="1"/>
  <c r="Y784" i="6" l="1"/>
  <c r="Y785" i="6" l="1"/>
  <c r="Y786" i="6" l="1"/>
  <c r="Y787" i="6" s="1"/>
  <c r="Y788" i="6" s="1"/>
  <c r="Y789" i="6" l="1"/>
  <c r="W788" i="6"/>
  <c r="Y790" i="6" l="1"/>
  <c r="W789" i="6"/>
  <c r="Y791" i="6" l="1"/>
  <c r="Y792" i="6" s="1"/>
  <c r="Y793" i="6" s="1"/>
  <c r="W790" i="6"/>
  <c r="Y794" i="6" l="1"/>
  <c r="W793" i="6"/>
  <c r="Y795" i="6" l="1"/>
  <c r="W794" i="6"/>
  <c r="Y796" i="6" l="1"/>
  <c r="Y797" i="6" s="1"/>
  <c r="Y798" i="6" s="1"/>
  <c r="W795" i="6"/>
  <c r="Y799" i="6" l="1"/>
  <c r="W798" i="6"/>
  <c r="Y800" i="6" l="1"/>
  <c r="W799" i="6"/>
  <c r="Y801" i="6" l="1"/>
  <c r="Y802" i="6" s="1"/>
  <c r="Y803" i="6" s="1"/>
  <c r="Y804" i="6" s="1"/>
  <c r="W800" i="6"/>
  <c r="Y805" i="6" l="1"/>
  <c r="Y806" i="6" s="1"/>
  <c r="Y807" i="6" l="1"/>
  <c r="Y808" i="6" s="1"/>
  <c r="Y809" i="6" s="1"/>
  <c r="Y810" i="6" s="1"/>
  <c r="Y811" i="6" s="1"/>
  <c r="Y812" i="6" l="1"/>
  <c r="Y813" i="6" l="1"/>
  <c r="Y814" i="6" l="1"/>
  <c r="Y815" i="6" s="1"/>
  <c r="Y816" i="6" s="1"/>
  <c r="Y817" i="6" l="1"/>
  <c r="Y818" i="6" l="1"/>
  <c r="Y819" i="6" l="1"/>
  <c r="Y820" i="6" s="1"/>
  <c r="Y821" i="6" s="1"/>
  <c r="Y822" i="6" l="1"/>
  <c r="Y823" i="6" l="1"/>
  <c r="Y824" i="6" l="1"/>
  <c r="Y825" i="6" s="1"/>
  <c r="Y826" i="6" s="1"/>
  <c r="Y827" i="6" l="1"/>
  <c r="W826" i="6"/>
  <c r="Y828" i="6" l="1"/>
  <c r="W827" i="6"/>
  <c r="Y829" i="6" l="1"/>
  <c r="Y830" i="6" s="1"/>
  <c r="Y831" i="6" s="1"/>
  <c r="W828" i="6"/>
  <c r="Y832" i="6" l="1"/>
  <c r="Y833" i="6" l="1"/>
  <c r="Y834" i="6" s="1"/>
  <c r="Y835" i="6" l="1"/>
  <c r="Y836" i="6" s="1"/>
  <c r="Y837" i="6" s="1"/>
  <c r="Y838" i="6" s="1"/>
  <c r="Y839" i="6" s="1"/>
  <c r="Y840" i="6" l="1"/>
  <c r="Y841" i="6" l="1"/>
  <c r="Y842" i="6" l="1"/>
  <c r="Y843" i="6" s="1"/>
  <c r="Y844" i="6" s="1"/>
  <c r="Y845" i="6" l="1"/>
  <c r="Y846" i="6" l="1"/>
  <c r="Y847" i="6" l="1"/>
  <c r="Y848" i="6" s="1"/>
  <c r="Y849" i="6" s="1"/>
  <c r="Y850" i="6" l="1"/>
  <c r="Y851" i="6" l="1"/>
  <c r="Y852" i="6" l="1"/>
  <c r="Y853" i="6" s="1"/>
  <c r="Y854" i="6" s="1"/>
  <c r="Y855" i="6" l="1"/>
  <c r="Y856" i="6" l="1"/>
  <c r="Y857" i="6" l="1"/>
  <c r="Y858" i="6" s="1"/>
  <c r="Y859" i="6" s="1"/>
  <c r="Y860" i="6" l="1"/>
  <c r="Y861" i="6" l="1"/>
  <c r="Y862" i="6" l="1"/>
  <c r="Y863" i="6" s="1"/>
  <c r="Y864" i="6" s="1"/>
  <c r="Y865" i="6" l="1"/>
  <c r="Y866" i="6" l="1"/>
  <c r="Y867" i="6" l="1"/>
  <c r="Y868" i="6" s="1"/>
  <c r="Y869" i="6" s="1"/>
  <c r="Y870" i="6" l="1"/>
  <c r="Y871" i="6" l="1"/>
  <c r="Y872" i="6" l="1"/>
  <c r="Y873" i="6" s="1"/>
  <c r="Y874" i="6" s="1"/>
  <c r="Y875" i="6" l="1"/>
  <c r="Y876" i="6" l="1"/>
  <c r="Y877" i="6" l="1"/>
  <c r="Y878" i="6" s="1"/>
  <c r="Y879" i="6" s="1"/>
  <c r="Y880" i="6" l="1"/>
  <c r="Y881" i="6" l="1"/>
  <c r="Y882" i="6" l="1"/>
  <c r="Y883" i="6" s="1"/>
  <c r="Y884" i="6" s="1"/>
  <c r="Y885" i="6" l="1"/>
  <c r="Y886" i="6" l="1"/>
  <c r="Y887" i="6" l="1"/>
  <c r="Y888" i="6" s="1"/>
  <c r="Y889" i="6" s="1"/>
  <c r="Y890" i="6" l="1"/>
  <c r="Y891" i="6" l="1"/>
  <c r="Y892" i="6" l="1"/>
  <c r="Y893" i="6" s="1"/>
  <c r="Y894" i="6" s="1"/>
  <c r="Y895" i="6" l="1"/>
  <c r="Y896" i="6" l="1"/>
  <c r="Y897" i="6" l="1"/>
  <c r="Y898" i="6" s="1"/>
  <c r="Y899" i="6" s="1"/>
  <c r="Y900" i="6" s="1"/>
  <c r="Y901" i="6" s="1"/>
  <c r="Y902" i="6" s="1"/>
  <c r="Y903" i="6" l="1"/>
  <c r="Y904" i="6" s="1"/>
  <c r="Y905" i="6" s="1"/>
  <c r="Y906" i="6" l="1"/>
  <c r="Y907" i="6" s="1"/>
  <c r="Y908" i="6" s="1"/>
  <c r="Y909" i="6" s="1"/>
  <c r="Y910" i="6" s="1"/>
  <c r="Y911" i="6" s="1"/>
  <c r="Y912" i="6" s="1"/>
  <c r="Y913" i="6" s="1"/>
  <c r="Y914" i="6" l="1"/>
  <c r="Y915" i="6" l="1"/>
  <c r="Y916" i="6" l="1"/>
  <c r="Y917" i="6" l="1"/>
  <c r="Y918" i="6" l="1"/>
  <c r="Y919" i="6" s="1"/>
  <c r="Y920" i="6" s="1"/>
  <c r="Y921" i="6" l="1"/>
  <c r="Y922" i="6" l="1"/>
  <c r="Y923" i="6" l="1"/>
  <c r="Y924" i="6" l="1"/>
  <c r="Y925" i="6" l="1"/>
  <c r="Y926" i="6" s="1"/>
  <c r="Y927" i="6" l="1"/>
  <c r="Y928" i="6" s="1"/>
  <c r="Y929" i="6" s="1"/>
  <c r="Y930" i="6" l="1"/>
  <c r="W929" i="6"/>
  <c r="Y931" i="6" l="1"/>
  <c r="Y932" i="6" l="1"/>
  <c r="Y933" i="6" l="1"/>
  <c r="Y934" i="6" l="1"/>
  <c r="Y935" i="6" l="1"/>
  <c r="Y936" i="6" s="1"/>
  <c r="Y937" i="6" l="1"/>
  <c r="Y938" i="6" s="1"/>
  <c r="Y939" i="6" l="1"/>
  <c r="Y940" i="6" s="1"/>
  <c r="W938" i="6"/>
  <c r="Y941" i="6" l="1"/>
  <c r="Y942" i="6" s="1"/>
  <c r="W940" i="6"/>
  <c r="Y943" i="6" l="1"/>
  <c r="Y944" i="6" s="1"/>
  <c r="W942" i="6"/>
  <c r="Y945" i="6" l="1"/>
  <c r="Y946" i="6" s="1"/>
  <c r="Y947" i="6" s="1"/>
  <c r="Y948" i="6" s="1"/>
  <c r="Y949" i="6" s="1"/>
  <c r="Y950" i="6" s="1"/>
  <c r="W944" i="6"/>
  <c r="Y951" i="6" l="1"/>
  <c r="Y952" i="6" s="1"/>
  <c r="Y953" i="6" s="1"/>
  <c r="Y954" i="6" l="1"/>
  <c r="Y955" i="6" s="1"/>
  <c r="Y956" i="6" s="1"/>
  <c r="Y957" i="6" l="1"/>
  <c r="Y958" i="6" s="1"/>
  <c r="Y959" i="6" s="1"/>
  <c r="Y960" i="6" s="1"/>
  <c r="Y961" i="6" s="1"/>
  <c r="Y962" i="6" s="1"/>
  <c r="Y963" i="6" s="1"/>
  <c r="Y964" i="6" s="1"/>
  <c r="Y965" i="6" s="1"/>
  <c r="Y966" i="6" s="1"/>
  <c r="Y967" i="6" l="1"/>
  <c r="Y968" i="6" l="1"/>
  <c r="Y969" i="6" s="1"/>
  <c r="Y970" i="6" s="1"/>
  <c r="Y971" i="6" s="1"/>
  <c r="Y972" i="6" s="1"/>
  <c r="Y973" i="6" l="1"/>
  <c r="Y974" i="6" l="1"/>
  <c r="Y975" i="6" l="1"/>
  <c r="Y976" i="6" l="1"/>
  <c r="Y977" i="6" l="1"/>
  <c r="Y978" i="6" l="1"/>
  <c r="Y979" i="6" l="1"/>
  <c r="Y980" i="6" s="1"/>
  <c r="Y981" i="6" s="1"/>
  <c r="Y982" i="6" s="1"/>
  <c r="Y994" i="6" s="1"/>
  <c r="Y995" i="6" l="1"/>
  <c r="Y996" i="6" l="1"/>
  <c r="Y997" i="6" s="1"/>
  <c r="Y998" i="6" s="1"/>
  <c r="Y999" i="6" s="1"/>
  <c r="Y1000" i="6" l="1"/>
  <c r="Y1001" i="6" l="1"/>
  <c r="Y1002" i="6" s="1"/>
  <c r="Y1003" i="6" s="1"/>
  <c r="Y1004" i="6" s="1"/>
  <c r="Y1005" i="6" s="1"/>
  <c r="Y1006" i="6" s="1"/>
  <c r="Y1007" i="6" s="1"/>
  <c r="Y1008" i="6" l="1"/>
  <c r="Y1009" i="6" s="1"/>
  <c r="Y1010" i="6" s="1"/>
  <c r="Y1011" i="6" s="1"/>
  <c r="Y1012" i="6" l="1"/>
  <c r="Y1013" i="6" s="1"/>
  <c r="Y1014" i="6" s="1"/>
  <c r="Y1015" i="6" s="1"/>
  <c r="Y1016" i="6" l="1"/>
  <c r="Y1017" i="6" l="1"/>
  <c r="Y1018" i="6" s="1"/>
  <c r="Y1019" i="6" s="1"/>
  <c r="Y1020" i="6" s="1"/>
  <c r="Y1021" i="6" l="1"/>
  <c r="Y1022" i="6" l="1"/>
  <c r="Y1023" i="6" s="1"/>
  <c r="Y1024" i="6" s="1"/>
  <c r="Y1025" i="6" s="1"/>
  <c r="Y1026" i="6" l="1"/>
  <c r="Y1027" i="6" l="1"/>
  <c r="Y1028" i="6" s="1"/>
  <c r="Y1029" i="6" s="1"/>
  <c r="Y1030" i="6" s="1"/>
  <c r="Y1031" i="6" l="1"/>
  <c r="Y1032" i="6" l="1"/>
  <c r="Y1033" i="6" s="1"/>
  <c r="Y1034" i="6" s="1"/>
  <c r="Y1035" i="6" s="1"/>
  <c r="Y1036" i="6" l="1"/>
  <c r="Y1037" i="6" l="1"/>
  <c r="Y1038" i="6" s="1"/>
  <c r="Y1039" i="6" s="1"/>
  <c r="Y1040" i="6" s="1"/>
  <c r="Y1041" i="6" l="1"/>
  <c r="Y1042" i="6" l="1"/>
  <c r="Y1043" i="6" s="1"/>
  <c r="Y1044" i="6" s="1"/>
  <c r="Y1045" i="6" s="1"/>
  <c r="Y1046" i="6" l="1"/>
  <c r="Y1047" i="6" s="1"/>
  <c r="Y1048" i="6" s="1"/>
  <c r="Y1049" i="6" l="1"/>
  <c r="Y1050" i="6" l="1"/>
  <c r="Y1051" i="6" l="1"/>
  <c r="Y1052" i="6" s="1"/>
  <c r="Y1053" i="6" s="1"/>
  <c r="Y1054" i="6" l="1"/>
  <c r="Y1055" i="6" l="1"/>
  <c r="Y1056" i="6" l="1"/>
  <c r="Y1057" i="6" l="1"/>
  <c r="Y1058" i="6" s="1"/>
  <c r="Y1059" i="6" s="1"/>
  <c r="Y1060" i="6" l="1"/>
  <c r="Y1061" i="6" l="1"/>
  <c r="Y1062" i="6" l="1"/>
  <c r="Y1063" i="6" l="1"/>
  <c r="Y1064" i="6" s="1"/>
  <c r="Y1065" i="6" s="1"/>
  <c r="Y1066" i="6" l="1"/>
  <c r="Y1067" i="6" l="1"/>
  <c r="Y1068" i="6" l="1"/>
  <c r="Y1069" i="6" l="1"/>
  <c r="Y1070" i="6" s="1"/>
  <c r="Y1071" i="6" s="1"/>
  <c r="Y1072" i="6" l="1"/>
  <c r="Y1073" i="6" l="1"/>
  <c r="Y1074" i="6" l="1"/>
  <c r="Y1075" i="6" s="1"/>
  <c r="Y1076" i="6" s="1"/>
  <c r="Y1077" i="6" l="1"/>
  <c r="Y1078" i="6" l="1"/>
  <c r="Y1079" i="6" l="1"/>
  <c r="Y1080" i="6" l="1"/>
  <c r="Y1081" i="6" s="1"/>
  <c r="Y1082" i="6" s="1"/>
  <c r="Y1083" i="6" l="1"/>
  <c r="Y1084" i="6" l="1"/>
  <c r="Y1085" i="6" l="1"/>
  <c r="Y1086" i="6" l="1"/>
  <c r="Y1087" i="6" s="1"/>
  <c r="Y1088" i="6" s="1"/>
  <c r="Y1089" i="6" l="1"/>
  <c r="Y1090" i="6" l="1"/>
  <c r="Y1091" i="6" l="1"/>
  <c r="Y1092" i="6" l="1"/>
  <c r="Y1093" i="6" s="1"/>
  <c r="Y1094" i="6" s="1"/>
  <c r="Y1095" i="6" l="1"/>
  <c r="Y1096" i="6" l="1"/>
  <c r="Y1097" i="6" l="1"/>
  <c r="Y1098" i="6" s="1"/>
  <c r="Y1099" i="6" s="1"/>
  <c r="Y1100" i="6" l="1"/>
  <c r="Y1101" i="6" l="1"/>
  <c r="Y1102" i="6" l="1"/>
  <c r="Y1103" i="6" l="1"/>
  <c r="Y1104" i="6" s="1"/>
  <c r="Y1105" i="6" l="1"/>
  <c r="Y1106" i="6" s="1"/>
  <c r="Y1107" i="6" s="1"/>
  <c r="Y1108" i="6" s="1"/>
  <c r="Y1109" i="6" l="1"/>
  <c r="Y1110" i="6" l="1"/>
  <c r="Y1111" i="6" l="1"/>
  <c r="Y1112" i="6" l="1"/>
  <c r="Y1113" i="6" l="1"/>
  <c r="Y1114" i="6" s="1"/>
  <c r="Y1115" i="6" s="1"/>
  <c r="Y1116" i="6" l="1"/>
  <c r="Y1117" i="6" l="1"/>
  <c r="Y1118" i="6" s="1"/>
  <c r="Y1119" i="6" s="1"/>
  <c r="Y1120" i="6" l="1"/>
  <c r="Y1121" i="6" l="1"/>
  <c r="Y1122" i="6" l="1"/>
  <c r="Y1123" i="6" l="1"/>
  <c r="Y1124" i="6" l="1"/>
  <c r="Y1125" i="6" s="1"/>
  <c r="Y1126" i="6" s="1"/>
  <c r="Y1127" i="6" l="1"/>
  <c r="Y1128" i="6" l="1"/>
  <c r="Y1129" i="6" l="1"/>
  <c r="Y1130" i="6" l="1"/>
  <c r="Y1131" i="6" l="1"/>
  <c r="Y1132" i="6" s="1"/>
  <c r="Y1133" i="6" s="1"/>
  <c r="Y1134" i="6" l="1"/>
  <c r="Y1135" i="6" l="1"/>
  <c r="Y1136" i="6" l="1"/>
  <c r="Y1137" i="6" l="1"/>
  <c r="Y1138" i="6" l="1"/>
  <c r="Y1139" i="6" l="1"/>
  <c r="Y1140" i="6" s="1"/>
  <c r="Y1141" i="6" l="1"/>
  <c r="Y1142" i="6" l="1"/>
  <c r="Y1143" i="6" l="1"/>
  <c r="Y1144" i="6" l="1"/>
  <c r="Y1145" i="6" l="1"/>
  <c r="Y1146" i="6" s="1"/>
  <c r="Y1147" i="6" s="1"/>
  <c r="Y1148" i="6" s="1"/>
  <c r="Y1149" i="6" l="1"/>
  <c r="Y1150" i="6" l="1"/>
  <c r="Y1151" i="6" l="1"/>
  <c r="Y1152" i="6" l="1"/>
  <c r="Y1153" i="6" s="1"/>
  <c r="Y1154" i="6" s="1"/>
  <c r="Y1155" i="6" l="1"/>
  <c r="Y1156" i="6" s="1"/>
  <c r="Y1157" i="6" s="1"/>
  <c r="Y1158" i="6" s="1"/>
  <c r="Y1159" i="6" s="1"/>
  <c r="Y1160" i="6" s="1"/>
  <c r="Y1161" i="6" l="1"/>
  <c r="Y1162" i="6" l="1"/>
  <c r="Y1163" i="6" l="1"/>
  <c r="Y1164" i="6" s="1"/>
  <c r="Y1165" i="6" s="1"/>
  <c r="Y1166" i="6" l="1"/>
  <c r="Y1167" i="6" l="1"/>
  <c r="Y1168" i="6" s="1"/>
  <c r="Y1169" i="6" s="1"/>
  <c r="Y1170" i="6" l="1"/>
  <c r="Y1171" i="6" l="1"/>
  <c r="Y1172" i="6" s="1"/>
  <c r="Y1173" i="6" s="1"/>
  <c r="Y1174" i="6" l="1"/>
  <c r="Y1175" i="6" l="1"/>
  <c r="Y1176" i="6" l="1"/>
  <c r="Y1177" i="6" l="1"/>
  <c r="Y1178" i="6" l="1"/>
  <c r="Y1179" i="6" s="1"/>
  <c r="Y1180" i="6" s="1"/>
  <c r="Y1181" i="6" l="1"/>
  <c r="Y1182" i="6" l="1"/>
  <c r="Y1183" i="6" l="1"/>
  <c r="Y1184" i="6" l="1"/>
  <c r="Y1185" i="6" l="1"/>
  <c r="Y1186" i="6" s="1"/>
  <c r="Y1187" i="6" s="1"/>
  <c r="Y1188" i="6" l="1"/>
  <c r="Y1189" i="6" l="1"/>
  <c r="Y1190" i="6" l="1"/>
  <c r="Y1191" i="6" s="1"/>
  <c r="Y1192" i="6" s="1"/>
  <c r="Y1193" i="6" l="1"/>
  <c r="Y1194" i="6" l="1"/>
  <c r="Y1195" i="6" l="1"/>
  <c r="Y1196" i="6" s="1"/>
  <c r="Y1197" i="6" s="1"/>
  <c r="Y1198" i="6" l="1"/>
  <c r="Y1199" i="6" l="1"/>
  <c r="Y1200" i="6" s="1"/>
  <c r="Y1201" i="6" s="1"/>
  <c r="Y1202" i="6" l="1"/>
  <c r="Y1203" i="6" l="1"/>
  <c r="Y1204" i="6" l="1"/>
  <c r="Y1205" i="6" l="1"/>
  <c r="Y1206" i="6" l="1"/>
  <c r="Y1207" i="6" s="1"/>
  <c r="Y1208" i="6" s="1"/>
  <c r="Y1209" i="6" l="1"/>
  <c r="Y1210" i="6" l="1"/>
  <c r="Y1211" i="6" l="1"/>
  <c r="Y1212" i="6" l="1"/>
  <c r="Y1213" i="6" l="1"/>
  <c r="Y1214" i="6" s="1"/>
  <c r="Y1215" i="6" s="1"/>
  <c r="Y1216" i="6" l="1"/>
  <c r="Y1217" i="6" l="1"/>
  <c r="Y1218" i="6" l="1"/>
  <c r="Y1219" i="6" l="1"/>
  <c r="Y1220" i="6" l="1"/>
  <c r="Y1221" i="6" s="1"/>
  <c r="Y1222" i="6" s="1"/>
  <c r="Y1223" i="6" l="1"/>
  <c r="Y1224" i="6" l="1"/>
  <c r="Y1225" i="6" s="1"/>
  <c r="Y1226" i="6" s="1"/>
  <c r="Y1227" i="6" l="1"/>
  <c r="Y1228" i="6" l="1"/>
  <c r="Y1229" i="6" l="1"/>
  <c r="Y1230" i="6" l="1"/>
  <c r="Y1231" i="6" s="1"/>
  <c r="Y1232" i="6" s="1"/>
  <c r="Y1233" i="6" l="1"/>
  <c r="Y1234" i="6" s="1"/>
  <c r="Y1235" i="6" s="1"/>
  <c r="Y1236" i="6" l="1"/>
  <c r="Y1237" i="6" l="1"/>
  <c r="Y1238" i="6" l="1"/>
  <c r="Y1239" i="6" l="1"/>
  <c r="Y1240" i="6" s="1"/>
  <c r="Y1241" i="6" s="1"/>
  <c r="Y1242" i="6" l="1"/>
  <c r="Y1243" i="6" s="1"/>
  <c r="Y1244" i="6" s="1"/>
  <c r="Y1245" i="6" s="1"/>
  <c r="Y1246" i="6" s="1"/>
  <c r="Y1247" i="6" s="1"/>
  <c r="Y1248" i="6" s="1"/>
  <c r="Y1249" i="6" s="1"/>
  <c r="Y1250" i="6" s="1"/>
  <c r="Y1251" i="6" s="1"/>
  <c r="Y1252" i="6" s="1"/>
  <c r="Y1253" i="6" s="1"/>
  <c r="Y1254" i="6" s="1"/>
  <c r="Y1255" i="6" s="1"/>
  <c r="Y1256" i="6" s="1"/>
  <c r="Y1257" i="6" s="1"/>
  <c r="Y1258" i="6" s="1"/>
  <c r="Y1259" i="6" s="1"/>
  <c r="Y1260" i="6" s="1"/>
  <c r="Y1261" i="6" s="1"/>
  <c r="Y1262" i="6" s="1"/>
  <c r="Y1263" i="6" s="1"/>
  <c r="Y1264" i="6" s="1"/>
  <c r="Y1265" i="6" s="1"/>
  <c r="Y1266" i="6" s="1"/>
  <c r="Y1267" i="6" s="1"/>
  <c r="P368" i="3"/>
  <c r="Y1268" i="6" l="1"/>
  <c r="P512" i="3"/>
  <c r="T512" i="3" s="1"/>
  <c r="W368" i="3"/>
  <c r="Y1269" i="6" l="1"/>
  <c r="V512" i="3"/>
  <c r="W512" i="3" s="1"/>
  <c r="N840" i="3"/>
  <c r="Y1270" i="6" l="1"/>
  <c r="Y1271" i="6" s="1"/>
  <c r="Y1272" i="6" s="1"/>
  <c r="Y1273" i="6" s="1"/>
  <c r="Q24" i="595"/>
  <c r="U24" i="595" l="1"/>
  <c r="N25" i="595" s="1"/>
  <c r="T24" i="595"/>
  <c r="E15" i="582" l="1"/>
  <c r="J840" i="3" l="1"/>
  <c r="S840" i="3" l="1"/>
  <c r="V23" i="595" l="1"/>
  <c r="R24" i="595"/>
  <c r="W23" i="595" l="1"/>
  <c r="M14" i="595" s="1"/>
  <c r="M45" i="2" l="1"/>
  <c r="M75" i="2" l="1"/>
  <c r="G11" i="52" l="1"/>
  <c r="G10" i="52"/>
  <c r="G9" i="52"/>
  <c r="G13" i="52" l="1"/>
  <c r="D16" i="594"/>
  <c r="F16" i="594" s="1"/>
  <c r="L22" i="595" l="1"/>
  <c r="M22" i="595" s="1"/>
  <c r="N22" i="595" s="1"/>
  <c r="N27" i="595" l="1"/>
  <c r="N29" i="595" s="1"/>
  <c r="C12" i="595" l="1"/>
  <c r="D17" i="594"/>
  <c r="V851" i="3"/>
  <c r="F12" i="595" l="1"/>
  <c r="F17" i="594"/>
  <c r="G855" i="6"/>
  <c r="W851" i="3" s="1"/>
  <c r="V852" i="3" l="1"/>
  <c r="V850" i="3"/>
  <c r="E855" i="6"/>
  <c r="G856" i="6" l="1"/>
  <c r="W852" i="3" s="1"/>
  <c r="G854" i="6"/>
  <c r="E856" i="6" l="1"/>
  <c r="E854" i="6"/>
  <c r="W850" i="3"/>
  <c r="D15" i="594" l="1"/>
  <c r="D21" i="594" l="1"/>
  <c r="F15" i="594"/>
  <c r="F21" i="594" l="1"/>
  <c r="D24" i="594"/>
  <c r="F24" i="594" l="1"/>
  <c r="J8" i="42" l="1"/>
  <c r="L8" i="42" l="1"/>
  <c r="J10" i="42"/>
  <c r="L10" i="42" l="1"/>
  <c r="F15" i="33" l="1"/>
  <c r="F13" i="33" l="1"/>
  <c r="F18" i="33" l="1"/>
  <c r="F542" i="6" l="1"/>
  <c r="F543" i="6"/>
  <c r="I543" i="6" s="1"/>
  <c r="N543" i="6" l="1"/>
  <c r="U543" i="6" s="1"/>
  <c r="M543" i="6"/>
  <c r="R543" i="6" s="1"/>
  <c r="J543" i="6"/>
  <c r="F544" i="6"/>
  <c r="I542" i="6"/>
  <c r="I544" i="6" l="1"/>
  <c r="J544" i="6" s="1"/>
  <c r="M542" i="6"/>
  <c r="J542" i="6"/>
  <c r="N542" i="6"/>
  <c r="R542" i="6" l="1"/>
  <c r="R544" i="6" s="1"/>
  <c r="M544" i="6"/>
  <c r="N544" i="6"/>
  <c r="U542" i="6"/>
  <c r="U544" i="6" s="1"/>
  <c r="K886" i="3" l="1"/>
  <c r="K844" i="3"/>
  <c r="K887" i="3"/>
  <c r="K889" i="3" l="1"/>
  <c r="K33" i="5" l="1"/>
  <c r="K34" i="5" s="1"/>
  <c r="K892" i="3"/>
  <c r="K1227" i="3" l="1"/>
  <c r="D22" i="16" l="1"/>
  <c r="D21" i="16"/>
  <c r="D19" i="16"/>
  <c r="D17" i="16" l="1"/>
  <c r="E22" i="17"/>
  <c r="E23" i="17"/>
  <c r="D18" i="16"/>
  <c r="E30" i="17" l="1"/>
  <c r="D13" i="16"/>
  <c r="E12" i="17"/>
  <c r="E19" i="17" s="1"/>
  <c r="D15" i="16"/>
  <c r="D14" i="16"/>
  <c r="D16" i="16"/>
  <c r="D23" i="16" l="1"/>
  <c r="Y240" i="4"/>
  <c r="F1202" i="6"/>
  <c r="AL240" i="4"/>
  <c r="AO240" i="4" s="1"/>
  <c r="AB240" i="4"/>
  <c r="V240" i="4"/>
  <c r="F1203" i="6"/>
  <c r="Y241" i="4"/>
  <c r="AB241" i="4"/>
  <c r="AL241" i="4"/>
  <c r="AO241" i="4" s="1"/>
  <c r="V241" i="4"/>
  <c r="F1204" i="6"/>
  <c r="Y242" i="4"/>
  <c r="AB242" i="4"/>
  <c r="AL242" i="4"/>
  <c r="AO242" i="4" s="1"/>
  <c r="V242" i="4"/>
  <c r="F1201" i="6"/>
  <c r="AB239" i="4"/>
  <c r="AL239" i="4"/>
  <c r="Y239" i="4"/>
  <c r="V239" i="4"/>
  <c r="Z240" i="4" l="1"/>
  <c r="AA240" i="4"/>
  <c r="AB243" i="4"/>
  <c r="Y243" i="4"/>
  <c r="V243" i="4"/>
  <c r="F1205" i="6"/>
  <c r="F67" i="654" s="1"/>
  <c r="AO239" i="4"/>
  <c r="AL243" i="4"/>
  <c r="AO243" i="4" s="1"/>
  <c r="Z239" i="4"/>
  <c r="AA239" i="4"/>
  <c r="Z242" i="4"/>
  <c r="AA242" i="4"/>
  <c r="Z241" i="4"/>
  <c r="AA241" i="4"/>
  <c r="F67" i="2" l="1"/>
  <c r="AA243" i="4"/>
  <c r="Z243" i="4"/>
  <c r="AC245" i="4" s="1"/>
  <c r="AC243" i="4" l="1"/>
  <c r="AM243" i="4" s="1"/>
  <c r="AN243" i="4" s="1"/>
  <c r="AC244" i="4"/>
  <c r="F1142" i="6" l="1"/>
  <c r="AL180" i="4"/>
  <c r="AO180" i="4" s="1"/>
  <c r="Y180" i="4"/>
  <c r="AB180" i="4"/>
  <c r="AB179" i="4"/>
  <c r="F1141" i="6"/>
  <c r="AL179" i="4"/>
  <c r="AO179" i="4" s="1"/>
  <c r="Y179" i="4"/>
  <c r="Y181" i="4"/>
  <c r="AB181" i="4"/>
  <c r="F1143" i="6"/>
  <c r="AL181" i="4"/>
  <c r="AO181" i="4" s="1"/>
  <c r="F1188" i="6" l="1"/>
  <c r="AL226" i="4"/>
  <c r="AO226" i="4" s="1"/>
  <c r="Y226" i="4"/>
  <c r="AL225" i="4"/>
  <c r="F1187" i="6"/>
  <c r="Y225" i="4"/>
  <c r="Y253" i="4" l="1"/>
  <c r="AB253" i="4"/>
  <c r="F1215" i="6"/>
  <c r="AL253" i="4"/>
  <c r="AB254" i="4"/>
  <c r="AL254" i="4"/>
  <c r="AO254" i="4" s="1"/>
  <c r="F1216" i="6"/>
  <c r="Y254" i="4"/>
  <c r="AO225" i="4"/>
  <c r="AL227" i="4"/>
  <c r="AO227" i="4" s="1"/>
  <c r="Y227" i="4"/>
  <c r="F1189" i="6"/>
  <c r="F64" i="654" s="1"/>
  <c r="AB255" i="4"/>
  <c r="F1217" i="6"/>
  <c r="AL255" i="4"/>
  <c r="AO255" i="4" s="1"/>
  <c r="Y255" i="4"/>
  <c r="AL256" i="4"/>
  <c r="AO256" i="4" s="1"/>
  <c r="Y256" i="4"/>
  <c r="F1218" i="6"/>
  <c r="AB256" i="4"/>
  <c r="F64" i="2" l="1"/>
  <c r="F1219" i="6"/>
  <c r="AO253" i="4"/>
  <c r="AL257" i="4"/>
  <c r="Y257" i="4"/>
  <c r="AB257" i="4"/>
  <c r="AO257" i="4" l="1"/>
  <c r="AB246" i="4" l="1"/>
  <c r="F1208" i="6"/>
  <c r="AL246" i="4"/>
  <c r="Y246" i="4"/>
  <c r="F1209" i="6"/>
  <c r="Y247" i="4"/>
  <c r="AB247" i="4"/>
  <c r="AL247" i="4"/>
  <c r="AO247" i="4" s="1"/>
  <c r="F1211" i="6"/>
  <c r="AB249" i="4"/>
  <c r="AL249" i="4"/>
  <c r="AO249" i="4" s="1"/>
  <c r="Y249" i="4"/>
  <c r="AB248" i="4"/>
  <c r="AL248" i="4"/>
  <c r="AO248" i="4" s="1"/>
  <c r="Y248" i="4"/>
  <c r="F1210" i="6"/>
  <c r="Y25" i="4" l="1"/>
  <c r="AB25" i="4"/>
  <c r="AL25" i="4"/>
  <c r="AO25" i="4" s="1"/>
  <c r="F976" i="6"/>
  <c r="F1011" i="6"/>
  <c r="AB50" i="4"/>
  <c r="Y50" i="4"/>
  <c r="AL50" i="4"/>
  <c r="AO50" i="4" s="1"/>
  <c r="AB127" i="4"/>
  <c r="F1088" i="6"/>
  <c r="AL127" i="4"/>
  <c r="AO127" i="4" s="1"/>
  <c r="Y127" i="4"/>
  <c r="Y153" i="4"/>
  <c r="F1115" i="6"/>
  <c r="AL153" i="4"/>
  <c r="AB153" i="4"/>
  <c r="AB167" i="4"/>
  <c r="Y167" i="4"/>
  <c r="F1129" i="6"/>
  <c r="AL167" i="4"/>
  <c r="AO167" i="4" s="1"/>
  <c r="AL203" i="4"/>
  <c r="Y203" i="4"/>
  <c r="Y204" i="4" s="1"/>
  <c r="AB203" i="4"/>
  <c r="AB204" i="4" s="1"/>
  <c r="F1165" i="6"/>
  <c r="AB220" i="4"/>
  <c r="Y220" i="4"/>
  <c r="F1182" i="6"/>
  <c r="AL220" i="4"/>
  <c r="AO220" i="4" s="1"/>
  <c r="AO246" i="4"/>
  <c r="AL250" i="4"/>
  <c r="AB26" i="4"/>
  <c r="AL26" i="4"/>
  <c r="AO26" i="4" s="1"/>
  <c r="Y26" i="4"/>
  <c r="F977" i="6"/>
  <c r="AL54" i="4"/>
  <c r="F1015" i="6"/>
  <c r="Y74" i="4"/>
  <c r="F1035" i="6"/>
  <c r="AB74" i="4"/>
  <c r="AL74" i="4"/>
  <c r="AO74" i="4" s="1"/>
  <c r="F1055" i="6"/>
  <c r="Y94" i="4"/>
  <c r="AB94" i="4"/>
  <c r="AL94" i="4"/>
  <c r="AO94" i="4" s="1"/>
  <c r="Y111" i="4"/>
  <c r="AL111" i="4"/>
  <c r="AO111" i="4" s="1"/>
  <c r="AB111" i="4"/>
  <c r="F1072" i="6"/>
  <c r="AL128" i="4"/>
  <c r="AO128" i="4" s="1"/>
  <c r="AB128" i="4"/>
  <c r="Y128" i="4"/>
  <c r="F1089" i="6"/>
  <c r="F1133" i="6"/>
  <c r="AL171" i="4"/>
  <c r="AB171" i="4"/>
  <c r="Y171" i="4"/>
  <c r="Y267" i="4"/>
  <c r="F1169" i="6"/>
  <c r="Y207" i="4"/>
  <c r="AL207" i="4"/>
  <c r="F1183" i="6"/>
  <c r="AB221" i="4"/>
  <c r="Y221" i="4"/>
  <c r="AL221" i="4"/>
  <c r="AO221" i="4" s="1"/>
  <c r="F1212" i="6"/>
  <c r="F68" i="654" s="1"/>
  <c r="AL15" i="4"/>
  <c r="AO15" i="4" s="1"/>
  <c r="F966" i="6"/>
  <c r="AB15" i="4"/>
  <c r="Y15" i="4"/>
  <c r="AB27" i="4"/>
  <c r="F978" i="6"/>
  <c r="Y27" i="4"/>
  <c r="AL27" i="4"/>
  <c r="AO27" i="4" s="1"/>
  <c r="AL55" i="4"/>
  <c r="AO55" i="4" s="1"/>
  <c r="F1016" i="6"/>
  <c r="Y55" i="4"/>
  <c r="AB55" i="4"/>
  <c r="Y75" i="4"/>
  <c r="AB75" i="4"/>
  <c r="AL75" i="4"/>
  <c r="AO75" i="4" s="1"/>
  <c r="F1036" i="6"/>
  <c r="F1059" i="6"/>
  <c r="AB98" i="4"/>
  <c r="AL98" i="4"/>
  <c r="AO98" i="4" s="1"/>
  <c r="Y98" i="4"/>
  <c r="Y115" i="4"/>
  <c r="F1076" i="6"/>
  <c r="AB115" i="4"/>
  <c r="AL115" i="4"/>
  <c r="AO115" i="4" s="1"/>
  <c r="AL129" i="4"/>
  <c r="AO129" i="4" s="1"/>
  <c r="F1090" i="6"/>
  <c r="AB129" i="4"/>
  <c r="Y129" i="4"/>
  <c r="Y158" i="4"/>
  <c r="AL158" i="4"/>
  <c r="AO158" i="4" s="1"/>
  <c r="AB158" i="4"/>
  <c r="F1120" i="6"/>
  <c r="Y172" i="4"/>
  <c r="AB172" i="4"/>
  <c r="F1134" i="6"/>
  <c r="AL172" i="4"/>
  <c r="AO172" i="4" s="1"/>
  <c r="Y211" i="4"/>
  <c r="F1173" i="6"/>
  <c r="AB211" i="4"/>
  <c r="AL211" i="4"/>
  <c r="F1031" i="6"/>
  <c r="AL70" i="4"/>
  <c r="AO70" i="4" s="1"/>
  <c r="Y70" i="4"/>
  <c r="AB70" i="4"/>
  <c r="F967" i="6"/>
  <c r="AL16" i="4"/>
  <c r="AO16" i="4" s="1"/>
  <c r="AB16" i="4"/>
  <c r="Y16" i="4"/>
  <c r="AL59" i="4"/>
  <c r="AO59" i="4" s="1"/>
  <c r="AB59" i="4"/>
  <c r="F1020" i="6"/>
  <c r="Y59" i="4"/>
  <c r="AB116" i="4"/>
  <c r="F1077" i="6"/>
  <c r="AL116" i="4"/>
  <c r="AO116" i="4" s="1"/>
  <c r="Y116" i="4"/>
  <c r="Y231" i="4"/>
  <c r="F1193" i="6"/>
  <c r="AL231" i="4"/>
  <c r="AO231" i="4" s="1"/>
  <c r="AB231" i="4"/>
  <c r="AL80" i="4"/>
  <c r="AO80" i="4" s="1"/>
  <c r="F1041" i="6"/>
  <c r="Y80" i="4"/>
  <c r="AB80" i="4"/>
  <c r="AL22" i="4"/>
  <c r="AO22" i="4" s="1"/>
  <c r="AB22" i="4"/>
  <c r="Y22" i="4"/>
  <c r="F973" i="6"/>
  <c r="AB87" i="4"/>
  <c r="AL87" i="4"/>
  <c r="AO87" i="4" s="1"/>
  <c r="F1048" i="6"/>
  <c r="Y87" i="4"/>
  <c r="AB104" i="4"/>
  <c r="AL104" i="4"/>
  <c r="AO104" i="4" s="1"/>
  <c r="F1065" i="6"/>
  <c r="Y104" i="4"/>
  <c r="Y121" i="4"/>
  <c r="F1082" i="6"/>
  <c r="AB121" i="4"/>
  <c r="AL121" i="4"/>
  <c r="AO121" i="4" s="1"/>
  <c r="F1099" i="6"/>
  <c r="AL138" i="4"/>
  <c r="AO138" i="4" s="1"/>
  <c r="AB138" i="4"/>
  <c r="Y138" i="4"/>
  <c r="AB164" i="4"/>
  <c r="F1126" i="6"/>
  <c r="AL164" i="4"/>
  <c r="Y164" i="4"/>
  <c r="Y214" i="4"/>
  <c r="AB214" i="4"/>
  <c r="F1176" i="6"/>
  <c r="AL214" i="4"/>
  <c r="AO214" i="4" s="1"/>
  <c r="AB110" i="4"/>
  <c r="F1071" i="6"/>
  <c r="Y110" i="4"/>
  <c r="AL110" i="4"/>
  <c r="AO110" i="4" s="1"/>
  <c r="F1040" i="6"/>
  <c r="Y79" i="4"/>
  <c r="AL79" i="4"/>
  <c r="AO79" i="4" s="1"/>
  <c r="AB79" i="4"/>
  <c r="F1121" i="6"/>
  <c r="AL159" i="4"/>
  <c r="AO159" i="4" s="1"/>
  <c r="Y159" i="4"/>
  <c r="AB159" i="4"/>
  <c r="Y212" i="4"/>
  <c r="AB212" i="4"/>
  <c r="F1174" i="6"/>
  <c r="AL212" i="4"/>
  <c r="AO212" i="4" s="1"/>
  <c r="AB34" i="4"/>
  <c r="F995" i="6"/>
  <c r="AL34" i="4"/>
  <c r="AO34" i="4" s="1"/>
  <c r="Y34" i="4"/>
  <c r="AL100" i="4"/>
  <c r="AO100" i="4" s="1"/>
  <c r="AB100" i="4"/>
  <c r="F1061" i="6"/>
  <c r="Y100" i="4"/>
  <c r="AL134" i="4"/>
  <c r="AO134" i="4" s="1"/>
  <c r="AB134" i="4"/>
  <c r="F1095" i="6"/>
  <c r="Y134" i="4"/>
  <c r="AL213" i="4"/>
  <c r="AO213" i="4" s="1"/>
  <c r="AB213" i="4"/>
  <c r="F1175" i="6"/>
  <c r="Y213" i="4"/>
  <c r="Y38" i="4"/>
  <c r="AL38" i="4"/>
  <c r="AB38" i="4"/>
  <c r="F999" i="6"/>
  <c r="F974" i="6"/>
  <c r="AL23" i="4"/>
  <c r="AO23" i="4" s="1"/>
  <c r="AB23" i="4"/>
  <c r="Y23" i="4"/>
  <c r="Y39" i="4"/>
  <c r="AB39" i="4"/>
  <c r="F1000" i="6"/>
  <c r="AL39" i="4"/>
  <c r="AO39" i="4" s="1"/>
  <c r="Y65" i="4"/>
  <c r="AB65" i="4"/>
  <c r="AL65" i="4"/>
  <c r="AO65" i="4" s="1"/>
  <c r="F1026" i="6"/>
  <c r="AL88" i="4"/>
  <c r="AO88" i="4" s="1"/>
  <c r="F1049" i="6"/>
  <c r="AB88" i="4"/>
  <c r="Y88" i="4"/>
  <c r="F1066" i="6"/>
  <c r="Y105" i="4"/>
  <c r="AL105" i="4"/>
  <c r="AO105" i="4" s="1"/>
  <c r="AB105" i="4"/>
  <c r="F1083" i="6"/>
  <c r="AL122" i="4"/>
  <c r="AO122" i="4" s="1"/>
  <c r="Y122" i="4"/>
  <c r="AB122" i="4"/>
  <c r="AB139" i="4"/>
  <c r="Y139" i="4"/>
  <c r="AL139" i="4"/>
  <c r="AO139" i="4" s="1"/>
  <c r="F1100" i="6"/>
  <c r="Y165" i="4"/>
  <c r="F1127" i="6"/>
  <c r="AL165" i="4"/>
  <c r="AO165" i="4" s="1"/>
  <c r="AB165" i="4"/>
  <c r="F1180" i="6"/>
  <c r="Y218" i="4"/>
  <c r="AL218" i="4"/>
  <c r="AB218" i="4"/>
  <c r="AL93" i="4"/>
  <c r="AO93" i="4" s="1"/>
  <c r="F1054" i="6"/>
  <c r="AB93" i="4"/>
  <c r="Y93" i="4"/>
  <c r="AB33" i="4"/>
  <c r="F994" i="6"/>
  <c r="AL33" i="4"/>
  <c r="Y33" i="4"/>
  <c r="Y99" i="4"/>
  <c r="F1060" i="6"/>
  <c r="AL99" i="4"/>
  <c r="AO99" i="4" s="1"/>
  <c r="AB99" i="4"/>
  <c r="AL133" i="4"/>
  <c r="AO133" i="4" s="1"/>
  <c r="AB133" i="4"/>
  <c r="Y133" i="4"/>
  <c r="F1094" i="6"/>
  <c r="AB173" i="4"/>
  <c r="F1135" i="6"/>
  <c r="AL173" i="4"/>
  <c r="AO173" i="4" s="1"/>
  <c r="Y173" i="4"/>
  <c r="AB21" i="4"/>
  <c r="AL21" i="4"/>
  <c r="Y21" i="4"/>
  <c r="F972" i="6"/>
  <c r="AL60" i="4"/>
  <c r="AO60" i="4" s="1"/>
  <c r="Y60" i="4"/>
  <c r="AB60" i="4"/>
  <c r="F1021" i="6"/>
  <c r="Y117" i="4"/>
  <c r="AL117" i="4"/>
  <c r="AO117" i="4" s="1"/>
  <c r="AB117" i="4"/>
  <c r="F1078" i="6"/>
  <c r="AL160" i="4"/>
  <c r="AO160" i="4" s="1"/>
  <c r="Y160" i="4"/>
  <c r="F1122" i="6"/>
  <c r="AB160" i="4"/>
  <c r="F1136" i="6"/>
  <c r="AB174" i="4"/>
  <c r="Y174" i="4"/>
  <c r="AL174" i="4"/>
  <c r="AO174" i="4" s="1"/>
  <c r="AL64" i="4"/>
  <c r="AO64" i="4" s="1"/>
  <c r="F1025" i="6"/>
  <c r="AB64" i="4"/>
  <c r="Y64" i="4"/>
  <c r="AL24" i="4"/>
  <c r="AO24" i="4" s="1"/>
  <c r="Y24" i="4"/>
  <c r="AB24" i="4"/>
  <c r="F975" i="6"/>
  <c r="AB46" i="4"/>
  <c r="Y46" i="4"/>
  <c r="AL46" i="4"/>
  <c r="AO46" i="4" s="1"/>
  <c r="F1007" i="6"/>
  <c r="AL69" i="4"/>
  <c r="AO69" i="4" s="1"/>
  <c r="Y69" i="4"/>
  <c r="F1030" i="6"/>
  <c r="AB69" i="4"/>
  <c r="Y92" i="4"/>
  <c r="AB92" i="4"/>
  <c r="F1053" i="6"/>
  <c r="AL92" i="4"/>
  <c r="AO92" i="4" s="1"/>
  <c r="F1067" i="6"/>
  <c r="AL106" i="4"/>
  <c r="AO106" i="4" s="1"/>
  <c r="Y106" i="4"/>
  <c r="AB106" i="4"/>
  <c r="AB123" i="4"/>
  <c r="AO123" i="4"/>
  <c r="Y123" i="4"/>
  <c r="F1084" i="6"/>
  <c r="AL140" i="4"/>
  <c r="AO140" i="4" s="1"/>
  <c r="AB140" i="4"/>
  <c r="F1101" i="6"/>
  <c r="Y140" i="4"/>
  <c r="AL166" i="4"/>
  <c r="AO166" i="4" s="1"/>
  <c r="AB166" i="4"/>
  <c r="F1128" i="6"/>
  <c r="Y166" i="4"/>
  <c r="F1181" i="6"/>
  <c r="AB219" i="4"/>
  <c r="Y219" i="4"/>
  <c r="AL219" i="4"/>
  <c r="AO219" i="4" s="1"/>
  <c r="AB250" i="4"/>
  <c r="Y250" i="4"/>
  <c r="F969" i="6" l="1"/>
  <c r="F68" i="2"/>
  <c r="D24" i="16"/>
  <c r="D27" i="16" s="1"/>
  <c r="H1145" i="3" s="1"/>
  <c r="F1137" i="6"/>
  <c r="F54" i="654" s="1"/>
  <c r="Y168" i="4"/>
  <c r="AB168" i="4"/>
  <c r="Y148" i="4"/>
  <c r="AB147" i="4"/>
  <c r="Y175" i="4"/>
  <c r="AB175" i="4"/>
  <c r="Y71" i="4"/>
  <c r="AB71" i="4"/>
  <c r="AL71" i="4"/>
  <c r="AO71" i="4" s="1"/>
  <c r="AB112" i="4"/>
  <c r="F1073" i="6"/>
  <c r="AL112" i="4"/>
  <c r="AO112" i="4" s="1"/>
  <c r="Y112" i="4"/>
  <c r="AO164" i="4"/>
  <c r="AL168" i="4"/>
  <c r="AO168" i="4" s="1"/>
  <c r="AB148" i="4"/>
  <c r="Y215" i="4"/>
  <c r="AB215" i="4"/>
  <c r="AB118" i="4"/>
  <c r="AL118" i="4"/>
  <c r="AO118" i="4" s="1"/>
  <c r="Y118" i="4"/>
  <c r="F1079" i="6"/>
  <c r="AO207" i="4"/>
  <c r="AL208" i="4"/>
  <c r="AO208" i="4" s="1"/>
  <c r="AL267" i="4"/>
  <c r="AO267" i="4" s="1"/>
  <c r="F1017" i="6"/>
  <c r="AO250" i="4"/>
  <c r="F1166" i="6"/>
  <c r="F60" i="654" s="1"/>
  <c r="G1165" i="6"/>
  <c r="F1226" i="6"/>
  <c r="AB130" i="4"/>
  <c r="F1091" i="6"/>
  <c r="Y130" i="4"/>
  <c r="AL130" i="4"/>
  <c r="AO130" i="4" s="1"/>
  <c r="F1012" i="6"/>
  <c r="AL222" i="4"/>
  <c r="AO222" i="4" s="1"/>
  <c r="AO218" i="4"/>
  <c r="F1032" i="6"/>
  <c r="F1027" i="6"/>
  <c r="F1130" i="6"/>
  <c r="F53" i="654" s="1"/>
  <c r="Y76" i="4"/>
  <c r="AB76" i="4"/>
  <c r="AL76" i="4"/>
  <c r="AO76" i="4" s="1"/>
  <c r="AB40" i="4"/>
  <c r="Y40" i="4"/>
  <c r="AL148" i="4"/>
  <c r="AL101" i="4"/>
  <c r="AO101" i="4" s="1"/>
  <c r="AB101" i="4"/>
  <c r="Y101" i="4"/>
  <c r="F1062" i="6"/>
  <c r="AB95" i="4"/>
  <c r="AB29" i="4"/>
  <c r="AB146" i="4" s="1"/>
  <c r="Y29" i="4"/>
  <c r="Y146" i="4" s="1"/>
  <c r="AL135" i="4"/>
  <c r="AO135" i="4" s="1"/>
  <c r="Y135" i="4"/>
  <c r="F1096" i="6"/>
  <c r="AB135" i="4"/>
  <c r="AO33" i="4"/>
  <c r="AL35" i="4"/>
  <c r="AO35" i="4" s="1"/>
  <c r="Y222" i="4"/>
  <c r="AB222" i="4"/>
  <c r="F1140" i="6"/>
  <c r="Y178" i="4"/>
  <c r="AB178" i="4"/>
  <c r="AL178" i="4"/>
  <c r="F1110" i="6"/>
  <c r="F1150" i="6" s="1"/>
  <c r="AL147" i="4"/>
  <c r="F1116" i="6"/>
  <c r="F51" i="654" s="1"/>
  <c r="AO38" i="4"/>
  <c r="AL40" i="4"/>
  <c r="AO40" i="4" s="1"/>
  <c r="AB141" i="4"/>
  <c r="AL141" i="4"/>
  <c r="AO141" i="4" s="1"/>
  <c r="F1102" i="6"/>
  <c r="Y141" i="4"/>
  <c r="AB89" i="4"/>
  <c r="Y89" i="4"/>
  <c r="F1050" i="6"/>
  <c r="AL89" i="4"/>
  <c r="AO89" i="4" s="1"/>
  <c r="AB61" i="4"/>
  <c r="AL61" i="4"/>
  <c r="AO61" i="4" s="1"/>
  <c r="Y61" i="4"/>
  <c r="AO54" i="4"/>
  <c r="AB107" i="4"/>
  <c r="F1068" i="6"/>
  <c r="AL107" i="4"/>
  <c r="AO107" i="4" s="1"/>
  <c r="F1064" i="6"/>
  <c r="I1064" i="6" s="1"/>
  <c r="J1064" i="6" s="1"/>
  <c r="Y107" i="4"/>
  <c r="F1022" i="6"/>
  <c r="F1170" i="6"/>
  <c r="F61" i="654" s="1"/>
  <c r="F1229" i="6"/>
  <c r="AO203" i="4"/>
  <c r="AL264" i="4"/>
  <c r="AO264" i="4" s="1"/>
  <c r="AL204" i="4"/>
  <c r="AO204" i="4" s="1"/>
  <c r="AO153" i="4"/>
  <c r="AL154" i="4"/>
  <c r="AO154" i="4" s="1"/>
  <c r="AL95" i="4"/>
  <c r="AO95" i="4" s="1"/>
  <c r="F1056" i="6"/>
  <c r="AB35" i="4"/>
  <c r="Y35" i="4"/>
  <c r="F1184" i="6"/>
  <c r="F63" i="654" s="1"/>
  <c r="AB230" i="4"/>
  <c r="Y230" i="4"/>
  <c r="F1192" i="6"/>
  <c r="AL230" i="4"/>
  <c r="Y208" i="4"/>
  <c r="F1037" i="6"/>
  <c r="AL175" i="4"/>
  <c r="AO175" i="4" s="1"/>
  <c r="AO171" i="4"/>
  <c r="Y56" i="4"/>
  <c r="AL56" i="4"/>
  <c r="AO56" i="4" s="1"/>
  <c r="AB56" i="4"/>
  <c r="F1177" i="6"/>
  <c r="F62" i="654" s="1"/>
  <c r="AL18" i="4"/>
  <c r="AO18" i="4" s="1"/>
  <c r="AB18" i="4"/>
  <c r="Y18" i="4"/>
  <c r="AL66" i="4"/>
  <c r="AO66" i="4" s="1"/>
  <c r="Y66" i="4"/>
  <c r="AB66" i="4"/>
  <c r="F980" i="6"/>
  <c r="F1108" i="6" s="1"/>
  <c r="F1042" i="6"/>
  <c r="F1109" i="6"/>
  <c r="F1149" i="6" s="1"/>
  <c r="AB124" i="4"/>
  <c r="Y124" i="4"/>
  <c r="F1085" i="6"/>
  <c r="AL124" i="4"/>
  <c r="AO124" i="4" s="1"/>
  <c r="Y95" i="4"/>
  <c r="AB51" i="4"/>
  <c r="AL51" i="4"/>
  <c r="AO51" i="4" s="1"/>
  <c r="Y51" i="4"/>
  <c r="AL29" i="4"/>
  <c r="AO29" i="4" s="1"/>
  <c r="AO21" i="4"/>
  <c r="F996" i="6"/>
  <c r="F1001" i="6"/>
  <c r="Y81" i="4"/>
  <c r="AB81" i="4"/>
  <c r="AL81" i="4"/>
  <c r="AO81" i="4" s="1"/>
  <c r="AO211" i="4"/>
  <c r="AL215" i="4"/>
  <c r="AO215" i="4" s="1"/>
  <c r="Y147" i="4"/>
  <c r="Y264" i="4"/>
  <c r="AB264" i="4"/>
  <c r="AB154" i="4"/>
  <c r="Y154" i="4"/>
  <c r="F1104" i="6" l="1"/>
  <c r="F51" i="2"/>
  <c r="F53" i="2"/>
  <c r="F62" i="2"/>
  <c r="F63" i="2"/>
  <c r="F54" i="2"/>
  <c r="F61" i="2"/>
  <c r="F60" i="2"/>
  <c r="Y83" i="4"/>
  <c r="AB83" i="4"/>
  <c r="AL83" i="4"/>
  <c r="AO83" i="4" s="1"/>
  <c r="Y232" i="4"/>
  <c r="AB232" i="4"/>
  <c r="AB143" i="4"/>
  <c r="AB149" i="4" s="1"/>
  <c r="AB150" i="4" s="1"/>
  <c r="AO148" i="4"/>
  <c r="AL188" i="4"/>
  <c r="G1166" i="6"/>
  <c r="G60" i="654" s="1"/>
  <c r="N60" i="654" s="1"/>
  <c r="E1165" i="6"/>
  <c r="Y182" i="4"/>
  <c r="AB182" i="4"/>
  <c r="Y143" i="4"/>
  <c r="Y149" i="4" s="1"/>
  <c r="Y150" i="4" s="1"/>
  <c r="F1144" i="6"/>
  <c r="F55" i="654" s="1"/>
  <c r="F1111" i="6"/>
  <c r="F1151" i="6" s="1"/>
  <c r="AL146" i="4"/>
  <c r="Z204" i="4"/>
  <c r="AO230" i="4"/>
  <c r="AL232" i="4"/>
  <c r="AL143" i="4"/>
  <c r="AO143" i="4" s="1"/>
  <c r="Y187" i="4"/>
  <c r="AB187" i="4"/>
  <c r="AB188" i="4"/>
  <c r="Y188" i="4"/>
  <c r="H1206" i="3"/>
  <c r="H1215" i="3" s="1"/>
  <c r="H1245" i="3" s="1"/>
  <c r="H1146" i="3"/>
  <c r="F1044" i="6"/>
  <c r="F1194" i="6"/>
  <c r="F65" i="654" s="1"/>
  <c r="AL187" i="4"/>
  <c r="AO147" i="4"/>
  <c r="AO178" i="4"/>
  <c r="AL182" i="4"/>
  <c r="AO182" i="4" s="1"/>
  <c r="I1165" i="6"/>
  <c r="F65" i="2" l="1"/>
  <c r="F55" i="2"/>
  <c r="H62" i="5"/>
  <c r="H72" i="5" s="1"/>
  <c r="H75" i="5" s="1"/>
  <c r="H1212" i="3"/>
  <c r="H1221" i="3" s="1"/>
  <c r="H1251" i="3" s="1"/>
  <c r="E1166" i="6"/>
  <c r="G60" i="2"/>
  <c r="N60" i="2" s="1"/>
  <c r="AL149" i="4"/>
  <c r="AL150" i="4" s="1"/>
  <c r="AO150" i="4" s="1"/>
  <c r="AO188" i="4"/>
  <c r="AO146" i="4"/>
  <c r="AO187" i="4"/>
  <c r="N1165" i="6"/>
  <c r="I1166" i="6"/>
  <c r="I60" i="654" s="1"/>
  <c r="M60" i="654" s="1"/>
  <c r="M1165" i="6"/>
  <c r="J1165" i="6"/>
  <c r="AO232" i="4"/>
  <c r="F1238" i="6"/>
  <c r="F1112" i="6"/>
  <c r="F50" i="654" s="1"/>
  <c r="E60" i="654" l="1"/>
  <c r="M1166" i="6"/>
  <c r="Q1165" i="6"/>
  <c r="F50" i="2"/>
  <c r="I60" i="2"/>
  <c r="E60" i="2" s="1"/>
  <c r="J1166" i="6"/>
  <c r="N1166" i="6"/>
  <c r="T1165" i="6"/>
  <c r="AL189" i="4"/>
  <c r="AO149" i="4"/>
  <c r="Y189" i="4"/>
  <c r="Y276" i="4" s="1"/>
  <c r="AB189" i="4"/>
  <c r="T1226" i="6" l="1"/>
  <c r="T1166" i="6"/>
  <c r="M60" i="2"/>
  <c r="Q1166" i="6"/>
  <c r="AL276" i="4"/>
  <c r="AO276" i="4" s="1"/>
  <c r="AO189" i="4"/>
  <c r="V231" i="4" l="1"/>
  <c r="V232" i="4" l="1"/>
  <c r="V230" i="4"/>
  <c r="D12" i="16"/>
  <c r="Z231" i="4"/>
  <c r="AA231" i="4"/>
  <c r="Z230" i="4" l="1"/>
  <c r="AC240" i="4" s="1"/>
  <c r="AA230" i="4"/>
  <c r="AA232" i="4"/>
  <c r="Z232" i="4"/>
  <c r="AM240" i="4" l="1"/>
  <c r="AN240" i="4" s="1"/>
  <c r="AD240" i="4"/>
  <c r="F1182" i="3" s="1"/>
  <c r="T1182" i="3" s="1"/>
  <c r="V1182" i="3" s="1"/>
  <c r="G1202" i="6" s="1"/>
  <c r="W1182" i="3" s="1"/>
  <c r="AC241" i="4"/>
  <c r="AM241" i="4" s="1"/>
  <c r="AN241" i="4" s="1"/>
  <c r="AC242" i="4"/>
  <c r="AC185" i="4"/>
  <c r="AC238" i="4"/>
  <c r="AC239" i="4"/>
  <c r="AC236" i="4"/>
  <c r="AD236" i="4" s="1"/>
  <c r="AC237" i="4"/>
  <c r="AC234" i="4"/>
  <c r="AC235" i="4"/>
  <c r="AC183" i="4"/>
  <c r="AC184" i="4"/>
  <c r="AC169" i="4"/>
  <c r="AC170" i="4"/>
  <c r="AC176" i="4"/>
  <c r="AC177" i="4"/>
  <c r="AC233" i="4"/>
  <c r="AC162" i="4"/>
  <c r="AC230" i="4"/>
  <c r="AD230" i="4" s="1"/>
  <c r="F1172" i="3" s="1"/>
  <c r="AD241" i="4" l="1"/>
  <c r="F1183" i="3" s="1"/>
  <c r="T1183" i="3" s="1"/>
  <c r="V1183" i="3" s="1"/>
  <c r="G1203" i="6" s="1"/>
  <c r="W1183" i="3" s="1"/>
  <c r="AM242" i="4"/>
  <c r="AN242" i="4" s="1"/>
  <c r="AD242" i="4"/>
  <c r="F1184" i="3" s="1"/>
  <c r="T1184" i="3" s="1"/>
  <c r="V1184" i="3" s="1"/>
  <c r="E1202" i="6"/>
  <c r="I1202" i="6"/>
  <c r="AC231" i="4"/>
  <c r="AC229" i="4"/>
  <c r="AD239" i="4"/>
  <c r="AM239" i="4"/>
  <c r="AN239" i="4" s="1"/>
  <c r="AC108" i="4"/>
  <c r="AC58" i="4"/>
  <c r="AM236" i="4"/>
  <c r="AN236" i="4" s="1"/>
  <c r="AC142" i="4"/>
  <c r="AC57" i="4"/>
  <c r="AC82" i="4"/>
  <c r="AC228" i="4"/>
  <c r="AC137" i="4"/>
  <c r="AC97" i="4"/>
  <c r="AC91" i="4"/>
  <c r="AD235" i="4"/>
  <c r="F1177" i="3" s="1"/>
  <c r="AM235" i="4"/>
  <c r="AN235" i="4" s="1"/>
  <c r="AC223" i="4"/>
  <c r="AC224" i="4"/>
  <c r="AC258" i="4"/>
  <c r="AC259" i="4"/>
  <c r="AC36" i="4"/>
  <c r="AC37" i="4"/>
  <c r="AC77" i="4"/>
  <c r="AC78" i="4"/>
  <c r="AC216" i="4"/>
  <c r="AC217" i="4"/>
  <c r="AC52" i="4"/>
  <c r="AC53" i="4"/>
  <c r="AC119" i="4"/>
  <c r="AC120" i="4"/>
  <c r="AC102" i="4"/>
  <c r="AC131" i="4"/>
  <c r="AC125" i="4"/>
  <c r="AC251" i="4"/>
  <c r="AC136" i="4"/>
  <c r="AC62" i="4"/>
  <c r="AC113" i="4"/>
  <c r="AC96" i="4"/>
  <c r="AM230" i="4"/>
  <c r="AN230" i="4" s="1"/>
  <c r="AB267" i="4"/>
  <c r="T1172" i="3"/>
  <c r="G1204" i="6" l="1"/>
  <c r="W1184" i="3" s="1"/>
  <c r="AC72" i="4"/>
  <c r="N1202" i="6"/>
  <c r="T1202" i="6" s="1"/>
  <c r="M1202" i="6"/>
  <c r="Q1202" i="6" s="1"/>
  <c r="J1202" i="6"/>
  <c r="I1203" i="6"/>
  <c r="E1203" i="6"/>
  <c r="AC47" i="4"/>
  <c r="AC49" i="4"/>
  <c r="AM231" i="4"/>
  <c r="AN231" i="4" s="1"/>
  <c r="AN232" i="4" s="1"/>
  <c r="AD231" i="4"/>
  <c r="F1173" i="3" s="1"/>
  <c r="F1181" i="3"/>
  <c r="AD243" i="4"/>
  <c r="AC90" i="4"/>
  <c r="AC73" i="4"/>
  <c r="AC45" i="4"/>
  <c r="AC43" i="4"/>
  <c r="AC44" i="4"/>
  <c r="AC68" i="4"/>
  <c r="AC85" i="4"/>
  <c r="AC86" i="4"/>
  <c r="T1177" i="3"/>
  <c r="F1178" i="3"/>
  <c r="F67" i="5" s="1"/>
  <c r="AC190" i="4"/>
  <c r="AC191" i="4"/>
  <c r="AC41" i="4"/>
  <c r="AC42" i="4"/>
  <c r="AC144" i="4"/>
  <c r="AC145" i="4"/>
  <c r="AC262" i="4"/>
  <c r="AC67" i="4"/>
  <c r="AC84" i="4"/>
  <c r="AB276" i="4"/>
  <c r="V1172" i="3"/>
  <c r="AM232" i="4" l="1"/>
  <c r="E1204" i="6"/>
  <c r="I1204" i="6"/>
  <c r="J1204" i="6" s="1"/>
  <c r="T1173" i="3"/>
  <c r="F1174" i="3"/>
  <c r="F66" i="5" s="1"/>
  <c r="N1203" i="6"/>
  <c r="T1203" i="6" s="1"/>
  <c r="M1203" i="6"/>
  <c r="Q1203" i="6" s="1"/>
  <c r="J1203" i="6"/>
  <c r="F1185" i="3"/>
  <c r="F68" i="5" s="1"/>
  <c r="T1181" i="3"/>
  <c r="AC196" i="4"/>
  <c r="AC197" i="4"/>
  <c r="AC194" i="4"/>
  <c r="AC195" i="4"/>
  <c r="V1177" i="3"/>
  <c r="T1178" i="3"/>
  <c r="U67" i="5" s="1"/>
  <c r="AC193" i="4"/>
  <c r="G1192" i="6"/>
  <c r="W1172" i="3" s="1"/>
  <c r="V1173" i="3" l="1"/>
  <c r="T1174" i="3"/>
  <c r="U66" i="5" s="1"/>
  <c r="T1185" i="3"/>
  <c r="U68" i="5" s="1"/>
  <c r="V1181" i="3"/>
  <c r="AC155" i="4"/>
  <c r="AC156" i="4"/>
  <c r="AC152" i="4"/>
  <c r="V1178" i="3"/>
  <c r="G1197" i="6"/>
  <c r="AC151" i="4"/>
  <c r="E1192" i="6"/>
  <c r="I1192" i="6"/>
  <c r="G1193" i="6" l="1"/>
  <c r="V1174" i="3"/>
  <c r="V1185" i="3"/>
  <c r="G1201" i="6"/>
  <c r="W1181" i="3" s="1"/>
  <c r="W1177" i="3"/>
  <c r="E1197" i="6"/>
  <c r="G1198" i="6"/>
  <c r="I1197" i="6"/>
  <c r="J1192" i="6"/>
  <c r="M1192" i="6"/>
  <c r="Q1192" i="6" s="1"/>
  <c r="N1192" i="6"/>
  <c r="W1178" i="3" l="1"/>
  <c r="G66" i="654"/>
  <c r="I1193" i="6"/>
  <c r="E1193" i="6"/>
  <c r="G1194" i="6"/>
  <c r="G65" i="654" s="1"/>
  <c r="W1173" i="3"/>
  <c r="G1205" i="6"/>
  <c r="E1201" i="6"/>
  <c r="I1201" i="6"/>
  <c r="I1198" i="6"/>
  <c r="I66" i="654" s="1"/>
  <c r="J1197" i="6"/>
  <c r="G66" i="2"/>
  <c r="E1198" i="6"/>
  <c r="T1192" i="6"/>
  <c r="W1185" i="3" l="1"/>
  <c r="G67" i="654"/>
  <c r="N65" i="654"/>
  <c r="E66" i="654"/>
  <c r="N66" i="654"/>
  <c r="M66" i="654" s="1"/>
  <c r="M1193" i="6"/>
  <c r="J1193" i="6"/>
  <c r="N1193" i="6"/>
  <c r="I1194" i="6"/>
  <c r="I65" i="654" s="1"/>
  <c r="E65" i="654" s="1"/>
  <c r="E1194" i="6"/>
  <c r="W1174" i="3"/>
  <c r="G65" i="2"/>
  <c r="N65" i="2" s="1"/>
  <c r="G67" i="2"/>
  <c r="N67" i="2" s="1"/>
  <c r="E1205" i="6"/>
  <c r="M1201" i="6"/>
  <c r="Q1201" i="6" s="1"/>
  <c r="I1205" i="6"/>
  <c r="I67" i="654" s="1"/>
  <c r="J1201" i="6"/>
  <c r="N1201" i="6"/>
  <c r="U1201" i="6" s="1"/>
  <c r="U1205" i="6" s="1"/>
  <c r="I66" i="2"/>
  <c r="E66" i="2" s="1"/>
  <c r="J1198" i="6"/>
  <c r="N66" i="2"/>
  <c r="E67" i="654" l="1"/>
  <c r="N67" i="654"/>
  <c r="M67" i="654" s="1"/>
  <c r="M65" i="654"/>
  <c r="M1194" i="6"/>
  <c r="Q1193" i="6"/>
  <c r="J1194" i="6"/>
  <c r="I65" i="2"/>
  <c r="E65" i="2" s="1"/>
  <c r="T1193" i="6"/>
  <c r="T1194" i="6" s="1"/>
  <c r="N1194" i="6"/>
  <c r="J1205" i="6"/>
  <c r="I67" i="2"/>
  <c r="E67" i="2" s="1"/>
  <c r="M66" i="2"/>
  <c r="M67" i="2" l="1"/>
  <c r="Q1194" i="6"/>
  <c r="M65" i="2"/>
  <c r="F1161" i="6" l="1"/>
  <c r="AL199" i="4"/>
  <c r="Y199" i="4"/>
  <c r="F1228" i="6" l="1"/>
  <c r="F1237" i="6" s="1"/>
  <c r="F1269" i="6" s="1"/>
  <c r="AO199" i="4"/>
  <c r="AL266" i="4"/>
  <c r="Y266" i="4"/>
  <c r="Y275" i="4" s="1"/>
  <c r="AO266" i="4" l="1"/>
  <c r="AL275" i="4"/>
  <c r="AO275" i="4" s="1"/>
  <c r="AB266" i="4"/>
  <c r="AC209" i="4" l="1"/>
  <c r="AC210" i="4"/>
  <c r="AC206" i="4"/>
  <c r="AC204" i="4"/>
  <c r="AM204" i="4" s="1"/>
  <c r="AN204" i="4" s="1"/>
  <c r="AC203" i="4"/>
  <c r="AM203" i="4" s="1"/>
  <c r="AN203" i="4" s="1"/>
  <c r="AC205" i="4"/>
  <c r="AC268" i="4"/>
  <c r="AC201" i="4"/>
  <c r="AC202" i="4"/>
  <c r="AB275" i="4"/>
  <c r="AD203" i="4" l="1"/>
  <c r="AD204" i="4" s="1"/>
  <c r="F26" i="137"/>
  <c r="Q843" i="3" s="1"/>
  <c r="AC278" i="4"/>
  <c r="AC271" i="4"/>
  <c r="AC272" i="4"/>
  <c r="Q887" i="3" l="1"/>
  <c r="F1145" i="3"/>
  <c r="T1145" i="3" s="1"/>
  <c r="D27" i="137"/>
  <c r="F25" i="137"/>
  <c r="AC277" i="4"/>
  <c r="F1146" i="3" l="1"/>
  <c r="F62" i="5" s="1"/>
  <c r="Q842" i="3"/>
  <c r="F27" i="137"/>
  <c r="T1146" i="3"/>
  <c r="U62" i="5" s="1"/>
  <c r="V1145" i="3"/>
  <c r="W1192" i="6" l="1"/>
  <c r="W1193" i="6"/>
  <c r="W1202" i="6"/>
  <c r="W1203" i="6"/>
  <c r="W1201" i="6"/>
  <c r="Q886" i="3"/>
  <c r="Q889" i="3" s="1"/>
  <c r="Q844" i="3"/>
  <c r="V1146" i="3"/>
  <c r="W1146" i="3" s="1"/>
  <c r="W1145" i="3"/>
  <c r="Q892" i="3" l="1"/>
  <c r="Q33" i="5"/>
  <c r="Q34" i="5" s="1"/>
  <c r="Q923" i="3" l="1"/>
  <c r="Q1227" i="3"/>
  <c r="Q39" i="5" l="1"/>
  <c r="Q40" i="5" s="1"/>
  <c r="Q43" i="5" s="1"/>
  <c r="Q46" i="5" s="1"/>
  <c r="Q933" i="3"/>
  <c r="Q936" i="3" s="1"/>
  <c r="Q939" i="3" s="1"/>
  <c r="Q1230" i="3"/>
  <c r="Q1234" i="3" s="1"/>
  <c r="Q1236" i="3" s="1"/>
  <c r="Q1241" i="3" s="1"/>
  <c r="Q71" i="5" l="1"/>
  <c r="Q72" i="5" s="1"/>
  <c r="Q75" i="5" s="1"/>
  <c r="Q1248" i="3"/>
  <c r="Q1251" i="3"/>
  <c r="W1165" i="6" l="1"/>
  <c r="W1166" i="6"/>
  <c r="J60" i="2" l="1"/>
  <c r="J60" i="654"/>
  <c r="Y60" i="654" s="1"/>
  <c r="L60" i="2" l="1"/>
  <c r="L60" i="654"/>
  <c r="O60" i="654"/>
  <c r="D61" i="49" l="1"/>
  <c r="D45" i="49"/>
  <c r="H45" i="49" s="1"/>
  <c r="N42" i="52" s="1"/>
  <c r="H61" i="49" l="1"/>
  <c r="N58" i="52" s="1"/>
  <c r="D53" i="49"/>
  <c r="H53" i="49" s="1"/>
  <c r="N50" i="52" s="1"/>
  <c r="D64" i="49"/>
  <c r="D26" i="49" s="1"/>
  <c r="D30" i="49"/>
  <c r="H30" i="49" s="1"/>
  <c r="H64" i="49" l="1"/>
  <c r="N61" i="52" s="1"/>
  <c r="E7" i="49"/>
  <c r="M11" i="52"/>
  <c r="H26" i="49"/>
  <c r="D9" i="49" s="1"/>
  <c r="AE1015" i="6"/>
  <c r="AE778" i="6"/>
  <c r="AE895" i="6"/>
  <c r="AE705" i="6"/>
  <c r="AE665" i="6"/>
  <c r="AE746" i="6"/>
  <c r="AE405" i="6"/>
  <c r="AE742" i="6"/>
  <c r="AC742" i="6"/>
  <c r="AE752" i="6"/>
  <c r="AE799" i="6"/>
  <c r="AE875" i="6"/>
  <c r="AE923" i="6"/>
  <c r="AE938" i="6"/>
  <c r="AE1088" i="6"/>
  <c r="AE1166" i="6"/>
  <c r="AE30" i="6"/>
  <c r="AE38" i="6"/>
  <c r="AE53" i="6"/>
  <c r="AE62" i="6"/>
  <c r="AE84" i="6"/>
  <c r="AE92" i="6"/>
  <c r="AE111" i="6"/>
  <c r="AE119" i="6"/>
  <c r="AE138" i="6"/>
  <c r="AE162" i="6"/>
  <c r="AE180" i="6"/>
  <c r="AE197" i="6"/>
  <c r="AE210" i="6"/>
  <c r="AE226" i="6"/>
  <c r="AE234" i="6"/>
  <c r="AE261" i="6"/>
  <c r="AE275" i="6"/>
  <c r="AE291" i="6"/>
  <c r="AE311" i="6"/>
  <c r="AE325" i="6"/>
  <c r="AE365" i="6"/>
  <c r="AE422" i="6"/>
  <c r="AE430" i="6"/>
  <c r="AE446" i="6"/>
  <c r="AE460" i="6"/>
  <c r="AE476" i="6"/>
  <c r="AE486" i="6"/>
  <c r="AE524" i="6"/>
  <c r="AE532" i="6"/>
  <c r="AE548" i="6"/>
  <c r="AE564" i="6"/>
  <c r="AE572" i="6"/>
  <c r="AE588" i="6"/>
  <c r="AE604" i="6"/>
  <c r="AE666" i="6"/>
  <c r="AE747" i="6"/>
  <c r="AE800" i="6"/>
  <c r="AE876" i="6"/>
  <c r="AE930" i="6"/>
  <c r="AE1059" i="6"/>
  <c r="AE1082" i="6"/>
  <c r="AE1109" i="6"/>
  <c r="AE1227" i="6"/>
  <c r="AE27" i="6"/>
  <c r="AE54" i="6"/>
  <c r="AE77" i="6"/>
  <c r="AE93" i="6"/>
  <c r="AE120" i="6"/>
  <c r="AE144" i="6"/>
  <c r="AE169" i="6"/>
  <c r="AE185" i="6"/>
  <c r="AE215" i="6"/>
  <c r="AE223" i="6"/>
  <c r="AE235" i="6"/>
  <c r="AE284" i="6"/>
  <c r="AE300" i="6"/>
  <c r="AE321" i="6"/>
  <c r="AE341" i="6"/>
  <c r="AE357" i="6"/>
  <c r="AE382" i="6"/>
  <c r="AE427" i="6"/>
  <c r="AE920" i="6"/>
  <c r="AE415" i="6"/>
  <c r="AE397" i="6"/>
  <c r="AC665" i="6"/>
  <c r="AC746" i="6"/>
  <c r="AC795" i="6"/>
  <c r="AE795" i="6"/>
  <c r="AE879" i="6"/>
  <c r="AC879" i="6"/>
  <c r="AE929" i="6"/>
  <c r="AC1088" i="6"/>
  <c r="AC1166" i="6"/>
  <c r="AE20" i="6"/>
  <c r="AC34" i="6"/>
  <c r="AE34" i="6"/>
  <c r="AE57" i="6"/>
  <c r="AC57" i="6"/>
  <c r="AE72" i="6"/>
  <c r="AC92" i="6"/>
  <c r="AC111" i="6"/>
  <c r="AE128" i="6"/>
  <c r="AC153" i="6"/>
  <c r="AE153" i="6"/>
  <c r="AE192" i="6"/>
  <c r="AC192" i="6"/>
  <c r="AE202" i="6"/>
  <c r="AC226" i="6"/>
  <c r="AC234" i="6"/>
  <c r="AE271" i="6"/>
  <c r="AC279" i="6"/>
  <c r="AE279" i="6"/>
  <c r="AE315" i="6"/>
  <c r="AC315" i="6"/>
  <c r="AE348" i="6"/>
  <c r="AC422" i="6"/>
  <c r="AE400" i="6"/>
  <c r="AE395" i="6"/>
  <c r="AC752" i="6"/>
  <c r="AC827" i="6"/>
  <c r="AE827" i="6"/>
  <c r="AC929" i="6"/>
  <c r="AE942" i="6"/>
  <c r="AC942" i="6"/>
  <c r="AE1149" i="6"/>
  <c r="AC30" i="6"/>
  <c r="AC47" i="6"/>
  <c r="AE47" i="6"/>
  <c r="AC72" i="6"/>
  <c r="AE88" i="6"/>
  <c r="AC88" i="6"/>
  <c r="AE101" i="6"/>
  <c r="AC119" i="6"/>
  <c r="AC138" i="6"/>
  <c r="AC176" i="6"/>
  <c r="AE176" i="6"/>
  <c r="AC202" i="6"/>
  <c r="AE214" i="6"/>
  <c r="AC214" i="6"/>
  <c r="AE230" i="6"/>
  <c r="AC261" i="6"/>
  <c r="AC275" i="6"/>
  <c r="AC307" i="6"/>
  <c r="AE307" i="6"/>
  <c r="AC348" i="6"/>
  <c r="AE381" i="6"/>
  <c r="AC381" i="6"/>
  <c r="AE411" i="6"/>
  <c r="AC430" i="6"/>
  <c r="AC446" i="6"/>
  <c r="AC799" i="6"/>
  <c r="AE1174" i="6"/>
  <c r="AC1174" i="6"/>
  <c r="AC53" i="6"/>
  <c r="AC101" i="6"/>
  <c r="AC162" i="6"/>
  <c r="AE243" i="6"/>
  <c r="AC243" i="6"/>
  <c r="AC311" i="6"/>
  <c r="AC411" i="6"/>
  <c r="AE472" i="6"/>
  <c r="AC486" i="6"/>
  <c r="AC524" i="6"/>
  <c r="AE544" i="6"/>
  <c r="AC552" i="6"/>
  <c r="AE552" i="6"/>
  <c r="AE584" i="6"/>
  <c r="AC584" i="6"/>
  <c r="AE592" i="6"/>
  <c r="AC666" i="6"/>
  <c r="AC747" i="6"/>
  <c r="AE828" i="6"/>
  <c r="AC880" i="6"/>
  <c r="AE880" i="6"/>
  <c r="AE1071" i="6"/>
  <c r="AC1071" i="6"/>
  <c r="AE1090" i="6"/>
  <c r="AC1227" i="6"/>
  <c r="AE39" i="6"/>
  <c r="AC63" i="6"/>
  <c r="AE63" i="6"/>
  <c r="AE108" i="6"/>
  <c r="AC108" i="6"/>
  <c r="AE135" i="6"/>
  <c r="AC169" i="6"/>
  <c r="AC185" i="6"/>
  <c r="AE219" i="6"/>
  <c r="AC231" i="6"/>
  <c r="AE231" i="6"/>
  <c r="AE288" i="6"/>
  <c r="AC288" i="6"/>
  <c r="AE316" i="6"/>
  <c r="AC341" i="6"/>
  <c r="AC357" i="6"/>
  <c r="AE412" i="6"/>
  <c r="AC431" i="6"/>
  <c r="AE431" i="6"/>
  <c r="AE447" i="6"/>
  <c r="AE456" i="6"/>
  <c r="AE465" i="6"/>
  <c r="AE487" i="6"/>
  <c r="AE495" i="6"/>
  <c r="AE529" i="6"/>
  <c r="AE537" i="6"/>
  <c r="AE740" i="6"/>
  <c r="AE793" i="6"/>
  <c r="AE921" i="6"/>
  <c r="AE944" i="6"/>
  <c r="AE1192" i="6"/>
  <c r="AE18" i="6"/>
  <c r="AE36" i="6"/>
  <c r="AE55" i="6"/>
  <c r="AE64" i="6"/>
  <c r="AE74" i="6"/>
  <c r="AE90" i="6"/>
  <c r="AE113" i="6"/>
  <c r="AE126" i="6"/>
  <c r="AE151" i="6"/>
  <c r="AE164" i="6"/>
  <c r="AE178" i="6"/>
  <c r="AE194" i="6"/>
  <c r="AE224" i="6"/>
  <c r="AE236" i="6"/>
  <c r="AE273" i="6"/>
  <c r="AE293" i="6"/>
  <c r="AE309" i="6"/>
  <c r="AE338" i="6"/>
  <c r="AE354" i="6"/>
  <c r="AE420" i="6"/>
  <c r="AE436" i="6"/>
  <c r="AE452" i="6"/>
  <c r="AE466" i="6"/>
  <c r="AE492" i="6"/>
  <c r="AE522" i="6"/>
  <c r="AE538" i="6"/>
  <c r="AE741" i="6"/>
  <c r="AE790" i="6"/>
  <c r="AE798" i="6"/>
  <c r="AE874" i="6"/>
  <c r="AE1094" i="6"/>
  <c r="AE1187" i="6"/>
  <c r="AE25" i="6"/>
  <c r="AE41" i="6"/>
  <c r="AE56" i="6"/>
  <c r="AE65" i="6"/>
  <c r="AE79" i="6"/>
  <c r="AE95" i="6"/>
  <c r="AE110" i="6"/>
  <c r="AE133" i="6"/>
  <c r="AE146" i="6"/>
  <c r="AE171" i="6"/>
  <c r="AE187" i="6"/>
  <c r="AE201" i="6"/>
  <c r="AE221" i="6"/>
  <c r="AE266" i="6"/>
  <c r="AE282" i="6"/>
  <c r="AE298" i="6"/>
  <c r="AE306" i="6"/>
  <c r="AE324" i="6"/>
  <c r="AE339" i="6"/>
  <c r="AE347" i="6"/>
  <c r="AE359" i="6"/>
  <c r="AE380" i="6"/>
  <c r="AE396" i="6"/>
  <c r="AE421" i="6"/>
  <c r="AE437" i="6"/>
  <c r="AE445" i="6"/>
  <c r="AE471" i="6"/>
  <c r="AE485" i="6"/>
  <c r="AE501" i="6"/>
  <c r="AE527" i="6"/>
  <c r="AE543" i="6"/>
  <c r="AE559" i="6"/>
  <c r="AE567" i="6"/>
  <c r="AE583" i="6"/>
  <c r="AE599" i="6"/>
  <c r="AE607" i="6"/>
  <c r="AE577" i="6"/>
  <c r="AE612" i="6"/>
  <c r="AE628" i="6"/>
  <c r="AE636" i="6"/>
  <c r="AE637" i="6"/>
  <c r="AE629" i="6"/>
  <c r="AE613" i="6"/>
  <c r="AE597" i="6"/>
  <c r="AE589" i="6"/>
  <c r="AE557" i="6"/>
  <c r="AE549" i="6"/>
  <c r="AE578" i="6"/>
  <c r="AE602" i="6"/>
  <c r="AE618" i="6"/>
  <c r="AE649" i="6"/>
  <c r="AE627" i="6"/>
  <c r="AE619" i="6"/>
  <c r="AE558" i="6"/>
  <c r="AE598" i="6"/>
  <c r="AC329" i="6"/>
  <c r="AE329" i="6" s="1"/>
  <c r="AC395" i="6"/>
  <c r="AC370" i="6"/>
  <c r="AE370" i="6" s="1"/>
  <c r="AC400" i="6"/>
  <c r="AC416" i="6"/>
  <c r="AE416" i="6" s="1"/>
  <c r="AC363" i="6"/>
  <c r="AE363" i="6" s="1"/>
  <c r="AC506" i="6"/>
  <c r="AE506" i="6" s="1"/>
  <c r="AC774" i="6"/>
  <c r="AE774" i="6" s="1"/>
  <c r="AC759" i="6"/>
  <c r="AE759" i="6" s="1"/>
  <c r="AC721" i="6"/>
  <c r="AE721" i="6" s="1"/>
  <c r="AC870" i="6"/>
  <c r="AE870" i="6" s="1"/>
  <c r="AC696" i="6"/>
  <c r="AE696" i="6" s="1"/>
  <c r="AC716" i="6"/>
  <c r="AE716" i="6" s="1"/>
  <c r="AC661" i="6"/>
  <c r="AE661" i="6" s="1"/>
  <c r="AC860" i="6"/>
  <c r="AE860" i="6" s="1"/>
  <c r="AC731" i="6"/>
  <c r="AE731" i="6" s="1"/>
  <c r="AC701" i="6"/>
  <c r="AE701" i="6" s="1"/>
  <c r="AC779" i="6"/>
  <c r="AE779" i="6" s="1"/>
  <c r="AC804" i="6"/>
  <c r="AE804" i="6" s="1"/>
  <c r="AC914" i="6"/>
  <c r="AE914" i="6" s="1"/>
  <c r="AE670" i="6"/>
  <c r="AC670" i="6"/>
  <c r="AE672" i="6"/>
  <c r="AC672" i="6"/>
  <c r="AC128" i="6"/>
  <c r="AC180" i="6"/>
  <c r="AC210" i="6"/>
  <c r="AC291" i="6"/>
  <c r="AC325" i="6"/>
  <c r="AC460" i="6"/>
  <c r="AE480" i="6"/>
  <c r="AC480" i="6"/>
  <c r="AC528" i="6"/>
  <c r="AE528" i="6"/>
  <c r="AC548" i="6"/>
  <c r="AC564" i="6"/>
  <c r="AC592" i="6"/>
  <c r="AC608" i="6"/>
  <c r="AE608" i="6"/>
  <c r="AE671" i="6"/>
  <c r="AC800" i="6"/>
  <c r="AE1048" i="6"/>
  <c r="AC1048" i="6"/>
  <c r="AC81" i="6"/>
  <c r="AE81" i="6"/>
  <c r="AC144" i="6"/>
  <c r="AE173" i="6"/>
  <c r="AE189" i="6"/>
  <c r="AC189" i="6"/>
  <c r="AC219" i="6"/>
  <c r="AC284" i="6"/>
  <c r="AC300" i="6"/>
  <c r="AE326" i="6"/>
  <c r="AC326" i="6"/>
  <c r="AC366" i="6"/>
  <c r="AE366" i="6"/>
  <c r="AC427" i="6"/>
  <c r="AE451" i="6"/>
  <c r="AC451" i="6"/>
  <c r="AE461" i="6"/>
  <c r="AC487" i="6"/>
  <c r="AC495" i="6"/>
  <c r="AE533" i="6"/>
  <c r="AC667" i="6"/>
  <c r="AE667" i="6"/>
  <c r="AE881" i="6"/>
  <c r="AC881" i="6"/>
  <c r="AE940" i="6"/>
  <c r="AC1192" i="6"/>
  <c r="AC18" i="6"/>
  <c r="AE45" i="6"/>
  <c r="AC59" i="6"/>
  <c r="AE59" i="6"/>
  <c r="AE86" i="6"/>
  <c r="AC86" i="6"/>
  <c r="AE99" i="6"/>
  <c r="AC126" i="6"/>
  <c r="AC151" i="6"/>
  <c r="AE174" i="6"/>
  <c r="AC182" i="6"/>
  <c r="AE182" i="6"/>
  <c r="AE232" i="6"/>
  <c r="AC232" i="6"/>
  <c r="AE252" i="6"/>
  <c r="AC293" i="6"/>
  <c r="AC309" i="6"/>
  <c r="AE350" i="6"/>
  <c r="AC358" i="6"/>
  <c r="AE358" i="6"/>
  <c r="AE432" i="6"/>
  <c r="AC432" i="6"/>
  <c r="AE440" i="6"/>
  <c r="AC466" i="6"/>
  <c r="AC492" i="6"/>
  <c r="AE534" i="6"/>
  <c r="AC542" i="6"/>
  <c r="AE542" i="6"/>
  <c r="AE794" i="6"/>
  <c r="AC794" i="6"/>
  <c r="AE826" i="6"/>
  <c r="AC1094" i="6"/>
  <c r="AE1268" i="6"/>
  <c r="AC29" i="6"/>
  <c r="AE29" i="6"/>
  <c r="AE60" i="6"/>
  <c r="AC60" i="6"/>
  <c r="AE75" i="6"/>
  <c r="AC95" i="6"/>
  <c r="AC110" i="6"/>
  <c r="AE137" i="6"/>
  <c r="AC156" i="6"/>
  <c r="AE156" i="6"/>
  <c r="AE191" i="6"/>
  <c r="AC191" i="6"/>
  <c r="AE217" i="6"/>
  <c r="AC266" i="6"/>
  <c r="AC282" i="6"/>
  <c r="AE302" i="6"/>
  <c r="AC318" i="6"/>
  <c r="AE318" i="6"/>
  <c r="AE343" i="6"/>
  <c r="AC343" i="6"/>
  <c r="AE355" i="6"/>
  <c r="AC380" i="6"/>
  <c r="AC396" i="6"/>
  <c r="AE425" i="6"/>
  <c r="AC441" i="6"/>
  <c r="AE441" i="6"/>
  <c r="AE475" i="6"/>
  <c r="AC475" i="6"/>
  <c r="AE497" i="6"/>
  <c r="AC527" i="6"/>
  <c r="AC543" i="6"/>
  <c r="AE563" i="6"/>
  <c r="AC579" i="6"/>
  <c r="AE579" i="6"/>
  <c r="AE603" i="6"/>
  <c r="AC603" i="6"/>
  <c r="AE573" i="6"/>
  <c r="AC612" i="6"/>
  <c r="AC628" i="6"/>
  <c r="AE640" i="6"/>
  <c r="AE633" i="6"/>
  <c r="AC633" i="6"/>
  <c r="AC609" i="6"/>
  <c r="AE609" i="6"/>
  <c r="AE593" i="6"/>
  <c r="AC557" i="6"/>
  <c r="AC549" i="6"/>
  <c r="AE562" i="6"/>
  <c r="AC614" i="6"/>
  <c r="AE614" i="6"/>
  <c r="AC635" i="6"/>
  <c r="AE635" i="6"/>
  <c r="AE623" i="6"/>
  <c r="AC558" i="6"/>
  <c r="AC598" i="6"/>
  <c r="AC320" i="6"/>
  <c r="AE320" i="6" s="1"/>
  <c r="AC244" i="6"/>
  <c r="AE244" i="6" s="1"/>
  <c r="AC239" i="6"/>
  <c r="AE239" i="6" s="1"/>
  <c r="AC196" i="6"/>
  <c r="AE196" i="6" s="1"/>
  <c r="AC167" i="6"/>
  <c r="AE167" i="6" s="1"/>
  <c r="AC253" i="6"/>
  <c r="AE253" i="6" s="1"/>
  <c r="AC50" i="6"/>
  <c r="AE50" i="6" s="1"/>
  <c r="AC206" i="6"/>
  <c r="AE206" i="6" s="1"/>
  <c r="AC331" i="6"/>
  <c r="AE331" i="6" s="1"/>
  <c r="AC405" i="6"/>
  <c r="AC407" i="6"/>
  <c r="AE407" i="6" s="1"/>
  <c r="AC417" i="6"/>
  <c r="AE417" i="6" s="1"/>
  <c r="AC481" i="6"/>
  <c r="AE481" i="6" s="1"/>
  <c r="AC1040" i="6"/>
  <c r="AE1040" i="6" s="1"/>
  <c r="AC726" i="6"/>
  <c r="AE726" i="6" s="1"/>
  <c r="AC736" i="6"/>
  <c r="AE736" i="6" s="1"/>
  <c r="AC865" i="6"/>
  <c r="AE865" i="6" s="1"/>
  <c r="AC817" i="6"/>
  <c r="AE817" i="6" s="1"/>
  <c r="AC676" i="6"/>
  <c r="AE676" i="6" s="1"/>
  <c r="AC656" i="6"/>
  <c r="AE656" i="6" s="1"/>
  <c r="AC1203" i="6"/>
  <c r="AE1203" i="6" s="1"/>
  <c r="AC1076" i="6"/>
  <c r="AE1076" i="6" s="1"/>
  <c r="AC1193" i="6"/>
  <c r="AE1193" i="6" s="1"/>
  <c r="AC1007" i="6"/>
  <c r="AE1007" i="6" s="1"/>
  <c r="AC1053" i="6"/>
  <c r="AE1053" i="6" s="1"/>
  <c r="AC1084" i="6"/>
  <c r="AE1084" i="6" s="1"/>
  <c r="AC1101" i="6"/>
  <c r="AE1101" i="6" s="1"/>
  <c r="AC1078" i="6"/>
  <c r="AE1078" i="6" s="1"/>
  <c r="AC1222" i="6"/>
  <c r="AE1222" i="6" s="1"/>
  <c r="AC1216" i="6"/>
  <c r="AE1216" i="6" s="1"/>
  <c r="AC931" i="6"/>
  <c r="AE931" i="6" s="1"/>
  <c r="AE402" i="6"/>
  <c r="AC406" i="6"/>
  <c r="AE406" i="6" s="1"/>
  <c r="AC875" i="6"/>
  <c r="AC938" i="6"/>
  <c r="AC38" i="6"/>
  <c r="AC62" i="6"/>
  <c r="AC365" i="6"/>
  <c r="AE426" i="6"/>
  <c r="AC426" i="6"/>
  <c r="AC442" i="6"/>
  <c r="AE442" i="6"/>
  <c r="AC472" i="6"/>
  <c r="AC490" i="6"/>
  <c r="AE490" i="6"/>
  <c r="AC532" i="6"/>
  <c r="AE568" i="6"/>
  <c r="AC568" i="6"/>
  <c r="AC1109" i="6"/>
  <c r="AE1236" i="6"/>
  <c r="AC1236" i="6"/>
  <c r="AC39" i="6"/>
  <c r="AC93" i="6"/>
  <c r="AC120" i="6"/>
  <c r="AE158" i="6"/>
  <c r="AC158" i="6"/>
  <c r="AC173" i="6"/>
  <c r="AC223" i="6"/>
  <c r="AC235" i="6"/>
  <c r="AC316" i="6"/>
  <c r="AC353" i="6"/>
  <c r="AE353" i="6"/>
  <c r="AC382" i="6"/>
  <c r="AC435" i="6"/>
  <c r="AE435" i="6"/>
  <c r="AC461" i="6"/>
  <c r="AE477" i="6"/>
  <c r="AC477" i="6"/>
  <c r="AE491" i="6"/>
  <c r="AC529" i="6"/>
  <c r="AC537" i="6"/>
  <c r="AC789" i="6"/>
  <c r="AE789" i="6"/>
  <c r="AC940" i="6"/>
  <c r="AE1119" i="6"/>
  <c r="AC1119" i="6"/>
  <c r="AE1202" i="6"/>
  <c r="AC36" i="6"/>
  <c r="AC55" i="6"/>
  <c r="AC70" i="6"/>
  <c r="AE70" i="6"/>
  <c r="AC99" i="6"/>
  <c r="AE117" i="6"/>
  <c r="AC117" i="6"/>
  <c r="AE140" i="6"/>
  <c r="AC164" i="6"/>
  <c r="AC178" i="6"/>
  <c r="AC212" i="6"/>
  <c r="AE212" i="6"/>
  <c r="AC252" i="6"/>
  <c r="AE289" i="6"/>
  <c r="AC289" i="6"/>
  <c r="AE297" i="6"/>
  <c r="AC338" i="6"/>
  <c r="AC354" i="6"/>
  <c r="AC401" i="6"/>
  <c r="AE401" i="6"/>
  <c r="AC440" i="6"/>
  <c r="AE462" i="6"/>
  <c r="AC462" i="6"/>
  <c r="AE470" i="6"/>
  <c r="AC522" i="6"/>
  <c r="AC538" i="6"/>
  <c r="AC745" i="6"/>
  <c r="AE745" i="6"/>
  <c r="AC826" i="6"/>
  <c r="AE1065" i="6"/>
  <c r="AC1187" i="6"/>
  <c r="AC25" i="6"/>
  <c r="AC52" i="6"/>
  <c r="AE52" i="6"/>
  <c r="AC75" i="6"/>
  <c r="AE83" i="6"/>
  <c r="AC83" i="6"/>
  <c r="AE106" i="6"/>
  <c r="AC133" i="6"/>
  <c r="AC146" i="6"/>
  <c r="AC183" i="6"/>
  <c r="AE183" i="6"/>
  <c r="AC217" i="6"/>
  <c r="AE229" i="6"/>
  <c r="AC229" i="6"/>
  <c r="AE270" i="6"/>
  <c r="AC298" i="6"/>
  <c r="AC306" i="6"/>
  <c r="AC330" i="6"/>
  <c r="AE330" i="6"/>
  <c r="AC355" i="6"/>
  <c r="AE364" i="6"/>
  <c r="AC364" i="6"/>
  <c r="AE391" i="6"/>
  <c r="AC421" i="6"/>
  <c r="AC437" i="6"/>
  <c r="AC467" i="6"/>
  <c r="AE467" i="6"/>
  <c r="AC497" i="6"/>
  <c r="AE523" i="6"/>
  <c r="AC523" i="6"/>
  <c r="AE539" i="6"/>
  <c r="AC559" i="6"/>
  <c r="AC567" i="6"/>
  <c r="AC587" i="6"/>
  <c r="AE587" i="6"/>
  <c r="AC573" i="6"/>
  <c r="AE582" i="6"/>
  <c r="AC582" i="6"/>
  <c r="AE624" i="6"/>
  <c r="AC636" i="6"/>
  <c r="AC637" i="6"/>
  <c r="AE617" i="6"/>
  <c r="AC617" i="6"/>
  <c r="AC593" i="6"/>
  <c r="AC569" i="6"/>
  <c r="AE569" i="6"/>
  <c r="AE553" i="6"/>
  <c r="AC578" i="6"/>
  <c r="AC602" i="6"/>
  <c r="AC622" i="6"/>
  <c r="AE622" i="6"/>
  <c r="AC623" i="6"/>
  <c r="AE554" i="6"/>
  <c r="AC554" i="6"/>
  <c r="AE594" i="6"/>
  <c r="AC43" i="6"/>
  <c r="AE43" i="6" s="1"/>
  <c r="AC246" i="6"/>
  <c r="AE246" i="6" s="1"/>
  <c r="AC61" i="6"/>
  <c r="AE61" i="6" s="1"/>
  <c r="AC66" i="6"/>
  <c r="AE66" i="6" s="1"/>
  <c r="AC248" i="6"/>
  <c r="AE248" i="6" s="1"/>
  <c r="AC257" i="6"/>
  <c r="AE257" i="6"/>
  <c r="AC262" i="6"/>
  <c r="AE262" i="6" s="1"/>
  <c r="AC147" i="6"/>
  <c r="AE147" i="6" s="1"/>
  <c r="AC205" i="6"/>
  <c r="AE205" i="6" s="1"/>
  <c r="AC402" i="6"/>
  <c r="AC415" i="6"/>
  <c r="AC482" i="6"/>
  <c r="AE482" i="6" s="1"/>
  <c r="AC784" i="6"/>
  <c r="AE784" i="6" s="1"/>
  <c r="AC769" i="6"/>
  <c r="AE769" i="6" s="1"/>
  <c r="AC711" i="6"/>
  <c r="AE711" i="6" s="1"/>
  <c r="AC812" i="6"/>
  <c r="AE812" i="6" s="1"/>
  <c r="AC712" i="6"/>
  <c r="AE712" i="6" s="1"/>
  <c r="AC778" i="6"/>
  <c r="AC710" i="6"/>
  <c r="AE710" i="6"/>
  <c r="AC780" i="6"/>
  <c r="AE780" i="6" s="1"/>
  <c r="AC1099" i="6"/>
  <c r="AE1099" i="6"/>
  <c r="AC1141" i="6"/>
  <c r="AE1141" i="6" s="1"/>
  <c r="AC1180" i="6"/>
  <c r="AE1180" i="6" s="1"/>
  <c r="AC840" i="6"/>
  <c r="AE840" i="6" s="1"/>
  <c r="AC832" i="6"/>
  <c r="AE832" i="6" s="1"/>
  <c r="AC1160" i="6"/>
  <c r="AE1160" i="6" s="1"/>
  <c r="AC16" i="6"/>
  <c r="AE16" i="6" s="1"/>
  <c r="AC200" i="6"/>
  <c r="AE200" i="6" s="1"/>
  <c r="AC20" i="6"/>
  <c r="AE115" i="6"/>
  <c r="AC115" i="6"/>
  <c r="AC197" i="6"/>
  <c r="AC271" i="6"/>
  <c r="AE450" i="6"/>
  <c r="AC450" i="6"/>
  <c r="AC604" i="6"/>
  <c r="AE788" i="6"/>
  <c r="AC788" i="6"/>
  <c r="AC1082" i="6"/>
  <c r="AC54" i="6"/>
  <c r="AC215" i="6"/>
  <c r="AE280" i="6"/>
  <c r="AC280" i="6"/>
  <c r="AE505" i="6"/>
  <c r="AC505" i="6"/>
  <c r="AC793" i="6"/>
  <c r="AC1202" i="6"/>
  <c r="AC64" i="6"/>
  <c r="AE155" i="6"/>
  <c r="AC155" i="6"/>
  <c r="AC224" i="6"/>
  <c r="AC297" i="6"/>
  <c r="AE496" i="6"/>
  <c r="AC496" i="6"/>
  <c r="AC790" i="6"/>
  <c r="AC1065" i="6"/>
  <c r="AC41" i="6"/>
  <c r="AE122" i="6"/>
  <c r="AC122" i="6"/>
  <c r="AC187" i="6"/>
  <c r="AC270" i="6"/>
  <c r="AC324" i="6"/>
  <c r="AE410" i="6"/>
  <c r="AC410" i="6"/>
  <c r="AC471" i="6"/>
  <c r="AC539" i="6"/>
  <c r="AC583" i="6"/>
  <c r="AE632" i="6"/>
  <c r="AC632" i="6"/>
  <c r="AC613" i="6"/>
  <c r="AC553" i="6"/>
  <c r="AC618" i="6"/>
  <c r="AC102" i="6"/>
  <c r="AE102" i="6" s="1"/>
  <c r="AC129" i="6"/>
  <c r="AE129" i="6" s="1"/>
  <c r="AC165" i="6"/>
  <c r="AE165" i="6" s="1"/>
  <c r="AC371" i="6"/>
  <c r="AE371" i="6" s="1"/>
  <c r="AC23" i="6"/>
  <c r="AE23" i="6" s="1"/>
  <c r="AC207" i="6"/>
  <c r="AE207" i="6" s="1"/>
  <c r="AC21" i="6"/>
  <c r="AE21" i="6" s="1"/>
  <c r="AC686" i="6"/>
  <c r="AE686" i="6" s="1"/>
  <c r="AC1120" i="6"/>
  <c r="AE1120" i="6" s="1"/>
  <c r="AC1209" i="6"/>
  <c r="AE1209" i="6" s="1"/>
  <c r="AC994" i="6"/>
  <c r="AE994" i="6" s="1"/>
  <c r="AC1030" i="6"/>
  <c r="AE1030" i="6" s="1"/>
  <c r="AC1067" i="6"/>
  <c r="AE1067" i="6" s="1"/>
  <c r="AC850" i="6"/>
  <c r="AE850" i="6" s="1"/>
  <c r="AC544" i="6"/>
  <c r="AC572" i="6"/>
  <c r="AC930" i="6"/>
  <c r="AC1090" i="6"/>
  <c r="AC321" i="6"/>
  <c r="AC456" i="6"/>
  <c r="AC944" i="6"/>
  <c r="AC45" i="6"/>
  <c r="AC90" i="6"/>
  <c r="AC273" i="6"/>
  <c r="AC350" i="6"/>
  <c r="AC436" i="6"/>
  <c r="AC874" i="6"/>
  <c r="AC1268" i="6"/>
  <c r="AC65" i="6"/>
  <c r="AC221" i="6"/>
  <c r="AC302" i="6"/>
  <c r="AC347" i="6"/>
  <c r="AC501" i="6"/>
  <c r="AC563" i="6"/>
  <c r="AC607" i="6"/>
  <c r="AC589" i="6"/>
  <c r="AC562" i="6"/>
  <c r="AC627" i="6"/>
  <c r="AC386" i="6"/>
  <c r="AE386" i="6" s="1"/>
  <c r="AC264" i="6"/>
  <c r="AE264" i="6" s="1"/>
  <c r="AC124" i="6"/>
  <c r="AE124" i="6" s="1"/>
  <c r="AC142" i="6"/>
  <c r="AE142" i="6" s="1"/>
  <c r="AC327" i="6"/>
  <c r="AE327" i="6" s="1"/>
  <c r="AC372" i="6"/>
  <c r="AE372" i="6" s="1"/>
  <c r="AC368" i="6"/>
  <c r="AE368" i="6" s="1"/>
  <c r="AC706" i="6"/>
  <c r="AE706" i="6" s="1"/>
  <c r="AC890" i="6"/>
  <c r="AE890" i="6" s="1"/>
  <c r="AC751" i="6"/>
  <c r="AE751" i="6" s="1"/>
  <c r="AC1035" i="6"/>
  <c r="AE1035" i="6" s="1"/>
  <c r="AC1020" i="6"/>
  <c r="AE1020" i="6" s="1"/>
  <c r="AC966" i="6"/>
  <c r="AE966" i="6" s="1"/>
  <c r="AC1025" i="6"/>
  <c r="AE1025" i="6" s="1"/>
  <c r="AC822" i="6"/>
  <c r="AE822" i="6" s="1"/>
  <c r="AC900" i="6"/>
  <c r="AE900" i="6" s="1"/>
  <c r="AC895" i="6"/>
  <c r="AC923" i="6"/>
  <c r="AC84" i="6"/>
  <c r="AC230" i="6"/>
  <c r="AC828" i="6"/>
  <c r="AC1059" i="6"/>
  <c r="AE1127" i="6"/>
  <c r="AC1127" i="6"/>
  <c r="AC77" i="6"/>
  <c r="AC135" i="6"/>
  <c r="AC447" i="6"/>
  <c r="AC491" i="6"/>
  <c r="AC740" i="6"/>
  <c r="AE32" i="6"/>
  <c r="AC32" i="6"/>
  <c r="AC74" i="6"/>
  <c r="AC140" i="6"/>
  <c r="AC194" i="6"/>
  <c r="AE334" i="6"/>
  <c r="AC334" i="6"/>
  <c r="AC420" i="6"/>
  <c r="AC470" i="6"/>
  <c r="AC741" i="6"/>
  <c r="AC56" i="6"/>
  <c r="AC106" i="6"/>
  <c r="AC171" i="6"/>
  <c r="AE286" i="6"/>
  <c r="AC286" i="6"/>
  <c r="AC339" i="6"/>
  <c r="AC391" i="6"/>
  <c r="AC445" i="6"/>
  <c r="AE547" i="6"/>
  <c r="AC547" i="6"/>
  <c r="AC599" i="6"/>
  <c r="AC624" i="6"/>
  <c r="AC629" i="6"/>
  <c r="AE574" i="6"/>
  <c r="AC574" i="6"/>
  <c r="AC649" i="6"/>
  <c r="AC594" i="6"/>
  <c r="AC48" i="6"/>
  <c r="AE48" i="6" s="1"/>
  <c r="AC104" i="6"/>
  <c r="AE104" i="6" s="1"/>
  <c r="AC149" i="6"/>
  <c r="AE149" i="6" s="1"/>
  <c r="AC160" i="6"/>
  <c r="AE160" i="6" s="1"/>
  <c r="AC131" i="6"/>
  <c r="AE131" i="6" s="1"/>
  <c r="AC397" i="6"/>
  <c r="AC691" i="6"/>
  <c r="AE691" i="6" s="1"/>
  <c r="AC681" i="6"/>
  <c r="AE681" i="6" s="1"/>
  <c r="AC920" i="6"/>
  <c r="AC705" i="6"/>
  <c r="AC1201" i="6"/>
  <c r="AE1201" i="6" s="1"/>
  <c r="AC1134" i="6"/>
  <c r="AE1134" i="6" s="1"/>
  <c r="AC1181" i="6"/>
  <c r="AE1181" i="6" s="1"/>
  <c r="AC1015" i="6"/>
  <c r="AC1173" i="6"/>
  <c r="AE1173" i="6" s="1"/>
  <c r="AC999" i="6"/>
  <c r="AE999" i="6" s="1"/>
  <c r="AC1223" i="6"/>
  <c r="AE1223" i="6" s="1"/>
  <c r="AC1149" i="6"/>
  <c r="AC476" i="6"/>
  <c r="AC588" i="6"/>
  <c r="AC671" i="6"/>
  <c r="AC876" i="6"/>
  <c r="AC27" i="6"/>
  <c r="AC412" i="6"/>
  <c r="AC465" i="6"/>
  <c r="AC533" i="6"/>
  <c r="AC921" i="6"/>
  <c r="AC113" i="6"/>
  <c r="AC174" i="6"/>
  <c r="AC236" i="6"/>
  <c r="AC452" i="6"/>
  <c r="AC534" i="6"/>
  <c r="AC798" i="6"/>
  <c r="AC79" i="6"/>
  <c r="AC137" i="6"/>
  <c r="AC201" i="6"/>
  <c r="AC359" i="6"/>
  <c r="AC425" i="6"/>
  <c r="AC485" i="6"/>
  <c r="AC577" i="6"/>
  <c r="AC640" i="6"/>
  <c r="AC597" i="6"/>
  <c r="AC619" i="6"/>
  <c r="AC68" i="6"/>
  <c r="AE68" i="6" s="1"/>
  <c r="AC97" i="6"/>
  <c r="AE97" i="6" s="1"/>
  <c r="AC255" i="6"/>
  <c r="AE255" i="6" s="1"/>
  <c r="AC323" i="6"/>
  <c r="AE323" i="6" s="1"/>
  <c r="AC203" i="6"/>
  <c r="AE203" i="6" s="1"/>
  <c r="AC507" i="6"/>
  <c r="AE507" i="6" s="1"/>
  <c r="AC855" i="6"/>
  <c r="AE855" i="6" s="1"/>
  <c r="AC764" i="6"/>
  <c r="AE764" i="6" s="1"/>
  <c r="AC707" i="6"/>
  <c r="AE707" i="6" s="1"/>
  <c r="AC1165" i="6"/>
  <c r="AE1165" i="6" s="1"/>
  <c r="AC1140" i="6"/>
  <c r="AE1140" i="6" s="1"/>
  <c r="AC845" i="6"/>
  <c r="AE845" i="6" s="1"/>
  <c r="AC885" i="6"/>
  <c r="AE885" i="6" s="1"/>
  <c r="D15" i="12" l="1"/>
  <c r="E15" i="12"/>
  <c r="C15" i="12"/>
  <c r="H9" i="49"/>
  <c r="L12" i="52"/>
  <c r="N12" i="52" s="1"/>
  <c r="N23" i="52" s="1"/>
  <c r="N27" i="52" s="1"/>
  <c r="D24" i="49"/>
  <c r="F527" i="6"/>
  <c r="F15" i="12" l="1"/>
  <c r="D27" i="49"/>
  <c r="H27" i="49" s="1"/>
  <c r="H24" i="49"/>
  <c r="F528" i="6"/>
  <c r="F529" i="6" s="1"/>
  <c r="I527" i="6"/>
  <c r="D7" i="49" l="1"/>
  <c r="L11" i="52"/>
  <c r="M527" i="6"/>
  <c r="N527" i="6"/>
  <c r="J527" i="6"/>
  <c r="I528" i="6"/>
  <c r="L13" i="52" l="1"/>
  <c r="N11" i="52"/>
  <c r="E14" i="12"/>
  <c r="D12" i="49"/>
  <c r="C14" i="12"/>
  <c r="D14" i="12"/>
  <c r="D10" i="49"/>
  <c r="H7" i="49"/>
  <c r="N528" i="6"/>
  <c r="M528" i="6"/>
  <c r="M529" i="6" s="1"/>
  <c r="J528" i="6"/>
  <c r="U527" i="6"/>
  <c r="I529" i="6"/>
  <c r="R527" i="6"/>
  <c r="F14" i="12" l="1"/>
  <c r="H10" i="49"/>
  <c r="H12" i="49"/>
  <c r="N29" i="52"/>
  <c r="N31" i="52" s="1"/>
  <c r="N13" i="52"/>
  <c r="U528" i="6"/>
  <c r="J529" i="6"/>
  <c r="N529" i="6"/>
  <c r="R528" i="6"/>
  <c r="L77" i="2" l="1"/>
  <c r="L77" i="654"/>
  <c r="E46" i="12"/>
  <c r="E62" i="12" s="1"/>
  <c r="C46" i="12"/>
  <c r="C62" i="12" s="1"/>
  <c r="D46" i="12"/>
  <c r="U529" i="6"/>
  <c r="R529" i="6"/>
  <c r="D62" i="12" l="1"/>
  <c r="F62" i="12" s="1"/>
  <c r="F46" i="12"/>
  <c r="J34" i="139" l="1"/>
  <c r="J238" i="139"/>
  <c r="J319" i="139"/>
  <c r="J119" i="139"/>
  <c r="J292" i="139"/>
  <c r="J21" i="139"/>
  <c r="J40" i="139"/>
  <c r="J64" i="139"/>
  <c r="J320" i="139"/>
  <c r="J125" i="139"/>
  <c r="J108" i="139"/>
  <c r="J110" i="139"/>
  <c r="J69" i="139"/>
  <c r="J105" i="139"/>
  <c r="J121" i="139"/>
  <c r="J318" i="139"/>
  <c r="J68" i="139"/>
  <c r="J23" i="139"/>
  <c r="J33" i="139"/>
  <c r="J236" i="139"/>
  <c r="J31" i="139"/>
  <c r="J232" i="139"/>
  <c r="J118" i="139"/>
  <c r="J65" i="139"/>
  <c r="J281" i="139"/>
  <c r="J421" i="139"/>
  <c r="J49" i="139"/>
  <c r="J233" i="139"/>
  <c r="J43" i="139"/>
  <c r="J132" i="139"/>
  <c r="J50" i="139"/>
  <c r="J120" i="139"/>
  <c r="J237" i="139"/>
  <c r="J127" i="139"/>
  <c r="J419" i="139"/>
  <c r="J22" i="139"/>
  <c r="J109" i="139"/>
  <c r="J104" i="139"/>
  <c r="J45" i="139"/>
  <c r="J38" i="139"/>
  <c r="J400" i="139"/>
  <c r="J156" i="139"/>
  <c r="J63" i="139"/>
  <c r="J48" i="139"/>
  <c r="J70" i="139"/>
  <c r="J32" i="139"/>
  <c r="J103" i="139"/>
  <c r="J44" i="139"/>
  <c r="J290" i="139"/>
  <c r="J291" i="139"/>
  <c r="J35" i="139"/>
  <c r="J286" i="139"/>
  <c r="J423" i="139"/>
  <c r="J231" i="139"/>
  <c r="J123" i="139"/>
  <c r="J157" i="139"/>
  <c r="J39" i="139"/>
  <c r="J158" i="139"/>
  <c r="J285" i="139"/>
  <c r="J284" i="139"/>
  <c r="D29" i="20" l="1"/>
  <c r="F29" i="20" s="1"/>
  <c r="L792" i="3" s="1"/>
  <c r="T792" i="3" s="1"/>
  <c r="V792" i="3" s="1"/>
  <c r="D30" i="20"/>
  <c r="F30" i="20" s="1"/>
  <c r="L793" i="3" s="1"/>
  <c r="T793" i="3" s="1"/>
  <c r="V793" i="3" s="1"/>
  <c r="G794" i="6" s="1"/>
  <c r="W793" i="3" s="1"/>
  <c r="J280" i="139"/>
  <c r="D25" i="20"/>
  <c r="F25" i="20" s="1"/>
  <c r="L788" i="3" s="1"/>
  <c r="T788" i="3" s="1"/>
  <c r="V788" i="3" s="1"/>
  <c r="D24" i="20"/>
  <c r="J279" i="139"/>
  <c r="D31" i="20" l="1"/>
  <c r="F31" i="20" s="1"/>
  <c r="L794" i="3"/>
  <c r="T794" i="3"/>
  <c r="V794" i="3"/>
  <c r="G793" i="6"/>
  <c r="F24" i="20"/>
  <c r="L787" i="3" s="1"/>
  <c r="D26" i="20"/>
  <c r="G789" i="6"/>
  <c r="E794" i="6"/>
  <c r="I794" i="6"/>
  <c r="E789" i="6" l="1"/>
  <c r="I789" i="6"/>
  <c r="W788" i="3"/>
  <c r="F26" i="20"/>
  <c r="N794" i="6"/>
  <c r="U794" i="6" s="1"/>
  <c r="J794" i="6"/>
  <c r="M794" i="6"/>
  <c r="R794" i="6" s="1"/>
  <c r="T787" i="3"/>
  <c r="L789" i="3"/>
  <c r="I793" i="6"/>
  <c r="E793" i="6"/>
  <c r="G795" i="6"/>
  <c r="W794" i="3" s="1"/>
  <c r="W792" i="3"/>
  <c r="J793" i="6" l="1"/>
  <c r="N793" i="6"/>
  <c r="I795" i="6"/>
  <c r="M793" i="6"/>
  <c r="T789" i="3"/>
  <c r="V787" i="3"/>
  <c r="E795" i="6"/>
  <c r="J789" i="6"/>
  <c r="N789" i="6"/>
  <c r="U789" i="6" s="1"/>
  <c r="M789" i="6"/>
  <c r="R789" i="6" s="1"/>
  <c r="J795" i="6" l="1"/>
  <c r="U793" i="6"/>
  <c r="U795" i="6" s="1"/>
  <c r="N795" i="6"/>
  <c r="M795" i="6"/>
  <c r="R793" i="6"/>
  <c r="R795" i="6" s="1"/>
  <c r="V789" i="3"/>
  <c r="G788" i="6"/>
  <c r="E788" i="6" l="1"/>
  <c r="G790" i="6"/>
  <c r="I788" i="6"/>
  <c r="W787" i="3"/>
  <c r="I790" i="6" l="1"/>
  <c r="J788" i="6"/>
  <c r="N788" i="6"/>
  <c r="M788" i="6"/>
  <c r="E790" i="6"/>
  <c r="W789" i="3"/>
  <c r="M790" i="6" l="1"/>
  <c r="R788" i="6"/>
  <c r="U788" i="6"/>
  <c r="N790" i="6"/>
  <c r="J790" i="6"/>
  <c r="U803" i="6" l="1"/>
  <c r="U790" i="6"/>
  <c r="U806" i="6" s="1"/>
  <c r="U905" i="6" s="1"/>
  <c r="R803" i="6"/>
  <c r="R790" i="6"/>
  <c r="R806" i="6" s="1"/>
  <c r="R905" i="6" s="1"/>
  <c r="W1194" i="6" l="1"/>
  <c r="J65" i="2" s="1"/>
  <c r="F21" i="33"/>
  <c r="M1130" i="3"/>
  <c r="M1217" i="3" s="1"/>
  <c r="M1247" i="3" s="1"/>
  <c r="M1103" i="3"/>
  <c r="M54" i="5" s="1"/>
  <c r="M58" i="5" s="1"/>
  <c r="L65" i="2" l="1"/>
  <c r="AC1194" i="6"/>
  <c r="AE1194" i="6" s="1"/>
  <c r="J65" i="654"/>
  <c r="Y65" i="654" s="1"/>
  <c r="M1134" i="3"/>
  <c r="M1221" i="3" s="1"/>
  <c r="L65" i="654" l="1"/>
  <c r="O65" i="654"/>
  <c r="Y198" i="4" l="1"/>
  <c r="Y200" i="4" s="1"/>
  <c r="Y270" i="4" s="1"/>
  <c r="T200" i="4"/>
  <c r="T270" i="4" s="1"/>
  <c r="AL198" i="4"/>
  <c r="AO198" i="4" s="1"/>
  <c r="T265" i="4"/>
  <c r="T274" i="4" s="1"/>
  <c r="AB198" i="4"/>
  <c r="AB265" i="4" s="1"/>
  <c r="F1160" i="6"/>
  <c r="F1227" i="6" s="1"/>
  <c r="AB200" i="4" l="1"/>
  <c r="AB270" i="4" s="1"/>
  <c r="Y265" i="4"/>
  <c r="Y274" i="4" s="1"/>
  <c r="F1236" i="6"/>
  <c r="F1268" i="6" s="1"/>
  <c r="F1232" i="6"/>
  <c r="AB274" i="4"/>
  <c r="F1162" i="6"/>
  <c r="AL265" i="4"/>
  <c r="AL200" i="4"/>
  <c r="AL270" i="4" l="1"/>
  <c r="AO200" i="4"/>
  <c r="AL274" i="4"/>
  <c r="AO274" i="4" s="1"/>
  <c r="AO265" i="4"/>
  <c r="F59" i="2"/>
  <c r="F59" i="654"/>
  <c r="AO270" i="4" l="1"/>
  <c r="O200" i="4" l="1"/>
  <c r="O270" i="4" s="1"/>
  <c r="O279" i="4" s="1"/>
  <c r="O265" i="4"/>
  <c r="O274" i="4" s="1"/>
  <c r="O277" i="4" s="1"/>
  <c r="M200" i="4"/>
  <c r="M270" i="4" s="1"/>
  <c r="M279" i="4" s="1"/>
  <c r="M265" i="4"/>
  <c r="M274" i="4" s="1"/>
  <c r="M277" i="4" s="1"/>
  <c r="I265" i="4"/>
  <c r="I274" i="4" s="1"/>
  <c r="I277" i="4" s="1"/>
  <c r="I200" i="4"/>
  <c r="J200" i="4"/>
  <c r="J270" i="4" s="1"/>
  <c r="J279" i="4" s="1"/>
  <c r="J265" i="4"/>
  <c r="J274" i="4" s="1"/>
  <c r="J277" i="4" s="1"/>
  <c r="S200" i="4"/>
  <c r="S270" i="4" s="1"/>
  <c r="S265" i="4"/>
  <c r="S274" i="4" s="1"/>
  <c r="R265" i="4"/>
  <c r="R274" i="4" s="1"/>
  <c r="R200" i="4"/>
  <c r="R270" i="4" s="1"/>
  <c r="L200" i="4"/>
  <c r="L270" i="4" s="1"/>
  <c r="L279" i="4" s="1"/>
  <c r="L265" i="4"/>
  <c r="L274" i="4" s="1"/>
  <c r="L277" i="4" s="1"/>
  <c r="K265" i="4"/>
  <c r="K274" i="4" s="1"/>
  <c r="K277" i="4" s="1"/>
  <c r="K200" i="4"/>
  <c r="K270" i="4" s="1"/>
  <c r="K279" i="4" s="1"/>
  <c r="N265" i="4"/>
  <c r="N274" i="4" s="1"/>
  <c r="N277" i="4" s="1"/>
  <c r="N200" i="4"/>
  <c r="N270" i="4" s="1"/>
  <c r="N279" i="4" s="1"/>
  <c r="I270" i="4" l="1"/>
  <c r="I279" i="4" s="1"/>
  <c r="H265" i="4" l="1"/>
  <c r="H274" i="4" s="1"/>
  <c r="H277" i="4" s="1"/>
  <c r="H200" i="4"/>
  <c r="H270" i="4" l="1"/>
  <c r="H279" i="4" s="1"/>
  <c r="F359" i="139" l="1"/>
  <c r="I359" i="139" l="1"/>
  <c r="J359" i="139" s="1"/>
  <c r="F874" i="6"/>
  <c r="I874" i="6" l="1"/>
  <c r="J874" i="6" l="1"/>
  <c r="N874" i="6"/>
  <c r="M874" i="6"/>
  <c r="T874" i="6" l="1"/>
  <c r="Q874" i="6"/>
  <c r="W874" i="6" l="1"/>
  <c r="F364" i="139" l="1"/>
  <c r="F363" i="139"/>
  <c r="I363" i="139" l="1"/>
  <c r="J363" i="139" s="1"/>
  <c r="F365" i="139"/>
  <c r="I365" i="139" s="1"/>
  <c r="J365" i="139" s="1"/>
  <c r="F879" i="6"/>
  <c r="I364" i="139"/>
  <c r="J364" i="139" s="1"/>
  <c r="F880" i="6"/>
  <c r="I880" i="6" s="1"/>
  <c r="F270" i="139"/>
  <c r="F396" i="139"/>
  <c r="F398" i="139"/>
  <c r="F269" i="139"/>
  <c r="F395" i="139"/>
  <c r="F397" i="139"/>
  <c r="I397" i="139" l="1"/>
  <c r="J397" i="139" s="1"/>
  <c r="F922" i="6"/>
  <c r="I922" i="6" s="1"/>
  <c r="I270" i="139"/>
  <c r="J270" i="139" s="1"/>
  <c r="F779" i="6"/>
  <c r="I779" i="6" s="1"/>
  <c r="J880" i="6"/>
  <c r="M880" i="6"/>
  <c r="Q880" i="6" s="1"/>
  <c r="W880" i="6" s="1"/>
  <c r="N880" i="6"/>
  <c r="T880" i="6" s="1"/>
  <c r="I269" i="139"/>
  <c r="J269" i="139" s="1"/>
  <c r="F271" i="139"/>
  <c r="I271" i="139" s="1"/>
  <c r="J271" i="139" s="1"/>
  <c r="F778" i="6"/>
  <c r="F881" i="6"/>
  <c r="I879" i="6"/>
  <c r="I395" i="139"/>
  <c r="J395" i="139" s="1"/>
  <c r="F399" i="139"/>
  <c r="F920" i="6"/>
  <c r="I398" i="139"/>
  <c r="J398" i="139" s="1"/>
  <c r="F923" i="6"/>
  <c r="I923" i="6" s="1"/>
  <c r="J923" i="6" s="1"/>
  <c r="I396" i="139"/>
  <c r="J396" i="139" s="1"/>
  <c r="F921" i="6"/>
  <c r="I921" i="6" s="1"/>
  <c r="I399" i="139" l="1"/>
  <c r="J399" i="139" s="1"/>
  <c r="M779" i="6"/>
  <c r="Q779" i="6" s="1"/>
  <c r="W779" i="6" s="1"/>
  <c r="J779" i="6"/>
  <c r="N779" i="6"/>
  <c r="T779" i="6" s="1"/>
  <c r="M879" i="6"/>
  <c r="I881" i="6"/>
  <c r="J881" i="6" s="1"/>
  <c r="J879" i="6"/>
  <c r="N879" i="6"/>
  <c r="N921" i="6"/>
  <c r="T921" i="6" s="1"/>
  <c r="M921" i="6"/>
  <c r="Q921" i="6" s="1"/>
  <c r="W921" i="6" s="1"/>
  <c r="J921" i="6"/>
  <c r="F924" i="6"/>
  <c r="I920" i="6"/>
  <c r="F780" i="6"/>
  <c r="I778" i="6"/>
  <c r="N922" i="6"/>
  <c r="T922" i="6" s="1"/>
  <c r="M922" i="6"/>
  <c r="Q922" i="6" s="1"/>
  <c r="W922" i="6" s="1"/>
  <c r="AC922" i="6" s="1"/>
  <c r="AE922" i="6" s="1"/>
  <c r="J922" i="6"/>
  <c r="I780" i="6" l="1"/>
  <c r="J780" i="6" s="1"/>
  <c r="M778" i="6"/>
  <c r="J778" i="6"/>
  <c r="N778" i="6"/>
  <c r="M920" i="6"/>
  <c r="J920" i="6"/>
  <c r="I924" i="6"/>
  <c r="N920" i="6"/>
  <c r="Q879" i="6"/>
  <c r="M881" i="6"/>
  <c r="N881" i="6"/>
  <c r="T879" i="6"/>
  <c r="T881" i="6" s="1"/>
  <c r="M780" i="6" l="1"/>
  <c r="Q778" i="6"/>
  <c r="J924" i="6"/>
  <c r="C21" i="12"/>
  <c r="C57" i="12" s="1"/>
  <c r="Q920" i="6"/>
  <c r="N780" i="6"/>
  <c r="T778" i="6"/>
  <c r="T780" i="6" s="1"/>
  <c r="W879" i="6"/>
  <c r="Q881" i="6"/>
  <c r="W881" i="6" s="1"/>
  <c r="U920" i="6"/>
  <c r="U924" i="6" s="1"/>
  <c r="F360" i="139"/>
  <c r="I360" i="139" l="1"/>
  <c r="J360" i="139" s="1"/>
  <c r="F875" i="6"/>
  <c r="F361" i="139"/>
  <c r="I361" i="139" s="1"/>
  <c r="J361" i="139" s="1"/>
  <c r="W920" i="6"/>
  <c r="W778" i="6"/>
  <c r="Q780" i="6"/>
  <c r="W780" i="6" s="1"/>
  <c r="F352" i="139"/>
  <c r="F274" i="139"/>
  <c r="F254" i="139"/>
  <c r="F375" i="139"/>
  <c r="F356" i="139"/>
  <c r="F260" i="139"/>
  <c r="F186" i="139"/>
  <c r="F171" i="139"/>
  <c r="F177" i="139"/>
  <c r="F187" i="139"/>
  <c r="F172" i="139"/>
  <c r="F191" i="139"/>
  <c r="F146" i="139"/>
  <c r="F348" i="139"/>
  <c r="F411" i="139"/>
  <c r="F391" i="139"/>
  <c r="F265" i="139"/>
  <c r="F344" i="139"/>
  <c r="F407" i="139"/>
  <c r="F227" i="139"/>
  <c r="F388" i="139"/>
  <c r="F196" i="139"/>
  <c r="F417" i="139"/>
  <c r="F340" i="139"/>
  <c r="F347" i="139"/>
  <c r="F212" i="139"/>
  <c r="F222" i="139"/>
  <c r="F167" i="139"/>
  <c r="F309" i="139"/>
  <c r="F336" i="139"/>
  <c r="F162" i="139"/>
  <c r="F372" i="139"/>
  <c r="F390" i="139"/>
  <c r="F415" i="139"/>
  <c r="F413" i="139"/>
  <c r="F217" i="139"/>
  <c r="F197" i="139"/>
  <c r="F151" i="139"/>
  <c r="F207" i="139"/>
  <c r="F192" i="139"/>
  <c r="F351" i="139"/>
  <c r="F211" i="139"/>
  <c r="F389" i="139"/>
  <c r="F147" i="139"/>
  <c r="F275" i="139"/>
  <c r="F308" i="139"/>
  <c r="F202" i="139"/>
  <c r="F249" i="139"/>
  <c r="F138" i="139"/>
  <c r="F166" i="139"/>
  <c r="F206" i="139"/>
  <c r="F226" i="139"/>
  <c r="F264" i="139"/>
  <c r="F313" i="139"/>
  <c r="F343" i="139"/>
  <c r="F367" i="139"/>
  <c r="F406" i="139"/>
  <c r="F405" i="139"/>
  <c r="F303" i="139"/>
  <c r="F335" i="139"/>
  <c r="F371" i="139"/>
  <c r="F339" i="139"/>
  <c r="F331" i="139"/>
  <c r="F139" i="139"/>
  <c r="F304" i="139"/>
  <c r="F161" i="139"/>
  <c r="F408" i="139"/>
  <c r="F152" i="139"/>
  <c r="F255" i="139"/>
  <c r="F376" i="139"/>
  <c r="F250" i="139"/>
  <c r="F332" i="139"/>
  <c r="F181" i="139"/>
  <c r="F221" i="139"/>
  <c r="F259" i="139"/>
  <c r="F355" i="139"/>
  <c r="F314" i="139"/>
  <c r="F201" i="139"/>
  <c r="F182" i="139"/>
  <c r="F216" i="139"/>
  <c r="F368" i="139"/>
  <c r="F176" i="139"/>
  <c r="I254" i="139" l="1"/>
  <c r="J254" i="139" s="1"/>
  <c r="F256" i="139"/>
  <c r="I256" i="139" s="1"/>
  <c r="J256" i="139" s="1"/>
  <c r="F763" i="6"/>
  <c r="I259" i="139"/>
  <c r="J259" i="139" s="1"/>
  <c r="F261" i="139"/>
  <c r="I261" i="139" s="1"/>
  <c r="J261" i="139" s="1"/>
  <c r="F768" i="6"/>
  <c r="I152" i="139"/>
  <c r="J152" i="139" s="1"/>
  <c r="F661" i="6"/>
  <c r="I661" i="6" s="1"/>
  <c r="I367" i="139"/>
  <c r="J367" i="139" s="1"/>
  <c r="F369" i="139"/>
  <c r="I369" i="139" s="1"/>
  <c r="J369" i="139" s="1"/>
  <c r="F884" i="6"/>
  <c r="I275" i="139"/>
  <c r="J275" i="139" s="1"/>
  <c r="F784" i="6"/>
  <c r="I413" i="139"/>
  <c r="J413" i="139" s="1"/>
  <c r="F938" i="6"/>
  <c r="I938" i="6" s="1"/>
  <c r="J938" i="6" s="1"/>
  <c r="I417" i="139"/>
  <c r="J417" i="139" s="1"/>
  <c r="F942" i="6"/>
  <c r="I942" i="6" s="1"/>
  <c r="J942" i="6" s="1"/>
  <c r="I411" i="139"/>
  <c r="J411" i="139" s="1"/>
  <c r="F936" i="6"/>
  <c r="I171" i="139"/>
  <c r="J171" i="139" s="1"/>
  <c r="F173" i="139"/>
  <c r="I173" i="139" s="1"/>
  <c r="J173" i="139" s="1"/>
  <c r="F680" i="6"/>
  <c r="I274" i="139"/>
  <c r="J274" i="139" s="1"/>
  <c r="F276" i="139"/>
  <c r="I276" i="139" s="1"/>
  <c r="J276" i="139" s="1"/>
  <c r="F783" i="6"/>
  <c r="I138" i="139"/>
  <c r="J138" i="139" s="1"/>
  <c r="F647" i="6"/>
  <c r="I177" i="139"/>
  <c r="J177" i="139" s="1"/>
  <c r="F686" i="6"/>
  <c r="I686" i="6" s="1"/>
  <c r="I147" i="139"/>
  <c r="J147" i="139" s="1"/>
  <c r="F242" i="139"/>
  <c r="I242" i="139" s="1"/>
  <c r="J242" i="139" s="1"/>
  <c r="F656" i="6"/>
  <c r="I167" i="139"/>
  <c r="J167" i="139" s="1"/>
  <c r="F676" i="6"/>
  <c r="I676" i="6" s="1"/>
  <c r="I196" i="139"/>
  <c r="J196" i="139" s="1"/>
  <c r="F198" i="139"/>
  <c r="I198" i="139" s="1"/>
  <c r="J198" i="139" s="1"/>
  <c r="F705" i="6"/>
  <c r="I186" i="139"/>
  <c r="J186" i="139" s="1"/>
  <c r="F188" i="139"/>
  <c r="I188" i="139" s="1"/>
  <c r="J188" i="139" s="1"/>
  <c r="F695" i="6"/>
  <c r="I352" i="139"/>
  <c r="J352" i="139" s="1"/>
  <c r="F865" i="6"/>
  <c r="I865" i="6" s="1"/>
  <c r="I309" i="139"/>
  <c r="J309" i="139" s="1"/>
  <c r="F817" i="6"/>
  <c r="I817" i="6" s="1"/>
  <c r="I192" i="139"/>
  <c r="J192" i="139" s="1"/>
  <c r="F701" i="6"/>
  <c r="I701" i="6" s="1"/>
  <c r="I408" i="139"/>
  <c r="J408" i="139" s="1"/>
  <c r="F933" i="6"/>
  <c r="I933" i="6" s="1"/>
  <c r="J933" i="6" s="1"/>
  <c r="I339" i="139"/>
  <c r="J339" i="139" s="1"/>
  <c r="F341" i="139"/>
  <c r="I341" i="139" s="1"/>
  <c r="J341" i="139" s="1"/>
  <c r="F849" i="6"/>
  <c r="I313" i="139"/>
  <c r="J313" i="139" s="1"/>
  <c r="F315" i="139"/>
  <c r="I315" i="139" s="1"/>
  <c r="J315" i="139" s="1"/>
  <c r="F821" i="6"/>
  <c r="I415" i="139"/>
  <c r="J415" i="139" s="1"/>
  <c r="F940" i="6"/>
  <c r="I940" i="6" s="1"/>
  <c r="J940" i="6" s="1"/>
  <c r="I222" i="139"/>
  <c r="J222" i="139" s="1"/>
  <c r="F731" i="6"/>
  <c r="I731" i="6" s="1"/>
  <c r="I388" i="139"/>
  <c r="J388" i="139" s="1"/>
  <c r="F392" i="139"/>
  <c r="E19" i="653"/>
  <c r="F913" i="6"/>
  <c r="I348" i="139"/>
  <c r="J348" i="139" s="1"/>
  <c r="F860" i="6"/>
  <c r="I860" i="6" s="1"/>
  <c r="I340" i="139"/>
  <c r="J340" i="139" s="1"/>
  <c r="F850" i="6"/>
  <c r="I850" i="6" s="1"/>
  <c r="I343" i="139"/>
  <c r="J343" i="139" s="1"/>
  <c r="F345" i="139"/>
  <c r="I345" i="139" s="1"/>
  <c r="J345" i="139" s="1"/>
  <c r="F854" i="6"/>
  <c r="I201" i="139"/>
  <c r="J201" i="139" s="1"/>
  <c r="F203" i="139"/>
  <c r="I203" i="139" s="1"/>
  <c r="J203" i="139" s="1"/>
  <c r="F710" i="6"/>
  <c r="I161" i="139"/>
  <c r="J161" i="139" s="1"/>
  <c r="F163" i="139"/>
  <c r="I163" i="139" s="1"/>
  <c r="J163" i="139" s="1"/>
  <c r="F670" i="6"/>
  <c r="I371" i="139"/>
  <c r="J371" i="139" s="1"/>
  <c r="F373" i="139"/>
  <c r="I373" i="139" s="1"/>
  <c r="J373" i="139" s="1"/>
  <c r="F889" i="6"/>
  <c r="I264" i="139"/>
  <c r="J264" i="139" s="1"/>
  <c r="F266" i="139"/>
  <c r="I266" i="139" s="1"/>
  <c r="J266" i="139" s="1"/>
  <c r="F773" i="6"/>
  <c r="I249" i="139"/>
  <c r="J249" i="139" s="1"/>
  <c r="F251" i="139"/>
  <c r="I251" i="139" s="1"/>
  <c r="J251" i="139" s="1"/>
  <c r="F295" i="139"/>
  <c r="F758" i="6"/>
  <c r="I207" i="139"/>
  <c r="J207" i="139" s="1"/>
  <c r="F716" i="6"/>
  <c r="I716" i="6" s="1"/>
  <c r="I390" i="139"/>
  <c r="J390" i="139" s="1"/>
  <c r="Q389" i="139"/>
  <c r="E21" i="653"/>
  <c r="H21" i="653" s="1"/>
  <c r="K902" i="3" s="1"/>
  <c r="T902" i="3" s="1"/>
  <c r="V902" i="3" s="1"/>
  <c r="F915" i="6"/>
  <c r="I227" i="139"/>
  <c r="J227" i="139" s="1"/>
  <c r="F736" i="6"/>
  <c r="I736" i="6" s="1"/>
  <c r="I146" i="139"/>
  <c r="J146" i="139" s="1"/>
  <c r="F148" i="139"/>
  <c r="I148" i="139" s="1"/>
  <c r="J148" i="139" s="1"/>
  <c r="F241" i="139"/>
  <c r="F655" i="6"/>
  <c r="I260" i="139"/>
  <c r="J260" i="139" s="1"/>
  <c r="F769" i="6"/>
  <c r="I769" i="6" s="1"/>
  <c r="I355" i="139"/>
  <c r="J355" i="139" s="1"/>
  <c r="F357" i="139"/>
  <c r="I357" i="139" s="1"/>
  <c r="J357" i="139" s="1"/>
  <c r="F869" i="6"/>
  <c r="I391" i="139"/>
  <c r="J391" i="139" s="1"/>
  <c r="E22" i="653"/>
  <c r="H22" i="653" s="1"/>
  <c r="K903" i="3" s="1"/>
  <c r="T903" i="3" s="1"/>
  <c r="V903" i="3" s="1"/>
  <c r="F916" i="6"/>
  <c r="I181" i="139"/>
  <c r="J181" i="139" s="1"/>
  <c r="F183" i="139"/>
  <c r="I183" i="139" s="1"/>
  <c r="J183" i="139" s="1"/>
  <c r="F690" i="6"/>
  <c r="I176" i="139"/>
  <c r="J176" i="139" s="1"/>
  <c r="F178" i="139"/>
  <c r="I178" i="139" s="1"/>
  <c r="J178" i="139" s="1"/>
  <c r="F685" i="6"/>
  <c r="I314" i="139"/>
  <c r="J314" i="139" s="1"/>
  <c r="F822" i="6"/>
  <c r="I332" i="139"/>
  <c r="J332" i="139" s="1"/>
  <c r="F840" i="6"/>
  <c r="I304" i="139"/>
  <c r="J304" i="139" s="1"/>
  <c r="F324" i="139"/>
  <c r="I324" i="139" s="1"/>
  <c r="J324" i="139" s="1"/>
  <c r="F812" i="6"/>
  <c r="I335" i="139"/>
  <c r="J335" i="139" s="1"/>
  <c r="F337" i="139"/>
  <c r="I337" i="139" s="1"/>
  <c r="J337" i="139" s="1"/>
  <c r="F844" i="6"/>
  <c r="I226" i="139"/>
  <c r="J226" i="139" s="1"/>
  <c r="F228" i="139"/>
  <c r="I228" i="139" s="1"/>
  <c r="J228" i="139" s="1"/>
  <c r="F735" i="6"/>
  <c r="I151" i="139"/>
  <c r="J151" i="139" s="1"/>
  <c r="F153" i="139"/>
  <c r="I153" i="139" s="1"/>
  <c r="J153" i="139" s="1"/>
  <c r="F660" i="6"/>
  <c r="I372" i="139"/>
  <c r="J372" i="139" s="1"/>
  <c r="F890" i="6"/>
  <c r="I890" i="6" s="1"/>
  <c r="I407" i="139"/>
  <c r="J407" i="139" s="1"/>
  <c r="F932" i="6"/>
  <c r="I932" i="6" s="1"/>
  <c r="I191" i="139"/>
  <c r="J191" i="139" s="1"/>
  <c r="F193" i="139"/>
  <c r="I193" i="139" s="1"/>
  <c r="J193" i="139" s="1"/>
  <c r="F700" i="6"/>
  <c r="I255" i="139"/>
  <c r="J255" i="139" s="1"/>
  <c r="F764" i="6"/>
  <c r="I764" i="6" s="1"/>
  <c r="I217" i="139"/>
  <c r="J217" i="139" s="1"/>
  <c r="F726" i="6"/>
  <c r="I726" i="6" s="1"/>
  <c r="I221" i="139"/>
  <c r="J221" i="139" s="1"/>
  <c r="F223" i="139"/>
  <c r="I223" i="139" s="1"/>
  <c r="J223" i="139" s="1"/>
  <c r="F730" i="6"/>
  <c r="I182" i="139"/>
  <c r="J182" i="139" s="1"/>
  <c r="F691" i="6"/>
  <c r="I691" i="6" s="1"/>
  <c r="I250" i="139"/>
  <c r="J250" i="139" s="1"/>
  <c r="F296" i="139"/>
  <c r="I296" i="139" s="1"/>
  <c r="J296" i="139" s="1"/>
  <c r="F759" i="6"/>
  <c r="I759" i="6" s="1"/>
  <c r="I303" i="139"/>
  <c r="J303" i="139" s="1"/>
  <c r="F323" i="139"/>
  <c r="F305" i="139"/>
  <c r="I305" i="139" s="1"/>
  <c r="J305" i="139" s="1"/>
  <c r="F811" i="6"/>
  <c r="I206" i="139"/>
  <c r="J206" i="139" s="1"/>
  <c r="F208" i="139"/>
  <c r="I208" i="139" s="1"/>
  <c r="J208" i="139" s="1"/>
  <c r="F715" i="6"/>
  <c r="I202" i="139"/>
  <c r="J202" i="139" s="1"/>
  <c r="F711" i="6"/>
  <c r="I711" i="6" s="1"/>
  <c r="I389" i="139"/>
  <c r="J389" i="139" s="1"/>
  <c r="E20" i="653"/>
  <c r="H20" i="653" s="1"/>
  <c r="F914" i="6"/>
  <c r="I211" i="139"/>
  <c r="J211" i="139" s="1"/>
  <c r="F213" i="139"/>
  <c r="I213" i="139" s="1"/>
  <c r="J213" i="139" s="1"/>
  <c r="F720" i="6"/>
  <c r="I197" i="139"/>
  <c r="J197" i="139" s="1"/>
  <c r="F706" i="6"/>
  <c r="I706" i="6" s="1"/>
  <c r="I162" i="139"/>
  <c r="J162" i="139" s="1"/>
  <c r="F671" i="6"/>
  <c r="I671" i="6" s="1"/>
  <c r="I212" i="139"/>
  <c r="J212" i="139" s="1"/>
  <c r="F721" i="6"/>
  <c r="I721" i="6" s="1"/>
  <c r="I344" i="139"/>
  <c r="J344" i="139" s="1"/>
  <c r="F855" i="6"/>
  <c r="I855" i="6" s="1"/>
  <c r="I172" i="139"/>
  <c r="J172" i="139" s="1"/>
  <c r="F681" i="6"/>
  <c r="I681" i="6" s="1"/>
  <c r="I356" i="139"/>
  <c r="J356" i="139" s="1"/>
  <c r="F870" i="6"/>
  <c r="I875" i="6"/>
  <c r="F876" i="6"/>
  <c r="I368" i="139"/>
  <c r="J368" i="139" s="1"/>
  <c r="F885" i="6"/>
  <c r="I351" i="139"/>
  <c r="J351" i="139" s="1"/>
  <c r="F353" i="139"/>
  <c r="I353" i="139" s="1"/>
  <c r="J353" i="139" s="1"/>
  <c r="F864" i="6"/>
  <c r="I216" i="139"/>
  <c r="J216" i="139" s="1"/>
  <c r="F218" i="139"/>
  <c r="I218" i="139" s="1"/>
  <c r="J218" i="139" s="1"/>
  <c r="F725" i="6"/>
  <c r="I139" i="139"/>
  <c r="J139" i="139" s="1"/>
  <c r="F648" i="6"/>
  <c r="I648" i="6" s="1"/>
  <c r="I406" i="139"/>
  <c r="J406" i="139" s="1"/>
  <c r="F931" i="6"/>
  <c r="I931" i="6" s="1"/>
  <c r="I376" i="139"/>
  <c r="J376" i="139" s="1"/>
  <c r="F381" i="139"/>
  <c r="I381" i="139" s="1"/>
  <c r="J381" i="139" s="1"/>
  <c r="F895" i="6"/>
  <c r="I331" i="139"/>
  <c r="J331" i="139" s="1"/>
  <c r="F333" i="139"/>
  <c r="I333" i="139" s="1"/>
  <c r="J333" i="139" s="1"/>
  <c r="F839" i="6"/>
  <c r="I405" i="139"/>
  <c r="J405" i="139" s="1"/>
  <c r="F930" i="6"/>
  <c r="I166" i="139"/>
  <c r="J166" i="139" s="1"/>
  <c r="F168" i="139"/>
  <c r="I168" i="139" s="1"/>
  <c r="J168" i="139" s="1"/>
  <c r="F675" i="6"/>
  <c r="I308" i="139"/>
  <c r="J308" i="139" s="1"/>
  <c r="F310" i="139"/>
  <c r="I310" i="139" s="1"/>
  <c r="J310" i="139" s="1"/>
  <c r="F816" i="6"/>
  <c r="I336" i="139"/>
  <c r="J336" i="139" s="1"/>
  <c r="F845" i="6"/>
  <c r="I347" i="139"/>
  <c r="J347" i="139" s="1"/>
  <c r="F349" i="139"/>
  <c r="I349" i="139" s="1"/>
  <c r="J349" i="139" s="1"/>
  <c r="F859" i="6"/>
  <c r="I265" i="139"/>
  <c r="J265" i="139" s="1"/>
  <c r="F774" i="6"/>
  <c r="I774" i="6" s="1"/>
  <c r="I187" i="139"/>
  <c r="J187" i="139" s="1"/>
  <c r="F696" i="6"/>
  <c r="I696" i="6" s="1"/>
  <c r="I375" i="139"/>
  <c r="J375" i="139" s="1"/>
  <c r="F377" i="139"/>
  <c r="I377" i="139" s="1"/>
  <c r="J377" i="139" s="1"/>
  <c r="F380" i="139"/>
  <c r="F894" i="6"/>
  <c r="F54" i="139"/>
  <c r="F89" i="139"/>
  <c r="F16" i="139"/>
  <c r="F26" i="139"/>
  <c r="F27" i="139"/>
  <c r="F99" i="139"/>
  <c r="F98" i="139"/>
  <c r="F88" i="139"/>
  <c r="F83" i="139"/>
  <c r="F84" i="139"/>
  <c r="F94" i="139"/>
  <c r="F93" i="139"/>
  <c r="F73" i="139"/>
  <c r="F74" i="139"/>
  <c r="F409" i="139"/>
  <c r="F53" i="139"/>
  <c r="F113" i="139"/>
  <c r="F114" i="139"/>
  <c r="F141" i="139"/>
  <c r="I141" i="139" s="1"/>
  <c r="J141" i="139" s="1"/>
  <c r="F58" i="139"/>
  <c r="F59" i="139"/>
  <c r="F78" i="139"/>
  <c r="F79" i="139"/>
  <c r="I98" i="139" l="1"/>
  <c r="J98" i="139" s="1"/>
  <c r="F100" i="139"/>
  <c r="I100" i="139" s="1"/>
  <c r="J100" i="139" s="1"/>
  <c r="F602" i="6"/>
  <c r="M764" i="6"/>
  <c r="Q764" i="6" s="1"/>
  <c r="W764" i="6" s="1"/>
  <c r="J764" i="6"/>
  <c r="N764" i="6"/>
  <c r="T764" i="6" s="1"/>
  <c r="F712" i="6"/>
  <c r="I710" i="6"/>
  <c r="I94" i="139"/>
  <c r="J94" i="139" s="1"/>
  <c r="F598" i="6"/>
  <c r="I598" i="6" s="1"/>
  <c r="I99" i="139"/>
  <c r="J99" i="139" s="1"/>
  <c r="F603" i="6"/>
  <c r="I603" i="6" s="1"/>
  <c r="I725" i="6"/>
  <c r="F727" i="6"/>
  <c r="M721" i="6"/>
  <c r="Q721" i="6" s="1"/>
  <c r="W721" i="6" s="1"/>
  <c r="J721" i="6"/>
  <c r="N721" i="6"/>
  <c r="T721" i="6" s="1"/>
  <c r="M691" i="6"/>
  <c r="Q691" i="6" s="1"/>
  <c r="W691" i="6" s="1"/>
  <c r="J691" i="6"/>
  <c r="N691" i="6"/>
  <c r="T691" i="6" s="1"/>
  <c r="I660" i="6"/>
  <c r="F662" i="6"/>
  <c r="I685" i="6"/>
  <c r="F687" i="6"/>
  <c r="M716" i="6"/>
  <c r="Q716" i="6" s="1"/>
  <c r="W716" i="6" s="1"/>
  <c r="J716" i="6"/>
  <c r="N716" i="6"/>
  <c r="T716" i="6" s="1"/>
  <c r="I656" i="6"/>
  <c r="F751" i="6"/>
  <c r="I114" i="139"/>
  <c r="J114" i="139" s="1"/>
  <c r="F618" i="6"/>
  <c r="I618" i="6" s="1"/>
  <c r="I409" i="139"/>
  <c r="J409" i="139" s="1"/>
  <c r="F425" i="139"/>
  <c r="I425" i="139" s="1"/>
  <c r="J425" i="139" s="1"/>
  <c r="I84" i="139"/>
  <c r="J84" i="139" s="1"/>
  <c r="F588" i="6"/>
  <c r="I588" i="6" s="1"/>
  <c r="I27" i="139"/>
  <c r="J27" i="139" s="1"/>
  <c r="F533" i="6"/>
  <c r="I533" i="6" s="1"/>
  <c r="I894" i="6"/>
  <c r="F896" i="6"/>
  <c r="F899" i="6"/>
  <c r="I859" i="6"/>
  <c r="F861" i="6"/>
  <c r="F677" i="6"/>
  <c r="I675" i="6"/>
  <c r="I895" i="6"/>
  <c r="F900" i="6"/>
  <c r="M875" i="6"/>
  <c r="N875" i="6"/>
  <c r="J875" i="6"/>
  <c r="I876" i="6"/>
  <c r="J876" i="6" s="1"/>
  <c r="F813" i="6"/>
  <c r="I811" i="6"/>
  <c r="F831" i="6"/>
  <c r="F702" i="6"/>
  <c r="I700" i="6"/>
  <c r="I812" i="6"/>
  <c r="F832" i="6"/>
  <c r="F871" i="6"/>
  <c r="I889" i="6"/>
  <c r="F891" i="6"/>
  <c r="F917" i="6"/>
  <c r="F926" i="6" s="1"/>
  <c r="I913" i="6"/>
  <c r="F823" i="6"/>
  <c r="N701" i="6"/>
  <c r="T701" i="6" s="1"/>
  <c r="M701" i="6"/>
  <c r="Q701" i="6" s="1"/>
  <c r="W701" i="6" s="1"/>
  <c r="J701" i="6"/>
  <c r="I680" i="6"/>
  <c r="F682" i="6"/>
  <c r="F770" i="6"/>
  <c r="I768" i="6"/>
  <c r="I113" i="139"/>
  <c r="J113" i="139" s="1"/>
  <c r="F115" i="139"/>
  <c r="I115" i="139" s="1"/>
  <c r="J115" i="139" s="1"/>
  <c r="F617" i="6"/>
  <c r="I83" i="139"/>
  <c r="J83" i="139" s="1"/>
  <c r="F85" i="139"/>
  <c r="I85" i="139" s="1"/>
  <c r="J85" i="139" s="1"/>
  <c r="F587" i="6"/>
  <c r="I380" i="139"/>
  <c r="J380" i="139" s="1"/>
  <c r="F382" i="139"/>
  <c r="N671" i="6"/>
  <c r="T671" i="6" s="1"/>
  <c r="M671" i="6"/>
  <c r="Q671" i="6" s="1"/>
  <c r="W671" i="6" s="1"/>
  <c r="J671" i="6"/>
  <c r="K901" i="3"/>
  <c r="H23" i="653"/>
  <c r="F732" i="6"/>
  <c r="I730" i="6"/>
  <c r="M736" i="6"/>
  <c r="Q736" i="6" s="1"/>
  <c r="W736" i="6" s="1"/>
  <c r="J736" i="6"/>
  <c r="N736" i="6"/>
  <c r="T736" i="6" s="1"/>
  <c r="F760" i="6"/>
  <c r="I758" i="6"/>
  <c r="F856" i="6"/>
  <c r="I854" i="6"/>
  <c r="E23" i="653"/>
  <c r="I705" i="6"/>
  <c r="F707" i="6"/>
  <c r="J686" i="6"/>
  <c r="N686" i="6"/>
  <c r="T686" i="6" s="1"/>
  <c r="M686" i="6"/>
  <c r="Q686" i="6" s="1"/>
  <c r="W686" i="6" s="1"/>
  <c r="Q41" i="20"/>
  <c r="Q45" i="20" s="1"/>
  <c r="F804" i="6"/>
  <c r="G916" i="6"/>
  <c r="E916" i="6" s="1"/>
  <c r="W903" i="3"/>
  <c r="N860" i="6"/>
  <c r="T860" i="6" s="1"/>
  <c r="M860" i="6"/>
  <c r="Q860" i="6" s="1"/>
  <c r="W860" i="6" s="1"/>
  <c r="J860" i="6"/>
  <c r="F697" i="6"/>
  <c r="I695" i="6"/>
  <c r="I26" i="139"/>
  <c r="J26" i="139" s="1"/>
  <c r="F28" i="139"/>
  <c r="I28" i="139" s="1"/>
  <c r="J28" i="139" s="1"/>
  <c r="F532" i="6"/>
  <c r="F866" i="6"/>
  <c r="I864" i="6"/>
  <c r="F326" i="139"/>
  <c r="I326" i="139" s="1"/>
  <c r="J326" i="139" s="1"/>
  <c r="I323" i="139"/>
  <c r="J323" i="139" s="1"/>
  <c r="F737" i="6"/>
  <c r="I735" i="6"/>
  <c r="F692" i="6"/>
  <c r="I690" i="6"/>
  <c r="I295" i="139"/>
  <c r="J295" i="139" s="1"/>
  <c r="F298" i="139"/>
  <c r="I298" i="139" s="1"/>
  <c r="J298" i="139" s="1"/>
  <c r="I392" i="139"/>
  <c r="J392" i="139" s="1"/>
  <c r="Q391" i="139"/>
  <c r="F401" i="139"/>
  <c r="M817" i="6"/>
  <c r="Q817" i="6" s="1"/>
  <c r="W817" i="6" s="1"/>
  <c r="J817" i="6"/>
  <c r="N817" i="6"/>
  <c r="T817" i="6" s="1"/>
  <c r="I54" i="139"/>
  <c r="J54" i="139" s="1"/>
  <c r="F558" i="6"/>
  <c r="I558" i="6" s="1"/>
  <c r="I79" i="139"/>
  <c r="J79" i="139" s="1"/>
  <c r="F583" i="6"/>
  <c r="I583" i="6" s="1"/>
  <c r="I59" i="139"/>
  <c r="J59" i="139" s="1"/>
  <c r="F563" i="6"/>
  <c r="I563" i="6" s="1"/>
  <c r="I930" i="6"/>
  <c r="F934" i="6"/>
  <c r="N931" i="6"/>
  <c r="T931" i="6" s="1"/>
  <c r="J931" i="6"/>
  <c r="M931" i="6"/>
  <c r="Q931" i="6" s="1"/>
  <c r="W931" i="6" s="1"/>
  <c r="N681" i="6"/>
  <c r="T681" i="6" s="1"/>
  <c r="M681" i="6"/>
  <c r="Q681" i="6" s="1"/>
  <c r="W681" i="6" s="1"/>
  <c r="J681" i="6"/>
  <c r="M706" i="6"/>
  <c r="Q706" i="6" s="1"/>
  <c r="W706" i="6" s="1"/>
  <c r="N706" i="6"/>
  <c r="T706" i="6" s="1"/>
  <c r="J706" i="6"/>
  <c r="J711" i="6"/>
  <c r="M711" i="6"/>
  <c r="Q711" i="6" s="1"/>
  <c r="W711" i="6" s="1"/>
  <c r="N711" i="6"/>
  <c r="T711" i="6" s="1"/>
  <c r="M932" i="6"/>
  <c r="Q932" i="6" s="1"/>
  <c r="W932" i="6" s="1"/>
  <c r="AC932" i="6" s="1"/>
  <c r="AE932" i="6" s="1"/>
  <c r="J932" i="6"/>
  <c r="N932" i="6"/>
  <c r="T932" i="6" s="1"/>
  <c r="F841" i="6"/>
  <c r="N769" i="6"/>
  <c r="T769" i="6" s="1"/>
  <c r="J769" i="6"/>
  <c r="M769" i="6"/>
  <c r="Q769" i="6" s="1"/>
  <c r="W769" i="6" s="1"/>
  <c r="I670" i="6"/>
  <c r="F672" i="6"/>
  <c r="I849" i="6"/>
  <c r="F851" i="6"/>
  <c r="I647" i="6"/>
  <c r="F650" i="6"/>
  <c r="F37" i="654"/>
  <c r="F1250" i="6"/>
  <c r="F37" i="2"/>
  <c r="F886" i="6"/>
  <c r="F765" i="6"/>
  <c r="I763" i="6"/>
  <c r="I93" i="139"/>
  <c r="J93" i="139" s="1"/>
  <c r="F95" i="139"/>
  <c r="I95" i="139" s="1"/>
  <c r="J95" i="139" s="1"/>
  <c r="F597" i="6"/>
  <c r="I241" i="139"/>
  <c r="J241" i="139" s="1"/>
  <c r="F244" i="139"/>
  <c r="I244" i="139" s="1"/>
  <c r="J244" i="139" s="1"/>
  <c r="J661" i="6"/>
  <c r="N661" i="6"/>
  <c r="T661" i="6" s="1"/>
  <c r="M661" i="6"/>
  <c r="Q661" i="6" s="1"/>
  <c r="W661" i="6" s="1"/>
  <c r="I78" i="139"/>
  <c r="J78" i="139" s="1"/>
  <c r="F80" i="139"/>
  <c r="I80" i="139" s="1"/>
  <c r="J80" i="139" s="1"/>
  <c r="F582" i="6"/>
  <c r="I58" i="139"/>
  <c r="J58" i="139" s="1"/>
  <c r="F60" i="139"/>
  <c r="I60" i="139" s="1"/>
  <c r="J60" i="139" s="1"/>
  <c r="F562" i="6"/>
  <c r="I53" i="139"/>
  <c r="J53" i="139" s="1"/>
  <c r="F55" i="139"/>
  <c r="I55" i="139" s="1"/>
  <c r="J55" i="139" s="1"/>
  <c r="F557" i="6"/>
  <c r="I74" i="139"/>
  <c r="J74" i="139" s="1"/>
  <c r="F578" i="6"/>
  <c r="I578" i="6" s="1"/>
  <c r="I16" i="139"/>
  <c r="J16" i="139" s="1"/>
  <c r="F124" i="139"/>
  <c r="I124" i="139" s="1"/>
  <c r="J124" i="139" s="1"/>
  <c r="F522" i="6"/>
  <c r="I89" i="139"/>
  <c r="J89" i="139" s="1"/>
  <c r="F593" i="6"/>
  <c r="I593" i="6" s="1"/>
  <c r="J696" i="6"/>
  <c r="N696" i="6"/>
  <c r="T696" i="6" s="1"/>
  <c r="M696" i="6"/>
  <c r="Q696" i="6" s="1"/>
  <c r="W696" i="6" s="1"/>
  <c r="M759" i="6"/>
  <c r="N759" i="6"/>
  <c r="J759" i="6"/>
  <c r="J726" i="6"/>
  <c r="M726" i="6"/>
  <c r="Q726" i="6" s="1"/>
  <c r="W726" i="6" s="1"/>
  <c r="N726" i="6"/>
  <c r="T726" i="6" s="1"/>
  <c r="G915" i="6"/>
  <c r="E915" i="6" s="1"/>
  <c r="J850" i="6"/>
  <c r="M850" i="6"/>
  <c r="Q850" i="6" s="1"/>
  <c r="W850" i="6" s="1"/>
  <c r="N850" i="6"/>
  <c r="T850" i="6" s="1"/>
  <c r="N731" i="6"/>
  <c r="T731" i="6" s="1"/>
  <c r="M731" i="6"/>
  <c r="Q731" i="6" s="1"/>
  <c r="W731" i="6" s="1"/>
  <c r="J731" i="6"/>
  <c r="J865" i="6"/>
  <c r="M865" i="6"/>
  <c r="Q865" i="6" s="1"/>
  <c r="W865" i="6" s="1"/>
  <c r="N865" i="6"/>
  <c r="T865" i="6" s="1"/>
  <c r="M676" i="6"/>
  <c r="Q676" i="6" s="1"/>
  <c r="W676" i="6" s="1"/>
  <c r="J676" i="6"/>
  <c r="N676" i="6"/>
  <c r="T676" i="6" s="1"/>
  <c r="J774" i="6"/>
  <c r="N774" i="6"/>
  <c r="T774" i="6" s="1"/>
  <c r="M774" i="6"/>
  <c r="Q774" i="6" s="1"/>
  <c r="W774" i="6" s="1"/>
  <c r="I73" i="139"/>
  <c r="J73" i="139" s="1"/>
  <c r="F75" i="139"/>
  <c r="I75" i="139" s="1"/>
  <c r="J75" i="139" s="1"/>
  <c r="F577" i="6"/>
  <c r="I88" i="139"/>
  <c r="J88" i="139" s="1"/>
  <c r="F90" i="139"/>
  <c r="I90" i="139" s="1"/>
  <c r="J90" i="139" s="1"/>
  <c r="F592" i="6"/>
  <c r="F818" i="6"/>
  <c r="I816" i="6"/>
  <c r="N648" i="6"/>
  <c r="T648" i="6" s="1"/>
  <c r="M648" i="6"/>
  <c r="Q648" i="6" s="1"/>
  <c r="W648" i="6" s="1"/>
  <c r="AC648" i="6" s="1"/>
  <c r="AE648" i="6" s="1"/>
  <c r="J648" i="6"/>
  <c r="N855" i="6"/>
  <c r="T855" i="6" s="1"/>
  <c r="J855" i="6"/>
  <c r="M855" i="6"/>
  <c r="Q855" i="6" s="1"/>
  <c r="W855" i="6" s="1"/>
  <c r="I720" i="6"/>
  <c r="F722" i="6"/>
  <c r="F717" i="6"/>
  <c r="I715" i="6"/>
  <c r="M890" i="6"/>
  <c r="Q890" i="6" s="1"/>
  <c r="W890" i="6" s="1"/>
  <c r="J890" i="6"/>
  <c r="N890" i="6"/>
  <c r="T890" i="6" s="1"/>
  <c r="F846" i="6"/>
  <c r="I916" i="6"/>
  <c r="J916" i="6" s="1"/>
  <c r="I655" i="6"/>
  <c r="F750" i="6"/>
  <c r="F657" i="6"/>
  <c r="F753" i="6" s="1"/>
  <c r="F775" i="6"/>
  <c r="I773" i="6"/>
  <c r="F785" i="6"/>
  <c r="Q40" i="20"/>
  <c r="F803" i="6"/>
  <c r="F17" i="139"/>
  <c r="F18" i="139" s="1"/>
  <c r="F806" i="6" l="1"/>
  <c r="W902" i="3"/>
  <c r="I18" i="139"/>
  <c r="J18" i="139" s="1"/>
  <c r="Q42" i="20"/>
  <c r="Q44" i="20"/>
  <c r="Q759" i="6"/>
  <c r="M558" i="6"/>
  <c r="R558" i="6" s="1"/>
  <c r="N558" i="6"/>
  <c r="U558" i="6" s="1"/>
  <c r="J558" i="6"/>
  <c r="I866" i="6"/>
  <c r="J866" i="6" s="1"/>
  <c r="N864" i="6"/>
  <c r="J864" i="6"/>
  <c r="M864" i="6"/>
  <c r="F589" i="6"/>
  <c r="I587" i="6"/>
  <c r="F35" i="654"/>
  <c r="F35" i="2"/>
  <c r="Q875" i="6"/>
  <c r="M876" i="6"/>
  <c r="F902" i="6"/>
  <c r="M710" i="6"/>
  <c r="J710" i="6"/>
  <c r="N710" i="6"/>
  <c r="I712" i="6"/>
  <c r="J712" i="6" s="1"/>
  <c r="F29" i="654"/>
  <c r="F29" i="2"/>
  <c r="J720" i="6"/>
  <c r="M720" i="6"/>
  <c r="N720" i="6"/>
  <c r="I722" i="6"/>
  <c r="J722" i="6" s="1"/>
  <c r="M849" i="6"/>
  <c r="N849" i="6"/>
  <c r="I851" i="6"/>
  <c r="J851" i="6" s="1"/>
  <c r="J849" i="6"/>
  <c r="F36" i="654"/>
  <c r="F1249" i="6"/>
  <c r="F36" i="2"/>
  <c r="F950" i="6"/>
  <c r="F953" i="6" s="1"/>
  <c r="J680" i="6"/>
  <c r="N680" i="6"/>
  <c r="I682" i="6"/>
  <c r="J682" i="6" s="1"/>
  <c r="M680" i="6"/>
  <c r="N894" i="6"/>
  <c r="I896" i="6"/>
  <c r="M894" i="6"/>
  <c r="J894" i="6"/>
  <c r="N618" i="6"/>
  <c r="U618" i="6" s="1"/>
  <c r="M618" i="6"/>
  <c r="R618" i="6" s="1"/>
  <c r="J618" i="6"/>
  <c r="I687" i="6"/>
  <c r="J687" i="6" s="1"/>
  <c r="N685" i="6"/>
  <c r="J685" i="6"/>
  <c r="M685" i="6"/>
  <c r="I775" i="6"/>
  <c r="J775" i="6" s="1"/>
  <c r="J773" i="6"/>
  <c r="M773" i="6"/>
  <c r="N773" i="6"/>
  <c r="M816" i="6"/>
  <c r="I818" i="6"/>
  <c r="J818" i="6" s="1"/>
  <c r="N816" i="6"/>
  <c r="J816" i="6"/>
  <c r="M578" i="6"/>
  <c r="R578" i="6" s="1"/>
  <c r="N578" i="6"/>
  <c r="U578" i="6" s="1"/>
  <c r="J578" i="6"/>
  <c r="I582" i="6"/>
  <c r="F584" i="6"/>
  <c r="F599" i="6"/>
  <c r="I597" i="6"/>
  <c r="I934" i="6"/>
  <c r="N930" i="6"/>
  <c r="J930" i="6"/>
  <c r="M930" i="6"/>
  <c r="I692" i="6"/>
  <c r="J692" i="6" s="1"/>
  <c r="M690" i="6"/>
  <c r="J690" i="6"/>
  <c r="N690" i="6"/>
  <c r="I532" i="6"/>
  <c r="F534" i="6"/>
  <c r="N889" i="6"/>
  <c r="I891" i="6"/>
  <c r="J891" i="6" s="1"/>
  <c r="M889" i="6"/>
  <c r="J889" i="6"/>
  <c r="N811" i="6"/>
  <c r="M811" i="6"/>
  <c r="J811" i="6"/>
  <c r="I813" i="6"/>
  <c r="N895" i="6"/>
  <c r="J895" i="6"/>
  <c r="M895" i="6"/>
  <c r="J533" i="6"/>
  <c r="N533" i="6"/>
  <c r="U533" i="6" s="1"/>
  <c r="M533" i="6"/>
  <c r="R533" i="6" s="1"/>
  <c r="J670" i="6"/>
  <c r="M670" i="6"/>
  <c r="N670" i="6"/>
  <c r="I672" i="6"/>
  <c r="J672" i="6" s="1"/>
  <c r="N705" i="6"/>
  <c r="M705" i="6"/>
  <c r="J705" i="6"/>
  <c r="I707" i="6"/>
  <c r="J707" i="6" s="1"/>
  <c r="F619" i="6"/>
  <c r="I617" i="6"/>
  <c r="F834" i="6"/>
  <c r="I677" i="6"/>
  <c r="J677" i="6" s="1"/>
  <c r="N675" i="6"/>
  <c r="M675" i="6"/>
  <c r="J675" i="6"/>
  <c r="N660" i="6"/>
  <c r="I662" i="6"/>
  <c r="J662" i="6" s="1"/>
  <c r="M660" i="6"/>
  <c r="J660" i="6"/>
  <c r="I727" i="6"/>
  <c r="J727" i="6" s="1"/>
  <c r="N725" i="6"/>
  <c r="J725" i="6"/>
  <c r="M725" i="6"/>
  <c r="F28" i="654"/>
  <c r="N28" i="654" s="1"/>
  <c r="F28" i="2"/>
  <c r="I592" i="6"/>
  <c r="F594" i="6"/>
  <c r="N593" i="6"/>
  <c r="U593" i="6" s="1"/>
  <c r="J593" i="6"/>
  <c r="M593" i="6"/>
  <c r="R593" i="6" s="1"/>
  <c r="F559" i="6"/>
  <c r="I557" i="6"/>
  <c r="I915" i="6"/>
  <c r="N563" i="6"/>
  <c r="U563" i="6" s="1"/>
  <c r="M563" i="6"/>
  <c r="R563" i="6" s="1"/>
  <c r="J563" i="6"/>
  <c r="J735" i="6"/>
  <c r="N735" i="6"/>
  <c r="I737" i="6"/>
  <c r="J737" i="6" s="1"/>
  <c r="M735" i="6"/>
  <c r="N730" i="6"/>
  <c r="M730" i="6"/>
  <c r="J730" i="6"/>
  <c r="I732" i="6"/>
  <c r="J732" i="6" s="1"/>
  <c r="N588" i="6"/>
  <c r="U588" i="6" s="1"/>
  <c r="M588" i="6"/>
  <c r="R588" i="6" s="1"/>
  <c r="J588" i="6"/>
  <c r="J656" i="6"/>
  <c r="N656" i="6"/>
  <c r="M656" i="6"/>
  <c r="I751" i="6"/>
  <c r="J751" i="6" s="1"/>
  <c r="J603" i="6"/>
  <c r="N603" i="6"/>
  <c r="U603" i="6" s="1"/>
  <c r="M603" i="6"/>
  <c r="R603" i="6" s="1"/>
  <c r="N763" i="6"/>
  <c r="I765" i="6"/>
  <c r="J765" i="6" s="1"/>
  <c r="J763" i="6"/>
  <c r="M763" i="6"/>
  <c r="F428" i="139"/>
  <c r="I428" i="139" s="1"/>
  <c r="J428" i="139" s="1"/>
  <c r="I401" i="139"/>
  <c r="J401" i="139" s="1"/>
  <c r="M695" i="6"/>
  <c r="I697" i="6"/>
  <c r="J697" i="6" s="1"/>
  <c r="J695" i="6"/>
  <c r="N695" i="6"/>
  <c r="N854" i="6"/>
  <c r="M854" i="6"/>
  <c r="J854" i="6"/>
  <c r="I856" i="6"/>
  <c r="J856" i="6" s="1"/>
  <c r="I602" i="6"/>
  <c r="F604" i="6"/>
  <c r="I17" i="139"/>
  <c r="J17" i="139" s="1"/>
  <c r="F126" i="139"/>
  <c r="F523" i="6"/>
  <c r="I657" i="6"/>
  <c r="J655" i="6"/>
  <c r="N655" i="6"/>
  <c r="I750" i="6"/>
  <c r="J750" i="6" s="1"/>
  <c r="M655" i="6"/>
  <c r="I717" i="6"/>
  <c r="J717" i="6" s="1"/>
  <c r="J715" i="6"/>
  <c r="M715" i="6"/>
  <c r="N715" i="6"/>
  <c r="I522" i="6"/>
  <c r="F524" i="6"/>
  <c r="F633" i="6"/>
  <c r="F27" i="654"/>
  <c r="F27" i="2"/>
  <c r="F905" i="6"/>
  <c r="F1247" i="6" s="1"/>
  <c r="J583" i="6"/>
  <c r="M583" i="6"/>
  <c r="R583" i="6" s="1"/>
  <c r="N583" i="6"/>
  <c r="U583" i="6" s="1"/>
  <c r="Q46" i="20"/>
  <c r="D13" i="20"/>
  <c r="F13" i="20" s="1"/>
  <c r="L783" i="3" s="1"/>
  <c r="M13" i="20"/>
  <c r="O13" i="20" s="1"/>
  <c r="I382" i="139"/>
  <c r="J382" i="139" s="1"/>
  <c r="F383" i="139"/>
  <c r="J768" i="6"/>
  <c r="I770" i="6"/>
  <c r="J770" i="6" s="1"/>
  <c r="N768" i="6"/>
  <c r="M768" i="6"/>
  <c r="M812" i="6"/>
  <c r="J812" i="6"/>
  <c r="N812" i="6"/>
  <c r="I861" i="6"/>
  <c r="J861" i="6" s="1"/>
  <c r="J859" i="6"/>
  <c r="M859" i="6"/>
  <c r="N859" i="6"/>
  <c r="F430" i="139"/>
  <c r="I430" i="139" s="1"/>
  <c r="J430" i="139" s="1"/>
  <c r="N598" i="6"/>
  <c r="U598" i="6" s="1"/>
  <c r="J598" i="6"/>
  <c r="M598" i="6"/>
  <c r="R598" i="6" s="1"/>
  <c r="I577" i="6"/>
  <c r="F579" i="6"/>
  <c r="T759" i="6"/>
  <c r="I562" i="6"/>
  <c r="F564" i="6"/>
  <c r="M647" i="6"/>
  <c r="J647" i="6"/>
  <c r="I650" i="6"/>
  <c r="N647" i="6"/>
  <c r="J758" i="6"/>
  <c r="M758" i="6"/>
  <c r="I760" i="6"/>
  <c r="J760" i="6" s="1"/>
  <c r="N758" i="6"/>
  <c r="K904" i="3"/>
  <c r="K913" i="3" s="1"/>
  <c r="T901" i="3"/>
  <c r="M913" i="6"/>
  <c r="J913" i="6"/>
  <c r="N913" i="6"/>
  <c r="N700" i="6"/>
  <c r="M700" i="6"/>
  <c r="I702" i="6"/>
  <c r="J702" i="6" s="1"/>
  <c r="J700" i="6"/>
  <c r="T875" i="6"/>
  <c r="T876" i="6" s="1"/>
  <c r="N876" i="6"/>
  <c r="Q758" i="6" l="1"/>
  <c r="M760" i="6"/>
  <c r="T859" i="6"/>
  <c r="T861" i="6" s="1"/>
  <c r="N861" i="6"/>
  <c r="Q768" i="6"/>
  <c r="M770" i="6"/>
  <c r="F641" i="6"/>
  <c r="T655" i="6"/>
  <c r="N657" i="6"/>
  <c r="N750" i="6"/>
  <c r="N737" i="6"/>
  <c r="T735" i="6"/>
  <c r="T737" i="6" s="1"/>
  <c r="Q675" i="6"/>
  <c r="M677" i="6"/>
  <c r="Q705" i="6"/>
  <c r="M707" i="6"/>
  <c r="J813" i="6"/>
  <c r="T930" i="6"/>
  <c r="M851" i="6"/>
  <c r="Q849" i="6"/>
  <c r="N712" i="6"/>
  <c r="T710" i="6"/>
  <c r="T712" i="6" s="1"/>
  <c r="M587" i="6"/>
  <c r="I589" i="6"/>
  <c r="J589" i="6" s="1"/>
  <c r="N587" i="6"/>
  <c r="J587" i="6"/>
  <c r="U913" i="6"/>
  <c r="U917" i="6" s="1"/>
  <c r="U926" i="6" s="1"/>
  <c r="Q859" i="6"/>
  <c r="M861" i="6"/>
  <c r="T768" i="6"/>
  <c r="T770" i="6" s="1"/>
  <c r="N770" i="6"/>
  <c r="N522" i="6"/>
  <c r="M522" i="6"/>
  <c r="J522" i="6"/>
  <c r="I633" i="6"/>
  <c r="T725" i="6"/>
  <c r="T727" i="6" s="1"/>
  <c r="N727" i="6"/>
  <c r="T675" i="6"/>
  <c r="T677" i="6" s="1"/>
  <c r="N677" i="6"/>
  <c r="N707" i="6"/>
  <c r="T705" i="6"/>
  <c r="T707" i="6" s="1"/>
  <c r="N532" i="6"/>
  <c r="M532" i="6"/>
  <c r="J532" i="6"/>
  <c r="I534" i="6"/>
  <c r="J534" i="6" s="1"/>
  <c r="I36" i="654"/>
  <c r="J934" i="6"/>
  <c r="I1249" i="6"/>
  <c r="J1249" i="6" s="1"/>
  <c r="C22" i="12"/>
  <c r="C58" i="12" s="1"/>
  <c r="I36" i="2"/>
  <c r="Q685" i="6"/>
  <c r="M687" i="6"/>
  <c r="T700" i="6"/>
  <c r="T702" i="6" s="1"/>
  <c r="N702" i="6"/>
  <c r="T763" i="6"/>
  <c r="T765" i="6" s="1"/>
  <c r="N765" i="6"/>
  <c r="N650" i="6"/>
  <c r="T647" i="6"/>
  <c r="T650" i="6" s="1"/>
  <c r="T715" i="6"/>
  <c r="T717" i="6" s="1"/>
  <c r="N717" i="6"/>
  <c r="J657" i="6"/>
  <c r="I753" i="6"/>
  <c r="M856" i="6"/>
  <c r="Q854" i="6"/>
  <c r="Q811" i="6"/>
  <c r="M813" i="6"/>
  <c r="T690" i="6"/>
  <c r="T692" i="6" s="1"/>
  <c r="N692" i="6"/>
  <c r="N597" i="6"/>
  <c r="I599" i="6"/>
  <c r="J599" i="6" s="1"/>
  <c r="J597" i="6"/>
  <c r="M597" i="6"/>
  <c r="N818" i="6"/>
  <c r="T816" i="6"/>
  <c r="T818" i="6" s="1"/>
  <c r="Q894" i="6"/>
  <c r="M896" i="6"/>
  <c r="N36" i="2"/>
  <c r="M36" i="2" s="1"/>
  <c r="E36" i="2"/>
  <c r="T720" i="6"/>
  <c r="T722" i="6" s="1"/>
  <c r="N722" i="6"/>
  <c r="Q710" i="6"/>
  <c r="M712" i="6"/>
  <c r="Q864" i="6"/>
  <c r="M866" i="6"/>
  <c r="W759" i="6"/>
  <c r="Q812" i="6"/>
  <c r="M602" i="6"/>
  <c r="J602" i="6"/>
  <c r="I604" i="6"/>
  <c r="J604" i="6" s="1"/>
  <c r="N602" i="6"/>
  <c r="N851" i="6"/>
  <c r="T849" i="6"/>
  <c r="T851" i="6" s="1"/>
  <c r="Q913" i="6"/>
  <c r="I27" i="654"/>
  <c r="I27" i="2"/>
  <c r="J650" i="6"/>
  <c r="I579" i="6"/>
  <c r="J579" i="6" s="1"/>
  <c r="J577" i="6"/>
  <c r="M577" i="6"/>
  <c r="N577" i="6"/>
  <c r="Q715" i="6"/>
  <c r="M717" i="6"/>
  <c r="I523" i="6"/>
  <c r="F635" i="6"/>
  <c r="N856" i="6"/>
  <c r="T854" i="6"/>
  <c r="T856" i="6" s="1"/>
  <c r="F30" i="654"/>
  <c r="F30" i="2"/>
  <c r="T670" i="6"/>
  <c r="T672" i="6" s="1"/>
  <c r="N672" i="6"/>
  <c r="N813" i="6"/>
  <c r="T811" i="6"/>
  <c r="T685" i="6"/>
  <c r="T687" i="6" s="1"/>
  <c r="N687" i="6"/>
  <c r="J896" i="6"/>
  <c r="Q720" i="6"/>
  <c r="M722" i="6"/>
  <c r="F31" i="654"/>
  <c r="F31" i="2"/>
  <c r="M12" i="20"/>
  <c r="D12" i="20"/>
  <c r="Q725" i="6"/>
  <c r="M727" i="6"/>
  <c r="V901" i="3"/>
  <c r="T904" i="3"/>
  <c r="C21" i="582"/>
  <c r="I383" i="139"/>
  <c r="J383" i="139" s="1"/>
  <c r="F11" i="139"/>
  <c r="F12" i="139" s="1"/>
  <c r="F12" i="650"/>
  <c r="F128" i="139"/>
  <c r="I126" i="139"/>
  <c r="J126" i="139" s="1"/>
  <c r="T695" i="6"/>
  <c r="T697" i="6" s="1"/>
  <c r="N697" i="6"/>
  <c r="Q763" i="6"/>
  <c r="M765" i="6"/>
  <c r="Q656" i="6"/>
  <c r="M751" i="6"/>
  <c r="Q730" i="6"/>
  <c r="M732" i="6"/>
  <c r="M592" i="6"/>
  <c r="I594" i="6"/>
  <c r="J594" i="6" s="1"/>
  <c r="N592" i="6"/>
  <c r="J592" i="6"/>
  <c r="Q660" i="6"/>
  <c r="M662" i="6"/>
  <c r="M617" i="6"/>
  <c r="J617" i="6"/>
  <c r="I619" i="6"/>
  <c r="J619" i="6" s="1"/>
  <c r="N617" i="6"/>
  <c r="M672" i="6"/>
  <c r="Q670" i="6"/>
  <c r="Q895" i="6"/>
  <c r="Q690" i="6"/>
  <c r="M692" i="6"/>
  <c r="Q816" i="6"/>
  <c r="M818" i="6"/>
  <c r="N896" i="6"/>
  <c r="T894" i="6"/>
  <c r="N36" i="654"/>
  <c r="M36" i="654" s="1"/>
  <c r="E36" i="654"/>
  <c r="T864" i="6"/>
  <c r="T866" i="6" s="1"/>
  <c r="N866" i="6"/>
  <c r="T783" i="3"/>
  <c r="L803" i="3"/>
  <c r="N891" i="6"/>
  <c r="T889" i="6"/>
  <c r="T891" i="6" s="1"/>
  <c r="F38" i="654"/>
  <c r="K37" i="5"/>
  <c r="T913" i="3"/>
  <c r="K923" i="3"/>
  <c r="Q647" i="6"/>
  <c r="M650" i="6"/>
  <c r="T812" i="6"/>
  <c r="N27" i="2"/>
  <c r="E27" i="2"/>
  <c r="T656" i="6"/>
  <c r="T751" i="6" s="1"/>
  <c r="N751" i="6"/>
  <c r="N732" i="6"/>
  <c r="T730" i="6"/>
  <c r="T732" i="6" s="1"/>
  <c r="N915" i="6"/>
  <c r="T915" i="6" s="1"/>
  <c r="M915" i="6"/>
  <c r="Q915" i="6" s="1"/>
  <c r="W915" i="6" s="1"/>
  <c r="AC915" i="6" s="1"/>
  <c r="AE915" i="6" s="1"/>
  <c r="J915" i="6"/>
  <c r="N28" i="2"/>
  <c r="Q889" i="6"/>
  <c r="M891" i="6"/>
  <c r="I584" i="6"/>
  <c r="J584" i="6" s="1"/>
  <c r="N582" i="6"/>
  <c r="M582" i="6"/>
  <c r="J582" i="6"/>
  <c r="N775" i="6"/>
  <c r="T773" i="6"/>
  <c r="T775" i="6" s="1"/>
  <c r="Q680" i="6"/>
  <c r="M682" i="6"/>
  <c r="W875" i="6"/>
  <c r="Q876" i="6"/>
  <c r="W876" i="6" s="1"/>
  <c r="J562" i="6"/>
  <c r="M562" i="6"/>
  <c r="N562" i="6"/>
  <c r="I564" i="6"/>
  <c r="J564" i="6" s="1"/>
  <c r="Q695" i="6"/>
  <c r="M697" i="6"/>
  <c r="T680" i="6"/>
  <c r="T682" i="6" s="1"/>
  <c r="N682" i="6"/>
  <c r="M702" i="6"/>
  <c r="Q700" i="6"/>
  <c r="N760" i="6"/>
  <c r="T758" i="6"/>
  <c r="E27" i="654"/>
  <c r="N27" i="654"/>
  <c r="M750" i="6"/>
  <c r="M657" i="6"/>
  <c r="Q655" i="6"/>
  <c r="M737" i="6"/>
  <c r="Q735" i="6"/>
  <c r="N557" i="6"/>
  <c r="I559" i="6"/>
  <c r="J559" i="6" s="1"/>
  <c r="M557" i="6"/>
  <c r="J557" i="6"/>
  <c r="T660" i="6"/>
  <c r="T662" i="6" s="1"/>
  <c r="N662" i="6"/>
  <c r="T895" i="6"/>
  <c r="Q930" i="6"/>
  <c r="Q773" i="6"/>
  <c r="M775" i="6"/>
  <c r="F38" i="2"/>
  <c r="M27" i="2" l="1"/>
  <c r="F32" i="654"/>
  <c r="M27" i="654"/>
  <c r="Q657" i="6"/>
  <c r="Q750" i="6"/>
  <c r="W750" i="6" s="1"/>
  <c r="AC750" i="6" s="1"/>
  <c r="AE750" i="6" s="1"/>
  <c r="W655" i="6"/>
  <c r="AC655" i="6" s="1"/>
  <c r="AE655" i="6" s="1"/>
  <c r="T760" i="6"/>
  <c r="W895" i="6"/>
  <c r="Q662" i="6"/>
  <c r="W662" i="6" s="1"/>
  <c r="AC662" i="6" s="1"/>
  <c r="AE662" i="6" s="1"/>
  <c r="W660" i="6"/>
  <c r="AC660" i="6" s="1"/>
  <c r="AE660" i="6" s="1"/>
  <c r="Q751" i="6"/>
  <c r="W751" i="6" s="1"/>
  <c r="W656" i="6"/>
  <c r="F12" i="20"/>
  <c r="D14" i="20"/>
  <c r="D33" i="20" s="1"/>
  <c r="R577" i="6"/>
  <c r="R579" i="6" s="1"/>
  <c r="M579" i="6"/>
  <c r="W913" i="6"/>
  <c r="AC913" i="6" s="1"/>
  <c r="AE913" i="6" s="1"/>
  <c r="W812" i="6"/>
  <c r="R597" i="6"/>
  <c r="R599" i="6" s="1"/>
  <c r="M599" i="6"/>
  <c r="Q813" i="6"/>
  <c r="W811" i="6"/>
  <c r="AC811" i="6" s="1"/>
  <c r="AE811" i="6" s="1"/>
  <c r="U532" i="6"/>
  <c r="U534" i="6" s="1"/>
  <c r="N534" i="6"/>
  <c r="W849" i="6"/>
  <c r="AC849" i="6" s="1"/>
  <c r="AE849" i="6" s="1"/>
  <c r="Q851" i="6"/>
  <c r="W851" i="6" s="1"/>
  <c r="AC851" i="6" s="1"/>
  <c r="AE851" i="6" s="1"/>
  <c r="J633" i="6"/>
  <c r="M753" i="6"/>
  <c r="N564" i="6"/>
  <c r="U562" i="6"/>
  <c r="U564" i="6" s="1"/>
  <c r="Q682" i="6"/>
  <c r="W682" i="6" s="1"/>
  <c r="AC682" i="6" s="1"/>
  <c r="AE682" i="6" s="1"/>
  <c r="W680" i="6"/>
  <c r="AC680" i="6" s="1"/>
  <c r="AE680" i="6" s="1"/>
  <c r="Q891" i="6"/>
  <c r="W891" i="6" s="1"/>
  <c r="AC891" i="6" s="1"/>
  <c r="AE891" i="6" s="1"/>
  <c r="W889" i="6"/>
  <c r="AC889" i="6" s="1"/>
  <c r="AE889" i="6" s="1"/>
  <c r="W647" i="6"/>
  <c r="AC647" i="6" s="1"/>
  <c r="AE647" i="6" s="1"/>
  <c r="Q650" i="6"/>
  <c r="T896" i="6"/>
  <c r="Q672" i="6"/>
  <c r="W672" i="6" s="1"/>
  <c r="W670" i="6"/>
  <c r="O12" i="20"/>
  <c r="O14" i="20" s="1"/>
  <c r="M14" i="20"/>
  <c r="W854" i="6"/>
  <c r="AC854" i="6" s="1"/>
  <c r="AE854" i="6" s="1"/>
  <c r="Q856" i="6"/>
  <c r="W856" i="6" s="1"/>
  <c r="AC856" i="6" s="1"/>
  <c r="AE856" i="6" s="1"/>
  <c r="R522" i="6"/>
  <c r="M633" i="6"/>
  <c r="W675" i="6"/>
  <c r="AC675" i="6" s="1"/>
  <c r="AE675" i="6" s="1"/>
  <c r="Q677" i="6"/>
  <c r="W677" i="6" s="1"/>
  <c r="AC677" i="6" s="1"/>
  <c r="AE677" i="6" s="1"/>
  <c r="W768" i="6"/>
  <c r="AC768" i="6" s="1"/>
  <c r="AE768" i="6" s="1"/>
  <c r="Q770" i="6"/>
  <c r="W770" i="6" s="1"/>
  <c r="AC770" i="6" s="1"/>
  <c r="AE770" i="6" s="1"/>
  <c r="W773" i="6"/>
  <c r="AC773" i="6" s="1"/>
  <c r="AE773" i="6" s="1"/>
  <c r="Q775" i="6"/>
  <c r="W775" i="6" s="1"/>
  <c r="AC775" i="6" s="1"/>
  <c r="AE775" i="6" s="1"/>
  <c r="M564" i="6"/>
  <c r="R562" i="6"/>
  <c r="R564" i="6" s="1"/>
  <c r="N594" i="6"/>
  <c r="U592" i="6"/>
  <c r="U594" i="6" s="1"/>
  <c r="W763" i="6"/>
  <c r="AC763" i="6" s="1"/>
  <c r="AE763" i="6" s="1"/>
  <c r="Q765" i="6"/>
  <c r="W765" i="6" s="1"/>
  <c r="AC765" i="6" s="1"/>
  <c r="AE765" i="6" s="1"/>
  <c r="K48" i="582"/>
  <c r="C16" i="582"/>
  <c r="C22" i="582"/>
  <c r="U522" i="6"/>
  <c r="N633" i="6"/>
  <c r="N579" i="6"/>
  <c r="U577" i="6"/>
  <c r="U579" i="6" s="1"/>
  <c r="Q702" i="6"/>
  <c r="W702" i="6" s="1"/>
  <c r="AC702" i="6" s="1"/>
  <c r="AE702" i="6" s="1"/>
  <c r="W700" i="6"/>
  <c r="AC700" i="6" s="1"/>
  <c r="AE700" i="6" s="1"/>
  <c r="M559" i="6"/>
  <c r="R557" i="6"/>
  <c r="R559" i="6" s="1"/>
  <c r="F32" i="2"/>
  <c r="V913" i="3"/>
  <c r="U37" i="5"/>
  <c r="V783" i="3"/>
  <c r="T803" i="3"/>
  <c r="N619" i="6"/>
  <c r="U617" i="6"/>
  <c r="U619" i="6" s="1"/>
  <c r="T813" i="6"/>
  <c r="U602" i="6"/>
  <c r="U604" i="6" s="1"/>
  <c r="N604" i="6"/>
  <c r="U597" i="6"/>
  <c r="U599" i="6" s="1"/>
  <c r="N599" i="6"/>
  <c r="I28" i="654"/>
  <c r="I28" i="2"/>
  <c r="E28" i="2" s="1"/>
  <c r="J753" i="6"/>
  <c r="N589" i="6"/>
  <c r="U587" i="6"/>
  <c r="U589" i="6" s="1"/>
  <c r="Q697" i="6"/>
  <c r="W697" i="6" s="1"/>
  <c r="AC697" i="6" s="1"/>
  <c r="AE697" i="6" s="1"/>
  <c r="W695" i="6"/>
  <c r="AC695" i="6" s="1"/>
  <c r="AE695" i="6" s="1"/>
  <c r="M534" i="6"/>
  <c r="R532" i="6"/>
  <c r="R534" i="6" s="1"/>
  <c r="K933" i="3"/>
  <c r="K936" i="3" s="1"/>
  <c r="K939" i="3" s="1"/>
  <c r="K1230" i="3"/>
  <c r="K1234" i="3" s="1"/>
  <c r="K1236" i="3" s="1"/>
  <c r="K1241" i="3" s="1"/>
  <c r="K39" i="5"/>
  <c r="K40" i="5" s="1"/>
  <c r="K43" i="5" s="1"/>
  <c r="K46" i="5" s="1"/>
  <c r="W930" i="6"/>
  <c r="Q818" i="6"/>
  <c r="W818" i="6" s="1"/>
  <c r="AC818" i="6" s="1"/>
  <c r="AE818" i="6" s="1"/>
  <c r="W816" i="6"/>
  <c r="AC816" i="6" s="1"/>
  <c r="AE816" i="6" s="1"/>
  <c r="R592" i="6"/>
  <c r="R594" i="6" s="1"/>
  <c r="M594" i="6"/>
  <c r="G914" i="6"/>
  <c r="V904" i="3"/>
  <c r="I524" i="6"/>
  <c r="M523" i="6"/>
  <c r="M524" i="6" s="1"/>
  <c r="J523" i="6"/>
  <c r="N523" i="6"/>
  <c r="I635" i="6"/>
  <c r="Q866" i="6"/>
  <c r="W866" i="6" s="1"/>
  <c r="AC866" i="6" s="1"/>
  <c r="AE866" i="6" s="1"/>
  <c r="W864" i="6"/>
  <c r="AC864" i="6" s="1"/>
  <c r="AE864" i="6" s="1"/>
  <c r="M584" i="6"/>
  <c r="R582" i="6"/>
  <c r="R584" i="6" s="1"/>
  <c r="Q722" i="6"/>
  <c r="W722" i="6" s="1"/>
  <c r="AC722" i="6" s="1"/>
  <c r="AE722" i="6" s="1"/>
  <c r="W720" i="6"/>
  <c r="AC720" i="6" s="1"/>
  <c r="AE720" i="6" s="1"/>
  <c r="W894" i="6"/>
  <c r="Q896" i="6"/>
  <c r="R587" i="6"/>
  <c r="R589" i="6" s="1"/>
  <c r="M589" i="6"/>
  <c r="N753" i="6"/>
  <c r="F23" i="650"/>
  <c r="F13" i="650"/>
  <c r="F24" i="650" s="1"/>
  <c r="Q707" i="6"/>
  <c r="W707" i="6" s="1"/>
  <c r="W705" i="6"/>
  <c r="N559" i="6"/>
  <c r="U557" i="6"/>
  <c r="U559" i="6" s="1"/>
  <c r="Q737" i="6"/>
  <c r="W737" i="6" s="1"/>
  <c r="AC737" i="6" s="1"/>
  <c r="AE737" i="6" s="1"/>
  <c r="W735" i="6"/>
  <c r="AC735" i="6" s="1"/>
  <c r="AE735" i="6" s="1"/>
  <c r="U582" i="6"/>
  <c r="U584" i="6" s="1"/>
  <c r="N584" i="6"/>
  <c r="Q692" i="6"/>
  <c r="W692" i="6" s="1"/>
  <c r="AC692" i="6" s="1"/>
  <c r="AE692" i="6" s="1"/>
  <c r="W690" i="6"/>
  <c r="AC690" i="6" s="1"/>
  <c r="AE690" i="6" s="1"/>
  <c r="R617" i="6"/>
  <c r="R619" i="6" s="1"/>
  <c r="M619" i="6"/>
  <c r="Q732" i="6"/>
  <c r="W732" i="6" s="1"/>
  <c r="AC732" i="6" s="1"/>
  <c r="AE732" i="6" s="1"/>
  <c r="W730" i="6"/>
  <c r="AC730" i="6" s="1"/>
  <c r="AE730" i="6" s="1"/>
  <c r="I128" i="139"/>
  <c r="J128" i="139" s="1"/>
  <c r="F131" i="139"/>
  <c r="Q727" i="6"/>
  <c r="W727" i="6" s="1"/>
  <c r="AC727" i="6" s="1"/>
  <c r="AE727" i="6" s="1"/>
  <c r="W725" i="6"/>
  <c r="AC725" i="6" s="1"/>
  <c r="AE725" i="6" s="1"/>
  <c r="W715" i="6"/>
  <c r="AC715" i="6" s="1"/>
  <c r="AE715" i="6" s="1"/>
  <c r="Q717" i="6"/>
  <c r="W717" i="6" s="1"/>
  <c r="AC717" i="6" s="1"/>
  <c r="AE717" i="6" s="1"/>
  <c r="M604" i="6"/>
  <c r="R602" i="6"/>
  <c r="R604" i="6" s="1"/>
  <c r="Q712" i="6"/>
  <c r="W712" i="6" s="1"/>
  <c r="W710" i="6"/>
  <c r="W685" i="6"/>
  <c r="AC685" i="6" s="1"/>
  <c r="AE685" i="6" s="1"/>
  <c r="Q687" i="6"/>
  <c r="W687" i="6" s="1"/>
  <c r="AC687" i="6" s="1"/>
  <c r="AE687" i="6" s="1"/>
  <c r="W859" i="6"/>
  <c r="AC859" i="6" s="1"/>
  <c r="AE859" i="6" s="1"/>
  <c r="Q861" i="6"/>
  <c r="W861" i="6" s="1"/>
  <c r="AC861" i="6" s="1"/>
  <c r="AE861" i="6" s="1"/>
  <c r="T657" i="6"/>
  <c r="T753" i="6" s="1"/>
  <c r="T750" i="6"/>
  <c r="W758" i="6"/>
  <c r="Q760" i="6"/>
  <c r="W760" i="6" s="1"/>
  <c r="AC760" i="6" s="1"/>
  <c r="AE760" i="6" s="1"/>
  <c r="J635" i="6" l="1"/>
  <c r="E28" i="654"/>
  <c r="M28" i="654"/>
  <c r="AC894" i="6"/>
  <c r="AE894" i="6" s="1"/>
  <c r="U523" i="6"/>
  <c r="U635" i="6" s="1"/>
  <c r="N635" i="6"/>
  <c r="M28" i="2"/>
  <c r="L782" i="3"/>
  <c r="F14" i="20"/>
  <c r="F33" i="20" s="1"/>
  <c r="R523" i="6"/>
  <c r="R635" i="6" s="1"/>
  <c r="M635" i="6"/>
  <c r="N524" i="6"/>
  <c r="R524" i="6"/>
  <c r="R633" i="6"/>
  <c r="J524" i="6"/>
  <c r="U633" i="6"/>
  <c r="W650" i="6"/>
  <c r="W657" i="6"/>
  <c r="AC657" i="6" s="1"/>
  <c r="AE657" i="6" s="1"/>
  <c r="Q753" i="6"/>
  <c r="W753" i="6" s="1"/>
  <c r="L48" i="582"/>
  <c r="E16" i="582"/>
  <c r="R838" i="3" s="1"/>
  <c r="V803" i="3"/>
  <c r="G784" i="6"/>
  <c r="W813" i="6"/>
  <c r="AC813" i="6" s="1"/>
  <c r="AE813" i="6" s="1"/>
  <c r="AC758" i="6"/>
  <c r="AE758" i="6" s="1"/>
  <c r="I131" i="139"/>
  <c r="J131" i="139" s="1"/>
  <c r="F431" i="139"/>
  <c r="I431" i="139" s="1"/>
  <c r="J431" i="139" s="1"/>
  <c r="W896" i="6"/>
  <c r="AC896" i="6" s="1"/>
  <c r="AE896" i="6" s="1"/>
  <c r="W901" i="3"/>
  <c r="G917" i="6"/>
  <c r="E914" i="6"/>
  <c r="I914" i="6"/>
  <c r="K1251" i="3"/>
  <c r="K71" i="5"/>
  <c r="K72" i="5" s="1"/>
  <c r="K75" i="5" s="1"/>
  <c r="K1248" i="3"/>
  <c r="C17" i="582"/>
  <c r="K49" i="582"/>
  <c r="N914" i="6" l="1"/>
  <c r="J914" i="6"/>
  <c r="M914" i="6"/>
  <c r="I917" i="6"/>
  <c r="T782" i="3"/>
  <c r="L784" i="3"/>
  <c r="L805" i="3" s="1"/>
  <c r="L802" i="3"/>
  <c r="J28" i="654"/>
  <c r="Y28" i="654" s="1"/>
  <c r="Z28" i="654" s="1"/>
  <c r="J28" i="2"/>
  <c r="L28" i="2" s="1"/>
  <c r="AC753" i="6"/>
  <c r="AE753" i="6" s="1"/>
  <c r="G926" i="6"/>
  <c r="E917" i="6"/>
  <c r="E17" i="582"/>
  <c r="R839" i="3" s="1"/>
  <c r="R887" i="3" s="1"/>
  <c r="L49" i="582"/>
  <c r="W783" i="3"/>
  <c r="E784" i="6"/>
  <c r="G804" i="6"/>
  <c r="E804" i="6" s="1"/>
  <c r="I784" i="6"/>
  <c r="J27" i="654"/>
  <c r="Y27" i="654" s="1"/>
  <c r="Z27" i="654" s="1"/>
  <c r="J27" i="2"/>
  <c r="AC650" i="6"/>
  <c r="AE650" i="6" s="1"/>
  <c r="R886" i="3"/>
  <c r="W904" i="3"/>
  <c r="U524" i="6"/>
  <c r="L27" i="654" l="1"/>
  <c r="O27" i="654"/>
  <c r="P27" i="654" s="1"/>
  <c r="M784" i="6"/>
  <c r="J784" i="6"/>
  <c r="N784" i="6"/>
  <c r="I804" i="6"/>
  <c r="J804" i="6" s="1"/>
  <c r="L892" i="3"/>
  <c r="L31" i="5"/>
  <c r="L34" i="5" s="1"/>
  <c r="O28" i="654"/>
  <c r="P28" i="654" s="1"/>
  <c r="L28" i="654"/>
  <c r="W803" i="3"/>
  <c r="V782" i="3"/>
  <c r="T784" i="3"/>
  <c r="T805" i="3" s="1"/>
  <c r="U31" i="5" s="1"/>
  <c r="T802" i="3"/>
  <c r="G35" i="654"/>
  <c r="E926" i="6"/>
  <c r="G35" i="2"/>
  <c r="W913" i="3"/>
  <c r="J917" i="6"/>
  <c r="I926" i="6"/>
  <c r="C20" i="12"/>
  <c r="C56" i="12" s="1"/>
  <c r="Q914" i="6"/>
  <c r="R840" i="3"/>
  <c r="R889" i="3" s="1"/>
  <c r="L27" i="2"/>
  <c r="T914" i="6"/>
  <c r="R892" i="3" l="1"/>
  <c r="R33" i="5"/>
  <c r="R34" i="5" s="1"/>
  <c r="T784" i="6"/>
  <c r="T804" i="6" s="1"/>
  <c r="N804" i="6"/>
  <c r="I35" i="654"/>
  <c r="J926" i="6"/>
  <c r="I35" i="2"/>
  <c r="E35" i="2" s="1"/>
  <c r="G783" i="6"/>
  <c r="V784" i="3"/>
  <c r="V802" i="3"/>
  <c r="N35" i="2"/>
  <c r="W914" i="6"/>
  <c r="Q784" i="6"/>
  <c r="M804" i="6"/>
  <c r="N35" i="654"/>
  <c r="E35" i="654"/>
  <c r="L923" i="3"/>
  <c r="L1227" i="3"/>
  <c r="L1230" i="3" l="1"/>
  <c r="L933" i="3"/>
  <c r="L936" i="3" s="1"/>
  <c r="L939" i="3" s="1"/>
  <c r="L39" i="5"/>
  <c r="L40" i="5" s="1"/>
  <c r="L43" i="5" s="1"/>
  <c r="L46" i="5" s="1"/>
  <c r="L1234" i="3"/>
  <c r="L1236" i="3" s="1"/>
  <c r="L1241" i="3" s="1"/>
  <c r="M35" i="2"/>
  <c r="V805" i="3"/>
  <c r="M35" i="654"/>
  <c r="W784" i="6"/>
  <c r="Q804" i="6"/>
  <c r="W804" i="6" s="1"/>
  <c r="W782" i="3"/>
  <c r="E783" i="6"/>
  <c r="G785" i="6"/>
  <c r="W784" i="3" s="1"/>
  <c r="G803" i="6"/>
  <c r="E803" i="6" s="1"/>
  <c r="I783" i="6"/>
  <c r="R923" i="3"/>
  <c r="R1227" i="3"/>
  <c r="P180" i="4"/>
  <c r="V180" i="4" s="1"/>
  <c r="AA180" i="4" l="1"/>
  <c r="Z180" i="4"/>
  <c r="AC180" i="4" s="1"/>
  <c r="L71" i="5"/>
  <c r="L72" i="5" s="1"/>
  <c r="L75" i="5" s="1"/>
  <c r="L1251" i="3"/>
  <c r="L1248" i="3"/>
  <c r="E785" i="6"/>
  <c r="G806" i="6"/>
  <c r="W805" i="3" s="1"/>
  <c r="R39" i="5"/>
  <c r="R40" i="5" s="1"/>
  <c r="R43" i="5" s="1"/>
  <c r="R46" i="5" s="1"/>
  <c r="R1230" i="3"/>
  <c r="R1234" i="3" s="1"/>
  <c r="R1236" i="3" s="1"/>
  <c r="R1241" i="3" s="1"/>
  <c r="R933" i="3"/>
  <c r="R936" i="3" s="1"/>
  <c r="R939" i="3" s="1"/>
  <c r="W802" i="3"/>
  <c r="M783" i="6"/>
  <c r="J783" i="6"/>
  <c r="N783" i="6"/>
  <c r="I785" i="6"/>
  <c r="I803" i="6"/>
  <c r="J803" i="6" s="1"/>
  <c r="P181" i="4"/>
  <c r="V181" i="4" s="1"/>
  <c r="P179" i="4"/>
  <c r="V179" i="4" s="1"/>
  <c r="P178" i="4"/>
  <c r="P182" i="4" l="1"/>
  <c r="V182" i="4" s="1"/>
  <c r="V178" i="4"/>
  <c r="Z181" i="4"/>
  <c r="AC181" i="4" s="1"/>
  <c r="AA181" i="4"/>
  <c r="Z179" i="4"/>
  <c r="AC179" i="4" s="1"/>
  <c r="AA179" i="4"/>
  <c r="Q783" i="6"/>
  <c r="M785" i="6"/>
  <c r="M806" i="6" s="1"/>
  <c r="M803" i="6"/>
  <c r="AM180" i="4"/>
  <c r="AN180" i="4" s="1"/>
  <c r="AD180" i="4"/>
  <c r="F1122" i="3" s="1"/>
  <c r="T1122" i="3" s="1"/>
  <c r="V1122" i="3" s="1"/>
  <c r="G1142" i="6" s="1"/>
  <c r="T783" i="6"/>
  <c r="N785" i="6"/>
  <c r="N806" i="6" s="1"/>
  <c r="N803" i="6"/>
  <c r="G29" i="654"/>
  <c r="G29" i="2"/>
  <c r="E806" i="6"/>
  <c r="R71" i="5"/>
  <c r="R72" i="5" s="1"/>
  <c r="R75" i="5" s="1"/>
  <c r="R1248" i="3"/>
  <c r="R1251" i="3"/>
  <c r="J785" i="6"/>
  <c r="I806" i="6"/>
  <c r="P260" i="4"/>
  <c r="P256" i="4"/>
  <c r="V256" i="4" s="1"/>
  <c r="P255" i="4"/>
  <c r="V255" i="4" s="1"/>
  <c r="P254" i="4"/>
  <c r="V254" i="4" s="1"/>
  <c r="P253" i="4"/>
  <c r="P249" i="4"/>
  <c r="V249" i="4" s="1"/>
  <c r="P248" i="4"/>
  <c r="V248" i="4" s="1"/>
  <c r="P247" i="4"/>
  <c r="V247" i="4" s="1"/>
  <c r="P246" i="4"/>
  <c r="P226" i="4"/>
  <c r="V226" i="4" s="1"/>
  <c r="P225" i="4"/>
  <c r="P213" i="4"/>
  <c r="V213" i="4" s="1"/>
  <c r="P212" i="4"/>
  <c r="V212" i="4" s="1"/>
  <c r="P211" i="4"/>
  <c r="P220" i="4"/>
  <c r="V220" i="4" s="1"/>
  <c r="P219" i="4"/>
  <c r="V219" i="4" s="1"/>
  <c r="P218" i="4"/>
  <c r="P221" i="4"/>
  <c r="V221" i="4" s="1"/>
  <c r="P214" i="4"/>
  <c r="V214" i="4" s="1"/>
  <c r="P160" i="4"/>
  <c r="V160" i="4" s="1"/>
  <c r="P159" i="4"/>
  <c r="V159" i="4" s="1"/>
  <c r="P158" i="4"/>
  <c r="V158" i="4" s="1"/>
  <c r="P222" i="4" l="1"/>
  <c r="V218" i="4"/>
  <c r="N29" i="2"/>
  <c r="AA256" i="4"/>
  <c r="Z256" i="4"/>
  <c r="AC256" i="4" s="1"/>
  <c r="I29" i="654"/>
  <c r="I29" i="2"/>
  <c r="E29" i="2" s="1"/>
  <c r="J806" i="6"/>
  <c r="N29" i="654"/>
  <c r="Q785" i="6"/>
  <c r="W783" i="6"/>
  <c r="Q803" i="6"/>
  <c r="P257" i="4"/>
  <c r="V253" i="4"/>
  <c r="Z213" i="4"/>
  <c r="AC213" i="4" s="1"/>
  <c r="AA213" i="4"/>
  <c r="P250" i="4"/>
  <c r="V246" i="4"/>
  <c r="AA254" i="4"/>
  <c r="Z254" i="4"/>
  <c r="AC254" i="4" s="1"/>
  <c r="AM179" i="4"/>
  <c r="AN179" i="4" s="1"/>
  <c r="AD179" i="4"/>
  <c r="F1121" i="3" s="1"/>
  <c r="T1121" i="3" s="1"/>
  <c r="V1121" i="3" s="1"/>
  <c r="G1141" i="6" s="1"/>
  <c r="Z158" i="4"/>
  <c r="AA158" i="4"/>
  <c r="Z212" i="4"/>
  <c r="AA212" i="4"/>
  <c r="P227" i="4"/>
  <c r="V227" i="4" s="1"/>
  <c r="V225" i="4"/>
  <c r="P261" i="4"/>
  <c r="V260" i="4"/>
  <c r="T785" i="6"/>
  <c r="T806" i="6" s="1"/>
  <c r="T803" i="6"/>
  <c r="AA248" i="4"/>
  <c r="Z248" i="4"/>
  <c r="AC248" i="4" s="1"/>
  <c r="AA249" i="4"/>
  <c r="Z249" i="4"/>
  <c r="AC249" i="4" s="1"/>
  <c r="AA247" i="4"/>
  <c r="Z247" i="4"/>
  <c r="AC247" i="4" s="1"/>
  <c r="W1122" i="3"/>
  <c r="E1142" i="6"/>
  <c r="I1142" i="6"/>
  <c r="AM181" i="4"/>
  <c r="AN181" i="4" s="1"/>
  <c r="AD181" i="4"/>
  <c r="F1123" i="3" s="1"/>
  <c r="T1123" i="3" s="1"/>
  <c r="V1123" i="3" s="1"/>
  <c r="G1143" i="6" s="1"/>
  <c r="Z160" i="4"/>
  <c r="AA160" i="4"/>
  <c r="AA214" i="4"/>
  <c r="Z214" i="4"/>
  <c r="AC214" i="4" s="1"/>
  <c r="AA221" i="4"/>
  <c r="Z221" i="4"/>
  <c r="AC221" i="4" s="1"/>
  <c r="P215" i="4"/>
  <c r="V215" i="4" s="1"/>
  <c r="V211" i="4"/>
  <c r="Z255" i="4"/>
  <c r="AC255" i="4" s="1"/>
  <c r="AA255" i="4"/>
  <c r="Z178" i="4"/>
  <c r="AC178" i="4" s="1"/>
  <c r="AA178" i="4"/>
  <c r="AA159" i="4"/>
  <c r="Z159" i="4"/>
  <c r="AC159" i="4" s="1"/>
  <c r="Z220" i="4"/>
  <c r="AC220" i="4" s="1"/>
  <c r="AA220" i="4"/>
  <c r="AA219" i="4"/>
  <c r="Z219" i="4"/>
  <c r="AC219" i="4" s="1"/>
  <c r="Z226" i="4"/>
  <c r="AC226" i="4" s="1"/>
  <c r="AA226" i="4"/>
  <c r="AA182" i="4"/>
  <c r="Z182" i="4"/>
  <c r="AC182" i="4" s="1"/>
  <c r="R157" i="4"/>
  <c r="T157" i="4"/>
  <c r="Q157" i="4"/>
  <c r="P207" i="4"/>
  <c r="P203" i="4"/>
  <c r="P174" i="4"/>
  <c r="V174" i="4" s="1"/>
  <c r="P173" i="4"/>
  <c r="V173" i="4" s="1"/>
  <c r="P172" i="4"/>
  <c r="V172" i="4" s="1"/>
  <c r="P171" i="4"/>
  <c r="P167" i="4"/>
  <c r="V167" i="4" s="1"/>
  <c r="P166" i="4"/>
  <c r="V166" i="4" s="1"/>
  <c r="P165" i="4"/>
  <c r="V165" i="4" s="1"/>
  <c r="P164" i="4"/>
  <c r="P157" i="4"/>
  <c r="P153" i="4"/>
  <c r="P140" i="4"/>
  <c r="V140" i="4" s="1"/>
  <c r="P139" i="4"/>
  <c r="V139" i="4" s="1"/>
  <c r="P138" i="4"/>
  <c r="P134" i="4"/>
  <c r="V134" i="4" s="1"/>
  <c r="P133" i="4"/>
  <c r="P129" i="4"/>
  <c r="V129" i="4" s="1"/>
  <c r="P128" i="4"/>
  <c r="V128" i="4" s="1"/>
  <c r="P127" i="4"/>
  <c r="P123" i="4"/>
  <c r="V123" i="4" s="1"/>
  <c r="P122" i="4"/>
  <c r="V122" i="4" s="1"/>
  <c r="P121" i="4"/>
  <c r="P117" i="4"/>
  <c r="V117" i="4" s="1"/>
  <c r="P116" i="4"/>
  <c r="V116" i="4" s="1"/>
  <c r="P115" i="4"/>
  <c r="P111" i="4"/>
  <c r="V111" i="4" s="1"/>
  <c r="P110" i="4"/>
  <c r="P106" i="4"/>
  <c r="V106" i="4" s="1"/>
  <c r="P105" i="4"/>
  <c r="V105" i="4" s="1"/>
  <c r="P104" i="4"/>
  <c r="P100" i="4"/>
  <c r="V100" i="4" s="1"/>
  <c r="P99" i="4"/>
  <c r="V99" i="4" s="1"/>
  <c r="P98" i="4"/>
  <c r="P94" i="4"/>
  <c r="V94" i="4" s="1"/>
  <c r="P93" i="4"/>
  <c r="V93" i="4" s="1"/>
  <c r="P92" i="4"/>
  <c r="P88" i="4"/>
  <c r="V88" i="4" s="1"/>
  <c r="P87" i="4"/>
  <c r="P80" i="4"/>
  <c r="V80" i="4" s="1"/>
  <c r="P79" i="4"/>
  <c r="P75" i="4"/>
  <c r="V75" i="4" s="1"/>
  <c r="P74" i="4"/>
  <c r="P70" i="4"/>
  <c r="V70" i="4" s="1"/>
  <c r="P69" i="4"/>
  <c r="P65" i="4"/>
  <c r="V65" i="4" s="1"/>
  <c r="P64" i="4"/>
  <c r="P60" i="4"/>
  <c r="V60" i="4" s="1"/>
  <c r="P59" i="4"/>
  <c r="P55" i="4"/>
  <c r="V55" i="4" s="1"/>
  <c r="P54" i="4"/>
  <c r="P50" i="4"/>
  <c r="V50" i="4" s="1"/>
  <c r="P46" i="4"/>
  <c r="P39" i="4"/>
  <c r="V39" i="4" s="1"/>
  <c r="P38" i="4"/>
  <c r="P34" i="4"/>
  <c r="V34" i="4" s="1"/>
  <c r="P33" i="4"/>
  <c r="P27" i="4"/>
  <c r="V27" i="4" s="1"/>
  <c r="P26" i="4"/>
  <c r="V26" i="4" s="1"/>
  <c r="P25" i="4"/>
  <c r="V25" i="4" s="1"/>
  <c r="P24" i="4"/>
  <c r="V24" i="4" s="1"/>
  <c r="P23" i="4"/>
  <c r="V23" i="4" s="1"/>
  <c r="P22" i="4"/>
  <c r="V22" i="4" s="1"/>
  <c r="P21" i="4"/>
  <c r="P16" i="4"/>
  <c r="P15" i="4"/>
  <c r="M29" i="2" l="1"/>
  <c r="Z75" i="4"/>
  <c r="AC75" i="4" s="1"/>
  <c r="AA75" i="4"/>
  <c r="T161" i="4"/>
  <c r="T186" i="4"/>
  <c r="Y157" i="4"/>
  <c r="AL157" i="4"/>
  <c r="AB157" i="4"/>
  <c r="F1119" i="6"/>
  <c r="Z211" i="4"/>
  <c r="AA211" i="4"/>
  <c r="P148" i="4"/>
  <c r="V16" i="4"/>
  <c r="P35" i="4"/>
  <c r="V33" i="4"/>
  <c r="P61" i="4"/>
  <c r="V59" i="4"/>
  <c r="P81" i="4"/>
  <c r="V79" i="4"/>
  <c r="Z99" i="4"/>
  <c r="AA99" i="4"/>
  <c r="AA116" i="4"/>
  <c r="Z116" i="4"/>
  <c r="AC116" i="4" s="1"/>
  <c r="P135" i="4"/>
  <c r="V133" i="4"/>
  <c r="AA165" i="4"/>
  <c r="Z165" i="4"/>
  <c r="AC165" i="4" s="1"/>
  <c r="P204" i="4"/>
  <c r="V204" i="4" s="1"/>
  <c r="P264" i="4"/>
  <c r="V203" i="4"/>
  <c r="D20" i="16"/>
  <c r="D25" i="16" s="1"/>
  <c r="AD220" i="4"/>
  <c r="F1162" i="3" s="1"/>
  <c r="T1162" i="3" s="1"/>
  <c r="V1162" i="3" s="1"/>
  <c r="AM220" i="4"/>
  <c r="AN220" i="4" s="1"/>
  <c r="AA215" i="4"/>
  <c r="Z215" i="4"/>
  <c r="AM248" i="4"/>
  <c r="AN248" i="4" s="1"/>
  <c r="AD248" i="4"/>
  <c r="F1190" i="3" s="1"/>
  <c r="T1190" i="3" s="1"/>
  <c r="V1190" i="3" s="1"/>
  <c r="G1210" i="6" s="1"/>
  <c r="Z246" i="4"/>
  <c r="AC246" i="4" s="1"/>
  <c r="V250" i="4"/>
  <c r="AA246" i="4"/>
  <c r="W785" i="6"/>
  <c r="AC785" i="6" s="1"/>
  <c r="AE785" i="6" s="1"/>
  <c r="Q806" i="6"/>
  <c r="AM256" i="4"/>
  <c r="AN256" i="4" s="1"/>
  <c r="AD256" i="4"/>
  <c r="F1198" i="3" s="1"/>
  <c r="T1198" i="3" s="1"/>
  <c r="V1198" i="3" s="1"/>
  <c r="G1218" i="6" s="1"/>
  <c r="S157" i="4"/>
  <c r="AA80" i="4"/>
  <c r="Z80" i="4"/>
  <c r="AA100" i="4"/>
  <c r="Z100" i="4"/>
  <c r="AC100" i="4" s="1"/>
  <c r="AA117" i="4"/>
  <c r="Z117" i="4"/>
  <c r="AC117" i="4" s="1"/>
  <c r="AA134" i="4"/>
  <c r="Z134" i="4"/>
  <c r="AC134" i="4" s="1"/>
  <c r="AA166" i="4"/>
  <c r="Z166" i="4"/>
  <c r="AC166" i="4" s="1"/>
  <c r="P208" i="4"/>
  <c r="V208" i="4" s="1"/>
  <c r="P267" i="4"/>
  <c r="V207" i="4"/>
  <c r="Q161" i="4"/>
  <c r="Q186" i="4"/>
  <c r="AD182" i="4"/>
  <c r="F1124" i="3" s="1"/>
  <c r="F57" i="5" s="1"/>
  <c r="AM182" i="4"/>
  <c r="AN182" i="4" s="1"/>
  <c r="AD159" i="4"/>
  <c r="F1101" i="3" s="1"/>
  <c r="T1101" i="3" s="1"/>
  <c r="V1101" i="3" s="1"/>
  <c r="AM159" i="4"/>
  <c r="AN159" i="4" s="1"/>
  <c r="AD221" i="4"/>
  <c r="F1163" i="3" s="1"/>
  <c r="T1163" i="3" s="1"/>
  <c r="V1163" i="3" s="1"/>
  <c r="G1183" i="6" s="1"/>
  <c r="AM221" i="4"/>
  <c r="AN221" i="4" s="1"/>
  <c r="J1142" i="6"/>
  <c r="N1142" i="6"/>
  <c r="T1142" i="6" s="1"/>
  <c r="M1142" i="6"/>
  <c r="Q1142" i="6" s="1"/>
  <c r="W1142" i="6" s="1"/>
  <c r="AC1142" i="6" s="1"/>
  <c r="AE1142" i="6" s="1"/>
  <c r="M29" i="654"/>
  <c r="P18" i="4"/>
  <c r="P147" i="4"/>
  <c r="V15" i="4"/>
  <c r="P118" i="4"/>
  <c r="V115" i="4"/>
  <c r="Z227" i="4"/>
  <c r="AC227" i="4" s="1"/>
  <c r="AA227" i="4"/>
  <c r="AA60" i="4"/>
  <c r="Z60" i="4"/>
  <c r="AC60" i="4" s="1"/>
  <c r="AA22" i="4"/>
  <c r="Z22" i="4"/>
  <c r="AC22" i="4" s="1"/>
  <c r="P40" i="4"/>
  <c r="V38" i="4"/>
  <c r="P66" i="4"/>
  <c r="V64" i="4"/>
  <c r="P89" i="4"/>
  <c r="V87" i="4"/>
  <c r="P107" i="4"/>
  <c r="V107" i="4" s="1"/>
  <c r="V104" i="4"/>
  <c r="P124" i="4"/>
  <c r="V121" i="4"/>
  <c r="P141" i="4"/>
  <c r="V138" i="4"/>
  <c r="AA167" i="4"/>
  <c r="Z167" i="4"/>
  <c r="AC167" i="4" s="1"/>
  <c r="E29" i="654"/>
  <c r="AA55" i="4"/>
  <c r="Z55" i="4"/>
  <c r="AC55" i="4" s="1"/>
  <c r="P168" i="4"/>
  <c r="V168" i="4" s="1"/>
  <c r="V164" i="4"/>
  <c r="P29" i="4"/>
  <c r="P146" i="4" s="1"/>
  <c r="V21" i="4"/>
  <c r="AA39" i="4"/>
  <c r="Z39" i="4"/>
  <c r="Z65" i="4"/>
  <c r="AC65" i="4" s="1"/>
  <c r="AA65" i="4"/>
  <c r="Z88" i="4"/>
  <c r="AC88" i="4" s="1"/>
  <c r="AA88" i="4"/>
  <c r="AA105" i="4"/>
  <c r="Z105" i="4"/>
  <c r="Z122" i="4"/>
  <c r="AC122" i="4" s="1"/>
  <c r="AA122" i="4"/>
  <c r="Z139" i="4"/>
  <c r="AC139" i="4" s="1"/>
  <c r="AA139" i="4"/>
  <c r="P175" i="4"/>
  <c r="V175" i="4" s="1"/>
  <c r="V171" i="4"/>
  <c r="R161" i="4"/>
  <c r="R186" i="4"/>
  <c r="AM214" i="4"/>
  <c r="AN214" i="4" s="1"/>
  <c r="AD214" i="4"/>
  <c r="F1156" i="3" s="1"/>
  <c r="T1156" i="3" s="1"/>
  <c r="V1156" i="3" s="1"/>
  <c r="AM213" i="4"/>
  <c r="AN213" i="4" s="1"/>
  <c r="AD213" i="4"/>
  <c r="F1155" i="3" s="1"/>
  <c r="T1155" i="3" s="1"/>
  <c r="V1155" i="3" s="1"/>
  <c r="P101" i="4"/>
  <c r="V98" i="4"/>
  <c r="AC783" i="6"/>
  <c r="AE783" i="6" s="1"/>
  <c r="W803" i="6"/>
  <c r="AC803" i="6" s="1"/>
  <c r="AE803" i="6" s="1"/>
  <c r="Z23" i="4"/>
  <c r="AC23" i="4" s="1"/>
  <c r="AA23" i="4"/>
  <c r="Z24" i="4"/>
  <c r="AC24" i="4" s="1"/>
  <c r="AA24" i="4"/>
  <c r="P51" i="4"/>
  <c r="V46" i="4"/>
  <c r="P71" i="4"/>
  <c r="V69" i="4"/>
  <c r="P95" i="4"/>
  <c r="V92" i="4"/>
  <c r="Z106" i="4"/>
  <c r="AC106" i="4" s="1"/>
  <c r="AA106" i="4"/>
  <c r="Z123" i="4"/>
  <c r="AC123" i="4" s="1"/>
  <c r="AA123" i="4"/>
  <c r="AA140" i="4"/>
  <c r="Z140" i="4"/>
  <c r="AC140" i="4" s="1"/>
  <c r="Z172" i="4"/>
  <c r="AC172" i="4" s="1"/>
  <c r="AA172" i="4"/>
  <c r="AD226" i="4"/>
  <c r="F1168" i="3" s="1"/>
  <c r="T1168" i="3" s="1"/>
  <c r="V1168" i="3" s="1"/>
  <c r="AM226" i="4"/>
  <c r="AN226" i="4" s="1"/>
  <c r="AM178" i="4"/>
  <c r="AN178" i="4" s="1"/>
  <c r="AD178" i="4"/>
  <c r="F1120" i="3" s="1"/>
  <c r="T1120" i="3" s="1"/>
  <c r="AD247" i="4"/>
  <c r="F1189" i="3" s="1"/>
  <c r="T1189" i="3" s="1"/>
  <c r="V1189" i="3" s="1"/>
  <c r="G1209" i="6" s="1"/>
  <c r="AM247" i="4"/>
  <c r="AN247" i="4" s="1"/>
  <c r="V261" i="4"/>
  <c r="Z260" i="4"/>
  <c r="AC260" i="4" s="1"/>
  <c r="AA260" i="4"/>
  <c r="W1121" i="3"/>
  <c r="I1141" i="6"/>
  <c r="E1141" i="6"/>
  <c r="V257" i="4"/>
  <c r="AA253" i="4"/>
  <c r="Z253" i="4"/>
  <c r="AC253" i="4" s="1"/>
  <c r="Z129" i="4"/>
  <c r="AC129" i="4" s="1"/>
  <c r="AA129" i="4"/>
  <c r="Z25" i="4"/>
  <c r="AC25" i="4" s="1"/>
  <c r="AA25" i="4"/>
  <c r="Z50" i="4"/>
  <c r="AA50" i="4"/>
  <c r="AA70" i="4"/>
  <c r="Z70" i="4"/>
  <c r="AC70" i="4" s="1"/>
  <c r="AA93" i="4"/>
  <c r="Z93" i="4"/>
  <c r="P112" i="4"/>
  <c r="V110" i="4"/>
  <c r="P130" i="4"/>
  <c r="V127" i="4"/>
  <c r="P154" i="4"/>
  <c r="V154" i="4" s="1"/>
  <c r="V153" i="4"/>
  <c r="AA173" i="4"/>
  <c r="Z173" i="4"/>
  <c r="AC173" i="4" s="1"/>
  <c r="AD219" i="4"/>
  <c r="F1161" i="3" s="1"/>
  <c r="T1161" i="3" s="1"/>
  <c r="V1161" i="3" s="1"/>
  <c r="G1181" i="6" s="1"/>
  <c r="AM219" i="4"/>
  <c r="AN219" i="4" s="1"/>
  <c r="V222" i="4"/>
  <c r="AA218" i="4"/>
  <c r="Z218" i="4"/>
  <c r="Z27" i="4"/>
  <c r="AC27" i="4" s="1"/>
  <c r="AA27" i="4"/>
  <c r="W1123" i="3"/>
  <c r="E1143" i="6"/>
  <c r="I1143" i="6"/>
  <c r="J1143" i="6" s="1"/>
  <c r="Z34" i="4"/>
  <c r="AC34" i="4" s="1"/>
  <c r="AA34" i="4"/>
  <c r="Z26" i="4"/>
  <c r="AC26" i="4" s="1"/>
  <c r="AA26" i="4"/>
  <c r="P56" i="4"/>
  <c r="V54" i="4"/>
  <c r="P76" i="4"/>
  <c r="V74" i="4"/>
  <c r="Z94" i="4"/>
  <c r="AC94" i="4" s="1"/>
  <c r="AA94" i="4"/>
  <c r="AA111" i="4"/>
  <c r="Z111" i="4"/>
  <c r="AC111" i="4" s="1"/>
  <c r="AA128" i="4"/>
  <c r="Z128" i="4"/>
  <c r="P161" i="4"/>
  <c r="V157" i="4"/>
  <c r="AA174" i="4"/>
  <c r="Z174" i="4"/>
  <c r="AC174" i="4" s="1"/>
  <c r="AM255" i="4"/>
  <c r="AN255" i="4" s="1"/>
  <c r="AD255" i="4"/>
  <c r="F1197" i="3" s="1"/>
  <c r="T1197" i="3" s="1"/>
  <c r="V1197" i="3" s="1"/>
  <c r="AM249" i="4"/>
  <c r="AN249" i="4" s="1"/>
  <c r="AD249" i="4"/>
  <c r="F1191" i="3" s="1"/>
  <c r="T1191" i="3" s="1"/>
  <c r="V1191" i="3" s="1"/>
  <c r="AA225" i="4"/>
  <c r="Z225" i="4"/>
  <c r="AC225" i="4" s="1"/>
  <c r="AM254" i="4"/>
  <c r="AN254" i="4" s="1"/>
  <c r="AD254" i="4"/>
  <c r="F1196" i="3" s="1"/>
  <c r="T1196" i="3" s="1"/>
  <c r="V1196" i="3" s="1"/>
  <c r="AM122" i="4" l="1"/>
  <c r="AN122" i="4" s="1"/>
  <c r="AD122" i="4"/>
  <c r="F1064" i="3" s="1"/>
  <c r="T1064" i="3" s="1"/>
  <c r="V1064" i="3" s="1"/>
  <c r="G1083" i="6" s="1"/>
  <c r="G1182" i="6"/>
  <c r="W1162" i="3"/>
  <c r="G1216" i="6"/>
  <c r="W1196" i="3" s="1"/>
  <c r="AD174" i="4"/>
  <c r="F1116" i="3" s="1"/>
  <c r="T1116" i="3" s="1"/>
  <c r="V1116" i="3" s="1"/>
  <c r="AM174" i="4"/>
  <c r="AN174" i="4" s="1"/>
  <c r="V130" i="4"/>
  <c r="AA127" i="4"/>
  <c r="Z127" i="4"/>
  <c r="AC127" i="4" s="1"/>
  <c r="Z257" i="4"/>
  <c r="AC257" i="4" s="1"/>
  <c r="AA257" i="4"/>
  <c r="W1189" i="3"/>
  <c r="E1209" i="6"/>
  <c r="I1209" i="6"/>
  <c r="R273" i="4"/>
  <c r="R277" i="4" s="1"/>
  <c r="R192" i="4"/>
  <c r="R279" i="4" s="1"/>
  <c r="V29" i="4"/>
  <c r="AA21" i="4"/>
  <c r="Z21" i="4"/>
  <c r="AC21" i="4" s="1"/>
  <c r="AA250" i="4"/>
  <c r="Z250" i="4"/>
  <c r="AM116" i="4"/>
  <c r="AN116" i="4" s="1"/>
  <c r="AD116" i="4"/>
  <c r="F1058" i="3" s="1"/>
  <c r="T1058" i="3" s="1"/>
  <c r="V1058" i="3" s="1"/>
  <c r="G1077" i="6" s="1"/>
  <c r="Z33" i="4"/>
  <c r="V35" i="4"/>
  <c r="AA33" i="4"/>
  <c r="Q198" i="4"/>
  <c r="I961" i="3"/>
  <c r="AM26" i="4"/>
  <c r="AN26" i="4" s="1"/>
  <c r="AD26" i="4"/>
  <c r="F961" i="3" s="1"/>
  <c r="AM166" i="4"/>
  <c r="AN166" i="4" s="1"/>
  <c r="AD166" i="4"/>
  <c r="F1108" i="3" s="1"/>
  <c r="T1108" i="3" s="1"/>
  <c r="V1108" i="3" s="1"/>
  <c r="Z222" i="4"/>
  <c r="AA222" i="4"/>
  <c r="V1120" i="3"/>
  <c r="T1124" i="3"/>
  <c r="U57" i="5" s="1"/>
  <c r="AA46" i="4"/>
  <c r="V51" i="4"/>
  <c r="Z46" i="4"/>
  <c r="AC46" i="4" s="1"/>
  <c r="V101" i="4"/>
  <c r="Z98" i="4"/>
  <c r="AC98" i="4" s="1"/>
  <c r="AA98" i="4"/>
  <c r="P186" i="4"/>
  <c r="P273" i="4" s="1"/>
  <c r="V146" i="4"/>
  <c r="V186" i="4" s="1"/>
  <c r="Z138" i="4"/>
  <c r="AC138" i="4" s="1"/>
  <c r="AA138" i="4"/>
  <c r="V141" i="4"/>
  <c r="Z64" i="4"/>
  <c r="AC64" i="4" s="1"/>
  <c r="V66" i="4"/>
  <c r="AA64" i="4"/>
  <c r="AD134" i="4"/>
  <c r="F1076" i="3" s="1"/>
  <c r="T1076" i="3" s="1"/>
  <c r="V1076" i="3" s="1"/>
  <c r="AM134" i="4"/>
  <c r="AN134" i="4" s="1"/>
  <c r="S161" i="4"/>
  <c r="V161" i="4" s="1"/>
  <c r="S186" i="4"/>
  <c r="AD246" i="4"/>
  <c r="F1188" i="3" s="1"/>
  <c r="AM246" i="4"/>
  <c r="AN246" i="4" s="1"/>
  <c r="AA203" i="4"/>
  <c r="AA204" i="4" s="1"/>
  <c r="V264" i="4"/>
  <c r="AL161" i="4"/>
  <c r="AO161" i="4" s="1"/>
  <c r="AO157" i="4"/>
  <c r="AL186" i="4"/>
  <c r="AD167" i="4"/>
  <c r="F1109" i="3" s="1"/>
  <c r="T1109" i="3" s="1"/>
  <c r="V1109" i="3" s="1"/>
  <c r="G1129" i="6" s="1"/>
  <c r="AM167" i="4"/>
  <c r="AN167" i="4" s="1"/>
  <c r="AM123" i="4"/>
  <c r="AN123" i="4" s="1"/>
  <c r="AD123" i="4"/>
  <c r="F1065" i="3" s="1"/>
  <c r="T1065" i="3" s="1"/>
  <c r="V1065" i="3" s="1"/>
  <c r="G1084" i="6" s="1"/>
  <c r="Z171" i="4"/>
  <c r="AC171" i="4" s="1"/>
  <c r="AA171" i="4"/>
  <c r="AA164" i="4"/>
  <c r="Z164" i="4"/>
  <c r="AC164" i="4" s="1"/>
  <c r="P149" i="4"/>
  <c r="P150" i="4" s="1"/>
  <c r="V150" i="4" s="1"/>
  <c r="AM227" i="4"/>
  <c r="AN227" i="4" s="1"/>
  <c r="AD227" i="4"/>
  <c r="Q273" i="4"/>
  <c r="Q192" i="4"/>
  <c r="W1190" i="3"/>
  <c r="I1210" i="6"/>
  <c r="E1210" i="6"/>
  <c r="Z16" i="4"/>
  <c r="AA16" i="4"/>
  <c r="AA148" i="4" s="1"/>
  <c r="AA69" i="4"/>
  <c r="Z69" i="4"/>
  <c r="AC69" i="4" s="1"/>
  <c r="V71" i="4"/>
  <c r="AA87" i="4"/>
  <c r="Z87" i="4"/>
  <c r="V89" i="4"/>
  <c r="AM225" i="4"/>
  <c r="AN225" i="4" s="1"/>
  <c r="AD225" i="4"/>
  <c r="F1167" i="3" s="1"/>
  <c r="AA110" i="4"/>
  <c r="V112" i="4"/>
  <c r="Z110" i="4"/>
  <c r="AC110" i="4" s="1"/>
  <c r="W1161" i="3"/>
  <c r="E1181" i="6"/>
  <c r="I1181" i="6"/>
  <c r="AD25" i="4"/>
  <c r="F960" i="3" s="1"/>
  <c r="I960" i="3"/>
  <c r="AM25" i="4"/>
  <c r="AN25" i="4" s="1"/>
  <c r="G1175" i="6"/>
  <c r="W1155" i="3" s="1"/>
  <c r="Z175" i="4"/>
  <c r="AC175" i="4" s="1"/>
  <c r="AA175" i="4"/>
  <c r="AM88" i="4"/>
  <c r="AN88" i="4" s="1"/>
  <c r="AD88" i="4"/>
  <c r="F1030" i="3" s="1"/>
  <c r="T1030" i="3" s="1"/>
  <c r="V1030" i="3" s="1"/>
  <c r="AA168" i="4"/>
  <c r="Z168" i="4"/>
  <c r="AC168" i="4" s="1"/>
  <c r="AA121" i="4"/>
  <c r="Z121" i="4"/>
  <c r="AC121" i="4" s="1"/>
  <c r="V124" i="4"/>
  <c r="Z38" i="4"/>
  <c r="V40" i="4"/>
  <c r="AA38" i="4"/>
  <c r="Z115" i="4"/>
  <c r="AC115" i="4" s="1"/>
  <c r="AA115" i="4"/>
  <c r="V118" i="4"/>
  <c r="AD117" i="4"/>
  <c r="F1059" i="3" s="1"/>
  <c r="T1059" i="3" s="1"/>
  <c r="V1059" i="3" s="1"/>
  <c r="AM117" i="4"/>
  <c r="AN117" i="4" s="1"/>
  <c r="W1198" i="3"/>
  <c r="I1218" i="6"/>
  <c r="J1218" i="6" s="1"/>
  <c r="E1218" i="6"/>
  <c r="P188" i="4"/>
  <c r="V148" i="4"/>
  <c r="V188" i="4" s="1"/>
  <c r="T273" i="4"/>
  <c r="T277" i="4" s="1"/>
  <c r="T192" i="4"/>
  <c r="AB186" i="4"/>
  <c r="AB273" i="4" s="1"/>
  <c r="Y186" i="4"/>
  <c r="Y273" i="4" s="1"/>
  <c r="AD60" i="4"/>
  <c r="F1005" i="3" s="1"/>
  <c r="T1005" i="3" s="1"/>
  <c r="V1005" i="3" s="1"/>
  <c r="G1021" i="6" s="1"/>
  <c r="AM60" i="4"/>
  <c r="AN60" i="4" s="1"/>
  <c r="AM94" i="4"/>
  <c r="AN94" i="4" s="1"/>
  <c r="AD94" i="4"/>
  <c r="F1036" i="3" s="1"/>
  <c r="T1036" i="3" s="1"/>
  <c r="V1036" i="3" s="1"/>
  <c r="Z157" i="4"/>
  <c r="AC157" i="4" s="1"/>
  <c r="AA157" i="4"/>
  <c r="M1141" i="6"/>
  <c r="Q1141" i="6" s="1"/>
  <c r="W1141" i="6" s="1"/>
  <c r="J1141" i="6"/>
  <c r="N1141" i="6"/>
  <c r="T1141" i="6" s="1"/>
  <c r="G1211" i="6"/>
  <c r="W1191" i="3" s="1"/>
  <c r="V56" i="4"/>
  <c r="Z54" i="4"/>
  <c r="AC54" i="4" s="1"/>
  <c r="AD173" i="4"/>
  <c r="F1115" i="3" s="1"/>
  <c r="T1115" i="3" s="1"/>
  <c r="V1115" i="3" s="1"/>
  <c r="AM173" i="4"/>
  <c r="AN173" i="4" s="1"/>
  <c r="G1188" i="6"/>
  <c r="W1168" i="3" s="1"/>
  <c r="AM106" i="4"/>
  <c r="AN106" i="4" s="1"/>
  <c r="AD106" i="4"/>
  <c r="F1048" i="3" s="1"/>
  <c r="T1048" i="3" s="1"/>
  <c r="V1048" i="3" s="1"/>
  <c r="G1067" i="6" s="1"/>
  <c r="AD24" i="4"/>
  <c r="F959" i="3" s="1"/>
  <c r="I959" i="3"/>
  <c r="AM24" i="4"/>
  <c r="AN24" i="4" s="1"/>
  <c r="AM55" i="4"/>
  <c r="AN55" i="4" s="1"/>
  <c r="AD55" i="4"/>
  <c r="F1000" i="3" s="1"/>
  <c r="T1000" i="3" s="1"/>
  <c r="V1000" i="3" s="1"/>
  <c r="G1016" i="6" s="1"/>
  <c r="V267" i="4"/>
  <c r="Z267" i="4" s="1"/>
  <c r="AC267" i="4" s="1"/>
  <c r="AM267" i="4" s="1"/>
  <c r="AN267" i="4" s="1"/>
  <c r="AA207" i="4"/>
  <c r="AA267" i="4" s="1"/>
  <c r="Z207" i="4"/>
  <c r="AC218" i="4"/>
  <c r="AC215" i="4"/>
  <c r="AD165" i="4"/>
  <c r="F1107" i="3" s="1"/>
  <c r="T1107" i="3" s="1"/>
  <c r="V1107" i="3" s="1"/>
  <c r="AM165" i="4"/>
  <c r="AN165" i="4" s="1"/>
  <c r="V81" i="4"/>
  <c r="AA79" i="4"/>
  <c r="Z79" i="4"/>
  <c r="Y161" i="4"/>
  <c r="AB161" i="4"/>
  <c r="AM140" i="4"/>
  <c r="AN140" i="4" s="1"/>
  <c r="AD140" i="4"/>
  <c r="F1082" i="3" s="1"/>
  <c r="T1082" i="3" s="1"/>
  <c r="V1082" i="3" s="1"/>
  <c r="Z74" i="4"/>
  <c r="AC74" i="4" s="1"/>
  <c r="AA74" i="4"/>
  <c r="V76" i="4"/>
  <c r="AM129" i="4"/>
  <c r="AN129" i="4" s="1"/>
  <c r="AD129" i="4"/>
  <c r="F1071" i="3" s="1"/>
  <c r="T1071" i="3" s="1"/>
  <c r="V1071" i="3" s="1"/>
  <c r="AM260" i="4"/>
  <c r="AN260" i="4" s="1"/>
  <c r="C16" i="651"/>
  <c r="AD260" i="4"/>
  <c r="F1202" i="3" s="1"/>
  <c r="F1203" i="3" s="1"/>
  <c r="F70" i="5" s="1"/>
  <c r="Z92" i="4"/>
  <c r="V95" i="4"/>
  <c r="AA92" i="4"/>
  <c r="AA95" i="4" s="1"/>
  <c r="AM139" i="4"/>
  <c r="AN139" i="4" s="1"/>
  <c r="AD139" i="4"/>
  <c r="F1081" i="3" s="1"/>
  <c r="T1081" i="3" s="1"/>
  <c r="V1081" i="3" s="1"/>
  <c r="G1100" i="6" s="1"/>
  <c r="AD65" i="4"/>
  <c r="F1010" i="3" s="1"/>
  <c r="T1010" i="3" s="1"/>
  <c r="V1010" i="3" s="1"/>
  <c r="AM65" i="4"/>
  <c r="AN65" i="4" s="1"/>
  <c r="Z104" i="4"/>
  <c r="AC104" i="4" s="1"/>
  <c r="AA104" i="4"/>
  <c r="I957" i="3"/>
  <c r="AD22" i="4"/>
  <c r="F957" i="3" s="1"/>
  <c r="AM22" i="4"/>
  <c r="AN22" i="4" s="1"/>
  <c r="AA15" i="4"/>
  <c r="Z15" i="4"/>
  <c r="W1163" i="3"/>
  <c r="I1183" i="6"/>
  <c r="J1183" i="6" s="1"/>
  <c r="E1183" i="6"/>
  <c r="AD100" i="4"/>
  <c r="F1042" i="3" s="1"/>
  <c r="T1042" i="3" s="1"/>
  <c r="V1042" i="3" s="1"/>
  <c r="AM100" i="4"/>
  <c r="AN100" i="4" s="1"/>
  <c r="W806" i="6"/>
  <c r="P83" i="4"/>
  <c r="Z154" i="4"/>
  <c r="AA154" i="4"/>
  <c r="G1121" i="6"/>
  <c r="W1101" i="3" s="1"/>
  <c r="F1123" i="6"/>
  <c r="F1148" i="6"/>
  <c r="AD34" i="4"/>
  <c r="F979" i="3" s="1"/>
  <c r="T979" i="3" s="1"/>
  <c r="V979" i="3" s="1"/>
  <c r="AM34" i="4"/>
  <c r="AN34" i="4" s="1"/>
  <c r="G1217" i="6"/>
  <c r="AD111" i="4"/>
  <c r="F1053" i="3" s="1"/>
  <c r="T1053" i="3" s="1"/>
  <c r="V1053" i="3" s="1"/>
  <c r="AM111" i="4"/>
  <c r="AN111" i="4" s="1"/>
  <c r="AM27" i="4"/>
  <c r="AN27" i="4" s="1"/>
  <c r="I962" i="3"/>
  <c r="AD27" i="4"/>
  <c r="F962" i="3" s="1"/>
  <c r="AA153" i="4"/>
  <c r="Z153" i="4"/>
  <c r="AC153" i="4" s="1"/>
  <c r="AD70" i="4"/>
  <c r="F1015" i="3" s="1"/>
  <c r="T1015" i="3" s="1"/>
  <c r="V1015" i="3" s="1"/>
  <c r="AM70" i="4"/>
  <c r="AN70" i="4" s="1"/>
  <c r="AD253" i="4"/>
  <c r="F1195" i="3" s="1"/>
  <c r="AM253" i="4"/>
  <c r="AN253" i="4" s="1"/>
  <c r="AA261" i="4"/>
  <c r="Z261" i="4"/>
  <c r="AD172" i="4"/>
  <c r="F1114" i="3" s="1"/>
  <c r="T1114" i="3" s="1"/>
  <c r="V1114" i="3" s="1"/>
  <c r="AM172" i="4"/>
  <c r="AN172" i="4" s="1"/>
  <c r="AM23" i="4"/>
  <c r="AN23" i="4" s="1"/>
  <c r="AD23" i="4"/>
  <c r="F958" i="3" s="1"/>
  <c r="I958" i="3"/>
  <c r="G1176" i="6"/>
  <c r="W1156" i="3" s="1"/>
  <c r="Z107" i="4"/>
  <c r="AA107" i="4"/>
  <c r="P187" i="4"/>
  <c r="V147" i="4"/>
  <c r="V187" i="4" s="1"/>
  <c r="AA208" i="4"/>
  <c r="Z208" i="4"/>
  <c r="V135" i="4"/>
  <c r="AA133" i="4"/>
  <c r="Z133" i="4"/>
  <c r="AC133" i="4" s="1"/>
  <c r="AA59" i="4"/>
  <c r="Z59" i="4"/>
  <c r="AC59" i="4" s="1"/>
  <c r="V61" i="4"/>
  <c r="AM75" i="4"/>
  <c r="AN75" i="4" s="1"/>
  <c r="AD75" i="4"/>
  <c r="F1020" i="3" s="1"/>
  <c r="T1020" i="3" s="1"/>
  <c r="V1020" i="3" s="1"/>
  <c r="G1036" i="6" s="1"/>
  <c r="T960" i="3" l="1"/>
  <c r="V960" i="3" s="1"/>
  <c r="G976" i="6" s="1"/>
  <c r="T957" i="3"/>
  <c r="V957" i="3" s="1"/>
  <c r="G973" i="6" s="1"/>
  <c r="T959" i="3"/>
  <c r="V959" i="3" s="1"/>
  <c r="E1217" i="6"/>
  <c r="I1217" i="6"/>
  <c r="Z95" i="4"/>
  <c r="AC92" i="4"/>
  <c r="V273" i="4"/>
  <c r="Z186" i="4"/>
  <c r="AA186" i="4"/>
  <c r="AD133" i="4"/>
  <c r="F1075" i="3" s="1"/>
  <c r="T1075" i="3" s="1"/>
  <c r="V1075" i="3" s="1"/>
  <c r="G1094" i="6" s="1"/>
  <c r="AM133" i="4"/>
  <c r="AN133" i="4" s="1"/>
  <c r="AC163" i="4"/>
  <c r="AC154" i="4"/>
  <c r="AM104" i="4"/>
  <c r="AN104" i="4" s="1"/>
  <c r="AD104" i="4"/>
  <c r="F1046" i="3" s="1"/>
  <c r="T1046" i="3" s="1"/>
  <c r="V1046" i="3" s="1"/>
  <c r="G1065" i="6" s="1"/>
  <c r="G1101" i="6"/>
  <c r="W1082" i="3" s="1"/>
  <c r="G1127" i="6"/>
  <c r="W1107" i="3" s="1"/>
  <c r="G1135" i="6"/>
  <c r="W1115" i="3" s="1"/>
  <c r="AB192" i="4"/>
  <c r="AB279" i="4" s="1"/>
  <c r="Y192" i="4"/>
  <c r="Y279" i="4" s="1"/>
  <c r="T279" i="4"/>
  <c r="G1078" i="6"/>
  <c r="AD121" i="4"/>
  <c r="F1063" i="3" s="1"/>
  <c r="T1063" i="3" s="1"/>
  <c r="V1063" i="3" s="1"/>
  <c r="AM121" i="4"/>
  <c r="AN121" i="4" s="1"/>
  <c r="AA161" i="4"/>
  <c r="Z161" i="4"/>
  <c r="AC161" i="4" s="1"/>
  <c r="G1095" i="6"/>
  <c r="W1076" i="3" s="1"/>
  <c r="AC252" i="4"/>
  <c r="AC250" i="4"/>
  <c r="G1136" i="6"/>
  <c r="W1116" i="3" s="1"/>
  <c r="AD74" i="4"/>
  <c r="AM74" i="4"/>
  <c r="AN74" i="4" s="1"/>
  <c r="J1210" i="6"/>
  <c r="M1210" i="6"/>
  <c r="Q1210" i="6" s="1"/>
  <c r="W1210" i="6" s="1"/>
  <c r="AC1210" i="6" s="1"/>
  <c r="AE1210" i="6" s="1"/>
  <c r="N1210" i="6"/>
  <c r="T1210" i="6" s="1"/>
  <c r="AC109" i="4"/>
  <c r="AC107" i="4"/>
  <c r="AC263" i="4"/>
  <c r="AC261" i="4"/>
  <c r="T962" i="3"/>
  <c r="V962" i="3" s="1"/>
  <c r="G995" i="6"/>
  <c r="W979" i="3"/>
  <c r="AC15" i="4"/>
  <c r="Z147" i="4"/>
  <c r="AC147" i="4" s="1"/>
  <c r="S1202" i="3"/>
  <c r="C17" i="651"/>
  <c r="AM215" i="4"/>
  <c r="AN215" i="4" s="1"/>
  <c r="AD215" i="4"/>
  <c r="AM54" i="4"/>
  <c r="AN54" i="4" s="1"/>
  <c r="AD54" i="4"/>
  <c r="AM157" i="4"/>
  <c r="AN157" i="4" s="1"/>
  <c r="AD157" i="4"/>
  <c r="F1099" i="3" s="1"/>
  <c r="AA118" i="4"/>
  <c r="Z118" i="4"/>
  <c r="I1175" i="6"/>
  <c r="E1175" i="6"/>
  <c r="AD110" i="4"/>
  <c r="F1052" i="3" s="1"/>
  <c r="T1052" i="3" s="1"/>
  <c r="V1052" i="3" s="1"/>
  <c r="G1071" i="6" s="1"/>
  <c r="AM110" i="4"/>
  <c r="AN110" i="4" s="1"/>
  <c r="AA71" i="4"/>
  <c r="Z71" i="4"/>
  <c r="AM171" i="4"/>
  <c r="AN171" i="4" s="1"/>
  <c r="F23" i="17"/>
  <c r="H23" i="17" s="1"/>
  <c r="I1113" i="3" s="1"/>
  <c r="I1117" i="3" s="1"/>
  <c r="I56" i="5" s="1"/>
  <c r="AD171" i="4"/>
  <c r="F1113" i="3" s="1"/>
  <c r="AA264" i="4"/>
  <c r="Z264" i="4"/>
  <c r="AC264" i="4" s="1"/>
  <c r="AM264" i="4" s="1"/>
  <c r="AN264" i="4" s="1"/>
  <c r="V1124" i="3"/>
  <c r="G1140" i="6"/>
  <c r="Q200" i="4"/>
  <c r="Q270" i="4" s="1"/>
  <c r="Q279" i="4" s="1"/>
  <c r="Q265" i="4"/>
  <c r="Q274" i="4" s="1"/>
  <c r="Q277" i="4" s="1"/>
  <c r="G1134" i="6"/>
  <c r="W1114" i="3" s="1"/>
  <c r="AA18" i="4"/>
  <c r="AM18" i="4"/>
  <c r="AN18" i="4" s="1"/>
  <c r="Z18" i="4"/>
  <c r="AC18" i="4" s="1"/>
  <c r="G1026" i="6"/>
  <c r="W1010" i="3" s="1"/>
  <c r="AD218" i="4"/>
  <c r="F1160" i="3" s="1"/>
  <c r="AM218" i="4"/>
  <c r="AN218" i="4" s="1"/>
  <c r="G975" i="6"/>
  <c r="W959" i="3" s="1"/>
  <c r="Z56" i="4"/>
  <c r="AC56" i="4" s="1"/>
  <c r="AM56" i="4" s="1"/>
  <c r="AN56" i="4" s="1"/>
  <c r="AA56" i="4"/>
  <c r="G1055" i="6"/>
  <c r="W1036" i="3" s="1"/>
  <c r="AA188" i="4"/>
  <c r="Z188" i="4"/>
  <c r="AM168" i="4"/>
  <c r="AN168" i="4" s="1"/>
  <c r="AD168" i="4"/>
  <c r="AA112" i="4"/>
  <c r="Z112" i="4"/>
  <c r="AD69" i="4"/>
  <c r="AM69" i="4"/>
  <c r="AN69" i="4" s="1"/>
  <c r="W1065" i="3"/>
  <c r="I1084" i="6"/>
  <c r="J1084" i="6" s="1"/>
  <c r="E1084" i="6"/>
  <c r="AA66" i="4"/>
  <c r="Z66" i="4"/>
  <c r="AD21" i="4"/>
  <c r="AM21" i="4"/>
  <c r="I956" i="3"/>
  <c r="I964" i="3" s="1"/>
  <c r="I1088" i="3" s="1"/>
  <c r="I1216" i="6"/>
  <c r="E1216" i="6"/>
  <c r="AD153" i="4"/>
  <c r="F1095" i="3" s="1"/>
  <c r="AM153" i="4"/>
  <c r="AN153" i="4" s="1"/>
  <c r="AD175" i="4"/>
  <c r="F1117" i="3" s="1"/>
  <c r="F56" i="5" s="1"/>
  <c r="AM175" i="4"/>
  <c r="AN175" i="4" s="1"/>
  <c r="W1020" i="3"/>
  <c r="I1036" i="6"/>
  <c r="E1036" i="6"/>
  <c r="AC211" i="4"/>
  <c r="AC208" i="4"/>
  <c r="J29" i="654"/>
  <c r="Y29" i="654" s="1"/>
  <c r="Z29" i="654" s="1"/>
  <c r="J29" i="2"/>
  <c r="AC806" i="6"/>
  <c r="AE806" i="6" s="1"/>
  <c r="AA147" i="4"/>
  <c r="W1081" i="3"/>
  <c r="E1100" i="6"/>
  <c r="I1100" i="6"/>
  <c r="G1090" i="6"/>
  <c r="W1071" i="3" s="1"/>
  <c r="AC212" i="4"/>
  <c r="AC207" i="4"/>
  <c r="W1048" i="3"/>
  <c r="I1067" i="6"/>
  <c r="E1067" i="6"/>
  <c r="AM115" i="4"/>
  <c r="AN115" i="4" s="1"/>
  <c r="AD115" i="4"/>
  <c r="F1057" i="3" s="1"/>
  <c r="T1057" i="3" s="1"/>
  <c r="V1057" i="3" s="1"/>
  <c r="W960" i="3"/>
  <c r="E976" i="6"/>
  <c r="I976" i="6"/>
  <c r="AD64" i="4"/>
  <c r="AM64" i="4"/>
  <c r="AN64" i="4" s="1"/>
  <c r="AD98" i="4"/>
  <c r="F1040" i="3" s="1"/>
  <c r="T1040" i="3" s="1"/>
  <c r="V1040" i="3" s="1"/>
  <c r="AM98" i="4"/>
  <c r="AN98" i="4" s="1"/>
  <c r="AC232" i="4"/>
  <c r="AD232" i="4" s="1"/>
  <c r="AC222" i="4"/>
  <c r="AD257" i="4"/>
  <c r="AM257" i="4"/>
  <c r="AN257" i="4" s="1"/>
  <c r="F1235" i="6"/>
  <c r="F1267" i="6" s="1"/>
  <c r="T958" i="3"/>
  <c r="V958" i="3" s="1"/>
  <c r="G974" i="6" s="1"/>
  <c r="T1195" i="3"/>
  <c r="F1199" i="3"/>
  <c r="F52" i="654"/>
  <c r="F52" i="2"/>
  <c r="F1154" i="6"/>
  <c r="F1241" i="6" s="1"/>
  <c r="I1211" i="6"/>
  <c r="J1211" i="6" s="1"/>
  <c r="E1211" i="6"/>
  <c r="G1049" i="6"/>
  <c r="W1030" i="3" s="1"/>
  <c r="F1169" i="3"/>
  <c r="F65" i="5" s="1"/>
  <c r="T1167" i="3"/>
  <c r="T1188" i="3"/>
  <c r="F1192" i="3"/>
  <c r="Z141" i="4"/>
  <c r="AA141" i="4"/>
  <c r="V143" i="4"/>
  <c r="AA101" i="4"/>
  <c r="Z101" i="4"/>
  <c r="G1128" i="6"/>
  <c r="AA35" i="4"/>
  <c r="Z35" i="4"/>
  <c r="AC35" i="4" s="1"/>
  <c r="AA29" i="4"/>
  <c r="AA146" i="4" s="1"/>
  <c r="Z29" i="4"/>
  <c r="AM127" i="4"/>
  <c r="AN127" i="4" s="1"/>
  <c r="AD127" i="4"/>
  <c r="F1069" i="3" s="1"/>
  <c r="T1069" i="3" s="1"/>
  <c r="V1069" i="3" s="1"/>
  <c r="E1182" i="6"/>
  <c r="I1182" i="6"/>
  <c r="AA124" i="4"/>
  <c r="Z124" i="4"/>
  <c r="M1209" i="6"/>
  <c r="Q1209" i="6" s="1"/>
  <c r="W1209" i="6" s="1"/>
  <c r="J1209" i="6"/>
  <c r="N1209" i="6"/>
  <c r="T1209" i="6" s="1"/>
  <c r="E1176" i="6"/>
  <c r="I1176" i="6"/>
  <c r="J1176" i="6" s="1"/>
  <c r="Z61" i="4"/>
  <c r="AA61" i="4"/>
  <c r="G1061" i="6"/>
  <c r="W1042" i="3" s="1"/>
  <c r="W957" i="3"/>
  <c r="I973" i="6"/>
  <c r="E973" i="6"/>
  <c r="AA76" i="4"/>
  <c r="Z76" i="4"/>
  <c r="AC79" i="4" s="1"/>
  <c r="W1005" i="3"/>
  <c r="I1021" i="6"/>
  <c r="E1021" i="6"/>
  <c r="Z40" i="4"/>
  <c r="AA40" i="4"/>
  <c r="M1181" i="6"/>
  <c r="Q1181" i="6" s="1"/>
  <c r="W1181" i="6" s="1"/>
  <c r="N1181" i="6"/>
  <c r="T1181" i="6" s="1"/>
  <c r="J1181" i="6"/>
  <c r="Z148" i="4"/>
  <c r="AC148" i="4" s="1"/>
  <c r="AC16" i="4"/>
  <c r="P189" i="4"/>
  <c r="V149" i="4"/>
  <c r="V189" i="4" s="1"/>
  <c r="V192" i="4" s="1"/>
  <c r="W1109" i="3"/>
  <c r="I1129" i="6"/>
  <c r="J1129" i="6" s="1"/>
  <c r="E1129" i="6"/>
  <c r="S273" i="4"/>
  <c r="S277" i="4" s="1"/>
  <c r="S192" i="4"/>
  <c r="S279" i="4" s="1"/>
  <c r="AM46" i="4"/>
  <c r="AN46" i="4" s="1"/>
  <c r="AD46" i="4"/>
  <c r="F991" i="3" s="1"/>
  <c r="AC39" i="4"/>
  <c r="AC33" i="4"/>
  <c r="W1064" i="3"/>
  <c r="E1083" i="6"/>
  <c r="I1083" i="6"/>
  <c r="AA135" i="4"/>
  <c r="Z135" i="4"/>
  <c r="AC135" i="4" s="1"/>
  <c r="Z187" i="4"/>
  <c r="AA187" i="4"/>
  <c r="G1072" i="6"/>
  <c r="W1053" i="3" s="1"/>
  <c r="AM59" i="4"/>
  <c r="AN59" i="4" s="1"/>
  <c r="AD59" i="4"/>
  <c r="G1031" i="6"/>
  <c r="W1015" i="3" s="1"/>
  <c r="W1197" i="3"/>
  <c r="E1121" i="6"/>
  <c r="I1121" i="6"/>
  <c r="Z81" i="4"/>
  <c r="AA81" i="4"/>
  <c r="V83" i="4"/>
  <c r="W1000" i="3"/>
  <c r="I1016" i="6"/>
  <c r="E1016" i="6"/>
  <c r="I1188" i="6"/>
  <c r="E1188" i="6"/>
  <c r="AC48" i="4"/>
  <c r="AC38" i="4"/>
  <c r="Z89" i="4"/>
  <c r="AA89" i="4"/>
  <c r="F22" i="17"/>
  <c r="AM164" i="4"/>
  <c r="AN164" i="4" s="1"/>
  <c r="AD164" i="4"/>
  <c r="F1106" i="3" s="1"/>
  <c r="AL273" i="4"/>
  <c r="AO273" i="4" s="1"/>
  <c r="AO186" i="4"/>
  <c r="AL192" i="4"/>
  <c r="AM138" i="4"/>
  <c r="AN138" i="4" s="1"/>
  <c r="AD138" i="4"/>
  <c r="F1080" i="3" s="1"/>
  <c r="T1080" i="3" s="1"/>
  <c r="V1080" i="3" s="1"/>
  <c r="G1099" i="6" s="1"/>
  <c r="AA51" i="4"/>
  <c r="Z51" i="4"/>
  <c r="AC51" i="4" s="1"/>
  <c r="AM51" i="4" s="1"/>
  <c r="AN51" i="4" s="1"/>
  <c r="T961" i="3"/>
  <c r="V961" i="3" s="1"/>
  <c r="W1058" i="3"/>
  <c r="I1077" i="6"/>
  <c r="E1077" i="6"/>
  <c r="AA130" i="4"/>
  <c r="Z130" i="4"/>
  <c r="F69" i="5" l="1"/>
  <c r="E1128" i="6"/>
  <c r="I1128" i="6"/>
  <c r="G1088" i="6"/>
  <c r="W1069" i="3"/>
  <c r="AC103" i="4"/>
  <c r="AC101" i="4"/>
  <c r="G1076" i="6"/>
  <c r="O29" i="654"/>
  <c r="P29" i="654" s="1"/>
  <c r="W1052" i="3"/>
  <c r="E1071" i="6"/>
  <c r="I1071" i="6"/>
  <c r="I995" i="6"/>
  <c r="E995" i="6"/>
  <c r="I1101" i="6"/>
  <c r="J1101" i="6" s="1"/>
  <c r="E1101" i="6"/>
  <c r="AA273" i="4"/>
  <c r="AM212" i="4"/>
  <c r="AN212" i="4" s="1"/>
  <c r="AD212" i="4"/>
  <c r="F1154" i="3" s="1"/>
  <c r="T1154" i="3" s="1"/>
  <c r="V1154" i="3" s="1"/>
  <c r="AC76" i="4"/>
  <c r="AM76" i="4" s="1"/>
  <c r="AN76" i="4" s="1"/>
  <c r="AC66" i="4"/>
  <c r="AM66" i="4" s="1"/>
  <c r="AN66" i="4" s="1"/>
  <c r="AD33" i="4"/>
  <c r="AM33" i="4"/>
  <c r="J973" i="6"/>
  <c r="N973" i="6"/>
  <c r="U973" i="6" s="1"/>
  <c r="M973" i="6"/>
  <c r="Q973" i="6" s="1"/>
  <c r="W973" i="6" s="1"/>
  <c r="AC973" i="6" s="1"/>
  <c r="AE973" i="6" s="1"/>
  <c r="V1195" i="3"/>
  <c r="T1199" i="3"/>
  <c r="I1090" i="6"/>
  <c r="J1090" i="6" s="1"/>
  <c r="E1090" i="6"/>
  <c r="AM208" i="4"/>
  <c r="AN208" i="4" s="1"/>
  <c r="AD208" i="4"/>
  <c r="T1095" i="3"/>
  <c r="F1096" i="3"/>
  <c r="F53" i="5" s="1"/>
  <c r="G978" i="6"/>
  <c r="W962" i="3"/>
  <c r="E1095" i="6"/>
  <c r="I1095" i="6"/>
  <c r="W1046" i="3"/>
  <c r="I1065" i="6"/>
  <c r="E1065" i="6"/>
  <c r="Z273" i="4"/>
  <c r="AC273" i="4" s="1"/>
  <c r="AM273" i="4" s="1"/>
  <c r="AN273" i="4" s="1"/>
  <c r="AC186" i="4"/>
  <c r="AD222" i="4"/>
  <c r="AM222" i="4"/>
  <c r="AN222" i="4" s="1"/>
  <c r="F999" i="3"/>
  <c r="AD56" i="4"/>
  <c r="I1078" i="6"/>
  <c r="J1078" i="6" s="1"/>
  <c r="E1078" i="6"/>
  <c r="AD39" i="4"/>
  <c r="F984" i="3" s="1"/>
  <c r="T984" i="3" s="1"/>
  <c r="V984" i="3" s="1"/>
  <c r="G1000" i="6" s="1"/>
  <c r="AM39" i="4"/>
  <c r="AN39" i="4" s="1"/>
  <c r="Z189" i="4"/>
  <c r="AA189" i="4"/>
  <c r="AA276" i="4" s="1"/>
  <c r="V276" i="4"/>
  <c r="AC50" i="4"/>
  <c r="AC40" i="4"/>
  <c r="Z146" i="4"/>
  <c r="AC29" i="4"/>
  <c r="E1049" i="6"/>
  <c r="I1049" i="6"/>
  <c r="W958" i="3"/>
  <c r="E974" i="6"/>
  <c r="I974" i="6"/>
  <c r="G1059" i="6"/>
  <c r="W1040" i="3" s="1"/>
  <c r="N1100" i="6"/>
  <c r="T1100" i="6" s="1"/>
  <c r="J1100" i="6"/>
  <c r="M1100" i="6"/>
  <c r="Q1100" i="6" s="1"/>
  <c r="W1100" i="6" s="1"/>
  <c r="AC1100" i="6" s="1"/>
  <c r="AE1100" i="6" s="1"/>
  <c r="AD211" i="4"/>
  <c r="AM211" i="4"/>
  <c r="AN211" i="4" s="1"/>
  <c r="E975" i="6"/>
  <c r="I975" i="6"/>
  <c r="T1113" i="3"/>
  <c r="J1175" i="6"/>
  <c r="M1175" i="6"/>
  <c r="Q1175" i="6" s="1"/>
  <c r="W1175" i="6" s="1"/>
  <c r="AC1175" i="6" s="1"/>
  <c r="AE1175" i="6" s="1"/>
  <c r="N1175" i="6"/>
  <c r="T1175" i="6" s="1"/>
  <c r="AM161" i="4"/>
  <c r="AN161" i="4" s="1"/>
  <c r="AD161" i="4"/>
  <c r="E1072" i="6"/>
  <c r="I1072" i="6"/>
  <c r="G977" i="6"/>
  <c r="W961" i="3" s="1"/>
  <c r="M1016" i="6"/>
  <c r="Q1016" i="6" s="1"/>
  <c r="W1016" i="6" s="1"/>
  <c r="AC1016" i="6" s="1"/>
  <c r="AE1016" i="6" s="1"/>
  <c r="N1016" i="6"/>
  <c r="T1016" i="6" s="1"/>
  <c r="J1016" i="6"/>
  <c r="P192" i="4"/>
  <c r="P276" i="4"/>
  <c r="AA143" i="4"/>
  <c r="AA149" i="4" s="1"/>
  <c r="AA150" i="4" s="1"/>
  <c r="M1216" i="6"/>
  <c r="Q1216" i="6" s="1"/>
  <c r="W1216" i="6" s="1"/>
  <c r="N1216" i="6"/>
  <c r="T1216" i="6" s="1"/>
  <c r="J1216" i="6"/>
  <c r="AC188" i="4"/>
  <c r="I1134" i="6"/>
  <c r="E1134" i="6"/>
  <c r="AC128" i="4"/>
  <c r="AC118" i="4"/>
  <c r="AM261" i="4"/>
  <c r="AN261" i="4" s="1"/>
  <c r="AD261" i="4"/>
  <c r="F1019" i="3"/>
  <c r="AD76" i="4"/>
  <c r="AD154" i="4"/>
  <c r="AM154" i="4"/>
  <c r="AN154" i="4" s="1"/>
  <c r="AD92" i="4"/>
  <c r="F1034" i="3" s="1"/>
  <c r="T1034" i="3" s="1"/>
  <c r="V1034" i="3" s="1"/>
  <c r="G1053" i="6" s="1"/>
  <c r="AM92" i="4"/>
  <c r="AN92" i="4" s="1"/>
  <c r="F56" i="654"/>
  <c r="J1188" i="6"/>
  <c r="N1188" i="6"/>
  <c r="T1188" i="6" s="1"/>
  <c r="M1188" i="6"/>
  <c r="Q1188" i="6" s="1"/>
  <c r="W1188" i="6" s="1"/>
  <c r="AC1188" i="6" s="1"/>
  <c r="AE1188" i="6" s="1"/>
  <c r="W1080" i="3"/>
  <c r="I1099" i="6"/>
  <c r="E1099" i="6"/>
  <c r="AM135" i="4"/>
  <c r="AN135" i="4" s="1"/>
  <c r="AD135" i="4"/>
  <c r="F1077" i="3" s="1"/>
  <c r="T1077" i="3" s="1"/>
  <c r="V1077" i="3" s="1"/>
  <c r="AD16" i="4"/>
  <c r="F951" i="3" s="1"/>
  <c r="AM16" i="4"/>
  <c r="AN16" i="4" s="1"/>
  <c r="J1021" i="6"/>
  <c r="N1021" i="6"/>
  <c r="T1021" i="6" s="1"/>
  <c r="M1021" i="6"/>
  <c r="Q1021" i="6" s="1"/>
  <c r="E1061" i="6"/>
  <c r="I1061" i="6"/>
  <c r="J1061" i="6" s="1"/>
  <c r="AC126" i="4"/>
  <c r="AC124" i="4"/>
  <c r="Z143" i="4"/>
  <c r="AC141" i="4"/>
  <c r="AD66" i="4"/>
  <c r="F1009" i="3"/>
  <c r="J1067" i="6"/>
  <c r="J1036" i="6"/>
  <c r="N1036" i="6"/>
  <c r="T1036" i="6" s="1"/>
  <c r="M1036" i="6"/>
  <c r="Q1036" i="6" s="1"/>
  <c r="W1036" i="6" s="1"/>
  <c r="I1092" i="3"/>
  <c r="T1160" i="3"/>
  <c r="F1164" i="3"/>
  <c r="T1202" i="3"/>
  <c r="S1209" i="3"/>
  <c r="S1218" i="3" s="1"/>
  <c r="S1203" i="3"/>
  <c r="E1135" i="6"/>
  <c r="I1135" i="6"/>
  <c r="AC105" i="4"/>
  <c r="AC95" i="4"/>
  <c r="T1169" i="3"/>
  <c r="U65" i="5" s="1"/>
  <c r="V1167" i="3"/>
  <c r="AA192" i="4"/>
  <c r="Z192" i="4"/>
  <c r="J1121" i="6"/>
  <c r="N1121" i="6"/>
  <c r="T1121" i="6" s="1"/>
  <c r="M1121" i="6"/>
  <c r="Q1121" i="6" s="1"/>
  <c r="W1121" i="6" s="1"/>
  <c r="AC1121" i="6" s="1"/>
  <c r="AE1121" i="6" s="1"/>
  <c r="F30" i="17"/>
  <c r="H22" i="17"/>
  <c r="AC187" i="4"/>
  <c r="AC132" i="4"/>
  <c r="AC130" i="4"/>
  <c r="AC99" i="4"/>
  <c r="AC89" i="4"/>
  <c r="F1004" i="3"/>
  <c r="AD61" i="4"/>
  <c r="N976" i="6"/>
  <c r="U976" i="6" s="1"/>
  <c r="J976" i="6"/>
  <c r="M976" i="6"/>
  <c r="Q976" i="6" s="1"/>
  <c r="W976" i="6" s="1"/>
  <c r="AC976" i="6" s="1"/>
  <c r="AE976" i="6" s="1"/>
  <c r="AM29" i="4"/>
  <c r="AN21" i="4"/>
  <c r="AN29" i="4" s="1"/>
  <c r="AD71" i="4"/>
  <c r="F1014" i="3"/>
  <c r="AC80" i="4"/>
  <c r="AC71" i="4"/>
  <c r="AM71" i="4" s="1"/>
  <c r="AN71" i="4" s="1"/>
  <c r="T1099" i="3"/>
  <c r="AM147" i="4"/>
  <c r="AN147" i="4" s="1"/>
  <c r="AD147" i="4"/>
  <c r="AD107" i="4"/>
  <c r="F1049" i="3" s="1"/>
  <c r="T1049" i="3" s="1"/>
  <c r="V1049" i="3" s="1"/>
  <c r="AM107" i="4"/>
  <c r="AN107" i="4" s="1"/>
  <c r="E1136" i="6"/>
  <c r="I1136" i="6"/>
  <c r="J1136" i="6" s="1"/>
  <c r="G1082" i="6"/>
  <c r="W1063" i="3" s="1"/>
  <c r="M1217" i="6"/>
  <c r="Q1217" i="6" s="1"/>
  <c r="W1217" i="6" s="1"/>
  <c r="AC1217" i="6" s="1"/>
  <c r="AE1217" i="6" s="1"/>
  <c r="J1217" i="6"/>
  <c r="N1217" i="6"/>
  <c r="T1217" i="6" s="1"/>
  <c r="J1077" i="6"/>
  <c r="M1077" i="6"/>
  <c r="Q1077" i="6" s="1"/>
  <c r="W1077" i="6" s="1"/>
  <c r="AC1077" i="6" s="1"/>
  <c r="AE1077" i="6" s="1"/>
  <c r="N1077" i="6"/>
  <c r="T1077" i="6" s="1"/>
  <c r="AC87" i="4"/>
  <c r="AC81" i="4"/>
  <c r="AM81" i="4" s="1"/>
  <c r="AN81" i="4" s="1"/>
  <c r="F1110" i="3"/>
  <c r="F55" i="5" s="1"/>
  <c r="T991" i="3"/>
  <c r="V991" i="3" s="1"/>
  <c r="E991" i="3"/>
  <c r="I1031" i="6"/>
  <c r="E1031" i="6"/>
  <c r="AA83" i="4"/>
  <c r="Z83" i="4"/>
  <c r="AD148" i="4"/>
  <c r="AM148" i="4"/>
  <c r="AN148" i="4" s="1"/>
  <c r="AO192" i="4"/>
  <c r="AL279" i="4"/>
  <c r="AO279" i="4" s="1"/>
  <c r="AD38" i="4"/>
  <c r="AM38" i="4"/>
  <c r="M1083" i="6"/>
  <c r="Q1083" i="6" s="1"/>
  <c r="W1083" i="6" s="1"/>
  <c r="AC1083" i="6" s="1"/>
  <c r="AE1083" i="6" s="1"/>
  <c r="J1083" i="6"/>
  <c r="N1083" i="6"/>
  <c r="T1083" i="6" s="1"/>
  <c r="AM79" i="4"/>
  <c r="AN79" i="4" s="1"/>
  <c r="AD79" i="4"/>
  <c r="AC63" i="4"/>
  <c r="AC61" i="4"/>
  <c r="AM61" i="4" s="1"/>
  <c r="AN61" i="4" s="1"/>
  <c r="J1182" i="6"/>
  <c r="N1182" i="6"/>
  <c r="T1182" i="6" s="1"/>
  <c r="M1182" i="6"/>
  <c r="Q1182" i="6" s="1"/>
  <c r="W1182" i="6" s="1"/>
  <c r="AC1182" i="6" s="1"/>
  <c r="AE1182" i="6" s="1"/>
  <c r="W1108" i="3"/>
  <c r="V1188" i="3"/>
  <c r="T1192" i="3"/>
  <c r="F56" i="2"/>
  <c r="AD207" i="4"/>
  <c r="AM207" i="4"/>
  <c r="AN207" i="4" s="1"/>
  <c r="AD29" i="4"/>
  <c r="F956" i="3"/>
  <c r="AC114" i="4"/>
  <c r="AC112" i="4"/>
  <c r="I1055" i="6"/>
  <c r="J1055" i="6" s="1"/>
  <c r="E1055" i="6"/>
  <c r="I1026" i="6"/>
  <c r="E1026" i="6"/>
  <c r="W1120" i="3"/>
  <c r="E1140" i="6"/>
  <c r="G1144" i="6"/>
  <c r="W1124" i="3" s="1"/>
  <c r="I1140" i="6"/>
  <c r="AM15" i="4"/>
  <c r="AN15" i="4" s="1"/>
  <c r="AD15" i="4"/>
  <c r="AM250" i="4"/>
  <c r="AN250" i="4" s="1"/>
  <c r="AD250" i="4"/>
  <c r="W1059" i="3"/>
  <c r="I1127" i="6"/>
  <c r="E1127" i="6"/>
  <c r="W1075" i="3"/>
  <c r="E1094" i="6"/>
  <c r="I1094" i="6"/>
  <c r="T1014" i="3" l="1"/>
  <c r="V1014" i="3" s="1"/>
  <c r="F1016" i="3"/>
  <c r="T1016" i="3" s="1"/>
  <c r="V1016" i="3" s="1"/>
  <c r="P199" i="4"/>
  <c r="N1127" i="6"/>
  <c r="T1127" i="6" s="1"/>
  <c r="M1127" i="6"/>
  <c r="Q1127" i="6" s="1"/>
  <c r="W1127" i="6" s="1"/>
  <c r="J1127" i="6"/>
  <c r="F964" i="3"/>
  <c r="F1088" i="3" s="1"/>
  <c r="T956" i="3"/>
  <c r="V956" i="3" s="1"/>
  <c r="V1192" i="3"/>
  <c r="G1208" i="6"/>
  <c r="W1188" i="3" s="1"/>
  <c r="G1007" i="6"/>
  <c r="W991" i="3" s="1"/>
  <c r="G1068" i="6"/>
  <c r="W1049" i="3" s="1"/>
  <c r="T1004" i="3"/>
  <c r="V1004" i="3" s="1"/>
  <c r="F1006" i="3"/>
  <c r="T1006" i="3" s="1"/>
  <c r="V1006" i="3" s="1"/>
  <c r="AM95" i="4"/>
  <c r="AN95" i="4" s="1"/>
  <c r="AD95" i="4"/>
  <c r="F1037" i="3" s="1"/>
  <c r="T1037" i="3" s="1"/>
  <c r="V1037" i="3" s="1"/>
  <c r="G1056" i="6" s="1"/>
  <c r="V1160" i="3"/>
  <c r="T1164" i="3"/>
  <c r="T1009" i="3"/>
  <c r="V1009" i="3" s="1"/>
  <c r="G1025" i="6" s="1"/>
  <c r="F1011" i="3"/>
  <c r="T1011" i="3" s="1"/>
  <c r="V1011" i="3" s="1"/>
  <c r="N1099" i="6"/>
  <c r="J1099" i="6"/>
  <c r="M1099" i="6"/>
  <c r="AD118" i="4"/>
  <c r="F1060" i="3" s="1"/>
  <c r="T1060" i="3" s="1"/>
  <c r="V1060" i="3" s="1"/>
  <c r="AM118" i="4"/>
  <c r="AN118" i="4" s="1"/>
  <c r="W984" i="3"/>
  <c r="I1000" i="6"/>
  <c r="E1000" i="6"/>
  <c r="U69" i="5"/>
  <c r="M1071" i="6"/>
  <c r="J1071" i="6"/>
  <c r="N1071" i="6"/>
  <c r="AD101" i="4"/>
  <c r="F1043" i="3" s="1"/>
  <c r="T1043" i="3" s="1"/>
  <c r="V1043" i="3" s="1"/>
  <c r="AM101" i="4"/>
  <c r="AN101" i="4" s="1"/>
  <c r="F1024" i="3"/>
  <c r="AM89" i="4"/>
  <c r="AN89" i="4" s="1"/>
  <c r="AD89" i="4"/>
  <c r="F1031" i="3" s="1"/>
  <c r="T1031" i="3" s="1"/>
  <c r="V1031" i="3" s="1"/>
  <c r="G1050" i="6" s="1"/>
  <c r="AD105" i="4"/>
  <c r="F1047" i="3" s="1"/>
  <c r="T1047" i="3" s="1"/>
  <c r="V1047" i="3" s="1"/>
  <c r="G1066" i="6" s="1"/>
  <c r="AM105" i="4"/>
  <c r="AN105" i="4" s="1"/>
  <c r="W1034" i="3"/>
  <c r="E1053" i="6"/>
  <c r="I1053" i="6"/>
  <c r="AM128" i="4"/>
  <c r="AN128" i="4" s="1"/>
  <c r="AD128" i="4"/>
  <c r="F1070" i="3" s="1"/>
  <c r="T1070" i="3" s="1"/>
  <c r="V1070" i="3" s="1"/>
  <c r="G1089" i="6" s="1"/>
  <c r="I977" i="6"/>
  <c r="E977" i="6"/>
  <c r="V1113" i="3"/>
  <c r="T1117" i="3"/>
  <c r="U56" i="5" s="1"/>
  <c r="AC146" i="4"/>
  <c r="AM186" i="4"/>
  <c r="AN186" i="4" s="1"/>
  <c r="AD186" i="4"/>
  <c r="E978" i="6"/>
  <c r="I978" i="6"/>
  <c r="G1215" i="6"/>
  <c r="W1195" i="3" s="1"/>
  <c r="V1199" i="3"/>
  <c r="G1174" i="6"/>
  <c r="W1154" i="3" s="1"/>
  <c r="AM99" i="4"/>
  <c r="AN99" i="4" s="1"/>
  <c r="AD99" i="4"/>
  <c r="F1041" i="3" s="1"/>
  <c r="T1041" i="3" s="1"/>
  <c r="V1041" i="3" s="1"/>
  <c r="G1060" i="6" s="1"/>
  <c r="N1135" i="6"/>
  <c r="T1135" i="6" s="1"/>
  <c r="M1135" i="6"/>
  <c r="Q1135" i="6" s="1"/>
  <c r="W1135" i="6" s="1"/>
  <c r="AC1135" i="6" s="1"/>
  <c r="AE1135" i="6" s="1"/>
  <c r="J1135" i="6"/>
  <c r="I52" i="5"/>
  <c r="AM141" i="4"/>
  <c r="AN141" i="4" s="1"/>
  <c r="AD141" i="4"/>
  <c r="F1083" i="3" s="1"/>
  <c r="N1072" i="6"/>
  <c r="T1072" i="6" s="1"/>
  <c r="J1072" i="6"/>
  <c r="M1072" i="6"/>
  <c r="Q1072" i="6" s="1"/>
  <c r="W1072" i="6" s="1"/>
  <c r="AC1072" i="6" s="1"/>
  <c r="AE1072" i="6" s="1"/>
  <c r="J975" i="6"/>
  <c r="M975" i="6"/>
  <c r="Q975" i="6" s="1"/>
  <c r="W975" i="6" s="1"/>
  <c r="AC975" i="6" s="1"/>
  <c r="AE975" i="6" s="1"/>
  <c r="N975" i="6"/>
  <c r="U975" i="6" s="1"/>
  <c r="E1059" i="6"/>
  <c r="I1059" i="6"/>
  <c r="I1076" i="6"/>
  <c r="E1076" i="6"/>
  <c r="N1026" i="6"/>
  <c r="T1026" i="6" s="1"/>
  <c r="J1026" i="6"/>
  <c r="M1026" i="6"/>
  <c r="Q1026" i="6" s="1"/>
  <c r="W1026" i="6" s="1"/>
  <c r="AC1026" i="6" s="1"/>
  <c r="AE1026" i="6" s="1"/>
  <c r="AD267" i="4"/>
  <c r="F1149" i="3"/>
  <c r="AM130" i="4"/>
  <c r="AN130" i="4" s="1"/>
  <c r="AD130" i="4"/>
  <c r="F1072" i="3" s="1"/>
  <c r="T1072" i="3" s="1"/>
  <c r="V1072" i="3" s="1"/>
  <c r="AC1036" i="6"/>
  <c r="AE1036" i="6" s="1"/>
  <c r="Z149" i="4"/>
  <c r="Z150" i="4" s="1"/>
  <c r="AC143" i="4"/>
  <c r="J1134" i="6"/>
  <c r="M1134" i="6"/>
  <c r="Q1134" i="6" s="1"/>
  <c r="W1134" i="6" s="1"/>
  <c r="N1134" i="6"/>
  <c r="T1134" i="6" s="1"/>
  <c r="J974" i="6"/>
  <c r="N974" i="6"/>
  <c r="U974" i="6" s="1"/>
  <c r="M974" i="6"/>
  <c r="Q974" i="6" s="1"/>
  <c r="W974" i="6" s="1"/>
  <c r="AC974" i="6" s="1"/>
  <c r="AE974" i="6" s="1"/>
  <c r="AM50" i="4"/>
  <c r="AN50" i="4" s="1"/>
  <c r="AD50" i="4"/>
  <c r="T1096" i="3"/>
  <c r="U53" i="5" s="1"/>
  <c r="V1095" i="3"/>
  <c r="I1088" i="6"/>
  <c r="E1088" i="6"/>
  <c r="I1106" i="3"/>
  <c r="H30" i="17"/>
  <c r="J1094" i="6"/>
  <c r="N1094" i="6"/>
  <c r="M1094" i="6"/>
  <c r="F950" i="3"/>
  <c r="F953" i="3" s="1"/>
  <c r="AD18" i="4"/>
  <c r="AN38" i="4"/>
  <c r="AN40" i="4" s="1"/>
  <c r="AM40" i="4"/>
  <c r="AM87" i="4"/>
  <c r="AN87" i="4" s="1"/>
  <c r="AD87" i="4"/>
  <c r="F1029" i="3" s="1"/>
  <c r="T1029" i="3" s="1"/>
  <c r="V1029" i="3" s="1"/>
  <c r="E1082" i="6"/>
  <c r="I1082" i="6"/>
  <c r="V1099" i="3"/>
  <c r="AC192" i="4"/>
  <c r="S70" i="5"/>
  <c r="S1212" i="3"/>
  <c r="S1221" i="3" s="1"/>
  <c r="AM124" i="4"/>
  <c r="AN124" i="4" s="1"/>
  <c r="AD124" i="4"/>
  <c r="F1066" i="3" s="1"/>
  <c r="T1066" i="3" s="1"/>
  <c r="V1066" i="3" s="1"/>
  <c r="T951" i="3"/>
  <c r="V951" i="3" s="1"/>
  <c r="T999" i="3"/>
  <c r="V999" i="3" s="1"/>
  <c r="G1015" i="6" s="1"/>
  <c r="F1001" i="3"/>
  <c r="T1001" i="3" s="1"/>
  <c r="V1001" i="3" s="1"/>
  <c r="N1065" i="6"/>
  <c r="M1065" i="6"/>
  <c r="J1065" i="6"/>
  <c r="G55" i="654"/>
  <c r="N55" i="654" s="1"/>
  <c r="G55" i="2"/>
  <c r="N55" i="2" s="1"/>
  <c r="E1144" i="6"/>
  <c r="J995" i="6"/>
  <c r="M995" i="6"/>
  <c r="Q995" i="6" s="1"/>
  <c r="W995" i="6" s="1"/>
  <c r="AC995" i="6" s="1"/>
  <c r="AE995" i="6" s="1"/>
  <c r="N995" i="6"/>
  <c r="T995" i="6" s="1"/>
  <c r="AD40" i="4"/>
  <c r="F983" i="3"/>
  <c r="M1031" i="6"/>
  <c r="Q1031" i="6" s="1"/>
  <c r="N1031" i="6"/>
  <c r="T1031" i="6" s="1"/>
  <c r="J1031" i="6"/>
  <c r="G1096" i="6"/>
  <c r="W1077" i="3" s="1"/>
  <c r="F1021" i="3"/>
  <c r="T1021" i="3" s="1"/>
  <c r="V1021" i="3" s="1"/>
  <c r="T1019" i="3"/>
  <c r="V1019" i="3" s="1"/>
  <c r="G1035" i="6" s="1"/>
  <c r="AD188" i="4"/>
  <c r="AM188" i="4"/>
  <c r="AN188" i="4" s="1"/>
  <c r="F1153" i="3"/>
  <c r="AD264" i="4"/>
  <c r="AD273" i="4" s="1"/>
  <c r="AM35" i="4"/>
  <c r="AN33" i="4"/>
  <c r="AN35" i="4" s="1"/>
  <c r="J1128" i="6"/>
  <c r="M1128" i="6"/>
  <c r="Q1128" i="6" s="1"/>
  <c r="W1128" i="6" s="1"/>
  <c r="AC1128" i="6" s="1"/>
  <c r="AE1128" i="6" s="1"/>
  <c r="N1128" i="6"/>
  <c r="T1128" i="6" s="1"/>
  <c r="AC93" i="4"/>
  <c r="AC83" i="4"/>
  <c r="AM83" i="4" s="1"/>
  <c r="AN83" i="4" s="1"/>
  <c r="J1140" i="6"/>
  <c r="I1144" i="6"/>
  <c r="N1140" i="6"/>
  <c r="M1140" i="6"/>
  <c r="AM112" i="4"/>
  <c r="AN112" i="4" s="1"/>
  <c r="AD112" i="4"/>
  <c r="F1054" i="3" s="1"/>
  <c r="T1054" i="3" s="1"/>
  <c r="V1054" i="3" s="1"/>
  <c r="AM80" i="4"/>
  <c r="AN80" i="4" s="1"/>
  <c r="AD80" i="4"/>
  <c r="F1025" i="3" s="1"/>
  <c r="T1025" i="3" s="1"/>
  <c r="V1025" i="3" s="1"/>
  <c r="G1041" i="6" s="1"/>
  <c r="AD187" i="4"/>
  <c r="AM187" i="4"/>
  <c r="AN187" i="4" s="1"/>
  <c r="V1169" i="3"/>
  <c r="G1187" i="6"/>
  <c r="T1203" i="3"/>
  <c r="U70" i="5" s="1"/>
  <c r="V1202" i="3"/>
  <c r="J1049" i="6"/>
  <c r="N1049" i="6"/>
  <c r="T1049" i="6" s="1"/>
  <c r="M1049" i="6"/>
  <c r="Q1049" i="6" s="1"/>
  <c r="W1049" i="6" s="1"/>
  <c r="AC1049" i="6" s="1"/>
  <c r="AE1049" i="6" s="1"/>
  <c r="Z276" i="4"/>
  <c r="AC276" i="4" s="1"/>
  <c r="AM276" i="4" s="1"/>
  <c r="AN276" i="4" s="1"/>
  <c r="AC189" i="4"/>
  <c r="M1095" i="6"/>
  <c r="Q1095" i="6" s="1"/>
  <c r="W1095" i="6" s="1"/>
  <c r="AC1095" i="6" s="1"/>
  <c r="AE1095" i="6" s="1"/>
  <c r="N1095" i="6"/>
  <c r="T1095" i="6" s="1"/>
  <c r="J1095" i="6"/>
  <c r="AD35" i="4"/>
  <c r="F978" i="3"/>
  <c r="W1057" i="3"/>
  <c r="F1085" i="3" l="1"/>
  <c r="AD81" i="4"/>
  <c r="AC160" i="4"/>
  <c r="AC150" i="4"/>
  <c r="Q1065" i="6"/>
  <c r="W1065" i="6" s="1"/>
  <c r="U1140" i="6"/>
  <c r="U1144" i="6" s="1"/>
  <c r="T1065" i="6"/>
  <c r="E1174" i="6"/>
  <c r="I1174" i="6"/>
  <c r="J1053" i="6"/>
  <c r="N1053" i="6"/>
  <c r="M1053" i="6"/>
  <c r="T1024" i="3"/>
  <c r="V1024" i="3" s="1"/>
  <c r="F1026" i="3"/>
  <c r="T1026" i="3" s="1"/>
  <c r="V1026" i="3" s="1"/>
  <c r="N1000" i="6"/>
  <c r="T1000" i="6" s="1"/>
  <c r="M1000" i="6"/>
  <c r="Q1000" i="6" s="1"/>
  <c r="W1000" i="6" s="1"/>
  <c r="AC1000" i="6" s="1"/>
  <c r="AE1000" i="6" s="1"/>
  <c r="J1000" i="6"/>
  <c r="W1009" i="3"/>
  <c r="G1027" i="6"/>
  <c r="E1027" i="6" s="1"/>
  <c r="I1025" i="6"/>
  <c r="E1025" i="6"/>
  <c r="I1068" i="6"/>
  <c r="J1068" i="6" s="1"/>
  <c r="E1068" i="6"/>
  <c r="I1110" i="3"/>
  <c r="I1128" i="3"/>
  <c r="I1215" i="3" s="1"/>
  <c r="I1245" i="3" s="1"/>
  <c r="T1106" i="3"/>
  <c r="AD146" i="4"/>
  <c r="F12" i="17"/>
  <c r="AM146" i="4"/>
  <c r="AN146" i="4" s="1"/>
  <c r="Q1140" i="6"/>
  <c r="G1222" i="6"/>
  <c r="W1202" i="3" s="1"/>
  <c r="V1203" i="3"/>
  <c r="W999" i="3"/>
  <c r="E1015" i="6"/>
  <c r="I1015" i="6"/>
  <c r="G1017" i="6"/>
  <c r="E1017" i="6" s="1"/>
  <c r="AM192" i="4"/>
  <c r="AN192" i="4" s="1"/>
  <c r="AD192" i="4"/>
  <c r="G1091" i="6"/>
  <c r="W1072" i="3" s="1"/>
  <c r="M1076" i="6"/>
  <c r="N1076" i="6"/>
  <c r="J1076" i="6"/>
  <c r="G1062" i="6"/>
  <c r="W1043" i="3" s="1"/>
  <c r="G1180" i="6"/>
  <c r="V1164" i="3"/>
  <c r="I1007" i="6"/>
  <c r="E1007" i="6"/>
  <c r="I55" i="654"/>
  <c r="J1144" i="6"/>
  <c r="I55" i="2"/>
  <c r="AD189" i="4"/>
  <c r="AD276" i="4" s="1"/>
  <c r="AM189" i="4"/>
  <c r="AN189" i="4" s="1"/>
  <c r="T1153" i="3"/>
  <c r="F1157" i="3"/>
  <c r="F64" i="5" s="1"/>
  <c r="F1206" i="3"/>
  <c r="N1088" i="6"/>
  <c r="J1088" i="6"/>
  <c r="M1088" i="6"/>
  <c r="G1219" i="6"/>
  <c r="W1199" i="3" s="1"/>
  <c r="I1215" i="6"/>
  <c r="E1215" i="6"/>
  <c r="V1117" i="3"/>
  <c r="G1133" i="6"/>
  <c r="W1113" i="3" s="1"/>
  <c r="N1073" i="6"/>
  <c r="T1073" i="6" s="1"/>
  <c r="T1071" i="6"/>
  <c r="G1079" i="6"/>
  <c r="W1037" i="3"/>
  <c r="E1056" i="6"/>
  <c r="I1056" i="6"/>
  <c r="J1056" i="6" s="1"/>
  <c r="P266" i="4"/>
  <c r="P275" i="4" s="1"/>
  <c r="V199" i="4"/>
  <c r="G1048" i="6"/>
  <c r="W1029" i="3" s="1"/>
  <c r="W1025" i="3"/>
  <c r="I1041" i="6"/>
  <c r="E1041" i="6"/>
  <c r="E1096" i="6"/>
  <c r="I1096" i="6"/>
  <c r="J1096" i="6" s="1"/>
  <c r="P198" i="4"/>
  <c r="W1167" i="3"/>
  <c r="G1189" i="6"/>
  <c r="W1169" i="3" s="1"/>
  <c r="E1187" i="6"/>
  <c r="I1187" i="6"/>
  <c r="AM93" i="4"/>
  <c r="AN93" i="4" s="1"/>
  <c r="AD93" i="4"/>
  <c r="F1035" i="3" s="1"/>
  <c r="T1035" i="3" s="1"/>
  <c r="V1035" i="3" s="1"/>
  <c r="G967" i="6"/>
  <c r="W951" i="3" s="1"/>
  <c r="G1119" i="6"/>
  <c r="T953" i="3"/>
  <c r="V953" i="3" s="1"/>
  <c r="T950" i="3"/>
  <c r="V950" i="3" s="1"/>
  <c r="F1089" i="3"/>
  <c r="G1115" i="6"/>
  <c r="V1096" i="3"/>
  <c r="F1209" i="3"/>
  <c r="T1149" i="3"/>
  <c r="F1150" i="3"/>
  <c r="F63" i="5" s="1"/>
  <c r="N978" i="6"/>
  <c r="U978" i="6" s="1"/>
  <c r="J978" i="6"/>
  <c r="M978" i="6"/>
  <c r="Q978" i="6" s="1"/>
  <c r="W978" i="6" s="1"/>
  <c r="AC978" i="6" s="1"/>
  <c r="AE978" i="6" s="1"/>
  <c r="W1047" i="3"/>
  <c r="I1066" i="6"/>
  <c r="E1066" i="6"/>
  <c r="Q1099" i="6"/>
  <c r="W1099" i="6" s="1"/>
  <c r="E1208" i="6"/>
  <c r="G1212" i="6"/>
  <c r="W1192" i="3" s="1"/>
  <c r="I1208" i="6"/>
  <c r="G1073" i="6"/>
  <c r="W1054" i="3" s="1"/>
  <c r="G1085" i="6"/>
  <c r="W1066" i="3" s="1"/>
  <c r="N1082" i="6"/>
  <c r="J1082" i="6"/>
  <c r="M1082" i="6"/>
  <c r="Q1094" i="6"/>
  <c r="W1094" i="6" s="1"/>
  <c r="M1096" i="6"/>
  <c r="Q1096" i="6" s="1"/>
  <c r="W1096" i="6" s="1"/>
  <c r="AC1096" i="6" s="1"/>
  <c r="AE1096" i="6" s="1"/>
  <c r="W1041" i="3"/>
  <c r="E1060" i="6"/>
  <c r="I1060" i="6"/>
  <c r="J977" i="6"/>
  <c r="N977" i="6"/>
  <c r="U977" i="6" s="1"/>
  <c r="M977" i="6"/>
  <c r="Q977" i="6" s="1"/>
  <c r="W977" i="6" s="1"/>
  <c r="AC977" i="6" s="1"/>
  <c r="AE977" i="6" s="1"/>
  <c r="W1031" i="3"/>
  <c r="I1050" i="6"/>
  <c r="J1050" i="6" s="1"/>
  <c r="E1050" i="6"/>
  <c r="M1073" i="6"/>
  <c r="Q1073" i="6" s="1"/>
  <c r="W1073" i="6" s="1"/>
  <c r="AC1073" i="6" s="1"/>
  <c r="AE1073" i="6" s="1"/>
  <c r="Q1071" i="6"/>
  <c r="W1071" i="6" s="1"/>
  <c r="AC158" i="4"/>
  <c r="AC149" i="4"/>
  <c r="T1088" i="3"/>
  <c r="F1128" i="3"/>
  <c r="T978" i="3"/>
  <c r="V978" i="3" s="1"/>
  <c r="F980" i="3"/>
  <c r="T980" i="3" s="1"/>
  <c r="V980" i="3" s="1"/>
  <c r="E978" i="3"/>
  <c r="W1019" i="3"/>
  <c r="E1035" i="6"/>
  <c r="G1037" i="6"/>
  <c r="E1037" i="6" s="1"/>
  <c r="I1035" i="6"/>
  <c r="E983" i="3"/>
  <c r="T983" i="3"/>
  <c r="V983" i="3" s="1"/>
  <c r="G999" i="6" s="1"/>
  <c r="F985" i="3"/>
  <c r="T985" i="3" s="1"/>
  <c r="V985" i="3" s="1"/>
  <c r="T1094" i="6"/>
  <c r="N1096" i="6"/>
  <c r="T1096" i="6" s="1"/>
  <c r="F995" i="3"/>
  <c r="AD51" i="4"/>
  <c r="AD83" i="4" s="1"/>
  <c r="AM143" i="4"/>
  <c r="AN143" i="4" s="1"/>
  <c r="AD143" i="4"/>
  <c r="M1059" i="6"/>
  <c r="J1059" i="6"/>
  <c r="N1059" i="6"/>
  <c r="T1083" i="3"/>
  <c r="V1083" i="3" s="1"/>
  <c r="W1070" i="3"/>
  <c r="I1089" i="6"/>
  <c r="E1089" i="6"/>
  <c r="T1099" i="6"/>
  <c r="G1020" i="6"/>
  <c r="G972" i="6"/>
  <c r="W956" i="3" s="1"/>
  <c r="G1030" i="6"/>
  <c r="W1014" i="3" s="1"/>
  <c r="T1059" i="6" l="1"/>
  <c r="F19" i="17"/>
  <c r="H12" i="17"/>
  <c r="H19" i="17" s="1"/>
  <c r="H33" i="17" s="1"/>
  <c r="AM158" i="4"/>
  <c r="AN158" i="4" s="1"/>
  <c r="AD158" i="4"/>
  <c r="F1100" i="3" s="1"/>
  <c r="F1129" i="3" s="1"/>
  <c r="I1073" i="6"/>
  <c r="J1073" i="6" s="1"/>
  <c r="E1073" i="6"/>
  <c r="N1066" i="6"/>
  <c r="J1066" i="6"/>
  <c r="M1066" i="6"/>
  <c r="E967" i="6"/>
  <c r="I967" i="6"/>
  <c r="I1048" i="6"/>
  <c r="E1048" i="6"/>
  <c r="Q1088" i="6"/>
  <c r="W1088" i="6" s="1"/>
  <c r="W1160" i="3"/>
  <c r="E1180" i="6"/>
  <c r="I1180" i="6"/>
  <c r="G1184" i="6"/>
  <c r="W1164" i="3" s="1"/>
  <c r="E1091" i="6"/>
  <c r="I1091" i="6"/>
  <c r="J1091" i="6" s="1"/>
  <c r="I1020" i="6"/>
  <c r="E1020" i="6"/>
  <c r="G1022" i="6"/>
  <c r="W1095" i="3"/>
  <c r="I1115" i="6"/>
  <c r="G1116" i="6"/>
  <c r="W1096" i="3" s="1"/>
  <c r="E1115" i="6"/>
  <c r="G1054" i="6"/>
  <c r="W1035" i="3" s="1"/>
  <c r="V266" i="4"/>
  <c r="Z199" i="4"/>
  <c r="AC199" i="4" s="1"/>
  <c r="AA199" i="4"/>
  <c r="AA266" i="4" s="1"/>
  <c r="AA275" i="4" s="1"/>
  <c r="G1223" i="6"/>
  <c r="W1203" i="3" s="1"/>
  <c r="I1222" i="6"/>
  <c r="E1222" i="6"/>
  <c r="V1106" i="3"/>
  <c r="T1110" i="3"/>
  <c r="U55" i="5" s="1"/>
  <c r="G1040" i="6"/>
  <c r="W1024" i="3" s="1"/>
  <c r="P200" i="4"/>
  <c r="P265" i="4"/>
  <c r="P274" i="4" s="1"/>
  <c r="P277" i="4" s="1"/>
  <c r="V198" i="4"/>
  <c r="W983" i="3"/>
  <c r="I999" i="6"/>
  <c r="E999" i="6"/>
  <c r="G1001" i="6"/>
  <c r="E1001" i="6" s="1"/>
  <c r="T1088" i="6"/>
  <c r="I1062" i="6"/>
  <c r="J1062" i="6" s="1"/>
  <c r="E1062" i="6"/>
  <c r="M1025" i="6"/>
  <c r="N1025" i="6"/>
  <c r="I1027" i="6"/>
  <c r="J1027" i="6" s="1"/>
  <c r="J1025" i="6"/>
  <c r="Q1053" i="6"/>
  <c r="W1053" i="6" s="1"/>
  <c r="I1030" i="6"/>
  <c r="E1030" i="6"/>
  <c r="G1032" i="6"/>
  <c r="N1089" i="6"/>
  <c r="T1089" i="6" s="1"/>
  <c r="M1089" i="6"/>
  <c r="Q1089" i="6" s="1"/>
  <c r="W1089" i="6" s="1"/>
  <c r="AC1089" i="6" s="1"/>
  <c r="AE1089" i="6" s="1"/>
  <c r="J1089" i="6"/>
  <c r="N1035" i="6"/>
  <c r="J1035" i="6"/>
  <c r="I1037" i="6"/>
  <c r="J1037" i="6" s="1"/>
  <c r="M1035" i="6"/>
  <c r="E1212" i="6"/>
  <c r="G68" i="2"/>
  <c r="G966" i="6"/>
  <c r="G969" i="6" s="1"/>
  <c r="M1187" i="6"/>
  <c r="N1187" i="6"/>
  <c r="J1187" i="6"/>
  <c r="I1189" i="6"/>
  <c r="I1133" i="6"/>
  <c r="E1133" i="6"/>
  <c r="G1137" i="6"/>
  <c r="W1117" i="3" s="1"/>
  <c r="F1215" i="3"/>
  <c r="F1245" i="3" s="1"/>
  <c r="T1245" i="3" s="1"/>
  <c r="V1245" i="3" s="1"/>
  <c r="I55" i="5"/>
  <c r="I58" i="5" s="1"/>
  <c r="I75" i="5" s="1"/>
  <c r="I1134" i="3"/>
  <c r="I1221" i="3" s="1"/>
  <c r="I1251" i="3" s="1"/>
  <c r="T1053" i="6"/>
  <c r="I1079" i="6"/>
  <c r="J1079" i="6" s="1"/>
  <c r="E1079" i="6"/>
  <c r="G994" i="6"/>
  <c r="W978" i="3" s="1"/>
  <c r="N1208" i="6"/>
  <c r="I1212" i="6"/>
  <c r="M1208" i="6"/>
  <c r="J1208" i="6"/>
  <c r="N1060" i="6"/>
  <c r="T1060" i="6" s="1"/>
  <c r="J1060" i="6"/>
  <c r="M1060" i="6"/>
  <c r="Q1060" i="6" s="1"/>
  <c r="W1060" i="6" s="1"/>
  <c r="AC1060" i="6" s="1"/>
  <c r="AE1060" i="6" s="1"/>
  <c r="T1082" i="6"/>
  <c r="M1015" i="6"/>
  <c r="J1015" i="6"/>
  <c r="N1015" i="6"/>
  <c r="I1017" i="6"/>
  <c r="J1017" i="6" s="1"/>
  <c r="W1140" i="6"/>
  <c r="W1001" i="3"/>
  <c r="AD149" i="4"/>
  <c r="AM149" i="4"/>
  <c r="AN149" i="4" s="1"/>
  <c r="G68" i="654"/>
  <c r="N68" i="654" s="1"/>
  <c r="E1219" i="6"/>
  <c r="Q1059" i="6"/>
  <c r="W1059" i="6" s="1"/>
  <c r="Q1082" i="6"/>
  <c r="W1082" i="6" s="1"/>
  <c r="G980" i="6"/>
  <c r="I972" i="6"/>
  <c r="E972" i="6"/>
  <c r="T1085" i="3"/>
  <c r="V1085" i="3" s="1"/>
  <c r="F1091" i="3"/>
  <c r="T995" i="3"/>
  <c r="V995" i="3" s="1"/>
  <c r="G1011" i="6" s="1"/>
  <c r="F996" i="3"/>
  <c r="T996" i="3" s="1"/>
  <c r="V996" i="3" s="1"/>
  <c r="F1090" i="3"/>
  <c r="E1189" i="6"/>
  <c r="G64" i="2"/>
  <c r="N64" i="2" s="1"/>
  <c r="G64" i="654"/>
  <c r="N64" i="654" s="1"/>
  <c r="M1041" i="6"/>
  <c r="N1041" i="6"/>
  <c r="J1041" i="6"/>
  <c r="T1157" i="3"/>
  <c r="U64" i="5" s="1"/>
  <c r="V1153" i="3"/>
  <c r="T1206" i="3"/>
  <c r="J1007" i="6"/>
  <c r="N1007" i="6"/>
  <c r="T1007" i="6" s="1"/>
  <c r="M1007" i="6"/>
  <c r="Q1007" i="6" s="1"/>
  <c r="W1007" i="6" s="1"/>
  <c r="T1076" i="6"/>
  <c r="W1011" i="3"/>
  <c r="N1174" i="6"/>
  <c r="T1174" i="6" s="1"/>
  <c r="M1174" i="6"/>
  <c r="Q1174" i="6" s="1"/>
  <c r="W1174" i="6" s="1"/>
  <c r="J1174" i="6"/>
  <c r="AD150" i="4"/>
  <c r="AM150" i="4"/>
  <c r="AN150" i="4" s="1"/>
  <c r="T1089" i="3"/>
  <c r="W1004" i="3"/>
  <c r="G1102" i="6"/>
  <c r="G1104" i="6" s="1"/>
  <c r="V1088" i="3"/>
  <c r="T964" i="3"/>
  <c r="T1128" i="3"/>
  <c r="E1085" i="6"/>
  <c r="I1085" i="6"/>
  <c r="J1085" i="6" s="1"/>
  <c r="T1209" i="3"/>
  <c r="T1150" i="3"/>
  <c r="U63" i="5" s="1"/>
  <c r="V1149" i="3"/>
  <c r="W1099" i="3"/>
  <c r="E1119" i="6"/>
  <c r="I1119" i="6"/>
  <c r="W1060" i="3"/>
  <c r="N1215" i="6"/>
  <c r="J1215" i="6"/>
  <c r="M1215" i="6"/>
  <c r="I1219" i="6"/>
  <c r="Q1076" i="6"/>
  <c r="W1076" i="6" s="1"/>
  <c r="W1021" i="3"/>
  <c r="AD160" i="4"/>
  <c r="F1102" i="3" s="1"/>
  <c r="T1102" i="3" s="1"/>
  <c r="V1102" i="3" s="1"/>
  <c r="G1122" i="6" s="1"/>
  <c r="AM160" i="4"/>
  <c r="AN160" i="4" s="1"/>
  <c r="W1083" i="3" l="1"/>
  <c r="W985" i="3"/>
  <c r="T1215" i="3"/>
  <c r="M972" i="6"/>
  <c r="N972" i="6"/>
  <c r="J972" i="6"/>
  <c r="I980" i="6"/>
  <c r="Q1015" i="6"/>
  <c r="M1017" i="6"/>
  <c r="N68" i="2"/>
  <c r="T1025" i="6"/>
  <c r="T1027" i="6" s="1"/>
  <c r="N1027" i="6"/>
  <c r="J999" i="6"/>
  <c r="I1001" i="6"/>
  <c r="J1001" i="6" s="1"/>
  <c r="M999" i="6"/>
  <c r="N999" i="6"/>
  <c r="G1126" i="6"/>
  <c r="W1106" i="3" s="1"/>
  <c r="V1110" i="3"/>
  <c r="N1020" i="6"/>
  <c r="M1020" i="6"/>
  <c r="J1020" i="6"/>
  <c r="I1022" i="6"/>
  <c r="J1022" i="6" s="1"/>
  <c r="Q1066" i="6"/>
  <c r="W1066" i="6" s="1"/>
  <c r="AC1066" i="6" s="1"/>
  <c r="AE1066" i="6" s="1"/>
  <c r="W1102" i="3"/>
  <c r="I1122" i="6"/>
  <c r="E1122" i="6"/>
  <c r="G1173" i="6"/>
  <c r="V1157" i="3"/>
  <c r="W1153" i="3"/>
  <c r="V1206" i="3"/>
  <c r="G1108" i="6"/>
  <c r="E980" i="6"/>
  <c r="M1133" i="6"/>
  <c r="J1133" i="6"/>
  <c r="N1133" i="6"/>
  <c r="I1137" i="6"/>
  <c r="E1032" i="6"/>
  <c r="W1016" i="3"/>
  <c r="M1027" i="6"/>
  <c r="Q1025" i="6"/>
  <c r="I1054" i="6"/>
  <c r="E1054" i="6"/>
  <c r="Q1208" i="6"/>
  <c r="I64" i="2"/>
  <c r="E64" i="2" s="1"/>
  <c r="I64" i="654"/>
  <c r="E64" i="654" s="1"/>
  <c r="J1189" i="6"/>
  <c r="Q1035" i="6"/>
  <c r="Q1037" i="6" s="1"/>
  <c r="M1037" i="6"/>
  <c r="AA198" i="4"/>
  <c r="AA265" i="4" s="1"/>
  <c r="AA274" i="4" s="1"/>
  <c r="V265" i="4"/>
  <c r="Z198" i="4"/>
  <c r="J1222" i="6"/>
  <c r="I1223" i="6"/>
  <c r="T1066" i="6"/>
  <c r="M64" i="654"/>
  <c r="U1215" i="6"/>
  <c r="U1219" i="6" s="1"/>
  <c r="V1089" i="3"/>
  <c r="J1212" i="6"/>
  <c r="I68" i="2"/>
  <c r="E68" i="2" s="1"/>
  <c r="I1032" i="6"/>
  <c r="J1032" i="6" s="1"/>
  <c r="M1030" i="6"/>
  <c r="N1030" i="6"/>
  <c r="J1030" i="6"/>
  <c r="G69" i="654"/>
  <c r="G69" i="2"/>
  <c r="E1223" i="6"/>
  <c r="E1116" i="6"/>
  <c r="G51" i="654"/>
  <c r="G51" i="2"/>
  <c r="I966" i="6"/>
  <c r="I969" i="6" s="1"/>
  <c r="E966" i="6"/>
  <c r="W995" i="3"/>
  <c r="I1011" i="6"/>
  <c r="E1011" i="6"/>
  <c r="G1012" i="6"/>
  <c r="E1012" i="6" s="1"/>
  <c r="G1110" i="6"/>
  <c r="U1208" i="6"/>
  <c r="N1189" i="6"/>
  <c r="T1187" i="6"/>
  <c r="T1189" i="6" s="1"/>
  <c r="P270" i="4"/>
  <c r="P279" i="4" s="1"/>
  <c r="V200" i="4"/>
  <c r="I1116" i="6"/>
  <c r="M1115" i="6"/>
  <c r="J1115" i="6"/>
  <c r="N1115" i="6"/>
  <c r="M1048" i="6"/>
  <c r="J1048" i="6"/>
  <c r="N1048" i="6"/>
  <c r="Z266" i="4"/>
  <c r="V275" i="4"/>
  <c r="M1119" i="6"/>
  <c r="J1119" i="6"/>
  <c r="N1119" i="6"/>
  <c r="T1090" i="3"/>
  <c r="F1130" i="3"/>
  <c r="T1041" i="6"/>
  <c r="Q1187" i="6"/>
  <c r="M1189" i="6"/>
  <c r="N1037" i="6"/>
  <c r="T1035" i="6"/>
  <c r="T1037" i="6" s="1"/>
  <c r="G63" i="654"/>
  <c r="N63" i="654" s="1"/>
  <c r="E1184" i="6"/>
  <c r="G63" i="2"/>
  <c r="N967" i="6"/>
  <c r="T967" i="6" s="1"/>
  <c r="M967" i="6"/>
  <c r="Q967" i="6" s="1"/>
  <c r="W967" i="6" s="1"/>
  <c r="AC967" i="6" s="1"/>
  <c r="AE967" i="6" s="1"/>
  <c r="J967" i="6"/>
  <c r="T1100" i="3"/>
  <c r="T1129" i="3" s="1"/>
  <c r="F1103" i="3"/>
  <c r="F54" i="5" s="1"/>
  <c r="M68" i="654"/>
  <c r="G54" i="654"/>
  <c r="N54" i="654" s="1"/>
  <c r="G54" i="2"/>
  <c r="N54" i="2" s="1"/>
  <c r="E1137" i="6"/>
  <c r="I1102" i="6"/>
  <c r="I1104" i="6" s="1"/>
  <c r="E1102" i="6"/>
  <c r="I68" i="654"/>
  <c r="E68" i="654" s="1"/>
  <c r="J1219" i="6"/>
  <c r="F1131" i="3"/>
  <c r="F1218" i="3" s="1"/>
  <c r="F1248" i="3" s="1"/>
  <c r="T1091" i="3"/>
  <c r="Q1215" i="6"/>
  <c r="V1209" i="3"/>
  <c r="V1150" i="3"/>
  <c r="G1169" i="6"/>
  <c r="V964" i="3"/>
  <c r="W964" i="3" s="1"/>
  <c r="V1128" i="3"/>
  <c r="Q1041" i="6"/>
  <c r="W1085" i="3"/>
  <c r="T1015" i="6"/>
  <c r="T1017" i="6" s="1"/>
  <c r="N1017" i="6"/>
  <c r="G996" i="6"/>
  <c r="I994" i="6"/>
  <c r="E994" i="6"/>
  <c r="W950" i="3"/>
  <c r="G1042" i="6"/>
  <c r="E1040" i="6"/>
  <c r="I1040" i="6"/>
  <c r="G1109" i="6"/>
  <c r="AD199" i="4"/>
  <c r="AM199" i="4"/>
  <c r="AN199" i="4" s="1"/>
  <c r="E1022" i="6"/>
  <c r="W1006" i="3"/>
  <c r="J1180" i="6"/>
  <c r="M1180" i="6"/>
  <c r="N1180" i="6"/>
  <c r="I1184" i="6"/>
  <c r="F1092" i="3"/>
  <c r="M68" i="2" l="1"/>
  <c r="I63" i="654"/>
  <c r="E63" i="654" s="1"/>
  <c r="J1184" i="6"/>
  <c r="I63" i="2"/>
  <c r="E63" i="2" s="1"/>
  <c r="AC269" i="4"/>
  <c r="AC266" i="4"/>
  <c r="AM266" i="4" s="1"/>
  <c r="AN266" i="4" s="1"/>
  <c r="Z275" i="4"/>
  <c r="AC275" i="4" s="1"/>
  <c r="AM275" i="4" s="1"/>
  <c r="AN275" i="4" s="1"/>
  <c r="I51" i="654"/>
  <c r="E51" i="654" s="1"/>
  <c r="J1116" i="6"/>
  <c r="I51" i="2"/>
  <c r="U1212" i="6"/>
  <c r="J966" i="6"/>
  <c r="J969" i="6"/>
  <c r="M966" i="6"/>
  <c r="N966" i="6"/>
  <c r="Z200" i="4"/>
  <c r="AC198" i="4"/>
  <c r="N1001" i="6"/>
  <c r="T999" i="6"/>
  <c r="T1001" i="6" s="1"/>
  <c r="F1134" i="3"/>
  <c r="F52" i="5"/>
  <c r="F58" i="5" s="1"/>
  <c r="M1116" i="6"/>
  <c r="Q1115" i="6"/>
  <c r="E1108" i="6"/>
  <c r="G1148" i="6"/>
  <c r="E969" i="6"/>
  <c r="W953" i="3"/>
  <c r="T1030" i="6"/>
  <c r="T1032" i="6" s="1"/>
  <c r="N1032" i="6"/>
  <c r="Z265" i="4"/>
  <c r="V274" i="4"/>
  <c r="V277" i="4" s="1"/>
  <c r="Q999" i="6"/>
  <c r="M1001" i="6"/>
  <c r="Q1017" i="6"/>
  <c r="W1015" i="6"/>
  <c r="W1017" i="6" s="1"/>
  <c r="J994" i="6"/>
  <c r="N994" i="6"/>
  <c r="M994" i="6"/>
  <c r="I996" i="6"/>
  <c r="J996" i="6" s="1"/>
  <c r="E996" i="6"/>
  <c r="W980" i="3"/>
  <c r="J1040" i="6"/>
  <c r="I1042" i="6"/>
  <c r="M1040" i="6"/>
  <c r="N1040" i="6"/>
  <c r="I1109" i="6"/>
  <c r="V1090" i="3"/>
  <c r="T1130" i="3"/>
  <c r="T1092" i="3"/>
  <c r="N51" i="2"/>
  <c r="M51" i="2" s="1"/>
  <c r="E51" i="2"/>
  <c r="M1032" i="6"/>
  <c r="Q1030" i="6"/>
  <c r="W1208" i="6"/>
  <c r="AC1208" i="6" s="1"/>
  <c r="AE1208" i="6" s="1"/>
  <c r="I54" i="654"/>
  <c r="E54" i="654" s="1"/>
  <c r="I54" i="2"/>
  <c r="E54" i="2" s="1"/>
  <c r="J1137" i="6"/>
  <c r="I1108" i="6"/>
  <c r="J980" i="6"/>
  <c r="W1128" i="3"/>
  <c r="V1215" i="3"/>
  <c r="Q1180" i="6"/>
  <c r="W1149" i="3"/>
  <c r="G1229" i="6"/>
  <c r="E1229" i="6" s="1"/>
  <c r="I1169" i="6"/>
  <c r="G1170" i="6"/>
  <c r="E1169" i="6"/>
  <c r="T1048" i="6"/>
  <c r="N1050" i="6"/>
  <c r="T1050" i="6" s="1"/>
  <c r="W1150" i="3"/>
  <c r="E1104" i="6"/>
  <c r="G1111" i="6"/>
  <c r="G1112" i="6" s="1"/>
  <c r="G50" i="2" s="1"/>
  <c r="V1100" i="3"/>
  <c r="T1103" i="3"/>
  <c r="U54" i="5" s="1"/>
  <c r="T1119" i="6"/>
  <c r="T1148" i="6" s="1"/>
  <c r="T1235" i="6" s="1"/>
  <c r="T1267" i="6" s="1"/>
  <c r="N51" i="654"/>
  <c r="U1133" i="6"/>
  <c r="U1137" i="6" s="1"/>
  <c r="I1173" i="6"/>
  <c r="E1173" i="6"/>
  <c r="G1177" i="6"/>
  <c r="G1226" i="6"/>
  <c r="Q1020" i="6"/>
  <c r="M1022" i="6"/>
  <c r="V1091" i="3"/>
  <c r="T1131" i="3"/>
  <c r="T1218" i="3" s="1"/>
  <c r="E1109" i="6"/>
  <c r="M63" i="654"/>
  <c r="Q1048" i="6"/>
  <c r="W1048" i="6" s="1"/>
  <c r="M1050" i="6"/>
  <c r="Q1050" i="6" s="1"/>
  <c r="W1050" i="6" s="1"/>
  <c r="AC1050" i="6" s="1"/>
  <c r="AE1050" i="6" s="1"/>
  <c r="T1020" i="6"/>
  <c r="T1022" i="6" s="1"/>
  <c r="N1022" i="6"/>
  <c r="U972" i="6"/>
  <c r="U980" i="6" s="1"/>
  <c r="U1108" i="6" s="1"/>
  <c r="N980" i="6"/>
  <c r="N1108" i="6" s="1"/>
  <c r="F1141" i="3"/>
  <c r="AD266" i="4"/>
  <c r="AD275" i="4" s="1"/>
  <c r="N63" i="2"/>
  <c r="M63" i="2" s="1"/>
  <c r="W1088" i="3"/>
  <c r="AA200" i="4"/>
  <c r="AA270" i="4" s="1"/>
  <c r="AA279" i="4" s="1"/>
  <c r="V270" i="4"/>
  <c r="V279" i="4" s="1"/>
  <c r="Q1189" i="6"/>
  <c r="W1189" i="6" s="1"/>
  <c r="W1187" i="6"/>
  <c r="Q1119" i="6"/>
  <c r="N1116" i="6"/>
  <c r="T1115" i="6"/>
  <c r="T1116" i="6" s="1"/>
  <c r="M1011" i="6"/>
  <c r="N1011" i="6"/>
  <c r="J1011" i="6"/>
  <c r="I1012" i="6"/>
  <c r="J1012" i="6" s="1"/>
  <c r="I1110" i="6"/>
  <c r="N1054" i="6"/>
  <c r="M1054" i="6"/>
  <c r="J1054" i="6"/>
  <c r="Q1133" i="6"/>
  <c r="J1122" i="6"/>
  <c r="M980" i="6"/>
  <c r="M1108" i="6" s="1"/>
  <c r="Q972" i="6"/>
  <c r="V1129" i="3"/>
  <c r="W1089" i="3"/>
  <c r="G1130" i="6"/>
  <c r="W1110" i="3" s="1"/>
  <c r="E1126" i="6"/>
  <c r="I1126" i="6"/>
  <c r="U1180" i="6"/>
  <c r="U1184" i="6" s="1"/>
  <c r="E1110" i="6"/>
  <c r="G1150" i="6"/>
  <c r="E1042" i="6"/>
  <c r="G1044" i="6"/>
  <c r="E1044" i="6" s="1"/>
  <c r="W1026" i="3"/>
  <c r="W1041" i="6"/>
  <c r="AC1041" i="6" s="1"/>
  <c r="AE1041" i="6" s="1"/>
  <c r="J1102" i="6"/>
  <c r="W1215" i="6"/>
  <c r="AC1215" i="6" s="1"/>
  <c r="AE1215" i="6" s="1"/>
  <c r="W996" i="3"/>
  <c r="I69" i="654"/>
  <c r="J1223" i="6"/>
  <c r="I69" i="2"/>
  <c r="Q1027" i="6"/>
  <c r="W1025" i="6"/>
  <c r="W1027" i="6" s="1"/>
  <c r="AC1027" i="6" s="1"/>
  <c r="AE1027" i="6" s="1"/>
  <c r="M64" i="2"/>
  <c r="M51" i="654" l="1"/>
  <c r="W1209" i="3"/>
  <c r="E1112" i="6"/>
  <c r="G50" i="654"/>
  <c r="Q980" i="6"/>
  <c r="Q1108" i="6" s="1"/>
  <c r="W972" i="6"/>
  <c r="T1054" i="6"/>
  <c r="J1104" i="6"/>
  <c r="I1111" i="6"/>
  <c r="J1111" i="6" s="1"/>
  <c r="J1110" i="6"/>
  <c r="D10" i="50"/>
  <c r="W1119" i="6"/>
  <c r="Q1022" i="6"/>
  <c r="W1031" i="6" s="1"/>
  <c r="AC1031" i="6" s="1"/>
  <c r="AE1031" i="6" s="1"/>
  <c r="W1020" i="6"/>
  <c r="W1180" i="6"/>
  <c r="U52" i="5"/>
  <c r="U58" i="5" s="1"/>
  <c r="T1134" i="3"/>
  <c r="E1148" i="6"/>
  <c r="G1235" i="6"/>
  <c r="W1215" i="3" s="1"/>
  <c r="I1148" i="6"/>
  <c r="M54" i="654"/>
  <c r="M1126" i="6"/>
  <c r="J1126" i="6"/>
  <c r="I1130" i="6"/>
  <c r="N1126" i="6"/>
  <c r="T1141" i="3"/>
  <c r="F1208" i="3"/>
  <c r="F1217" i="3" s="1"/>
  <c r="F1247" i="3" s="1"/>
  <c r="T1247" i="3" s="1"/>
  <c r="V1247" i="3" s="1"/>
  <c r="E1226" i="6"/>
  <c r="W999" i="6"/>
  <c r="W1001" i="6" s="1"/>
  <c r="AC1001" i="6" s="1"/>
  <c r="AE1001" i="6" s="1"/>
  <c r="Q1001" i="6"/>
  <c r="W1206" i="3"/>
  <c r="Q1054" i="6"/>
  <c r="J64" i="2"/>
  <c r="L64" i="2" s="1"/>
  <c r="J64" i="654"/>
  <c r="Y64" i="654" s="1"/>
  <c r="Z64" i="654" s="1"/>
  <c r="AC1189" i="6"/>
  <c r="AE1189" i="6" s="1"/>
  <c r="N1148" i="6"/>
  <c r="G62" i="654"/>
  <c r="N62" i="654" s="1"/>
  <c r="G62" i="2"/>
  <c r="N62" i="2" s="1"/>
  <c r="E1177" i="6"/>
  <c r="W1090" i="3"/>
  <c r="V1130" i="3"/>
  <c r="AD198" i="4"/>
  <c r="AM198" i="4"/>
  <c r="AN198" i="4" s="1"/>
  <c r="J1042" i="6"/>
  <c r="I1044" i="6"/>
  <c r="J1044" i="6" s="1"/>
  <c r="G53" i="654"/>
  <c r="N53" i="654" s="1"/>
  <c r="G53" i="2"/>
  <c r="N53" i="2" s="1"/>
  <c r="E1130" i="6"/>
  <c r="T1011" i="6"/>
  <c r="N1012" i="6"/>
  <c r="N1110" i="6"/>
  <c r="N1150" i="6" s="1"/>
  <c r="U1112" i="6"/>
  <c r="G61" i="654"/>
  <c r="E1170" i="6"/>
  <c r="G61" i="2"/>
  <c r="N61" i="2" s="1"/>
  <c r="J1109" i="6"/>
  <c r="Q994" i="6"/>
  <c r="M996" i="6"/>
  <c r="AC265" i="4"/>
  <c r="AM265" i="4" s="1"/>
  <c r="AN265" i="4" s="1"/>
  <c r="Z274" i="4"/>
  <c r="AC274" i="4" s="1"/>
  <c r="AM274" i="4" s="1"/>
  <c r="AN274" i="4" s="1"/>
  <c r="Q1116" i="6"/>
  <c r="W1116" i="6" s="1"/>
  <c r="W1115" i="6"/>
  <c r="AC1115" i="6" s="1"/>
  <c r="AE1115" i="6" s="1"/>
  <c r="AC200" i="4"/>
  <c r="Z270" i="4"/>
  <c r="AC1017" i="6"/>
  <c r="AE1017" i="6" s="1"/>
  <c r="W1133" i="6"/>
  <c r="AC1133" i="6" s="1"/>
  <c r="AE1133" i="6" s="1"/>
  <c r="Q1011" i="6"/>
  <c r="M1012" i="6"/>
  <c r="M1110" i="6"/>
  <c r="M1150" i="6" s="1"/>
  <c r="N1173" i="6"/>
  <c r="J1173" i="6"/>
  <c r="M1173" i="6"/>
  <c r="I1177" i="6"/>
  <c r="I1226" i="6"/>
  <c r="G1120" i="6"/>
  <c r="W1100" i="3" s="1"/>
  <c r="V1103" i="3"/>
  <c r="I1170" i="6"/>
  <c r="J1169" i="6"/>
  <c r="I1229" i="6"/>
  <c r="J1108" i="6"/>
  <c r="I1112" i="6"/>
  <c r="C10" i="50"/>
  <c r="Q1032" i="6"/>
  <c r="W1035" i="6" s="1"/>
  <c r="W1037" i="6" s="1"/>
  <c r="AC1037" i="6" s="1"/>
  <c r="AE1037" i="6" s="1"/>
  <c r="W1030" i="6"/>
  <c r="N1042" i="6"/>
  <c r="T1040" i="6"/>
  <c r="N1109" i="6"/>
  <c r="T994" i="6"/>
  <c r="T996" i="6" s="1"/>
  <c r="N996" i="6"/>
  <c r="T966" i="6"/>
  <c r="M54" i="2"/>
  <c r="V1131" i="3"/>
  <c r="W1091" i="3"/>
  <c r="V1092" i="3"/>
  <c r="W1130" i="3"/>
  <c r="E1150" i="6"/>
  <c r="I1150" i="6"/>
  <c r="E1111" i="6"/>
  <c r="G1151" i="6"/>
  <c r="W1157" i="3"/>
  <c r="M1042" i="6"/>
  <c r="Q1040" i="6"/>
  <c r="M1109" i="6"/>
  <c r="Q966" i="6"/>
  <c r="W1032" i="6" l="1"/>
  <c r="AC1032" i="6" s="1"/>
  <c r="AE1032" i="6" s="1"/>
  <c r="W966" i="6"/>
  <c r="W1131" i="3"/>
  <c r="V1218" i="3"/>
  <c r="I61" i="654"/>
  <c r="E61" i="654" s="1"/>
  <c r="J1170" i="6"/>
  <c r="I61" i="2"/>
  <c r="E61" i="2" s="1"/>
  <c r="U1173" i="6"/>
  <c r="N1226" i="6"/>
  <c r="AC270" i="4"/>
  <c r="AM270" i="4" s="1"/>
  <c r="Z279" i="4"/>
  <c r="AC279" i="4" s="1"/>
  <c r="AM279" i="4" s="1"/>
  <c r="U1126" i="6"/>
  <c r="Q996" i="6"/>
  <c r="W994" i="6"/>
  <c r="W996" i="6" s="1"/>
  <c r="AC996" i="6" s="1"/>
  <c r="AE996" i="6" s="1"/>
  <c r="AM200" i="4"/>
  <c r="AN200" i="4" s="1"/>
  <c r="AD200" i="4"/>
  <c r="AD270" i="4" s="1"/>
  <c r="N1235" i="6"/>
  <c r="N1267" i="6" s="1"/>
  <c r="I53" i="654"/>
  <c r="E53" i="654" s="1"/>
  <c r="I53" i="2"/>
  <c r="E53" i="2" s="1"/>
  <c r="J1130" i="6"/>
  <c r="W980" i="6"/>
  <c r="AC980" i="6" s="1"/>
  <c r="AE980" i="6" s="1"/>
  <c r="AC972" i="6"/>
  <c r="AE972" i="6" s="1"/>
  <c r="V1141" i="3"/>
  <c r="T1208" i="3"/>
  <c r="T1217" i="3" s="1"/>
  <c r="Q1042" i="6"/>
  <c r="Q1109" i="6"/>
  <c r="W1040" i="6"/>
  <c r="W1042" i="6" s="1"/>
  <c r="M1044" i="6"/>
  <c r="N1044" i="6"/>
  <c r="F1140" i="3"/>
  <c r="AD265" i="4"/>
  <c r="AD274" i="4" s="1"/>
  <c r="W1108" i="6"/>
  <c r="AC1108" i="6" s="1"/>
  <c r="AE1108" i="6" s="1"/>
  <c r="I1120" i="6"/>
  <c r="E1120" i="6"/>
  <c r="G1123" i="6"/>
  <c r="W1103" i="3" s="1"/>
  <c r="G1149" i="6"/>
  <c r="W1011" i="6"/>
  <c r="Q1012" i="6"/>
  <c r="W1021" i="6" s="1"/>
  <c r="AC1021" i="6" s="1"/>
  <c r="AE1021" i="6" s="1"/>
  <c r="Q1110" i="6"/>
  <c r="J51" i="2"/>
  <c r="L51" i="2" s="1"/>
  <c r="J51" i="654"/>
  <c r="Y51" i="654" s="1"/>
  <c r="AC1116" i="6"/>
  <c r="AE1116" i="6" s="1"/>
  <c r="T1012" i="6"/>
  <c r="T1110" i="6"/>
  <c r="T1150" i="6" s="1"/>
  <c r="L64" i="654"/>
  <c r="O64" i="654"/>
  <c r="P64" i="654" s="1"/>
  <c r="Q1126" i="6"/>
  <c r="Q1148" i="6" s="1"/>
  <c r="T1042" i="6"/>
  <c r="T1109" i="6"/>
  <c r="G1267" i="6"/>
  <c r="E1235" i="6"/>
  <c r="J1150" i="6"/>
  <c r="E12" i="50"/>
  <c r="D12" i="50"/>
  <c r="I50" i="2"/>
  <c r="E50" i="2" s="1"/>
  <c r="J1112" i="6"/>
  <c r="I50" i="654"/>
  <c r="E50" i="654" s="1"/>
  <c r="J1226" i="6"/>
  <c r="M1148" i="6"/>
  <c r="M1235" i="6" s="1"/>
  <c r="M1267" i="6" s="1"/>
  <c r="N50" i="654"/>
  <c r="E1151" i="6"/>
  <c r="I1151" i="6"/>
  <c r="G1238" i="6"/>
  <c r="I62" i="654"/>
  <c r="E62" i="654" s="1"/>
  <c r="I62" i="2"/>
  <c r="E62" i="2" s="1"/>
  <c r="J1177" i="6"/>
  <c r="N61" i="654"/>
  <c r="W1092" i="3"/>
  <c r="V1134" i="3"/>
  <c r="J1229" i="6"/>
  <c r="B25" i="50"/>
  <c r="Q1173" i="6"/>
  <c r="M1226" i="6"/>
  <c r="M62" i="2"/>
  <c r="J1148" i="6"/>
  <c r="I1235" i="6"/>
  <c r="N50" i="2"/>
  <c r="T1044" i="6" l="1"/>
  <c r="M61" i="2"/>
  <c r="W1022" i="6"/>
  <c r="AC1022" i="6" s="1"/>
  <c r="AE1022" i="6" s="1"/>
  <c r="Q1044" i="6"/>
  <c r="W1054" i="6" s="1"/>
  <c r="AC1054" i="6" s="1"/>
  <c r="AE1054" i="6" s="1"/>
  <c r="M50" i="2"/>
  <c r="F12" i="50"/>
  <c r="M53" i="2"/>
  <c r="W1148" i="6"/>
  <c r="AC1148" i="6" s="1"/>
  <c r="AE1148" i="6" s="1"/>
  <c r="W1218" i="3"/>
  <c r="W1173" i="6"/>
  <c r="Q1226" i="6"/>
  <c r="E1267" i="6"/>
  <c r="W1245" i="3"/>
  <c r="AN270" i="4"/>
  <c r="AD279" i="4"/>
  <c r="AN279" i="4" s="1"/>
  <c r="M50" i="654"/>
  <c r="G52" i="654"/>
  <c r="E1123" i="6"/>
  <c r="G52" i="2"/>
  <c r="G1154" i="6"/>
  <c r="W1134" i="3" s="1"/>
  <c r="W1110" i="6"/>
  <c r="AC1110" i="6" s="1"/>
  <c r="AE1110" i="6" s="1"/>
  <c r="Q1150" i="6"/>
  <c r="W1012" i="6"/>
  <c r="AC1012" i="6" s="1"/>
  <c r="AE1012" i="6" s="1"/>
  <c r="AC1011" i="6"/>
  <c r="AE1011" i="6" s="1"/>
  <c r="F1207" i="3"/>
  <c r="F1216" i="3" s="1"/>
  <c r="F1246" i="3" s="1"/>
  <c r="T1246" i="3" s="1"/>
  <c r="V1246" i="3" s="1"/>
  <c r="T1140" i="3"/>
  <c r="F1142" i="3"/>
  <c r="U1177" i="6"/>
  <c r="U1226" i="6"/>
  <c r="U1232" i="6" s="1"/>
  <c r="M62" i="654"/>
  <c r="J1151" i="6"/>
  <c r="I1238" i="6"/>
  <c r="G1161" i="6"/>
  <c r="W1141" i="3" s="1"/>
  <c r="V1208" i="3"/>
  <c r="M53" i="654"/>
  <c r="L51" i="654"/>
  <c r="O51" i="654"/>
  <c r="AC1042" i="6"/>
  <c r="AE1042" i="6" s="1"/>
  <c r="D15" i="50"/>
  <c r="U1130" i="6"/>
  <c r="U1154" i="6" s="1"/>
  <c r="U1148" i="6"/>
  <c r="I1267" i="6"/>
  <c r="J1235" i="6"/>
  <c r="M61" i="654"/>
  <c r="I1149" i="6"/>
  <c r="E1149" i="6"/>
  <c r="W1129" i="3"/>
  <c r="W1126" i="6"/>
  <c r="AC1126" i="6" s="1"/>
  <c r="AE1126" i="6" s="1"/>
  <c r="N1120" i="6"/>
  <c r="J1120" i="6"/>
  <c r="M1120" i="6"/>
  <c r="I1123" i="6"/>
  <c r="E10" i="50"/>
  <c r="F10" i="50" s="1"/>
  <c r="E1238" i="6"/>
  <c r="W1109" i="6"/>
  <c r="W1044" i="6" l="1"/>
  <c r="AC1044" i="6" s="1"/>
  <c r="AE1044" i="6" s="1"/>
  <c r="E15" i="50"/>
  <c r="W1226" i="6"/>
  <c r="AC1226" i="6" s="1"/>
  <c r="AE1226" i="6" s="1"/>
  <c r="C25" i="50"/>
  <c r="J1267" i="6"/>
  <c r="J1123" i="6"/>
  <c r="I52" i="654"/>
  <c r="I56" i="654" s="1"/>
  <c r="I52" i="2"/>
  <c r="I56" i="2" s="1"/>
  <c r="I1154" i="6"/>
  <c r="U1235" i="6"/>
  <c r="U1267" i="6" s="1"/>
  <c r="T1120" i="6"/>
  <c r="T1149" i="6" s="1"/>
  <c r="N1149" i="6"/>
  <c r="E1154" i="6"/>
  <c r="Q1120" i="6"/>
  <c r="M1149" i="6"/>
  <c r="J1238" i="6"/>
  <c r="N52" i="2"/>
  <c r="G56" i="2"/>
  <c r="W1150" i="6"/>
  <c r="AC1150" i="6" s="1"/>
  <c r="AE1150" i="6" s="1"/>
  <c r="V1217" i="3"/>
  <c r="J1149" i="6"/>
  <c r="G1228" i="6"/>
  <c r="I1161" i="6"/>
  <c r="E1161" i="6"/>
  <c r="Q1235" i="6"/>
  <c r="U1241" i="6"/>
  <c r="U1273" i="6" s="1"/>
  <c r="F1212" i="3"/>
  <c r="F1221" i="3" s="1"/>
  <c r="F1251" i="3" s="1"/>
  <c r="F61" i="5"/>
  <c r="F72" i="5" s="1"/>
  <c r="F75" i="5" s="1"/>
  <c r="F15" i="50"/>
  <c r="E18" i="50" s="1"/>
  <c r="T1207" i="3"/>
  <c r="T1216" i="3" s="1"/>
  <c r="T1142" i="3"/>
  <c r="V1140" i="3"/>
  <c r="N52" i="654"/>
  <c r="G56" i="654"/>
  <c r="D18" i="50" l="1"/>
  <c r="T1212" i="3"/>
  <c r="T1221" i="3" s="1"/>
  <c r="U61" i="5"/>
  <c r="M1161" i="6"/>
  <c r="I1228" i="6"/>
  <c r="J1161" i="6"/>
  <c r="N1161" i="6"/>
  <c r="M52" i="2"/>
  <c r="W1120" i="6"/>
  <c r="Q1149" i="6"/>
  <c r="E52" i="2"/>
  <c r="J1154" i="6"/>
  <c r="D29" i="50"/>
  <c r="E29" i="50"/>
  <c r="E1228" i="6"/>
  <c r="G1237" i="6"/>
  <c r="M52" i="654"/>
  <c r="N56" i="2"/>
  <c r="M56" i="2" s="1"/>
  <c r="E56" i="2"/>
  <c r="F18" i="50"/>
  <c r="M2" i="6"/>
  <c r="M968" i="6" s="1"/>
  <c r="D27" i="50"/>
  <c r="N2" i="6"/>
  <c r="N968" i="6" s="1"/>
  <c r="E27" i="50"/>
  <c r="E56" i="654"/>
  <c r="N56" i="654"/>
  <c r="M56" i="654" s="1"/>
  <c r="E52" i="654"/>
  <c r="W1208" i="3"/>
  <c r="V1207" i="3"/>
  <c r="G1160" i="6"/>
  <c r="V1142" i="3"/>
  <c r="Q1267" i="6"/>
  <c r="W1267" i="6" s="1"/>
  <c r="AC1267" i="6" s="1"/>
  <c r="AE1267" i="6" s="1"/>
  <c r="W1235" i="6"/>
  <c r="AC1235" i="6" s="1"/>
  <c r="AE1235" i="6" s="1"/>
  <c r="M969" i="6" l="1"/>
  <c r="Q968" i="6"/>
  <c r="N969" i="6"/>
  <c r="T968" i="6"/>
  <c r="T969" i="6" s="1"/>
  <c r="N1228" i="6"/>
  <c r="N1237" i="6" s="1"/>
  <c r="N1269" i="6" s="1"/>
  <c r="T1161" i="6"/>
  <c r="T1228" i="6" s="1"/>
  <c r="T1237" i="6" s="1"/>
  <c r="T1269" i="6" s="1"/>
  <c r="V1216" i="3"/>
  <c r="J1228" i="6"/>
  <c r="D25" i="50"/>
  <c r="D32" i="50" s="1"/>
  <c r="I1237" i="6"/>
  <c r="W1140" i="3"/>
  <c r="I1160" i="6"/>
  <c r="G1227" i="6"/>
  <c r="W1207" i="3" s="1"/>
  <c r="G1162" i="6"/>
  <c r="W1142" i="3" s="1"/>
  <c r="E1160" i="6"/>
  <c r="M1228" i="6"/>
  <c r="M1237" i="6" s="1"/>
  <c r="M1269" i="6" s="1"/>
  <c r="Q1161" i="6"/>
  <c r="W1217" i="3"/>
  <c r="E1237" i="6"/>
  <c r="G1269" i="6"/>
  <c r="W1149" i="6"/>
  <c r="V1212" i="3"/>
  <c r="D24" i="33"/>
  <c r="N1078" i="6"/>
  <c r="N1197" i="6"/>
  <c r="N1122" i="6"/>
  <c r="N916" i="6"/>
  <c r="C20" i="651"/>
  <c r="N1084" i="6"/>
  <c r="N1136" i="6"/>
  <c r="N1183" i="6"/>
  <c r="N933" i="6"/>
  <c r="N1061" i="6"/>
  <c r="N1129" i="6"/>
  <c r="N1218" i="6"/>
  <c r="N1090" i="6"/>
  <c r="N1176" i="6"/>
  <c r="N1143" i="6"/>
  <c r="N1101" i="6"/>
  <c r="C15" i="595"/>
  <c r="D20" i="33"/>
  <c r="F15" i="595"/>
  <c r="N843" i="3" s="1"/>
  <c r="N1067" i="6"/>
  <c r="N1204" i="6"/>
  <c r="Y26" i="42"/>
  <c r="N923" i="6"/>
  <c r="N1169" i="6"/>
  <c r="N1222" i="6"/>
  <c r="N32" i="595"/>
  <c r="N1211" i="6"/>
  <c r="N1055" i="6"/>
  <c r="D27" i="594"/>
  <c r="F27" i="594" s="1"/>
  <c r="O821" i="3" s="1"/>
  <c r="J15" i="42"/>
  <c r="L15" i="42" s="1"/>
  <c r="P843" i="3" s="1"/>
  <c r="P887" i="3" s="1"/>
  <c r="F27" i="50"/>
  <c r="F29" i="50"/>
  <c r="J14" i="42"/>
  <c r="M1078" i="6"/>
  <c r="F14" i="595"/>
  <c r="N842" i="3" s="1"/>
  <c r="M916" i="6"/>
  <c r="M1211" i="6"/>
  <c r="M1176" i="6"/>
  <c r="M1222" i="6"/>
  <c r="M1218" i="6"/>
  <c r="M1101" i="6"/>
  <c r="M1122" i="6"/>
  <c r="M1143" i="6"/>
  <c r="M1183" i="6"/>
  <c r="M1067" i="6"/>
  <c r="D26" i="594"/>
  <c r="F26" i="594" s="1"/>
  <c r="O820" i="3" s="1"/>
  <c r="M933" i="6"/>
  <c r="M1055" i="6"/>
  <c r="M1090" i="6"/>
  <c r="D23" i="33"/>
  <c r="M1204" i="6"/>
  <c r="N31" i="595"/>
  <c r="M1136" i="6"/>
  <c r="M1169" i="6"/>
  <c r="M1129" i="6"/>
  <c r="M1084" i="6"/>
  <c r="C14" i="595"/>
  <c r="M1197" i="6"/>
  <c r="M923" i="6"/>
  <c r="D19" i="33"/>
  <c r="M838" i="3" s="1"/>
  <c r="Y25" i="42"/>
  <c r="Y27" i="42" s="1"/>
  <c r="H24" i="647"/>
  <c r="M1061" i="6"/>
  <c r="W968" i="6" l="1"/>
  <c r="W969" i="6" s="1"/>
  <c r="AC969" i="6" s="1"/>
  <c r="AE969" i="6" s="1"/>
  <c r="Q969" i="6"/>
  <c r="N33" i="595"/>
  <c r="Q1055" i="6"/>
  <c r="W1055" i="6" s="1"/>
  <c r="AC1055" i="6" s="1"/>
  <c r="AE1055" i="6" s="1"/>
  <c r="M1056" i="6"/>
  <c r="Q1056" i="6" s="1"/>
  <c r="W1056" i="6" s="1"/>
  <c r="AC1056" i="6" s="1"/>
  <c r="AE1056" i="6" s="1"/>
  <c r="T1078" i="6"/>
  <c r="N1079" i="6"/>
  <c r="T1079" i="6" s="1"/>
  <c r="Q1061" i="6"/>
  <c r="W1061" i="6" s="1"/>
  <c r="AC1061" i="6" s="1"/>
  <c r="AE1061" i="6" s="1"/>
  <c r="M1062" i="6"/>
  <c r="Q1062" i="6" s="1"/>
  <c r="W1062" i="6" s="1"/>
  <c r="AC1062" i="6" s="1"/>
  <c r="AE1062" i="6" s="1"/>
  <c r="Q1129" i="6"/>
  <c r="M1130" i="6"/>
  <c r="Q933" i="6"/>
  <c r="M934" i="6"/>
  <c r="Q1222" i="6"/>
  <c r="M1223" i="6"/>
  <c r="N1170" i="6"/>
  <c r="N1229" i="6"/>
  <c r="T1169" i="6"/>
  <c r="T1101" i="6"/>
  <c r="N1102" i="6"/>
  <c r="T1183" i="6"/>
  <c r="T1184" i="6" s="1"/>
  <c r="N1184" i="6"/>
  <c r="I1269" i="6"/>
  <c r="J1269" i="6" s="1"/>
  <c r="J1237" i="6"/>
  <c r="Q1084" i="6"/>
  <c r="W1084" i="6" s="1"/>
  <c r="M1085" i="6"/>
  <c r="Q1085" i="6" s="1"/>
  <c r="W1085" i="6" s="1"/>
  <c r="AC1085" i="6" s="1"/>
  <c r="AE1085" i="6" s="1"/>
  <c r="T1136" i="6"/>
  <c r="T1137" i="6" s="1"/>
  <c r="N1137" i="6"/>
  <c r="Q1228" i="6"/>
  <c r="W1161" i="6"/>
  <c r="AC1161" i="6" s="1"/>
  <c r="AE1161" i="6" s="1"/>
  <c r="T1176" i="6"/>
  <c r="T1177" i="6" s="1"/>
  <c r="N1177" i="6"/>
  <c r="T1084" i="6"/>
  <c r="N1085" i="6"/>
  <c r="T1085" i="6" s="1"/>
  <c r="V1221" i="3"/>
  <c r="T933" i="6"/>
  <c r="T934" i="6" s="1"/>
  <c r="N934" i="6"/>
  <c r="H25" i="647"/>
  <c r="J875" i="3" s="1"/>
  <c r="J874" i="3"/>
  <c r="H26" i="647"/>
  <c r="Q1176" i="6"/>
  <c r="M1177" i="6"/>
  <c r="T821" i="3"/>
  <c r="O831" i="3"/>
  <c r="N1205" i="6"/>
  <c r="T1204" i="6"/>
  <c r="T1205" i="6" s="1"/>
  <c r="T1090" i="6"/>
  <c r="N1091" i="6"/>
  <c r="T1091" i="6" s="1"/>
  <c r="C19" i="651"/>
  <c r="S862" i="3" s="1"/>
  <c r="S863" i="3"/>
  <c r="O822" i="3"/>
  <c r="O833" i="3" s="1"/>
  <c r="T820" i="3"/>
  <c r="O830" i="3"/>
  <c r="T923" i="6"/>
  <c r="T924" i="6" s="1"/>
  <c r="N924" i="6"/>
  <c r="Q1067" i="6"/>
  <c r="W1067" i="6" s="1"/>
  <c r="M1068" i="6"/>
  <c r="Q1068" i="6" s="1"/>
  <c r="W1068" i="6" s="1"/>
  <c r="AC1068" i="6" s="1"/>
  <c r="AE1068" i="6" s="1"/>
  <c r="Q923" i="6"/>
  <c r="M924" i="6"/>
  <c r="M1205" i="6"/>
  <c r="Q1204" i="6"/>
  <c r="Q1143" i="6"/>
  <c r="M1144" i="6"/>
  <c r="N844" i="3"/>
  <c r="N886" i="3"/>
  <c r="T1055" i="6"/>
  <c r="N1056" i="6"/>
  <c r="T1056" i="6" s="1"/>
  <c r="T1067" i="6"/>
  <c r="N1068" i="6"/>
  <c r="T1068" i="6" s="1"/>
  <c r="T1218" i="6"/>
  <c r="T1219" i="6" s="1"/>
  <c r="N1219" i="6"/>
  <c r="T916" i="6"/>
  <c r="T917" i="6" s="1"/>
  <c r="T926" i="6" s="1"/>
  <c r="N917" i="6"/>
  <c r="G59" i="654"/>
  <c r="E1162" i="6"/>
  <c r="G59" i="2"/>
  <c r="N1223" i="6"/>
  <c r="T1222" i="6"/>
  <c r="T1223" i="6" s="1"/>
  <c r="Q1211" i="6"/>
  <c r="M1212" i="6"/>
  <c r="Q916" i="6"/>
  <c r="M917" i="6"/>
  <c r="M926" i="6" s="1"/>
  <c r="Q1122" i="6"/>
  <c r="M1123" i="6"/>
  <c r="T1211" i="6"/>
  <c r="T1212" i="6" s="1"/>
  <c r="N1212" i="6"/>
  <c r="T843" i="3"/>
  <c r="V843" i="3" s="1"/>
  <c r="G845" i="6" s="1"/>
  <c r="N887" i="3"/>
  <c r="T1129" i="6"/>
  <c r="T1130" i="6" s="1"/>
  <c r="N1130" i="6"/>
  <c r="T1122" i="6"/>
  <c r="T1123" i="6" s="1"/>
  <c r="N1123" i="6"/>
  <c r="E1227" i="6"/>
  <c r="G1232" i="6"/>
  <c r="G1236" i="6"/>
  <c r="Q1218" i="6"/>
  <c r="M1219" i="6"/>
  <c r="M1229" i="6"/>
  <c r="M1170" i="6"/>
  <c r="Q1169" i="6"/>
  <c r="T1143" i="6"/>
  <c r="T1144" i="6" s="1"/>
  <c r="N1144" i="6"/>
  <c r="Q1136" i="6"/>
  <c r="M1137" i="6"/>
  <c r="M886" i="3"/>
  <c r="T838" i="3"/>
  <c r="V838" i="3" s="1"/>
  <c r="Q1183" i="6"/>
  <c r="M1184" i="6"/>
  <c r="M1198" i="6"/>
  <c r="Q1197" i="6"/>
  <c r="Q1078" i="6"/>
  <c r="W1078" i="6" s="1"/>
  <c r="M1079" i="6"/>
  <c r="Q1079" i="6" s="1"/>
  <c r="W1079" i="6" s="1"/>
  <c r="AC1079" i="6" s="1"/>
  <c r="AE1079" i="6" s="1"/>
  <c r="Q1090" i="6"/>
  <c r="W1090" i="6" s="1"/>
  <c r="M1091" i="6"/>
  <c r="Q1091" i="6" s="1"/>
  <c r="W1091" i="6" s="1"/>
  <c r="AC1091" i="6" s="1"/>
  <c r="AE1091" i="6" s="1"/>
  <c r="Q1101" i="6"/>
  <c r="W1101" i="6" s="1"/>
  <c r="M1102" i="6"/>
  <c r="Q1102" i="6" s="1"/>
  <c r="J16" i="42"/>
  <c r="L16" i="42" s="1"/>
  <c r="L14" i="42"/>
  <c r="P842" i="3" s="1"/>
  <c r="F20" i="33"/>
  <c r="F22" i="33" s="1"/>
  <c r="M839" i="3"/>
  <c r="T1061" i="6"/>
  <c r="N1062" i="6"/>
  <c r="T1062" i="6" s="1"/>
  <c r="N1198" i="6"/>
  <c r="T1197" i="6"/>
  <c r="T1198" i="6" s="1"/>
  <c r="E1269" i="6"/>
  <c r="W1247" i="3"/>
  <c r="J1160" i="6"/>
  <c r="N1160" i="6"/>
  <c r="I1162" i="6"/>
  <c r="I1227" i="6"/>
  <c r="M1160" i="6"/>
  <c r="N926" i="6" l="1"/>
  <c r="W1218" i="6"/>
  <c r="AC1218" i="6" s="1"/>
  <c r="AE1218" i="6" s="1"/>
  <c r="Q1219" i="6"/>
  <c r="W1219" i="6" s="1"/>
  <c r="AC1219" i="6" s="1"/>
  <c r="AE1219" i="6" s="1"/>
  <c r="W843" i="3"/>
  <c r="E845" i="6"/>
  <c r="I845" i="6"/>
  <c r="W1211" i="6"/>
  <c r="AC1211" i="6" s="1"/>
  <c r="AE1211" i="6" s="1"/>
  <c r="Q1212" i="6"/>
  <c r="W1212" i="6" s="1"/>
  <c r="T1229" i="6"/>
  <c r="T1170" i="6"/>
  <c r="W1129" i="6"/>
  <c r="AC1129" i="6" s="1"/>
  <c r="AE1129" i="6" s="1"/>
  <c r="Q1130" i="6"/>
  <c r="S864" i="3"/>
  <c r="T864" i="3" s="1"/>
  <c r="V864" i="3" s="1"/>
  <c r="S886" i="3"/>
  <c r="T862" i="3"/>
  <c r="V862" i="3" s="1"/>
  <c r="G869" i="6" s="1"/>
  <c r="T874" i="3"/>
  <c r="V874" i="3" s="1"/>
  <c r="J876" i="3"/>
  <c r="T876" i="3" s="1"/>
  <c r="V876" i="3" s="1"/>
  <c r="J886" i="3"/>
  <c r="N889" i="3"/>
  <c r="W1176" i="6"/>
  <c r="AC1176" i="6" s="1"/>
  <c r="AE1176" i="6" s="1"/>
  <c r="Q1177" i="6"/>
  <c r="W1177" i="6" s="1"/>
  <c r="W1216" i="3"/>
  <c r="G1268" i="6"/>
  <c r="E1236" i="6"/>
  <c r="M1111" i="6"/>
  <c r="W1143" i="6"/>
  <c r="AC1143" i="6" s="1"/>
  <c r="AE1143" i="6" s="1"/>
  <c r="Q1144" i="6"/>
  <c r="W1144" i="6" s="1"/>
  <c r="T875" i="3"/>
  <c r="V875" i="3" s="1"/>
  <c r="G885" i="6" s="1"/>
  <c r="J887" i="3"/>
  <c r="Q1198" i="6"/>
  <c r="W1198" i="6" s="1"/>
  <c r="W1197" i="6"/>
  <c r="AC1197" i="6" s="1"/>
  <c r="AE1197" i="6" s="1"/>
  <c r="E1232" i="6"/>
  <c r="G1241" i="6"/>
  <c r="M1227" i="6"/>
  <c r="M1162" i="6"/>
  <c r="Q1160" i="6"/>
  <c r="W1183" i="6"/>
  <c r="AC1183" i="6" s="1"/>
  <c r="AE1183" i="6" s="1"/>
  <c r="Q1184" i="6"/>
  <c r="W1184" i="6" s="1"/>
  <c r="Q1170" i="6"/>
  <c r="W1170" i="6" s="1"/>
  <c r="Q1229" i="6"/>
  <c r="W1229" i="6" s="1"/>
  <c r="AC1229" i="6" s="1"/>
  <c r="AE1229" i="6" s="1"/>
  <c r="W1169" i="6"/>
  <c r="AC1169" i="6" s="1"/>
  <c r="AE1169" i="6" s="1"/>
  <c r="Q1205" i="6"/>
  <c r="W1205" i="6" s="1"/>
  <c r="W1204" i="6"/>
  <c r="AC1204" i="6" s="1"/>
  <c r="AE1204" i="6" s="1"/>
  <c r="W1136" i="6"/>
  <c r="AC1136" i="6" s="1"/>
  <c r="AE1136" i="6" s="1"/>
  <c r="Q1137" i="6"/>
  <c r="W1137" i="6" s="1"/>
  <c r="G839" i="6"/>
  <c r="W838" i="3" s="1"/>
  <c r="W1122" i="6"/>
  <c r="AC1122" i="6" s="1"/>
  <c r="AE1122" i="6" s="1"/>
  <c r="Q1123" i="6"/>
  <c r="W1123" i="6" s="1"/>
  <c r="N59" i="2"/>
  <c r="V820" i="3"/>
  <c r="T830" i="3"/>
  <c r="T822" i="3"/>
  <c r="Q1223" i="6"/>
  <c r="W1223" i="6" s="1"/>
  <c r="W1222" i="6"/>
  <c r="T842" i="3"/>
  <c r="V842" i="3" s="1"/>
  <c r="P886" i="3"/>
  <c r="P889" i="3" s="1"/>
  <c r="P844" i="3"/>
  <c r="T844" i="3" s="1"/>
  <c r="V844" i="3" s="1"/>
  <c r="E25" i="50"/>
  <c r="J1227" i="6"/>
  <c r="I1232" i="6"/>
  <c r="I1236" i="6"/>
  <c r="T833" i="3"/>
  <c r="O32" i="5"/>
  <c r="O34" i="5" s="1"/>
  <c r="O892" i="3"/>
  <c r="T831" i="3"/>
  <c r="V821" i="3"/>
  <c r="W1221" i="3"/>
  <c r="W1228" i="6"/>
  <c r="AC1228" i="6" s="1"/>
  <c r="AE1228" i="6" s="1"/>
  <c r="Q1237" i="6"/>
  <c r="M1249" i="6"/>
  <c r="N1249" i="6" s="1"/>
  <c r="I59" i="2"/>
  <c r="E59" i="2" s="1"/>
  <c r="I59" i="654"/>
  <c r="J1162" i="6"/>
  <c r="N1162" i="6"/>
  <c r="T1160" i="6"/>
  <c r="N1227" i="6"/>
  <c r="M887" i="3"/>
  <c r="M889" i="3" s="1"/>
  <c r="T839" i="3"/>
  <c r="V839" i="3" s="1"/>
  <c r="G840" i="6" s="1"/>
  <c r="M840" i="3"/>
  <c r="T840" i="3" s="1"/>
  <c r="V840" i="3" s="1"/>
  <c r="W916" i="6"/>
  <c r="AC916" i="6" s="1"/>
  <c r="AE916" i="6" s="1"/>
  <c r="Q917" i="6"/>
  <c r="N59" i="654"/>
  <c r="W923" i="6"/>
  <c r="Q924" i="6"/>
  <c r="T863" i="3"/>
  <c r="V863" i="3" s="1"/>
  <c r="S887" i="3"/>
  <c r="W1212" i="3"/>
  <c r="N1111" i="6"/>
  <c r="T1102" i="6"/>
  <c r="T1111" i="6" s="1"/>
  <c r="W933" i="6"/>
  <c r="AC933" i="6" s="1"/>
  <c r="AE933" i="6" s="1"/>
  <c r="Q934" i="6"/>
  <c r="N1151" i="6" l="1"/>
  <c r="N1238" i="6" s="1"/>
  <c r="N1112" i="6"/>
  <c r="N1154" i="6" s="1"/>
  <c r="G886" i="6"/>
  <c r="W876" i="3" s="1"/>
  <c r="Q926" i="6"/>
  <c r="D20" i="12"/>
  <c r="W917" i="6"/>
  <c r="M33" i="5"/>
  <c r="M34" i="5" s="1"/>
  <c r="M892" i="3"/>
  <c r="E839" i="6"/>
  <c r="I839" i="6"/>
  <c r="AC1170" i="6"/>
  <c r="AE1170" i="6" s="1"/>
  <c r="J61" i="2"/>
  <c r="L61" i="2" s="1"/>
  <c r="J61" i="654"/>
  <c r="Y61" i="654" s="1"/>
  <c r="Z61" i="654" s="1"/>
  <c r="G884" i="6"/>
  <c r="W874" i="3" s="1"/>
  <c r="J68" i="2"/>
  <c r="L68" i="2" s="1"/>
  <c r="AC1212" i="6"/>
  <c r="AE1212" i="6" s="1"/>
  <c r="J68" i="654"/>
  <c r="Y68" i="654" s="1"/>
  <c r="Z68" i="654" s="1"/>
  <c r="J54" i="654"/>
  <c r="Y54" i="654" s="1"/>
  <c r="Z54" i="654" s="1"/>
  <c r="AC1137" i="6"/>
  <c r="AE1137" i="6" s="1"/>
  <c r="J54" i="2"/>
  <c r="L54" i="2" s="1"/>
  <c r="AC1198" i="6"/>
  <c r="AE1198" i="6" s="1"/>
  <c r="J66" i="654"/>
  <c r="Y66" i="654" s="1"/>
  <c r="Z66" i="654" s="1"/>
  <c r="J66" i="2"/>
  <c r="L66" i="2" s="1"/>
  <c r="E1268" i="6"/>
  <c r="W1246" i="3"/>
  <c r="W862" i="3"/>
  <c r="E869" i="6"/>
  <c r="I869" i="6"/>
  <c r="J1232" i="6"/>
  <c r="I1241" i="6"/>
  <c r="G841" i="6"/>
  <c r="E841" i="6" s="1"/>
  <c r="T887" i="3"/>
  <c r="V887" i="3" s="1"/>
  <c r="S889" i="3"/>
  <c r="J845" i="6"/>
  <c r="N845" i="6"/>
  <c r="T845" i="6" s="1"/>
  <c r="M845" i="6"/>
  <c r="Q845" i="6" s="1"/>
  <c r="W845" i="6" s="1"/>
  <c r="E32" i="50"/>
  <c r="F25" i="50"/>
  <c r="O1227" i="3"/>
  <c r="O923" i="3"/>
  <c r="P33" i="5"/>
  <c r="P34" i="5" s="1"/>
  <c r="P892" i="3"/>
  <c r="M59" i="2"/>
  <c r="W1160" i="6"/>
  <c r="Q1227" i="6"/>
  <c r="Q1162" i="6"/>
  <c r="W1162" i="6" s="1"/>
  <c r="W875" i="3"/>
  <c r="E885" i="6"/>
  <c r="I885" i="6"/>
  <c r="J62" i="654"/>
  <c r="Y62" i="654" s="1"/>
  <c r="Z62" i="654" s="1"/>
  <c r="J62" i="2"/>
  <c r="L62" i="2" s="1"/>
  <c r="AC1177" i="6"/>
  <c r="AE1177" i="6" s="1"/>
  <c r="G871" i="6"/>
  <c r="E871" i="6" s="1"/>
  <c r="M1151" i="6"/>
  <c r="M1238" i="6" s="1"/>
  <c r="M1112" i="6"/>
  <c r="M1154" i="6" s="1"/>
  <c r="V830" i="3"/>
  <c r="V822" i="3"/>
  <c r="G821" i="6"/>
  <c r="G870" i="6"/>
  <c r="G900" i="6" s="1"/>
  <c r="E900" i="6" s="1"/>
  <c r="W863" i="3"/>
  <c r="W839" i="3"/>
  <c r="E840" i="6"/>
  <c r="I840" i="6"/>
  <c r="W934" i="6"/>
  <c r="D22" i="12"/>
  <c r="G844" i="6"/>
  <c r="W842" i="3" s="1"/>
  <c r="AC1144" i="6"/>
  <c r="AE1144" i="6" s="1"/>
  <c r="J55" i="2"/>
  <c r="L55" i="2" s="1"/>
  <c r="J55" i="654"/>
  <c r="Y55" i="654" s="1"/>
  <c r="Z55" i="654" s="1"/>
  <c r="W1130" i="6"/>
  <c r="Q1131" i="6"/>
  <c r="V831" i="3"/>
  <c r="G822" i="6"/>
  <c r="E59" i="654"/>
  <c r="J52" i="2"/>
  <c r="L52" i="2" s="1"/>
  <c r="AC1123" i="6"/>
  <c r="AE1123" i="6" s="1"/>
  <c r="J52" i="654"/>
  <c r="Y52" i="654" s="1"/>
  <c r="Z52" i="654" s="1"/>
  <c r="AC1205" i="6"/>
  <c r="AE1205" i="6" s="1"/>
  <c r="J67" i="2"/>
  <c r="L67" i="2" s="1"/>
  <c r="J67" i="654"/>
  <c r="Y67" i="654" s="1"/>
  <c r="M1232" i="6"/>
  <c r="M1236" i="6"/>
  <c r="M1268" i="6" s="1"/>
  <c r="N33" i="5"/>
  <c r="N34" i="5" s="1"/>
  <c r="N892" i="3"/>
  <c r="AC1184" i="6"/>
  <c r="AE1184" i="6" s="1"/>
  <c r="J63" i="2"/>
  <c r="L63" i="2" s="1"/>
  <c r="J63" i="654"/>
  <c r="Y63" i="654" s="1"/>
  <c r="Z63" i="654" s="1"/>
  <c r="D21" i="12"/>
  <c r="W924" i="6"/>
  <c r="N1232" i="6"/>
  <c r="N1236" i="6"/>
  <c r="N1268" i="6" s="1"/>
  <c r="U32" i="5"/>
  <c r="V833" i="3"/>
  <c r="T1151" i="6"/>
  <c r="T1238" i="6" s="1"/>
  <c r="T1112" i="6"/>
  <c r="T1154" i="6" s="1"/>
  <c r="M59" i="654"/>
  <c r="T1162" i="6"/>
  <c r="T1227" i="6"/>
  <c r="W1237" i="6"/>
  <c r="AC1237" i="6" s="1"/>
  <c r="AE1237" i="6" s="1"/>
  <c r="Q1269" i="6"/>
  <c r="W1269" i="6" s="1"/>
  <c r="AC1269" i="6" s="1"/>
  <c r="AE1269" i="6" s="1"/>
  <c r="J1236" i="6"/>
  <c r="I1268" i="6"/>
  <c r="J1268" i="6" s="1"/>
  <c r="J69" i="2"/>
  <c r="L69" i="2" s="1"/>
  <c r="J69" i="654"/>
  <c r="Y69" i="654" s="1"/>
  <c r="E1241" i="6"/>
  <c r="W1102" i="6"/>
  <c r="Q1111" i="6"/>
  <c r="T886" i="3"/>
  <c r="V886" i="3" s="1"/>
  <c r="J889" i="3"/>
  <c r="N1241" i="6" l="1"/>
  <c r="W864" i="3"/>
  <c r="W840" i="3"/>
  <c r="J892" i="3"/>
  <c r="T889" i="3"/>
  <c r="J33" i="5"/>
  <c r="J34" i="5" s="1"/>
  <c r="D58" i="12"/>
  <c r="F58" i="12" s="1"/>
  <c r="F22" i="12"/>
  <c r="L62" i="654"/>
  <c r="O62" i="654"/>
  <c r="P62" i="654" s="1"/>
  <c r="F32" i="50"/>
  <c r="D35" i="50" s="1"/>
  <c r="C23" i="12"/>
  <c r="J1241" i="6"/>
  <c r="O66" i="654"/>
  <c r="P66" i="654" s="1"/>
  <c r="L66" i="654"/>
  <c r="G899" i="6"/>
  <c r="E899" i="6" s="1"/>
  <c r="E884" i="6"/>
  <c r="I884" i="6"/>
  <c r="AC917" i="6"/>
  <c r="AE917" i="6" s="1"/>
  <c r="E20" i="12"/>
  <c r="E56" i="12" s="1"/>
  <c r="N869" i="6"/>
  <c r="J869" i="6"/>
  <c r="M869" i="6"/>
  <c r="O61" i="654"/>
  <c r="P61" i="654" s="1"/>
  <c r="L61" i="654"/>
  <c r="D56" i="12"/>
  <c r="F56" i="12" s="1"/>
  <c r="F20" i="12"/>
  <c r="O933" i="3"/>
  <c r="O936" i="3" s="1"/>
  <c r="O939" i="3" s="1"/>
  <c r="O1230" i="3"/>
  <c r="O1234" i="3" s="1"/>
  <c r="O1236" i="3" s="1"/>
  <c r="O1241" i="3" s="1"/>
  <c r="O39" i="5"/>
  <c r="O40" i="5" s="1"/>
  <c r="O43" i="5" s="1"/>
  <c r="O46" i="5" s="1"/>
  <c r="W926" i="6"/>
  <c r="L55" i="654"/>
  <c r="O55" i="654"/>
  <c r="P55" i="654" s="1"/>
  <c r="AC1104" i="6"/>
  <c r="AE1104" i="6" s="1"/>
  <c r="AC1102" i="6"/>
  <c r="AE1102" i="6" s="1"/>
  <c r="S892" i="3"/>
  <c r="S33" i="5"/>
  <c r="S34" i="5" s="1"/>
  <c r="L54" i="654"/>
  <c r="O54" i="654"/>
  <c r="P54" i="654" s="1"/>
  <c r="J53" i="654"/>
  <c r="Y53" i="654" s="1"/>
  <c r="Z53" i="654" s="1"/>
  <c r="AC1130" i="6"/>
  <c r="AE1130" i="6" s="1"/>
  <c r="J53" i="2"/>
  <c r="L53" i="2" s="1"/>
  <c r="P1227" i="3"/>
  <c r="P923" i="3"/>
  <c r="M840" i="6"/>
  <c r="Q840" i="6" s="1"/>
  <c r="W840" i="6" s="1"/>
  <c r="N840" i="6"/>
  <c r="T840" i="6" s="1"/>
  <c r="J840" i="6"/>
  <c r="E21" i="12"/>
  <c r="E57" i="12" s="1"/>
  <c r="AC924" i="6"/>
  <c r="AE924" i="6" s="1"/>
  <c r="M1241" i="6"/>
  <c r="AC1162" i="6"/>
  <c r="AE1162" i="6" s="1"/>
  <c r="J59" i="2"/>
  <c r="J59" i="654"/>
  <c r="Y59" i="654" s="1"/>
  <c r="Z59" i="654" s="1"/>
  <c r="W887" i="3"/>
  <c r="O68" i="654"/>
  <c r="P68" i="654" s="1"/>
  <c r="L68" i="654"/>
  <c r="N839" i="6"/>
  <c r="I841" i="6"/>
  <c r="J841" i="6" s="1"/>
  <c r="M839" i="6"/>
  <c r="J839" i="6"/>
  <c r="E886" i="6"/>
  <c r="G902" i="6"/>
  <c r="O52" i="654"/>
  <c r="P52" i="654" s="1"/>
  <c r="L52" i="654"/>
  <c r="J885" i="6"/>
  <c r="M885" i="6"/>
  <c r="N885" i="6"/>
  <c r="N923" i="3"/>
  <c r="N1227" i="3"/>
  <c r="T1232" i="6"/>
  <c r="T1241" i="6" s="1"/>
  <c r="T1236" i="6"/>
  <c r="T1268" i="6" s="1"/>
  <c r="O69" i="654"/>
  <c r="L69" i="654"/>
  <c r="D57" i="12"/>
  <c r="F57" i="12" s="1"/>
  <c r="F21" i="12"/>
  <c r="O67" i="654"/>
  <c r="L67" i="654"/>
  <c r="W821" i="3"/>
  <c r="E822" i="6"/>
  <c r="G832" i="6"/>
  <c r="E832" i="6" s="1"/>
  <c r="I822" i="6"/>
  <c r="E844" i="6"/>
  <c r="G846" i="6"/>
  <c r="I844" i="6"/>
  <c r="E870" i="6"/>
  <c r="I870" i="6"/>
  <c r="W1227" i="6"/>
  <c r="Q1232" i="6"/>
  <c r="W1232" i="6" s="1"/>
  <c r="AC1232" i="6" s="1"/>
  <c r="AE1232" i="6" s="1"/>
  <c r="Q1236" i="6"/>
  <c r="J36" i="2"/>
  <c r="L36" i="2" s="1"/>
  <c r="AC934" i="6"/>
  <c r="AE934" i="6" s="1"/>
  <c r="E22" i="12"/>
  <c r="E58" i="12" s="1"/>
  <c r="J36" i="654"/>
  <c r="Y36" i="654" s="1"/>
  <c r="Z36" i="654" s="1"/>
  <c r="W1111" i="6"/>
  <c r="AC1111" i="6" s="1"/>
  <c r="AE1111" i="6" s="1"/>
  <c r="Q1151" i="6"/>
  <c r="Q1112" i="6"/>
  <c r="O63" i="654"/>
  <c r="P63" i="654" s="1"/>
  <c r="L63" i="654"/>
  <c r="W820" i="3"/>
  <c r="G823" i="6"/>
  <c r="W822" i="3" s="1"/>
  <c r="E821" i="6"/>
  <c r="G831" i="6"/>
  <c r="E831" i="6" s="1"/>
  <c r="I821" i="6"/>
  <c r="M923" i="3"/>
  <c r="M1227" i="3"/>
  <c r="W886" i="3" l="1"/>
  <c r="T869" i="6"/>
  <c r="W1151" i="6"/>
  <c r="AC1151" i="6" s="1"/>
  <c r="AE1151" i="6" s="1"/>
  <c r="Q1238" i="6"/>
  <c r="E823" i="6"/>
  <c r="G834" i="6"/>
  <c r="N870" i="6"/>
  <c r="T870" i="6" s="1"/>
  <c r="M870" i="6"/>
  <c r="Q870" i="6" s="1"/>
  <c r="W870" i="6" s="1"/>
  <c r="J870" i="6"/>
  <c r="O53" i="654"/>
  <c r="P53" i="654" s="1"/>
  <c r="L53" i="654"/>
  <c r="W830" i="3"/>
  <c r="I871" i="6"/>
  <c r="J871" i="6" s="1"/>
  <c r="N841" i="6"/>
  <c r="T839" i="6"/>
  <c r="T841" i="6" s="1"/>
  <c r="W831" i="3"/>
  <c r="G31" i="2"/>
  <c r="N31" i="2" s="1"/>
  <c r="E902" i="6"/>
  <c r="G31" i="654"/>
  <c r="N31" i="654" s="1"/>
  <c r="N933" i="3"/>
  <c r="N936" i="3" s="1"/>
  <c r="N939" i="3" s="1"/>
  <c r="N39" i="5"/>
  <c r="N40" i="5" s="1"/>
  <c r="N43" i="5" s="1"/>
  <c r="N46" i="5" s="1"/>
  <c r="N1230" i="3"/>
  <c r="N1234" i="3" s="1"/>
  <c r="N1236" i="3" s="1"/>
  <c r="N1241" i="3" s="1"/>
  <c r="I900" i="6"/>
  <c r="J900" i="6" s="1"/>
  <c r="L59" i="654"/>
  <c r="O59" i="654"/>
  <c r="P59" i="654" s="1"/>
  <c r="J35" i="654"/>
  <c r="Y35" i="654" s="1"/>
  <c r="Z35" i="654" s="1"/>
  <c r="J35" i="2"/>
  <c r="AC926" i="6"/>
  <c r="AE926" i="6" s="1"/>
  <c r="I886" i="6"/>
  <c r="N884" i="6"/>
  <c r="M884" i="6"/>
  <c r="J884" i="6"/>
  <c r="I899" i="6"/>
  <c r="J899" i="6" s="1"/>
  <c r="M3" i="6"/>
  <c r="E846" i="6"/>
  <c r="W844" i="3"/>
  <c r="T885" i="6"/>
  <c r="L59" i="2"/>
  <c r="P39" i="5"/>
  <c r="P40" i="5" s="1"/>
  <c r="P43" i="5" s="1"/>
  <c r="P46" i="5" s="1"/>
  <c r="P933" i="3"/>
  <c r="P936" i="3" s="1"/>
  <c r="P939" i="3" s="1"/>
  <c r="P1230" i="3"/>
  <c r="P1234" i="3" s="1"/>
  <c r="P1236" i="3" s="1"/>
  <c r="P1241" i="3" s="1"/>
  <c r="S923" i="3"/>
  <c r="S1227" i="3"/>
  <c r="E35" i="50"/>
  <c r="N3" i="6" s="1"/>
  <c r="V889" i="3"/>
  <c r="W889" i="3" s="1"/>
  <c r="U33" i="5"/>
  <c r="U34" i="5" s="1"/>
  <c r="L36" i="654"/>
  <c r="O36" i="654"/>
  <c r="P36" i="654" s="1"/>
  <c r="N844" i="6"/>
  <c r="I846" i="6"/>
  <c r="J846" i="6" s="1"/>
  <c r="M844" i="6"/>
  <c r="J844" i="6"/>
  <c r="M933" i="3"/>
  <c r="M936" i="3" s="1"/>
  <c r="M939" i="3" s="1"/>
  <c r="M39" i="5"/>
  <c r="M40" i="5" s="1"/>
  <c r="M43" i="5" s="1"/>
  <c r="M46" i="5" s="1"/>
  <c r="M1230" i="3"/>
  <c r="M1234" i="3" s="1"/>
  <c r="M1236" i="3" s="1"/>
  <c r="M1241" i="3" s="1"/>
  <c r="J821" i="6"/>
  <c r="N821" i="6"/>
  <c r="M821" i="6"/>
  <c r="I823" i="6"/>
  <c r="I831" i="6"/>
  <c r="J831" i="6" s="1"/>
  <c r="Q1154" i="6"/>
  <c r="W1112" i="6"/>
  <c r="Q1268" i="6"/>
  <c r="W1268" i="6" s="1"/>
  <c r="W1236" i="6"/>
  <c r="J822" i="6"/>
  <c r="M822" i="6"/>
  <c r="N822" i="6"/>
  <c r="I832" i="6"/>
  <c r="J832" i="6" s="1"/>
  <c r="Q885" i="6"/>
  <c r="M841" i="6"/>
  <c r="Q839" i="6"/>
  <c r="O71" i="5"/>
  <c r="O72" i="5" s="1"/>
  <c r="O75" i="5" s="1"/>
  <c r="O1248" i="3"/>
  <c r="O1251" i="3"/>
  <c r="Q869" i="6"/>
  <c r="J923" i="3"/>
  <c r="J1227" i="3"/>
  <c r="T892" i="3"/>
  <c r="V892" i="3" s="1"/>
  <c r="M900" i="6" l="1"/>
  <c r="M871" i="6"/>
  <c r="F35" i="50"/>
  <c r="M1248" i="3"/>
  <c r="M71" i="5"/>
  <c r="M72" i="5" s="1"/>
  <c r="M75" i="5" s="1"/>
  <c r="M1251" i="3"/>
  <c r="W839" i="6"/>
  <c r="AC839" i="6" s="1"/>
  <c r="AE839" i="6" s="1"/>
  <c r="Q841" i="6"/>
  <c r="W841" i="6" s="1"/>
  <c r="AC841" i="6" s="1"/>
  <c r="AE841" i="6" s="1"/>
  <c r="N846" i="6"/>
  <c r="T844" i="6"/>
  <c r="T846" i="6" s="1"/>
  <c r="P71" i="5"/>
  <c r="P72" i="5" s="1"/>
  <c r="P75" i="5" s="1"/>
  <c r="P1251" i="3"/>
  <c r="P1248" i="3"/>
  <c r="T1227" i="3"/>
  <c r="V1227" i="3" s="1"/>
  <c r="L35" i="2"/>
  <c r="G30" i="654"/>
  <c r="E834" i="6"/>
  <c r="G30" i="2"/>
  <c r="G905" i="6"/>
  <c r="W833" i="3"/>
  <c r="J933" i="3"/>
  <c r="T923" i="3"/>
  <c r="J39" i="5"/>
  <c r="J40" i="5" s="1"/>
  <c r="J43" i="5" s="1"/>
  <c r="J46" i="5" s="1"/>
  <c r="J1230" i="3"/>
  <c r="AC1112" i="6"/>
  <c r="AE1112" i="6" s="1"/>
  <c r="J50" i="2"/>
  <c r="J50" i="654"/>
  <c r="Y50" i="654" s="1"/>
  <c r="Z50" i="654" s="1"/>
  <c r="L35" i="654"/>
  <c r="O35" i="654"/>
  <c r="P35" i="654" s="1"/>
  <c r="Q871" i="6"/>
  <c r="W871" i="6" s="1"/>
  <c r="AC871" i="6" s="1"/>
  <c r="AE871" i="6" s="1"/>
  <c r="W869" i="6"/>
  <c r="AC869" i="6" s="1"/>
  <c r="AE869" i="6" s="1"/>
  <c r="W885" i="6"/>
  <c r="W900" i="6" s="1"/>
  <c r="Q900" i="6"/>
  <c r="W1154" i="6"/>
  <c r="AC1154" i="6" s="1"/>
  <c r="AE1154" i="6" s="1"/>
  <c r="Q1241" i="6"/>
  <c r="W1238" i="6"/>
  <c r="AC1238" i="6" s="1"/>
  <c r="AE1238" i="6" s="1"/>
  <c r="T822" i="6"/>
  <c r="T832" i="6" s="1"/>
  <c r="N832" i="6"/>
  <c r="J823" i="6"/>
  <c r="I834" i="6"/>
  <c r="N900" i="6"/>
  <c r="M886" i="6"/>
  <c r="Q884" i="6"/>
  <c r="M899" i="6"/>
  <c r="N871" i="6"/>
  <c r="Q822" i="6"/>
  <c r="M832" i="6"/>
  <c r="M823" i="6"/>
  <c r="M834" i="6" s="1"/>
  <c r="Q821" i="6"/>
  <c r="M831" i="6"/>
  <c r="M846" i="6"/>
  <c r="Q844" i="6"/>
  <c r="T900" i="6"/>
  <c r="T884" i="6"/>
  <c r="N886" i="6"/>
  <c r="N899" i="6"/>
  <c r="T871" i="6"/>
  <c r="N823" i="6"/>
  <c r="N834" i="6" s="1"/>
  <c r="T821" i="6"/>
  <c r="N831" i="6"/>
  <c r="S933" i="3"/>
  <c r="S936" i="3" s="1"/>
  <c r="S939" i="3" s="1"/>
  <c r="S39" i="5"/>
  <c r="S40" i="5" s="1"/>
  <c r="S43" i="5" s="1"/>
  <c r="S46" i="5" s="1"/>
  <c r="S1230" i="3"/>
  <c r="S1234" i="3" s="1"/>
  <c r="S1236" i="3" s="1"/>
  <c r="S1241" i="3" s="1"/>
  <c r="J886" i="6"/>
  <c r="I902" i="6"/>
  <c r="N71" i="5"/>
  <c r="N72" i="5" s="1"/>
  <c r="N75" i="5" s="1"/>
  <c r="N1251" i="3"/>
  <c r="N1248" i="3"/>
  <c r="T1230" i="3" l="1"/>
  <c r="V1230" i="3" s="1"/>
  <c r="W844" i="6"/>
  <c r="AC844" i="6" s="1"/>
  <c r="AE844" i="6" s="1"/>
  <c r="Q846" i="6"/>
  <c r="W846" i="6" s="1"/>
  <c r="AC846" i="6" s="1"/>
  <c r="AE846" i="6" s="1"/>
  <c r="N30" i="654"/>
  <c r="G32" i="654"/>
  <c r="T823" i="6"/>
  <c r="T834" i="6" s="1"/>
  <c r="T831" i="6"/>
  <c r="W884" i="6"/>
  <c r="Q886" i="6"/>
  <c r="Q899" i="6"/>
  <c r="U39" i="5"/>
  <c r="U40" i="5" s="1"/>
  <c r="U43" i="5" s="1"/>
  <c r="U46" i="5" s="1"/>
  <c r="V923" i="3"/>
  <c r="I31" i="654"/>
  <c r="J902" i="6"/>
  <c r="I31" i="2"/>
  <c r="W821" i="6"/>
  <c r="AC821" i="6" s="1"/>
  <c r="AE821" i="6" s="1"/>
  <c r="Q823" i="6"/>
  <c r="Q831" i="6"/>
  <c r="W831" i="6" s="1"/>
  <c r="AC831" i="6" s="1"/>
  <c r="AE831" i="6" s="1"/>
  <c r="M902" i="6"/>
  <c r="M905" i="6" s="1"/>
  <c r="M1247" i="6" s="1"/>
  <c r="J936" i="3"/>
  <c r="T933" i="3"/>
  <c r="V933" i="3" s="1"/>
  <c r="J1234" i="3"/>
  <c r="D23" i="12"/>
  <c r="W1241" i="6"/>
  <c r="S71" i="5"/>
  <c r="S72" i="5" s="1"/>
  <c r="S75" i="5" s="1"/>
  <c r="S1248" i="3"/>
  <c r="S1251" i="3"/>
  <c r="N902" i="6"/>
  <c r="N905" i="6" s="1"/>
  <c r="E19" i="12" s="1"/>
  <c r="E55" i="12" s="1"/>
  <c r="I30" i="2"/>
  <c r="E30" i="2" s="1"/>
  <c r="I30" i="654"/>
  <c r="I32" i="654" s="1"/>
  <c r="J834" i="6"/>
  <c r="I905" i="6"/>
  <c r="J56" i="654"/>
  <c r="Y56" i="654" s="1"/>
  <c r="Z56" i="654" s="1"/>
  <c r="O50" i="654"/>
  <c r="P50" i="654" s="1"/>
  <c r="L50" i="654"/>
  <c r="L56" i="654" s="1"/>
  <c r="W892" i="3"/>
  <c r="G1247" i="6"/>
  <c r="E905" i="6"/>
  <c r="T886" i="6"/>
  <c r="T902" i="6" s="1"/>
  <c r="T899" i="6"/>
  <c r="W822" i="6"/>
  <c r="Q832" i="6"/>
  <c r="W832" i="6" s="1"/>
  <c r="J56" i="2"/>
  <c r="L50" i="2"/>
  <c r="L56" i="2" s="1"/>
  <c r="N30" i="2"/>
  <c r="G32" i="2"/>
  <c r="M30" i="2" l="1"/>
  <c r="T905" i="6"/>
  <c r="E31" i="2"/>
  <c r="I32" i="2"/>
  <c r="E32" i="2" s="1"/>
  <c r="M31" i="2"/>
  <c r="W1227" i="3"/>
  <c r="E1247" i="6"/>
  <c r="T1234" i="3"/>
  <c r="V1234" i="3" s="1"/>
  <c r="J1236" i="3"/>
  <c r="E31" i="654"/>
  <c r="M31" i="654"/>
  <c r="N32" i="654"/>
  <c r="M32" i="654" s="1"/>
  <c r="E32" i="654"/>
  <c r="T936" i="3"/>
  <c r="V936" i="3" s="1"/>
  <c r="J939" i="3"/>
  <c r="T939" i="3" s="1"/>
  <c r="V939" i="3" s="1"/>
  <c r="G936" i="6"/>
  <c r="W923" i="3" s="1"/>
  <c r="M30" i="654"/>
  <c r="E30" i="654"/>
  <c r="O56" i="654"/>
  <c r="P56" i="654" s="1"/>
  <c r="N32" i="2"/>
  <c r="M32" i="2" s="1"/>
  <c r="J905" i="6"/>
  <c r="C19" i="12"/>
  <c r="C55" i="12" s="1"/>
  <c r="I1247" i="6"/>
  <c r="W823" i="6"/>
  <c r="AC823" i="6" s="1"/>
  <c r="AE823" i="6" s="1"/>
  <c r="Q834" i="6"/>
  <c r="W886" i="6"/>
  <c r="AC886" i="6" s="1"/>
  <c r="AE886" i="6" s="1"/>
  <c r="Q902" i="6"/>
  <c r="W902" i="6" s="1"/>
  <c r="AC1241" i="6"/>
  <c r="AE1241" i="6" s="1"/>
  <c r="E23" i="12"/>
  <c r="F23" i="12" s="1"/>
  <c r="AC884" i="6"/>
  <c r="AE884" i="6" s="1"/>
  <c r="W899" i="6"/>
  <c r="AC899" i="6" s="1"/>
  <c r="AE899" i="6" s="1"/>
  <c r="AC902" i="6" l="1"/>
  <c r="AE902" i="6" s="1"/>
  <c r="J31" i="654"/>
  <c r="Y31" i="654" s="1"/>
  <c r="Z31" i="654" s="1"/>
  <c r="J31" i="2"/>
  <c r="L31" i="2" s="1"/>
  <c r="T1236" i="3"/>
  <c r="J1241" i="3"/>
  <c r="E936" i="6"/>
  <c r="G1250" i="6"/>
  <c r="G37" i="2"/>
  <c r="G37" i="654"/>
  <c r="G950" i="6"/>
  <c r="C38" i="12"/>
  <c r="W834" i="6"/>
  <c r="Q905" i="6"/>
  <c r="J1247" i="6"/>
  <c r="N1247" i="6"/>
  <c r="J30" i="2" l="1"/>
  <c r="AC834" i="6"/>
  <c r="AE834" i="6" s="1"/>
  <c r="J30" i="654"/>
  <c r="Y30" i="654" s="1"/>
  <c r="Z30" i="654" s="1"/>
  <c r="G38" i="654"/>
  <c r="J1248" i="3"/>
  <c r="J1251" i="3"/>
  <c r="T1251" i="3" s="1"/>
  <c r="V1251" i="3" s="1"/>
  <c r="T1241" i="3"/>
  <c r="J71" i="5"/>
  <c r="J72" i="5" s="1"/>
  <c r="J75" i="5" s="1"/>
  <c r="G38" i="2"/>
  <c r="L31" i="654"/>
  <c r="O31" i="654"/>
  <c r="P31" i="654" s="1"/>
  <c r="E950" i="6"/>
  <c r="G953" i="6"/>
  <c r="W933" i="3"/>
  <c r="V1236" i="3"/>
  <c r="T1242" i="3"/>
  <c r="E1250" i="6"/>
  <c r="W1230" i="3"/>
  <c r="G1256" i="6"/>
  <c r="D19" i="12"/>
  <c r="W905" i="6"/>
  <c r="AC905" i="6" s="1"/>
  <c r="AE905" i="6" s="1"/>
  <c r="G41" i="654" l="1"/>
  <c r="G44" i="654" s="1"/>
  <c r="L30" i="654"/>
  <c r="O30" i="654"/>
  <c r="P30" i="654" s="1"/>
  <c r="J32" i="654"/>
  <c r="Y32" i="654" s="1"/>
  <c r="Z32" i="654" s="1"/>
  <c r="E1256" i="6"/>
  <c r="G1258" i="6"/>
  <c r="W1236" i="3" s="1"/>
  <c r="W1234" i="3"/>
  <c r="G41" i="2"/>
  <c r="G44" i="2" s="1"/>
  <c r="D55" i="12"/>
  <c r="F55" i="12" s="1"/>
  <c r="F19" i="12"/>
  <c r="V1242" i="3"/>
  <c r="E953" i="6"/>
  <c r="G956" i="6"/>
  <c r="W936" i="3"/>
  <c r="U71" i="5"/>
  <c r="U72" i="5" s="1"/>
  <c r="U75" i="5" s="1"/>
  <c r="V1241" i="3"/>
  <c r="T1248" i="3"/>
  <c r="L30" i="2"/>
  <c r="J32" i="2"/>
  <c r="O32" i="654" l="1"/>
  <c r="P32" i="654" s="1"/>
  <c r="E956" i="6"/>
  <c r="W939" i="3"/>
  <c r="G1263" i="6"/>
  <c r="W1241" i="3" s="1"/>
  <c r="V1248" i="3"/>
  <c r="G1264" i="6"/>
  <c r="E1264" i="6" s="1"/>
  <c r="E1258" i="6"/>
  <c r="W1242" i="3" l="1"/>
  <c r="E1263" i="6"/>
  <c r="G70" i="654"/>
  <c r="G71" i="654" s="1"/>
  <c r="G74" i="654" s="1"/>
  <c r="G70" i="2"/>
  <c r="G71" i="2" s="1"/>
  <c r="G74" i="2" s="1"/>
  <c r="G1270" i="6"/>
  <c r="E1270" i="6" s="1"/>
  <c r="G1273" i="6"/>
  <c r="E1273" i="6" l="1"/>
  <c r="W1251" i="3"/>
  <c r="W1248" i="3"/>
  <c r="H17" i="14" l="1"/>
  <c r="J17" i="14" l="1"/>
  <c r="H22" i="14"/>
  <c r="J22" i="14" s="1"/>
  <c r="K22" i="14" s="1"/>
  <c r="K17" i="14" l="1"/>
  <c r="H127" i="14"/>
  <c r="J127" i="14" s="1"/>
  <c r="K127" i="14" s="1"/>
  <c r="H90" i="14"/>
  <c r="H97" i="14"/>
  <c r="J97" i="14" s="1"/>
  <c r="K97" i="14" s="1"/>
  <c r="H117" i="14"/>
  <c r="J117" i="14" s="1"/>
  <c r="K117" i="14" s="1"/>
  <c r="H122" i="14"/>
  <c r="J122" i="14" s="1"/>
  <c r="K122" i="14" s="1"/>
  <c r="H107" i="14"/>
  <c r="J107" i="14" s="1"/>
  <c r="K107" i="14" s="1"/>
  <c r="H26" i="14"/>
  <c r="H27" i="14"/>
  <c r="J27" i="14" s="1"/>
  <c r="K27" i="14" s="1"/>
  <c r="H91" i="14"/>
  <c r="H92" i="14"/>
  <c r="J92" i="14" s="1"/>
  <c r="K92" i="14" s="1"/>
  <c r="F391" i="6" l="1"/>
  <c r="I391" i="6" s="1"/>
  <c r="J26" i="14"/>
  <c r="K26" i="14" s="1"/>
  <c r="H144" i="14"/>
  <c r="F455" i="6"/>
  <c r="J90" i="14"/>
  <c r="K90" i="14" s="1"/>
  <c r="J144" i="14"/>
  <c r="K144" i="14" s="1"/>
  <c r="F456" i="6"/>
  <c r="I456" i="6" s="1"/>
  <c r="J91" i="14"/>
  <c r="K91" i="14" s="1"/>
  <c r="H25" i="14"/>
  <c r="F457" i="6" l="1"/>
  <c r="I455" i="6"/>
  <c r="F390" i="6"/>
  <c r="J25" i="14"/>
  <c r="K25" i="14" s="1"/>
  <c r="J456" i="6"/>
  <c r="N456" i="6"/>
  <c r="T456" i="6" s="1"/>
  <c r="M456" i="6"/>
  <c r="Q456" i="6" s="1"/>
  <c r="W456" i="6" s="1"/>
  <c r="J391" i="6"/>
  <c r="M391" i="6"/>
  <c r="N391" i="6"/>
  <c r="T391" i="6" s="1"/>
  <c r="Q391" i="6" l="1"/>
  <c r="F392" i="6"/>
  <c r="I390" i="6"/>
  <c r="M455" i="6"/>
  <c r="J455" i="6"/>
  <c r="I457" i="6"/>
  <c r="J457" i="6" s="1"/>
  <c r="N455" i="6"/>
  <c r="W391" i="6" l="1"/>
  <c r="M457" i="6"/>
  <c r="Q455" i="6"/>
  <c r="J390" i="6"/>
  <c r="N390" i="6"/>
  <c r="M390" i="6"/>
  <c r="I392" i="6"/>
  <c r="J392" i="6" s="1"/>
  <c r="T455" i="6"/>
  <c r="N457" i="6"/>
  <c r="T390" i="6" l="1"/>
  <c r="T392" i="6" s="1"/>
  <c r="N392" i="6"/>
  <c r="Q390" i="6"/>
  <c r="M392" i="6"/>
  <c r="Q457" i="6"/>
  <c r="W457" i="6" s="1"/>
  <c r="AC457" i="6" s="1"/>
  <c r="AE457" i="6" s="1"/>
  <c r="W455" i="6"/>
  <c r="AC455" i="6" s="1"/>
  <c r="AE455" i="6" s="1"/>
  <c r="T457" i="6"/>
  <c r="W390" i="6" l="1"/>
  <c r="AC390" i="6" s="1"/>
  <c r="AE390" i="6" s="1"/>
  <c r="Q392" i="6"/>
  <c r="W392" i="6" s="1"/>
  <c r="AC392" i="6" s="1"/>
  <c r="AE392" i="6" s="1"/>
  <c r="H106" i="14" l="1"/>
  <c r="H105" i="14"/>
  <c r="H121" i="14"/>
  <c r="H120" i="14"/>
  <c r="H125" i="14"/>
  <c r="H95" i="14"/>
  <c r="H16" i="14"/>
  <c r="H15" i="14"/>
  <c r="H116" i="14"/>
  <c r="H115" i="14"/>
  <c r="F480" i="6" l="1"/>
  <c r="J115" i="14"/>
  <c r="K115" i="14" s="1"/>
  <c r="F486" i="6"/>
  <c r="I486" i="6" s="1"/>
  <c r="J121" i="14"/>
  <c r="K121" i="14" s="1"/>
  <c r="F485" i="6"/>
  <c r="J120" i="14"/>
  <c r="K120" i="14" s="1"/>
  <c r="F481" i="6"/>
  <c r="J116" i="14"/>
  <c r="K116" i="14" s="1"/>
  <c r="F381" i="6"/>
  <c r="J16" i="14"/>
  <c r="K16" i="14" s="1"/>
  <c r="F490" i="6"/>
  <c r="J125" i="14"/>
  <c r="K125" i="14" s="1"/>
  <c r="F470" i="6"/>
  <c r="J105" i="14"/>
  <c r="K105" i="14" s="1"/>
  <c r="F471" i="6"/>
  <c r="I471" i="6" s="1"/>
  <c r="J106" i="14"/>
  <c r="K106" i="14" s="1"/>
  <c r="H136" i="14"/>
  <c r="J136" i="14" s="1"/>
  <c r="K136" i="14" s="1"/>
  <c r="F380" i="6"/>
  <c r="J15" i="14"/>
  <c r="K15" i="14" s="1"/>
  <c r="F460" i="6"/>
  <c r="J95" i="14"/>
  <c r="K95" i="14" s="1"/>
  <c r="H96" i="14"/>
  <c r="H126" i="14"/>
  <c r="F382" i="6" l="1"/>
  <c r="F501" i="6"/>
  <c r="I380" i="6"/>
  <c r="I490" i="6"/>
  <c r="I485" i="6"/>
  <c r="F487" i="6"/>
  <c r="I460" i="6"/>
  <c r="I381" i="6"/>
  <c r="M486" i="6"/>
  <c r="R486" i="6" s="1"/>
  <c r="J486" i="6"/>
  <c r="N486" i="6"/>
  <c r="H140" i="14"/>
  <c r="J140" i="14" s="1"/>
  <c r="K140" i="14" s="1"/>
  <c r="F491" i="6"/>
  <c r="F492" i="6" s="1"/>
  <c r="J126" i="14"/>
  <c r="K126" i="14" s="1"/>
  <c r="I481" i="6"/>
  <c r="F472" i="6"/>
  <c r="I470" i="6"/>
  <c r="F461" i="6"/>
  <c r="I461" i="6" s="1"/>
  <c r="J96" i="14"/>
  <c r="K96" i="14" s="1"/>
  <c r="J471" i="6"/>
  <c r="N471" i="6"/>
  <c r="U471" i="6" s="1"/>
  <c r="M471" i="6"/>
  <c r="R471" i="6" s="1"/>
  <c r="F482" i="6"/>
  <c r="I480" i="6"/>
  <c r="J485" i="6" l="1"/>
  <c r="N485" i="6"/>
  <c r="U485" i="6" s="1"/>
  <c r="M485" i="6"/>
  <c r="I487" i="6"/>
  <c r="J487" i="6" s="1"/>
  <c r="U486" i="6"/>
  <c r="U487" i="6" s="1"/>
  <c r="N481" i="6"/>
  <c r="J481" i="6"/>
  <c r="M481" i="6"/>
  <c r="I382" i="6"/>
  <c r="I501" i="6"/>
  <c r="N380" i="6"/>
  <c r="J380" i="6"/>
  <c r="M380" i="6"/>
  <c r="J461" i="6"/>
  <c r="N461" i="6"/>
  <c r="U461" i="6" s="1"/>
  <c r="M461" i="6"/>
  <c r="R461" i="6" s="1"/>
  <c r="N490" i="6"/>
  <c r="M490" i="6"/>
  <c r="J490" i="6"/>
  <c r="M480" i="6"/>
  <c r="I482" i="6"/>
  <c r="J482" i="6" s="1"/>
  <c r="J480" i="6"/>
  <c r="N480" i="6"/>
  <c r="M381" i="6"/>
  <c r="J381" i="6"/>
  <c r="N381" i="6"/>
  <c r="F462" i="6"/>
  <c r="F636" i="6"/>
  <c r="M470" i="6"/>
  <c r="N470" i="6"/>
  <c r="I472" i="6"/>
  <c r="J472" i="6" s="1"/>
  <c r="J470" i="6"/>
  <c r="F505" i="6"/>
  <c r="F637" i="6" s="1"/>
  <c r="I491" i="6"/>
  <c r="I492" i="6" s="1"/>
  <c r="J492" i="6" s="1"/>
  <c r="J460" i="6"/>
  <c r="N460" i="6"/>
  <c r="M460" i="6"/>
  <c r="I462" i="6"/>
  <c r="J462" i="6" s="1"/>
  <c r="N487" i="6" l="1"/>
  <c r="T481" i="6"/>
  <c r="U381" i="6"/>
  <c r="U470" i="6"/>
  <c r="U472" i="6" s="1"/>
  <c r="N472" i="6"/>
  <c r="R490" i="6"/>
  <c r="U380" i="6"/>
  <c r="N501" i="6"/>
  <c r="N636" i="6" s="1"/>
  <c r="N382" i="6"/>
  <c r="M482" i="6"/>
  <c r="R480" i="6"/>
  <c r="R482" i="6" s="1"/>
  <c r="U490" i="6"/>
  <c r="J501" i="6"/>
  <c r="I636" i="6"/>
  <c r="F640" i="6"/>
  <c r="F23" i="654"/>
  <c r="F23" i="2"/>
  <c r="R470" i="6"/>
  <c r="R472" i="6" s="1"/>
  <c r="M472" i="6"/>
  <c r="J382" i="6"/>
  <c r="R485" i="6"/>
  <c r="R487" i="6" s="1"/>
  <c r="M487" i="6"/>
  <c r="R381" i="6"/>
  <c r="U460" i="6"/>
  <c r="U462" i="6" s="1"/>
  <c r="N462" i="6"/>
  <c r="F16" i="654"/>
  <c r="M501" i="6"/>
  <c r="M636" i="6" s="1"/>
  <c r="M382" i="6"/>
  <c r="R380" i="6"/>
  <c r="R460" i="6"/>
  <c r="R462" i="6" s="1"/>
  <c r="M462" i="6"/>
  <c r="F22" i="2"/>
  <c r="F22" i="654"/>
  <c r="U480" i="6"/>
  <c r="U482" i="6" s="1"/>
  <c r="N482" i="6"/>
  <c r="N491" i="6"/>
  <c r="N492" i="6" s="1"/>
  <c r="I505" i="6"/>
  <c r="M491" i="6"/>
  <c r="J491" i="6"/>
  <c r="F16" i="2"/>
  <c r="Q481" i="6"/>
  <c r="R491" i="6" l="1"/>
  <c r="R505" i="6" s="1"/>
  <c r="R637" i="6" s="1"/>
  <c r="M505" i="6"/>
  <c r="M637" i="6" s="1"/>
  <c r="M640" i="6" s="1"/>
  <c r="N23" i="2"/>
  <c r="M492" i="6"/>
  <c r="R382" i="6"/>
  <c r="R503" i="6"/>
  <c r="R501" i="6"/>
  <c r="R636" i="6" s="1"/>
  <c r="R640" i="6" s="1"/>
  <c r="R507" i="6"/>
  <c r="F1246" i="6"/>
  <c r="F1256" i="6" s="1"/>
  <c r="F1258" i="6" s="1"/>
  <c r="F1263" i="6" s="1"/>
  <c r="F956" i="6"/>
  <c r="J505" i="6"/>
  <c r="I637" i="6"/>
  <c r="I22" i="654"/>
  <c r="E22" i="654" s="1"/>
  <c r="J636" i="6"/>
  <c r="I22" i="2"/>
  <c r="N505" i="6"/>
  <c r="N637" i="6" s="1"/>
  <c r="N640" i="6" s="1"/>
  <c r="E18" i="12" s="1"/>
  <c r="U491" i="6"/>
  <c r="U505" i="6" s="1"/>
  <c r="U637" i="6" s="1"/>
  <c r="N22" i="654"/>
  <c r="F24" i="654"/>
  <c r="N16" i="654"/>
  <c r="N23" i="654"/>
  <c r="I16" i="654"/>
  <c r="Q482" i="6"/>
  <c r="W482" i="6" s="1"/>
  <c r="W481" i="6"/>
  <c r="N16" i="2"/>
  <c r="N22" i="2"/>
  <c r="F24" i="2"/>
  <c r="I16" i="2"/>
  <c r="U382" i="6"/>
  <c r="U501" i="6"/>
  <c r="U636" i="6" s="1"/>
  <c r="U503" i="6"/>
  <c r="T482" i="6"/>
  <c r="H20" i="14"/>
  <c r="H21" i="14"/>
  <c r="R492" i="6" l="1"/>
  <c r="R509" i="6" s="1"/>
  <c r="R512" i="6" s="1"/>
  <c r="R936" i="6" s="1"/>
  <c r="R950" i="6" s="1"/>
  <c r="R953" i="6" s="1"/>
  <c r="R956" i="6" s="1"/>
  <c r="M16" i="654"/>
  <c r="U507" i="6"/>
  <c r="U640" i="6"/>
  <c r="M22" i="2"/>
  <c r="E54" i="12"/>
  <c r="E29" i="12"/>
  <c r="I23" i="654"/>
  <c r="M23" i="654" s="1"/>
  <c r="J637" i="6"/>
  <c r="I23" i="2"/>
  <c r="E23" i="2" s="1"/>
  <c r="M16" i="2"/>
  <c r="E16" i="2"/>
  <c r="U492" i="6"/>
  <c r="U509" i="6" s="1"/>
  <c r="U512" i="6" s="1"/>
  <c r="F386" i="6"/>
  <c r="J21" i="14"/>
  <c r="K21" i="14" s="1"/>
  <c r="H142" i="14"/>
  <c r="J142" i="14" s="1"/>
  <c r="K142" i="14" s="1"/>
  <c r="H141" i="14"/>
  <c r="F41" i="2"/>
  <c r="N24" i="2"/>
  <c r="N24" i="654"/>
  <c r="F41" i="654"/>
  <c r="F70" i="654"/>
  <c r="F70" i="2"/>
  <c r="F1270" i="6"/>
  <c r="F1273" i="6"/>
  <c r="F385" i="6"/>
  <c r="J20" i="14"/>
  <c r="K20" i="14" s="1"/>
  <c r="H137" i="14"/>
  <c r="J137" i="14" s="1"/>
  <c r="K137" i="14" s="1"/>
  <c r="H138" i="14"/>
  <c r="J138" i="14" s="1"/>
  <c r="K138" i="14" s="1"/>
  <c r="M22" i="654"/>
  <c r="I640" i="6"/>
  <c r="M1246" i="6"/>
  <c r="D18" i="12"/>
  <c r="E16" i="654"/>
  <c r="E22" i="2"/>
  <c r="U936" i="6" l="1"/>
  <c r="U950" i="6" s="1"/>
  <c r="U953" i="6" s="1"/>
  <c r="U956" i="6" s="1"/>
  <c r="I24" i="2"/>
  <c r="E24" i="2" s="1"/>
  <c r="I1246" i="6"/>
  <c r="C18" i="12"/>
  <c r="J640" i="6"/>
  <c r="H146" i="14"/>
  <c r="J141" i="14"/>
  <c r="K141" i="14" s="1"/>
  <c r="I386" i="6"/>
  <c r="F506" i="6"/>
  <c r="F507" i="6"/>
  <c r="F71" i="2"/>
  <c r="I24" i="654"/>
  <c r="E24" i="654" s="1"/>
  <c r="E23" i="654"/>
  <c r="F71" i="654"/>
  <c r="I385" i="6"/>
  <c r="F387" i="6"/>
  <c r="F509" i="6" s="1"/>
  <c r="F512" i="6" s="1"/>
  <c r="F502" i="6"/>
  <c r="F503" i="6"/>
  <c r="D54" i="12"/>
  <c r="F54" i="12" s="1"/>
  <c r="F18" i="12"/>
  <c r="D29" i="12"/>
  <c r="M23" i="2"/>
  <c r="M24" i="2"/>
  <c r="M24" i="654" l="1"/>
  <c r="N385" i="6"/>
  <c r="M385" i="6"/>
  <c r="J385" i="6"/>
  <c r="I387" i="6"/>
  <c r="I502" i="6"/>
  <c r="I503" i="6"/>
  <c r="J503" i="6" s="1"/>
  <c r="C54" i="12"/>
  <c r="C29" i="12"/>
  <c r="F74" i="2"/>
  <c r="F29" i="12"/>
  <c r="M386" i="6"/>
  <c r="N386" i="6"/>
  <c r="J386" i="6"/>
  <c r="I506" i="6"/>
  <c r="J506" i="6" s="1"/>
  <c r="I507" i="6"/>
  <c r="J507" i="6" s="1"/>
  <c r="N1246" i="6"/>
  <c r="J1246" i="6"/>
  <c r="F17" i="2"/>
  <c r="D510" i="6"/>
  <c r="F17" i="654"/>
  <c r="F74" i="654"/>
  <c r="Q386" i="6" l="1"/>
  <c r="M506" i="6"/>
  <c r="M507" i="6"/>
  <c r="N17" i="2"/>
  <c r="F18" i="2"/>
  <c r="J387" i="6"/>
  <c r="I509" i="6"/>
  <c r="Q385" i="6"/>
  <c r="M387" i="6"/>
  <c r="M509" i="6" s="1"/>
  <c r="M512" i="6" s="1"/>
  <c r="D17" i="12" s="1"/>
  <c r="M502" i="6"/>
  <c r="M503" i="6"/>
  <c r="N17" i="654"/>
  <c r="M17" i="654" s="1"/>
  <c r="F18" i="654"/>
  <c r="T386" i="6"/>
  <c r="N506" i="6"/>
  <c r="N507" i="6"/>
  <c r="I17" i="2"/>
  <c r="I17" i="654"/>
  <c r="J502" i="6"/>
  <c r="T385" i="6"/>
  <c r="N387" i="6"/>
  <c r="N509" i="6" s="1"/>
  <c r="N512" i="6" s="1"/>
  <c r="E17" i="12" s="1"/>
  <c r="N502" i="6"/>
  <c r="N503" i="6"/>
  <c r="N18" i="2" l="1"/>
  <c r="F44" i="2"/>
  <c r="M17" i="2"/>
  <c r="I18" i="2"/>
  <c r="E18" i="2" s="1"/>
  <c r="Q503" i="6"/>
  <c r="W503" i="6" s="1"/>
  <c r="AC503" i="6" s="1"/>
  <c r="AE503" i="6" s="1"/>
  <c r="Q387" i="6"/>
  <c r="W385" i="6"/>
  <c r="AC385" i="6" s="1"/>
  <c r="AE385" i="6" s="1"/>
  <c r="Q502" i="6"/>
  <c r="W502" i="6" s="1"/>
  <c r="AC502" i="6" s="1"/>
  <c r="AE502" i="6" s="1"/>
  <c r="J509" i="6"/>
  <c r="I512" i="6"/>
  <c r="E17" i="654"/>
  <c r="I18" i="654"/>
  <c r="E18" i="654" s="1"/>
  <c r="E17" i="2"/>
  <c r="T507" i="6"/>
  <c r="T506" i="6"/>
  <c r="T387" i="6"/>
  <c r="T509" i="6" s="1"/>
  <c r="T512" i="6" s="1"/>
  <c r="T503" i="6"/>
  <c r="T502" i="6"/>
  <c r="D53" i="12"/>
  <c r="D59" i="12" s="1"/>
  <c r="F17" i="12"/>
  <c r="D30" i="12"/>
  <c r="E53" i="12"/>
  <c r="E30" i="12"/>
  <c r="E32" i="12" s="1"/>
  <c r="E33" i="12" s="1"/>
  <c r="E34" i="12" s="1"/>
  <c r="E35" i="12" s="1"/>
  <c r="N936" i="6" s="1"/>
  <c r="N18" i="654"/>
  <c r="F44" i="654"/>
  <c r="Q507" i="6"/>
  <c r="W507" i="6" s="1"/>
  <c r="W386" i="6"/>
  <c r="Q506" i="6"/>
  <c r="W506" i="6" s="1"/>
  <c r="F30" i="12" l="1"/>
  <c r="D32" i="12"/>
  <c r="F59" i="12"/>
  <c r="J512" i="6"/>
  <c r="C17" i="12"/>
  <c r="F77" i="654"/>
  <c r="M18" i="654"/>
  <c r="F77" i="2"/>
  <c r="T936" i="6"/>
  <c r="T950" i="6" s="1"/>
  <c r="T953" i="6" s="1"/>
  <c r="T956" i="6" s="1"/>
  <c r="E43" i="12" s="1"/>
  <c r="N1250" i="6"/>
  <c r="N1256" i="6" s="1"/>
  <c r="N1258" i="6" s="1"/>
  <c r="N1263" i="6" s="1"/>
  <c r="N950" i="6"/>
  <c r="N953" i="6" s="1"/>
  <c r="N956" i="6" s="1"/>
  <c r="Q509" i="6"/>
  <c r="W387" i="6"/>
  <c r="AC387" i="6" s="1"/>
  <c r="AE387" i="6" s="1"/>
  <c r="F53" i="12"/>
  <c r="E59" i="12"/>
  <c r="M18" i="2"/>
  <c r="F79" i="654" l="1"/>
  <c r="N79" i="654" s="1"/>
  <c r="N77" i="654"/>
  <c r="N77" i="2"/>
  <c r="F79" i="2"/>
  <c r="N79" i="2" s="1"/>
  <c r="F32" i="12"/>
  <c r="D33" i="12"/>
  <c r="T1263" i="6"/>
  <c r="N1273" i="6"/>
  <c r="N1270" i="6"/>
  <c r="C53" i="12"/>
  <c r="C59" i="12" s="1"/>
  <c r="C30" i="12"/>
  <c r="C32" i="12" s="1"/>
  <c r="C33" i="12" s="1"/>
  <c r="C34" i="12" s="1"/>
  <c r="C35" i="12" s="1"/>
  <c r="C39" i="12" s="1"/>
  <c r="H936" i="6" s="1"/>
  <c r="Q512" i="6"/>
  <c r="W512" i="6" s="1"/>
  <c r="W509" i="6"/>
  <c r="H37" i="2" l="1"/>
  <c r="H950" i="6"/>
  <c r="H953" i="6" s="1"/>
  <c r="H956" i="6" s="1"/>
  <c r="H1250" i="6"/>
  <c r="H1256" i="6" s="1"/>
  <c r="H1258" i="6" s="1"/>
  <c r="H1263" i="6" s="1"/>
  <c r="H37" i="654"/>
  <c r="I936" i="6"/>
  <c r="D34" i="12"/>
  <c r="F33" i="12"/>
  <c r="AC512" i="6"/>
  <c r="AE512" i="6" s="1"/>
  <c r="J17" i="654"/>
  <c r="Y17" i="654" s="1"/>
  <c r="Z17" i="654" s="1"/>
  <c r="J17" i="2"/>
  <c r="AC509" i="6"/>
  <c r="AE509" i="6" s="1"/>
  <c r="T1270" i="6"/>
  <c r="T1273" i="6"/>
  <c r="E41" i="12" l="1"/>
  <c r="E61" i="12"/>
  <c r="E63" i="12" s="1"/>
  <c r="E65" i="12" s="1"/>
  <c r="L17" i="2"/>
  <c r="J18" i="2"/>
  <c r="L17" i="654"/>
  <c r="O17" i="654"/>
  <c r="P17" i="654" s="1"/>
  <c r="J18" i="654"/>
  <c r="Y18" i="654" s="1"/>
  <c r="Z18" i="654" s="1"/>
  <c r="I37" i="2"/>
  <c r="I38" i="2" s="1"/>
  <c r="I41" i="2" s="1"/>
  <c r="I44" i="2" s="1"/>
  <c r="I37" i="654"/>
  <c r="I38" i="654" s="1"/>
  <c r="I41" i="654" s="1"/>
  <c r="I44" i="654" s="1"/>
  <c r="I1250" i="6"/>
  <c r="J936" i="6"/>
  <c r="I950" i="6"/>
  <c r="D35" i="12"/>
  <c r="F34" i="12"/>
  <c r="H38" i="654"/>
  <c r="N37" i="654"/>
  <c r="M37" i="654" s="1"/>
  <c r="E37" i="654"/>
  <c r="H70" i="2"/>
  <c r="H1270" i="6"/>
  <c r="H70" i="654"/>
  <c r="H1273" i="6"/>
  <c r="H38" i="2"/>
  <c r="N37" i="2"/>
  <c r="M37" i="2" l="1"/>
  <c r="H41" i="654"/>
  <c r="E38" i="654"/>
  <c r="N38" i="654"/>
  <c r="M38" i="654" s="1"/>
  <c r="E37" i="2"/>
  <c r="H71" i="654"/>
  <c r="N70" i="654"/>
  <c r="H41" i="2"/>
  <c r="E38" i="2"/>
  <c r="N38" i="2"/>
  <c r="M38" i="2" s="1"/>
  <c r="O18" i="654"/>
  <c r="P18" i="654" s="1"/>
  <c r="H71" i="2"/>
  <c r="N70" i="2"/>
  <c r="J1250" i="6"/>
  <c r="I1256" i="6"/>
  <c r="E67" i="12"/>
  <c r="E69" i="12" s="1"/>
  <c r="E71" i="12" s="1"/>
  <c r="E75" i="12" s="1"/>
  <c r="M936" i="6"/>
  <c r="F35" i="12"/>
  <c r="J950" i="6"/>
  <c r="I953" i="6"/>
  <c r="E45" i="12"/>
  <c r="E47" i="12" s="1"/>
  <c r="E49" i="12" s="1"/>
  <c r="E51" i="12" s="1"/>
  <c r="E42" i="12"/>
  <c r="J953" i="6" l="1"/>
  <c r="I956" i="6"/>
  <c r="J956" i="6" s="1"/>
  <c r="H74" i="2"/>
  <c r="N71" i="2"/>
  <c r="H44" i="2"/>
  <c r="E41" i="2"/>
  <c r="N41" i="2"/>
  <c r="M41" i="2" s="1"/>
  <c r="H74" i="654"/>
  <c r="N74" i="654" s="1"/>
  <c r="N71" i="654"/>
  <c r="I1258" i="6"/>
  <c r="J1256" i="6"/>
  <c r="Q936" i="6"/>
  <c r="M1250" i="6"/>
  <c r="M1256" i="6" s="1"/>
  <c r="M1258" i="6" s="1"/>
  <c r="M1263" i="6" s="1"/>
  <c r="M950" i="6"/>
  <c r="M953" i="6" s="1"/>
  <c r="M956" i="6" s="1"/>
  <c r="H44" i="654"/>
  <c r="E41" i="654"/>
  <c r="N41" i="654"/>
  <c r="M41" i="654" s="1"/>
  <c r="W936" i="6" l="1"/>
  <c r="Q950" i="6"/>
  <c r="N74" i="2"/>
  <c r="N44" i="2"/>
  <c r="M44" i="2" s="1"/>
  <c r="E44" i="2"/>
  <c r="E76" i="2" s="1"/>
  <c r="J1258" i="6"/>
  <c r="I1263" i="6"/>
  <c r="N44" i="654"/>
  <c r="M44" i="654" s="1"/>
  <c r="E44" i="654"/>
  <c r="E76" i="654" s="1"/>
  <c r="Q1263" i="6"/>
  <c r="M1270" i="6"/>
  <c r="M1273" i="6"/>
  <c r="D61" i="12" s="1"/>
  <c r="J1263" i="6" l="1"/>
  <c r="I70" i="2"/>
  <c r="I70" i="654"/>
  <c r="I1270" i="6"/>
  <c r="J1270" i="6" s="1"/>
  <c r="I1273" i="6"/>
  <c r="W950" i="6"/>
  <c r="AC950" i="6" s="1"/>
  <c r="AE950" i="6" s="1"/>
  <c r="Q953" i="6"/>
  <c r="D63" i="12"/>
  <c r="F61" i="12"/>
  <c r="W1263" i="6"/>
  <c r="Q1270" i="6"/>
  <c r="W1270" i="6" s="1"/>
  <c r="AC1270" i="6" s="1"/>
  <c r="AE1270" i="6" s="1"/>
  <c r="Q1273" i="6"/>
  <c r="J37" i="654"/>
  <c r="Y37" i="654" s="1"/>
  <c r="Z37" i="654" s="1"/>
  <c r="J37" i="2"/>
  <c r="AC936" i="6"/>
  <c r="AE936" i="6" s="1"/>
  <c r="W953" i="6" l="1"/>
  <c r="AC953" i="6" s="1"/>
  <c r="AE953" i="6" s="1"/>
  <c r="Q956" i="6"/>
  <c r="W956" i="6" s="1"/>
  <c r="J38" i="2"/>
  <c r="J41" i="2" s="1"/>
  <c r="J44" i="2" s="1"/>
  <c r="O37" i="654"/>
  <c r="P37" i="654" s="1"/>
  <c r="J38" i="654"/>
  <c r="Y38" i="654" s="1"/>
  <c r="Z38" i="654" s="1"/>
  <c r="I71" i="654"/>
  <c r="M70" i="654"/>
  <c r="I71" i="2"/>
  <c r="M70" i="2"/>
  <c r="C41" i="12"/>
  <c r="C45" i="12" s="1"/>
  <c r="C47" i="12" s="1"/>
  <c r="C61" i="12"/>
  <c r="C63" i="12" s="1"/>
  <c r="C65" i="12" s="1"/>
  <c r="C67" i="12" s="1"/>
  <c r="C69" i="12" s="1"/>
  <c r="C71" i="12" s="1"/>
  <c r="C75" i="12" s="1"/>
  <c r="J1273" i="6"/>
  <c r="D41" i="12"/>
  <c r="W1273" i="6"/>
  <c r="AC1273" i="6" s="1"/>
  <c r="AE1273" i="6" s="1"/>
  <c r="J70" i="654"/>
  <c r="Y70" i="654" s="1"/>
  <c r="Z70" i="654" s="1"/>
  <c r="J70" i="2"/>
  <c r="AC1263" i="6"/>
  <c r="AE1263" i="6" s="1"/>
  <c r="F63" i="12"/>
  <c r="D65" i="12"/>
  <c r="I74" i="654" l="1"/>
  <c r="M71" i="654"/>
  <c r="D67" i="12"/>
  <c r="F67" i="12" s="1"/>
  <c r="F65" i="12"/>
  <c r="D69" i="12"/>
  <c r="O38" i="654"/>
  <c r="P38" i="654" s="1"/>
  <c r="J41" i="654"/>
  <c r="Y41" i="654" s="1"/>
  <c r="Z41" i="654" s="1"/>
  <c r="L70" i="654"/>
  <c r="L71" i="654" s="1"/>
  <c r="L74" i="654" s="1"/>
  <c r="L44" i="654" s="1"/>
  <c r="O70" i="654"/>
  <c r="P70" i="654" s="1"/>
  <c r="J71" i="654"/>
  <c r="Y71" i="654" s="1"/>
  <c r="Z71" i="654" s="1"/>
  <c r="L70" i="2"/>
  <c r="L71" i="2" s="1"/>
  <c r="L74" i="2" s="1"/>
  <c r="L44" i="2" s="1"/>
  <c r="K44" i="2" s="1"/>
  <c r="K13" i="2" s="1"/>
  <c r="J71" i="2"/>
  <c r="J74" i="2" s="1"/>
  <c r="J77" i="2" s="1"/>
  <c r="J79" i="2" s="1"/>
  <c r="F4" i="1" s="1"/>
  <c r="D45" i="12"/>
  <c r="F41" i="12"/>
  <c r="I74" i="2"/>
  <c r="M71" i="2"/>
  <c r="AC956" i="6"/>
  <c r="AE956" i="6" s="1"/>
  <c r="D43" i="12"/>
  <c r="I77" i="2" l="1"/>
  <c r="M74" i="2"/>
  <c r="E4" i="654"/>
  <c r="C9" i="1"/>
  <c r="E4" i="2"/>
  <c r="K44" i="654"/>
  <c r="K13" i="654" s="1"/>
  <c r="D47" i="12"/>
  <c r="F47" i="12" s="1"/>
  <c r="F45" i="12"/>
  <c r="O71" i="654"/>
  <c r="P71" i="654" s="1"/>
  <c r="J74" i="654"/>
  <c r="O41" i="654"/>
  <c r="P41" i="654" s="1"/>
  <c r="J44" i="654"/>
  <c r="Y44" i="654" s="1"/>
  <c r="Z44" i="654" s="1"/>
  <c r="F69" i="12"/>
  <c r="D71" i="12"/>
  <c r="K18" i="2"/>
  <c r="F2" i="1"/>
  <c r="K29" i="2"/>
  <c r="L13" i="2"/>
  <c r="L18" i="2" s="1"/>
  <c r="K37" i="2"/>
  <c r="F43" i="12"/>
  <c r="D42" i="12"/>
  <c r="F42" i="12" s="1"/>
  <c r="I77" i="654"/>
  <c r="M74" i="654"/>
  <c r="O74" i="654" l="1"/>
  <c r="P74" i="654" s="1"/>
  <c r="Y74" i="654"/>
  <c r="Z74" i="654" s="1"/>
  <c r="D49" i="12"/>
  <c r="I79" i="654"/>
  <c r="M79" i="654" s="1"/>
  <c r="M77" i="654"/>
  <c r="D51" i="12"/>
  <c r="F51" i="12" s="1"/>
  <c r="F49" i="12"/>
  <c r="F71" i="12"/>
  <c r="D75" i="12"/>
  <c r="F75" i="12" s="1"/>
  <c r="K18" i="654"/>
  <c r="K29" i="654"/>
  <c r="K37" i="654" s="1"/>
  <c r="L13" i="654"/>
  <c r="L18" i="654" s="1"/>
  <c r="O44" i="654"/>
  <c r="P44" i="654" s="1"/>
  <c r="J77" i="654"/>
  <c r="Y77" i="654" s="1"/>
  <c r="Z77" i="654" s="1"/>
  <c r="K38" i="2"/>
  <c r="L37" i="2"/>
  <c r="L38" i="2" s="1"/>
  <c r="K32" i="2"/>
  <c r="L29" i="2"/>
  <c r="L32" i="2" s="1"/>
  <c r="I79" i="2"/>
  <c r="M79" i="2" s="1"/>
  <c r="C42" i="12"/>
  <c r="C43" i="12" s="1"/>
  <c r="C49" i="12" s="1"/>
  <c r="C51" i="12" s="1"/>
  <c r="M77" i="2"/>
  <c r="K38" i="654" l="1"/>
  <c r="L37" i="654"/>
  <c r="L38" i="654" s="1"/>
  <c r="L41" i="2"/>
  <c r="O77" i="654"/>
  <c r="P77" i="654" s="1"/>
  <c r="J79" i="654"/>
  <c r="K32" i="654"/>
  <c r="L29" i="654"/>
  <c r="L32" i="654" s="1"/>
  <c r="K41" i="2"/>
  <c r="O79" i="654" l="1"/>
  <c r="P79" i="654" s="1"/>
  <c r="Y79" i="654"/>
  <c r="Z79" i="654" s="1"/>
  <c r="L41" i="654"/>
  <c r="K41" i="65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jess080</author>
  </authors>
  <commentList>
    <comment ref="F16" authorId="0" shapeId="0" xr:uid="{E3318C28-B461-4550-9A01-2E5510A667C0}">
      <text>
        <r>
          <rPr>
            <b/>
            <sz val="9"/>
            <color indexed="81"/>
            <rFont val="Tahoma"/>
            <family val="2"/>
          </rPr>
          <t>jess080:</t>
        </r>
        <r>
          <rPr>
            <sz val="9"/>
            <color indexed="81"/>
            <rFont val="Tahoma"/>
            <family val="2"/>
          </rPr>
          <t xml:space="preserve">
Account 496 is main difference from Greybacks.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Jordan Stephenson</author>
  </authors>
  <commentList>
    <comment ref="AV13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Jordan Stephenson:</t>
        </r>
        <r>
          <rPr>
            <sz val="9"/>
            <color indexed="81"/>
            <rFont val="Tahoma"/>
            <family val="2"/>
          </rPr>
          <t xml:space="preserve">
Get updated AGA Dues invoice (last year was Loni Reed, find new contact)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Jordan Stephenson</author>
  </authors>
  <commentList>
    <comment ref="Q39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Jordan Stephenson:</t>
        </r>
        <r>
          <rPr>
            <sz val="9"/>
            <color indexed="81"/>
            <rFont val="Tahoma"/>
            <family val="2"/>
          </rPr>
          <t xml:space="preserve">
Get new ticket count from Michelle Bryson.</t>
        </r>
      </text>
    </comment>
  </commentList>
</comments>
</file>

<file path=xl/sharedStrings.xml><?xml version="1.0" encoding="utf-8"?>
<sst xmlns="http://schemas.openxmlformats.org/spreadsheetml/2006/main" count="11527" uniqueCount="1502">
  <si>
    <t>904.0</t>
  </si>
  <si>
    <t>904.1</t>
  </si>
  <si>
    <t>904.2</t>
  </si>
  <si>
    <t>State Tax Rates</t>
  </si>
  <si>
    <t>F-4</t>
  </si>
  <si>
    <t>Advertising</t>
  </si>
  <si>
    <t>Account</t>
  </si>
  <si>
    <t>Calculation of Allocation Factors</t>
  </si>
  <si>
    <t>Incentive Compensation</t>
  </si>
  <si>
    <t>FT-E</t>
  </si>
  <si>
    <t>Tax &amp; Bad Debt Gross-Up Factor = 1 / (1 - (Tax Rate + (Bad Debt Rate * (1 - Tax Rate))))</t>
  </si>
  <si>
    <t>TARIFF DTH SALES AND REVENUE</t>
  </si>
  <si>
    <t>Utah</t>
  </si>
  <si>
    <t>GS-1</t>
  </si>
  <si>
    <t>Distribution Non-Gas Rev</t>
  </si>
  <si>
    <t>Supplier Non-Gas Revenue</t>
  </si>
  <si>
    <t>Commodity Revenue</t>
  </si>
  <si>
    <t>Total Revenue</t>
  </si>
  <si>
    <t>Total Dth</t>
  </si>
  <si>
    <t>Utah Foundation</t>
  </si>
  <si>
    <t>Uncollectible Accounts - DNG</t>
  </si>
  <si>
    <t>Uncollectible Accounts - SNG</t>
  </si>
  <si>
    <t>Uncollectible Accounts - Commodity</t>
  </si>
  <si>
    <t>Wyoming</t>
  </si>
  <si>
    <t>IC</t>
  </si>
  <si>
    <t>I-T</t>
  </si>
  <si>
    <t>Total Wyoming Revenue</t>
  </si>
  <si>
    <t>Total Wyoming Dth</t>
  </si>
  <si>
    <t>Colorado</t>
  </si>
  <si>
    <t>Total Colorado Revenue</t>
  </si>
  <si>
    <t>Total Colorado Dth</t>
  </si>
  <si>
    <t>System Total Tariff Sales and Revenue</t>
  </si>
  <si>
    <t>SystemTotal Dth</t>
  </si>
  <si>
    <t>Accum Deferred Income Taxes</t>
  </si>
  <si>
    <t>Total Deductions From Rate Base</t>
  </si>
  <si>
    <t>FT1-L</t>
  </si>
  <si>
    <t>RETURN ON EQUITY</t>
  </si>
  <si>
    <t>Adjustments</t>
  </si>
  <si>
    <t>Imputed</t>
  </si>
  <si>
    <t>Tax</t>
  </si>
  <si>
    <t>Adjustment</t>
  </si>
  <si>
    <t>Adjusted</t>
  </si>
  <si>
    <t>System</t>
  </si>
  <si>
    <t>(B)</t>
  </si>
  <si>
    <t>(C)</t>
  </si>
  <si>
    <t>Jurisdiction</t>
  </si>
  <si>
    <t>Deficiency</t>
  </si>
  <si>
    <t>DNG Related</t>
  </si>
  <si>
    <t>Actual</t>
  </si>
  <si>
    <t>Weighted</t>
  </si>
  <si>
    <t>Weight</t>
  </si>
  <si>
    <t>Cost</t>
  </si>
  <si>
    <t>Long Term Debt</t>
  </si>
  <si>
    <t>Common Equity</t>
  </si>
  <si>
    <t>Dist - Wy - Mains - SD</t>
  </si>
  <si>
    <t>Dth Sales by State (Excluding Transportation)</t>
  </si>
  <si>
    <t>Sales Dth</t>
  </si>
  <si>
    <t>Transportation Dth</t>
  </si>
  <si>
    <t>Utah &amp; Idaho</t>
  </si>
  <si>
    <t>Wyo &amp; Co</t>
  </si>
  <si>
    <t>Gross Plant By State and Function</t>
  </si>
  <si>
    <t>Subtotal with Production Allocated to States</t>
  </si>
  <si>
    <t>Adjusted System Total Rate Base</t>
  </si>
  <si>
    <t>Allocation of General by Gross Plant</t>
  </si>
  <si>
    <t>Subtotal with Production and General Allocated</t>
  </si>
  <si>
    <t>Wages</t>
  </si>
  <si>
    <t>% Average</t>
  </si>
  <si>
    <t>Questar Gas</t>
  </si>
  <si>
    <t>Questar Pipeline</t>
  </si>
  <si>
    <t>Wexpro Plant Adjustment</t>
  </si>
  <si>
    <t>Underground Storage</t>
  </si>
  <si>
    <t>Advertising Adjustment</t>
  </si>
  <si>
    <t>Revenue</t>
  </si>
  <si>
    <t>Total Sales Dth</t>
  </si>
  <si>
    <t>E-1</t>
  </si>
  <si>
    <t>P-I</t>
  </si>
  <si>
    <t>IS-2</t>
  </si>
  <si>
    <t>IS-4</t>
  </si>
  <si>
    <t>I-2</t>
  </si>
  <si>
    <t>I-4</t>
  </si>
  <si>
    <t>IT</t>
  </si>
  <si>
    <t>IT-S</t>
  </si>
  <si>
    <t>FT-1</t>
  </si>
  <si>
    <t>FT-2</t>
  </si>
  <si>
    <t>GSR</t>
  </si>
  <si>
    <t>GSC</t>
  </si>
  <si>
    <t>Distribution Non-Gas Revenue</t>
  </si>
  <si>
    <t>CASE</t>
  </si>
  <si>
    <t>Unit</t>
  </si>
  <si>
    <t>Year</t>
  </si>
  <si>
    <t>DNG</t>
  </si>
  <si>
    <t>SNG</t>
  </si>
  <si>
    <t>TOTAL UTAH FIRM</t>
  </si>
  <si>
    <t>TOTAL UTAH INTERRUPTIBLE</t>
  </si>
  <si>
    <t>TOTAL UTAH TRANSPORTATION</t>
  </si>
  <si>
    <t>TOTAL WYOMING FIRM</t>
  </si>
  <si>
    <t>TOTAL WYOMING INTERRUPTIBLE</t>
  </si>
  <si>
    <t>TOTAL WYOMING TRANSPORTATION</t>
  </si>
  <si>
    <t>Period</t>
  </si>
  <si>
    <t>DTH</t>
  </si>
  <si>
    <t>Direct</t>
  </si>
  <si>
    <t>Charges</t>
  </si>
  <si>
    <t>Type</t>
  </si>
  <si>
    <t>DSM</t>
  </si>
  <si>
    <t>Financial Advertising</t>
  </si>
  <si>
    <t>Total LT &amp; ST Debt</t>
  </si>
  <si>
    <t>LONG-TERM DEBT</t>
  </si>
  <si>
    <t>LONG TERM DEBT COSTS</t>
  </si>
  <si>
    <t>TOTAL LONG-TERM DEBT</t>
  </si>
  <si>
    <t>TOTAL LONG TERM DEBT COSTS</t>
  </si>
  <si>
    <t>Weights</t>
  </si>
  <si>
    <t>Costs (Rates)</t>
  </si>
  <si>
    <t>FT-2C</t>
  </si>
  <si>
    <t>Utah Allocation</t>
  </si>
  <si>
    <t>Wyoming Allocation</t>
  </si>
  <si>
    <t>Expense</t>
  </si>
  <si>
    <t>Workpaper 2</t>
  </si>
  <si>
    <t>Donations and Memberships Adjustment</t>
  </si>
  <si>
    <t>Questar Corporation Allocated</t>
  </si>
  <si>
    <t>427</t>
  </si>
  <si>
    <t>221</t>
  </si>
  <si>
    <t>189</t>
  </si>
  <si>
    <t>181</t>
  </si>
  <si>
    <t>428</t>
  </si>
  <si>
    <t>201</t>
  </si>
  <si>
    <t>207</t>
  </si>
  <si>
    <t>216</t>
  </si>
  <si>
    <t>UTAH</t>
  </si>
  <si>
    <t>Industry Associations</t>
  </si>
  <si>
    <t xml:space="preserve">Tax Executives Institute </t>
  </si>
  <si>
    <t>System Total Dth Throughput</t>
  </si>
  <si>
    <t xml:space="preserve">Utah Taxpayers Association </t>
  </si>
  <si>
    <t>Commodity</t>
  </si>
  <si>
    <t>Accum Deferred IncomeTaxes(QRS&amp; Sec 29 Cr)</t>
  </si>
  <si>
    <t>282-6-8</t>
  </si>
  <si>
    <t>Capital Structure</t>
  </si>
  <si>
    <t>Company and Allocation Amounts</t>
  </si>
  <si>
    <t>Calculations</t>
  </si>
  <si>
    <t>NET CHARGE OFFS</t>
  </si>
  <si>
    <t>Average Bad Debt Removal</t>
  </si>
  <si>
    <t>RESERVE ACCRUAL</t>
  </si>
  <si>
    <t>Incentives</t>
  </si>
  <si>
    <t>OTHER OPERATING REVENUE</t>
  </si>
  <si>
    <t>Utah % of Sales Dth from 191 Acct ===&gt;</t>
  </si>
  <si>
    <t>Sales For Resale \2</t>
  </si>
  <si>
    <t>Total</t>
  </si>
  <si>
    <t>Deferred Fed &amp; State Taxes-QRS Transf</t>
  </si>
  <si>
    <t>282_108_008</t>
  </si>
  <si>
    <t>Interest on Past Due Accounts</t>
  </si>
  <si>
    <t>See Workpaper A</t>
  </si>
  <si>
    <t>OTHER RATE BASE ACCOUNTS</t>
  </si>
  <si>
    <t>Go To Adjustment</t>
  </si>
  <si>
    <t xml:space="preserve">Utah </t>
  </si>
  <si>
    <t>Bad Debt Ratio</t>
  </si>
  <si>
    <t>RATE BASE SUMMARY</t>
  </si>
  <si>
    <t>Total Net Utility Plant</t>
  </si>
  <si>
    <t>Total Other Rate Base Accounts</t>
  </si>
  <si>
    <t>Utility Operating Revenue</t>
  </si>
  <si>
    <t>Utility Operating Expenses</t>
  </si>
  <si>
    <t>Other Rate Base Accounts</t>
  </si>
  <si>
    <t>FINANCIAL ADVERTISING ADJUSTMENT</t>
  </si>
  <si>
    <t>(B+D)</t>
  </si>
  <si>
    <t>3 Year Average</t>
  </si>
  <si>
    <t xml:space="preserve">Bad Debt </t>
  </si>
  <si>
    <t>Ratio</t>
  </si>
  <si>
    <t>RATE BASE</t>
  </si>
  <si>
    <t>488011</t>
  </si>
  <si>
    <t>488012</t>
  </si>
  <si>
    <t>488013</t>
  </si>
  <si>
    <t>Allocation</t>
  </si>
  <si>
    <t>Acct # and Description</t>
  </si>
  <si>
    <t>Amount  \1</t>
  </si>
  <si>
    <t>Factor  \2</t>
  </si>
  <si>
    <t>Amount  \3</t>
  </si>
  <si>
    <t>101</t>
  </si>
  <si>
    <t>105</t>
  </si>
  <si>
    <t>106</t>
  </si>
  <si>
    <t>154</t>
  </si>
  <si>
    <t>164.1</t>
  </si>
  <si>
    <t>165</t>
  </si>
  <si>
    <t>108</t>
  </si>
  <si>
    <t>111</t>
  </si>
  <si>
    <t>235.1</t>
  </si>
  <si>
    <t>253.1</t>
  </si>
  <si>
    <t>Required Inputs and Factors</t>
  </si>
  <si>
    <t>Institutional Advertising</t>
  </si>
  <si>
    <t>Intangible Plant</t>
  </si>
  <si>
    <t>302</t>
  </si>
  <si>
    <t>Franchises &amp; Consents</t>
  </si>
  <si>
    <t>Total Intangible Plant</t>
  </si>
  <si>
    <t>Production &amp; Gathering Plant</t>
  </si>
  <si>
    <t>325</t>
  </si>
  <si>
    <t>Land &amp; Land Rights</t>
  </si>
  <si>
    <t>326...9</t>
  </si>
  <si>
    <t>Structures</t>
  </si>
  <si>
    <t>330</t>
  </si>
  <si>
    <t>Gas Wells - Construction</t>
  </si>
  <si>
    <t>331</t>
  </si>
  <si>
    <t>Gas Wells - Equipment</t>
  </si>
  <si>
    <t>332...4</t>
  </si>
  <si>
    <t>Field Lines &amp; Comp, Meas &amp; Reg St Eqpt</t>
  </si>
  <si>
    <t>336</t>
  </si>
  <si>
    <t>Purification Equipment</t>
  </si>
  <si>
    <t>337</t>
  </si>
  <si>
    <t>Other Equipment</t>
  </si>
  <si>
    <t>Total Production &amp; Gathering Plant</t>
  </si>
  <si>
    <t>Distribution Plant</t>
  </si>
  <si>
    <t>374</t>
  </si>
  <si>
    <t>375</t>
  </si>
  <si>
    <t>Structures &amp; Improvements</t>
  </si>
  <si>
    <t>Total Pre-tax Rate of Return (Line 6+Line 7)</t>
  </si>
  <si>
    <t>Pre-Tax Equity Return (Line 4/(1-Line 5)</t>
  </si>
  <si>
    <t xml:space="preserve">Federal Tax Rate </t>
  </si>
  <si>
    <t>376</t>
  </si>
  <si>
    <t>Mains</t>
  </si>
  <si>
    <t>377</t>
  </si>
  <si>
    <t>GS-C</t>
  </si>
  <si>
    <t>Compressor Station Equipment</t>
  </si>
  <si>
    <t>378</t>
  </si>
  <si>
    <t>Measuring &amp; Regulation Station Equip</t>
  </si>
  <si>
    <t>380</t>
  </si>
  <si>
    <t>381...2</t>
  </si>
  <si>
    <t>Meters &amp; Meter Installation</t>
  </si>
  <si>
    <t>383...4</t>
  </si>
  <si>
    <t>House Regulators &amp; Reg Installations</t>
  </si>
  <si>
    <t>387</t>
  </si>
  <si>
    <t>Total Distribution Plant</t>
  </si>
  <si>
    <t>389</t>
  </si>
  <si>
    <t>390</t>
  </si>
  <si>
    <t>391</t>
  </si>
  <si>
    <t>Office Furniture &amp; Equipment</t>
  </si>
  <si>
    <t>392</t>
  </si>
  <si>
    <t>Transportation Equipment</t>
  </si>
  <si>
    <t>393</t>
  </si>
  <si>
    <t>Stores Equipment</t>
  </si>
  <si>
    <t>394</t>
  </si>
  <si>
    <t>Tools, Shop &amp; Garage Equipment</t>
  </si>
  <si>
    <t>395</t>
  </si>
  <si>
    <t>Laboratory Equipment</t>
  </si>
  <si>
    <t>396</t>
  </si>
  <si>
    <t>Power Operated Equipment</t>
  </si>
  <si>
    <t>397</t>
  </si>
  <si>
    <t>Communication Equipment</t>
  </si>
  <si>
    <t>398</t>
  </si>
  <si>
    <t>Miscellaneous Equipment</t>
  </si>
  <si>
    <t>Total General Plant</t>
  </si>
  <si>
    <t>Contributions in Aid  of Construction</t>
  </si>
  <si>
    <t>This Scenario</t>
  </si>
  <si>
    <t>TOTAL O &amp; M</t>
  </si>
  <si>
    <t>SYSTEM TOTAL RATE BASE</t>
  </si>
  <si>
    <t>Depreciation, Depletion, Amortization</t>
  </si>
  <si>
    <t>1641</t>
  </si>
  <si>
    <t>Utah Interruptible Transportation</t>
  </si>
  <si>
    <t>Utah Interruptible Sales</t>
  </si>
  <si>
    <t>Value of Gas Purchased During Interruption</t>
  </si>
  <si>
    <t>Capacity Release Revenues (Utah 10%)</t>
  </si>
  <si>
    <t>Net Utility Plant</t>
  </si>
  <si>
    <t>Total Other Rate Base</t>
  </si>
  <si>
    <t>Holland and Hart</t>
  </si>
  <si>
    <t>Demand</t>
  </si>
  <si>
    <t>Line #</t>
  </si>
  <si>
    <t>South Georgia Amortization</t>
  </si>
  <si>
    <t>Section 29 Tax Credits</t>
  </si>
  <si>
    <t>UTILITY RATE BASE</t>
  </si>
  <si>
    <t>Gas Plant In Service</t>
  </si>
  <si>
    <t>Gas Plant Held For Future Use</t>
  </si>
  <si>
    <t>Accum Prov For Amort &amp; Depl - Gas Plant In Svc</t>
  </si>
  <si>
    <t>NET UTILITY PLANT</t>
  </si>
  <si>
    <t>190008</t>
  </si>
  <si>
    <t>190009</t>
  </si>
  <si>
    <t>Accum Deferred Income Tax Federal</t>
  </si>
  <si>
    <t>Accum Deferred Income Tax State</t>
  </si>
  <si>
    <t>WORKING CAPITAL</t>
  </si>
  <si>
    <t>Plant Materials &amp; Operating Supplies</t>
  </si>
  <si>
    <t>Gas Stored Underground</t>
  </si>
  <si>
    <t>Prepayments</t>
  </si>
  <si>
    <t>Customer Deposits</t>
  </si>
  <si>
    <t>Unclaimed Customer Deposits</t>
  </si>
  <si>
    <t>Deferred Investment Tax Credits</t>
  </si>
  <si>
    <t>NGV Equipment Leases Revenue</t>
  </si>
  <si>
    <t>NGV Revenue - Repairs to NGV</t>
  </si>
  <si>
    <t>NGV Revenue - Sales of NGV Equipment</t>
  </si>
  <si>
    <t>Fees for Connecting Gas Service</t>
  </si>
  <si>
    <t>New Premises Fees</t>
  </si>
  <si>
    <t>Fees for Processing Bad Checks</t>
  </si>
  <si>
    <t>Contributions - Mains</t>
  </si>
  <si>
    <t>Refunds of Contributions - Mains</t>
  </si>
  <si>
    <t>GS</t>
  </si>
  <si>
    <t>Service Line Contributions - 1/2 Inch</t>
  </si>
  <si>
    <t>Service Line Contributions - 3/4 Inch</t>
  </si>
  <si>
    <t>Service Line Contributions - 1 1/4 Inch</t>
  </si>
  <si>
    <t>Misc Customer Service Revenue</t>
  </si>
  <si>
    <t>Capacity Release Revenues (Utah-20%)</t>
  </si>
  <si>
    <t>Incidental Plant Production Sales \2</t>
  </si>
  <si>
    <t>Rev from Gas Processed by Others \2</t>
  </si>
  <si>
    <t>Incidental Oil Sales \2</t>
  </si>
  <si>
    <t>Rent From Gas Property \2</t>
  </si>
  <si>
    <t>Utah Administrative &amp; General Expense</t>
  </si>
  <si>
    <t>WyomingAdministrative &amp; General Expense</t>
  </si>
  <si>
    <t>Other Gas Revenues \2</t>
  </si>
  <si>
    <t>Overriding Royalties from Celsius \2</t>
  </si>
  <si>
    <t>Oil Revenues received from Wexpro \2</t>
  </si>
  <si>
    <t>N</t>
  </si>
  <si>
    <t>Return On Equity</t>
  </si>
  <si>
    <t xml:space="preserve">Balance </t>
  </si>
  <si>
    <t>Standby Charges</t>
  </si>
  <si>
    <t>TOTAL UTILITY OPERATING REVENUE</t>
  </si>
  <si>
    <t>UTILITY OPERATING EXPENSES</t>
  </si>
  <si>
    <t>GAS PURCHASE EXPENSES</t>
  </si>
  <si>
    <t>Gas Well Royalties</t>
  </si>
  <si>
    <t>Gas Well Royalties - Other</t>
  </si>
  <si>
    <t>Gathering by Others, GRI &amp; ACA  -  Gas Cost</t>
  </si>
  <si>
    <t>Gathering by Others - SNG Cost</t>
  </si>
  <si>
    <t>Natural Gas Well Head Purchases</t>
  </si>
  <si>
    <t>Natural Gas Field Line Purchases</t>
  </si>
  <si>
    <t>Natural Gas Gasoline Plant Outlet Purchase</t>
  </si>
  <si>
    <t>Natural Gas Transmission Line - Purchases</t>
  </si>
  <si>
    <t>Natural Gas City Gate Purchases - Resources</t>
  </si>
  <si>
    <t>Natural Gas City Gate Purchases - Other</t>
  </si>
  <si>
    <t>Government Relations Dept - A&amp;G</t>
  </si>
  <si>
    <t>Purchased Gas Cost Adjustments - Other</t>
  </si>
  <si>
    <t>Purchased Gas Cost Adjustments - Utah</t>
  </si>
  <si>
    <t>Exchange Gas</t>
  </si>
  <si>
    <t>Gas Withdrawn from Underground Storage</t>
  </si>
  <si>
    <t>Gas Delivered to Underground Storage</t>
  </si>
  <si>
    <t>Other Gas Supply Expenses - Gas Cost</t>
  </si>
  <si>
    <t>Other Gas Supply Expenses - SNG Cost</t>
  </si>
  <si>
    <t>CO2 Processing Expenses</t>
  </si>
  <si>
    <t>Transportation GRI &amp; ACA - Gas Cost</t>
  </si>
  <si>
    <t>Trans &amp; Comp of Gas by Others - SNG Cost</t>
  </si>
  <si>
    <t>OPERATION AND MAINTENANCE EXPENSES</t>
  </si>
  <si>
    <t>Production Expenses</t>
  </si>
  <si>
    <t>Gas Used for Compressor Station Fuel</t>
  </si>
  <si>
    <t>Gas Used for Other Utility Operations</t>
  </si>
  <si>
    <t>Total Production Expenses</t>
  </si>
  <si>
    <t>Distribution Operations &amp; Maintenance Expenses</t>
  </si>
  <si>
    <t>Operation Supervision &amp; Engineering</t>
  </si>
  <si>
    <t>Distribution Load Dispatching</t>
  </si>
  <si>
    <t>Test Period Production Rate Base</t>
  </si>
  <si>
    <t>Compressor Station Labor &amp; Expenses</t>
  </si>
  <si>
    <t>Compressor Station Fuel &amp; Power</t>
  </si>
  <si>
    <t>Mains &amp; Service Expenses</t>
  </si>
  <si>
    <t>Measuring &amp; Regulating Station Expenses</t>
  </si>
  <si>
    <t>Meter &amp; House Regulator Expenses</t>
  </si>
  <si>
    <t>Customer Installations Expenses</t>
  </si>
  <si>
    <t>Other Expenses</t>
  </si>
  <si>
    <t>Rents</t>
  </si>
  <si>
    <t>Maintenance Supervision &amp; Engineering</t>
  </si>
  <si>
    <t>Maintenance of Structures &amp; Improvements</t>
  </si>
  <si>
    <t>Maintenance of Mains</t>
  </si>
  <si>
    <t>Maint of Compressor Station Equipment</t>
  </si>
  <si>
    <t>Maint of Meas. &amp; Reg. Station Equipment</t>
  </si>
  <si>
    <t>Maintenance of Services</t>
  </si>
  <si>
    <t>Maintenance of Meters &amp; House Regulators</t>
  </si>
  <si>
    <t>Revenues are lagging the Charge Offs by 6 Months.</t>
  </si>
  <si>
    <t>Maintenance of Communication Equipment</t>
  </si>
  <si>
    <t>Adjusted % of Uncollectible Accounts to Total Revenues</t>
  </si>
  <si>
    <t>Maintenance of Other Equipment</t>
  </si>
  <si>
    <t>Customer Accounts Expense</t>
  </si>
  <si>
    <t>Supervision</t>
  </si>
  <si>
    <t>Meter Reading Expense</t>
  </si>
  <si>
    <t>Customer Records Expense</t>
  </si>
  <si>
    <t>Collection Expense</t>
  </si>
  <si>
    <t>Interest Exp - Customer Security Deposits</t>
  </si>
  <si>
    <t>NES Inc</t>
  </si>
  <si>
    <t>Uncollectible Accounts</t>
  </si>
  <si>
    <t>Miscellaneous Expense</t>
  </si>
  <si>
    <t>Customer Service &amp; Information Expense</t>
  </si>
  <si>
    <t>Customer Assistance Expense</t>
  </si>
  <si>
    <t>488001</t>
  </si>
  <si>
    <t>488002</t>
  </si>
  <si>
    <t>488003</t>
  </si>
  <si>
    <t>488004</t>
  </si>
  <si>
    <t>BLANK</t>
  </si>
  <si>
    <t>488005</t>
  </si>
  <si>
    <t>488006</t>
  </si>
  <si>
    <t>488007</t>
  </si>
  <si>
    <t>488008</t>
  </si>
  <si>
    <t>488009</t>
  </si>
  <si>
    <t>488010</t>
  </si>
  <si>
    <t>(A)</t>
  </si>
  <si>
    <t>Info &amp; Instructional Advertising Expense</t>
  </si>
  <si>
    <t>Misc Customer Service &amp; Info Expense</t>
  </si>
  <si>
    <t>Administrative &amp; General Expense</t>
  </si>
  <si>
    <t>Administrative &amp; General Salaries</t>
  </si>
  <si>
    <t>Office Supplies &amp; Expenses</t>
  </si>
  <si>
    <t>Administrative Expenses Transferred</t>
  </si>
  <si>
    <t>Outside Services Employed</t>
  </si>
  <si>
    <t>Property Insurance</t>
  </si>
  <si>
    <t>Injuries &amp; Damages</t>
  </si>
  <si>
    <t>Employee Pensions &amp; Benefits</t>
  </si>
  <si>
    <t>General Advertising Expenses</t>
  </si>
  <si>
    <t xml:space="preserve">Sales For Resale </t>
  </si>
  <si>
    <t>Miscellaneous General Expenses</t>
  </si>
  <si>
    <t>Maintenance of General Plant</t>
  </si>
  <si>
    <t>Total Administrative &amp; General Expense</t>
  </si>
  <si>
    <t>OTHER UTILITY OPERATING EXPENSES</t>
  </si>
  <si>
    <t>Depreciation, Amortization, &amp; Other Taxes</t>
  </si>
  <si>
    <t>Depreciation Expense</t>
  </si>
  <si>
    <t>Production</t>
  </si>
  <si>
    <t>255</t>
  </si>
  <si>
    <t>282.0</t>
  </si>
  <si>
    <t>282.1</t>
  </si>
  <si>
    <t xml:space="preserve"> \1</t>
  </si>
  <si>
    <t xml:space="preserve"> \2</t>
  </si>
  <si>
    <t>See Wexpro Stipulation and Agreement, Exhibit E, Section 5(b).</t>
  </si>
  <si>
    <t xml:space="preserve"> \3</t>
  </si>
  <si>
    <t>Column B x Column C.</t>
  </si>
  <si>
    <t>Month</t>
  </si>
  <si>
    <t>Balance</t>
  </si>
  <si>
    <t>Monthly</t>
  </si>
  <si>
    <t>1/</t>
  </si>
  <si>
    <t>Total Utah Revenue</t>
  </si>
  <si>
    <t>Total Utah Dth</t>
  </si>
  <si>
    <t>Idaho</t>
  </si>
  <si>
    <t>Total Idaho Revenue</t>
  </si>
  <si>
    <t>Total Idaho Dth</t>
  </si>
  <si>
    <t xml:space="preserve"> (To Commodity Costs) </t>
  </si>
  <si>
    <t>Workpaper 1</t>
  </si>
  <si>
    <t>WY</t>
  </si>
  <si>
    <t>CO</t>
  </si>
  <si>
    <t xml:space="preserve">Wyoming Taxpayers Association </t>
  </si>
  <si>
    <t>Depreciation, Deplection, Amortization</t>
  </si>
  <si>
    <t>(To Commodity Costs)</t>
  </si>
  <si>
    <t>Wyoming Dist</t>
  </si>
  <si>
    <t>Utah Dist</t>
  </si>
  <si>
    <t>Accounts 101 &amp; 106 Non Gen Plant</t>
  </si>
  <si>
    <t>Allocation of Production by Dth Sales</t>
  </si>
  <si>
    <t>Rate Base Allocation Method</t>
  </si>
  <si>
    <t>Gross Plant</t>
  </si>
  <si>
    <t>Dth Sales By State</t>
  </si>
  <si>
    <t>Allocation Base #3 - Sales</t>
  </si>
  <si>
    <t>Golf Tournament</t>
  </si>
  <si>
    <t>Adjustment (Accrual Less 5 Yr Average Actual Payments)</t>
  </si>
  <si>
    <t>Accum Deferred Income Taxes - Federal</t>
  </si>
  <si>
    <t>Accum Deferred Income Taxes - State</t>
  </si>
  <si>
    <t>Cost of Service - Including Gas Costs</t>
  </si>
  <si>
    <t>Gas Purchase Expenses</t>
  </si>
  <si>
    <t>Operation &amp; Maintenance Expenses</t>
  </si>
  <si>
    <t>Taxes - Excluding Income Taxes</t>
  </si>
  <si>
    <t>Reserve Accrual HISTORICAL</t>
  </si>
  <si>
    <t>Income Taxes - Federal &amp; State</t>
  </si>
  <si>
    <t>Working Capital - Cash Factor</t>
  </si>
  <si>
    <t>NET INCOME SUMMARY</t>
  </si>
  <si>
    <t>System Distribution Non-Gas Revenue</t>
  </si>
  <si>
    <t>System Supplier Non-Gas Revenue</t>
  </si>
  <si>
    <t>System Commodity Revenue</t>
  </si>
  <si>
    <t>Pass-Through Related Other Revenue</t>
  </si>
  <si>
    <t>General Related Other Revenue</t>
  </si>
  <si>
    <t>Misc Customer Credits</t>
  </si>
  <si>
    <t>Removed</t>
  </si>
  <si>
    <t>From Corp</t>
  </si>
  <si>
    <t>% of Uncollectible Accounts to Total Revenues</t>
  </si>
  <si>
    <t>Total Utility Operating Revenue</t>
  </si>
  <si>
    <t>Total Gas Purchase Expenses</t>
  </si>
  <si>
    <t>O&amp;M Expenses</t>
  </si>
  <si>
    <t>Distribution</t>
  </si>
  <si>
    <t>Customer Accounts</t>
  </si>
  <si>
    <t>Customer Service &amp; Information</t>
  </si>
  <si>
    <t>Administrative &amp; General</t>
  </si>
  <si>
    <t>Total O&amp;M Expense</t>
  </si>
  <si>
    <t>Other Operating Expenses</t>
  </si>
  <si>
    <t>ROE</t>
  </si>
  <si>
    <t>CHARGE OFFS (ACC 144004) Dec of Each Year</t>
  </si>
  <si>
    <t>COLLECTED (ACC 144005) Dec of Each Year</t>
  </si>
  <si>
    <t>FS</t>
  </si>
  <si>
    <t>HISTORICAL BOOKED SYSTEM REVENUES (GREY BACK) June of Each Year</t>
  </si>
  <si>
    <t>6 Months af aging is required from time of billing to Charge Off.</t>
  </si>
  <si>
    <t>Total Other Operating Expenses</t>
  </si>
  <si>
    <t>Total Utility Operating Expenses</t>
  </si>
  <si>
    <t>NET OPERATING INCOME</t>
  </si>
  <si>
    <t>ADDITIONS TO RATE BASE</t>
  </si>
  <si>
    <t>Completed Construction Not Classified</t>
  </si>
  <si>
    <t>Materials &amp; Supplies</t>
  </si>
  <si>
    <t>Working Capital - Cash</t>
  </si>
  <si>
    <t>Total Additions To Rate Base</t>
  </si>
  <si>
    <t>DEDUCTIONS FROM RATE BASE</t>
  </si>
  <si>
    <t>Accumulated Depreciation</t>
  </si>
  <si>
    <t>Accumulated Amort &amp; Depletion</t>
  </si>
  <si>
    <t>Total Corporate Financial Advertising</t>
  </si>
  <si>
    <t>LONG-TERM DEBIT COST %</t>
  </si>
  <si>
    <t>Customers</t>
  </si>
  <si>
    <t>Dist - Wy - Mains - LD</t>
  </si>
  <si>
    <t>Dist - Wy - Mains - Feeders</t>
  </si>
  <si>
    <t>Total Wyoming</t>
  </si>
  <si>
    <t>Dist - Ut - Mains - SD</t>
  </si>
  <si>
    <t>Dist - Ut - Mains - LD</t>
  </si>
  <si>
    <t>Dist - Ut - Mains - Feeders</t>
  </si>
  <si>
    <t>Total Utah</t>
  </si>
  <si>
    <t>Gross-Up Factor</t>
  </si>
  <si>
    <t>164-1</t>
  </si>
  <si>
    <t>235-1</t>
  </si>
  <si>
    <t>253-1</t>
  </si>
  <si>
    <t>Utah Totals</t>
  </si>
  <si>
    <t>Idaho Totals</t>
  </si>
  <si>
    <t>Wyoming Totals</t>
  </si>
  <si>
    <t>To Commodity Costs)</t>
  </si>
  <si>
    <t>Colorado Totals</t>
  </si>
  <si>
    <t>Non-Core DNG Revenue Credits</t>
  </si>
  <si>
    <t>System Total Other Revenues</t>
  </si>
  <si>
    <t>(A - B)</t>
  </si>
  <si>
    <t>ADJUSTMENT</t>
  </si>
  <si>
    <t>Utah Other Revenues</t>
  </si>
  <si>
    <t>Pass-Through Other Revenues</t>
  </si>
  <si>
    <t>General Other Revenues</t>
  </si>
  <si>
    <t>Utah Total Other Revenues</t>
  </si>
  <si>
    <t>Wyoming Other Revenues</t>
  </si>
  <si>
    <t>Wyoming Total Other Revenues</t>
  </si>
  <si>
    <t>System Total Other Revenue</t>
  </si>
  <si>
    <t>PT</t>
  </si>
  <si>
    <t>G</t>
  </si>
  <si>
    <t>System Total Gas Purchase Expenses</t>
  </si>
  <si>
    <t>Utah Distribution O&amp;M Expenses</t>
  </si>
  <si>
    <t>Wyoming Distribution O&amp;M Expenses</t>
  </si>
  <si>
    <t>System Total Distribution O&amp;M Expenses</t>
  </si>
  <si>
    <t>UT</t>
  </si>
  <si>
    <t>FT2C</t>
  </si>
  <si>
    <t>FT1L</t>
  </si>
  <si>
    <t>Federal Income Tax Rate</t>
  </si>
  <si>
    <t>State Income Tax Rate</t>
  </si>
  <si>
    <t>Weight of Debt in Capital Structure</t>
  </si>
  <si>
    <t>Cost of Debt</t>
  </si>
  <si>
    <t>Net Lead Lag Days</t>
  </si>
  <si>
    <t>Gas Expenses</t>
  </si>
  <si>
    <t xml:space="preserve">Depreciation </t>
  </si>
  <si>
    <t>Amortization</t>
  </si>
  <si>
    <t>Non-Income Taxes</t>
  </si>
  <si>
    <t>Rate Base excluding CWC</t>
  </si>
  <si>
    <t>Deferred Income Taxes - Credit</t>
  </si>
  <si>
    <t>CWC = CWC* + (NLD/365)∙IT</t>
  </si>
  <si>
    <t>CWC is a function of IT, and</t>
  </si>
  <si>
    <r>
      <t>IT = IT* - (t</t>
    </r>
    <r>
      <rPr>
        <vertAlign val="subscript"/>
        <sz val="8"/>
        <rFont val="Arial"/>
        <family val="2"/>
      </rPr>
      <t>S</t>
    </r>
    <r>
      <rPr>
        <sz val="10"/>
        <rFont val="Arial"/>
        <family val="2"/>
      </rPr>
      <t>+t</t>
    </r>
    <r>
      <rPr>
        <vertAlign val="subscript"/>
        <sz val="8"/>
        <rFont val="Arial"/>
        <family val="2"/>
      </rPr>
      <t>F</t>
    </r>
    <r>
      <rPr>
        <sz val="10"/>
        <rFont val="Arial"/>
        <family val="2"/>
      </rPr>
      <t>∙(1-t</t>
    </r>
    <r>
      <rPr>
        <vertAlign val="subscript"/>
        <sz val="8"/>
        <rFont val="Arial"/>
        <family val="2"/>
      </rPr>
      <t>S</t>
    </r>
    <r>
      <rPr>
        <sz val="10"/>
        <rFont val="Arial"/>
        <family val="2"/>
      </rPr>
      <t>))∙r</t>
    </r>
    <r>
      <rPr>
        <vertAlign val="subscript"/>
        <sz val="8"/>
        <rFont val="Arial"/>
        <family val="2"/>
      </rPr>
      <t>D</t>
    </r>
    <r>
      <rPr>
        <sz val="10"/>
        <rFont val="Arial"/>
        <family val="2"/>
      </rPr>
      <t>∙w</t>
    </r>
    <r>
      <rPr>
        <vertAlign val="subscript"/>
        <sz val="8"/>
        <rFont val="Arial"/>
        <family val="2"/>
      </rPr>
      <t>D</t>
    </r>
    <r>
      <rPr>
        <sz val="10"/>
        <rFont val="Arial"/>
        <family val="2"/>
      </rPr>
      <t>∙CWC</t>
    </r>
  </si>
  <si>
    <t>IT is a function of CWC</t>
  </si>
  <si>
    <t>where IT = SIT + FIT + DIT + DITCr, and</t>
  </si>
  <si>
    <r>
      <t>CWC*</t>
    </r>
    <r>
      <rPr>
        <sz val="8"/>
        <rFont val="Arial"/>
        <family val="2"/>
      </rPr>
      <t xml:space="preserve"> =</t>
    </r>
  </si>
  <si>
    <t>IT* =</t>
  </si>
  <si>
    <t>Solution:</t>
  </si>
  <si>
    <t>CWC =</t>
  </si>
  <si>
    <t>SIT =</t>
  </si>
  <si>
    <t>FIT =</t>
  </si>
  <si>
    <t>IT =</t>
  </si>
  <si>
    <t>Tax &amp; Bad Debt Factor</t>
  </si>
  <si>
    <t>Distribution - Wyoming</t>
  </si>
  <si>
    <t>Distribution - Utah</t>
  </si>
  <si>
    <t>General</t>
  </si>
  <si>
    <t>Total Depreciation Expense</t>
  </si>
  <si>
    <t>Amortization and Depletion</t>
  </si>
  <si>
    <t>Total Amortization Expense</t>
  </si>
  <si>
    <t>Taxes Other Than Income Taxes</t>
  </si>
  <si>
    <t>Total Other Taxes</t>
  </si>
  <si>
    <t>Income Taxes</t>
  </si>
  <si>
    <t>Income Taxes - Federal</t>
  </si>
  <si>
    <t>Income Taxes - State</t>
  </si>
  <si>
    <t>Deferred Income Taxes</t>
  </si>
  <si>
    <t>Deferred Income Tax Credit</t>
  </si>
  <si>
    <t>Investment Tax Credit Adjustment</t>
  </si>
  <si>
    <t>ALGEBRAIC METHOD - SOLVING FOR TWO UNKNOWNS</t>
  </si>
  <si>
    <t>RATE BASE METHOD</t>
  </si>
  <si>
    <r>
      <t>t</t>
    </r>
    <r>
      <rPr>
        <vertAlign val="subscript"/>
        <sz val="8"/>
        <rFont val="Arial"/>
        <family val="2"/>
      </rPr>
      <t>F</t>
    </r>
  </si>
  <si>
    <r>
      <t>t</t>
    </r>
    <r>
      <rPr>
        <vertAlign val="subscript"/>
        <sz val="8"/>
        <rFont val="Arial"/>
        <family val="2"/>
      </rPr>
      <t>S</t>
    </r>
  </si>
  <si>
    <r>
      <t>w</t>
    </r>
    <r>
      <rPr>
        <vertAlign val="subscript"/>
        <sz val="8"/>
        <rFont val="Arial"/>
        <family val="2"/>
      </rPr>
      <t>D</t>
    </r>
  </si>
  <si>
    <r>
      <t>r</t>
    </r>
    <r>
      <rPr>
        <vertAlign val="subscript"/>
        <sz val="8"/>
        <rFont val="Arial"/>
        <family val="2"/>
      </rPr>
      <t>D</t>
    </r>
  </si>
  <si>
    <t>NLD</t>
  </si>
  <si>
    <t>R</t>
  </si>
  <si>
    <t>GAS</t>
  </si>
  <si>
    <t>O&amp;M</t>
  </si>
  <si>
    <t>DEPR</t>
  </si>
  <si>
    <t>AMORT</t>
  </si>
  <si>
    <t>NIT</t>
  </si>
  <si>
    <t>RB*</t>
  </si>
  <si>
    <t>DIT</t>
  </si>
  <si>
    <t>DITCr</t>
  </si>
  <si>
    <t>OPERATING INCOME METHOD</t>
  </si>
  <si>
    <t>Depreciation</t>
  </si>
  <si>
    <t>Taxes Other Than Income</t>
  </si>
  <si>
    <t>Net Utility Income Before Tax</t>
  </si>
  <si>
    <t>Proposed Weighted Cost of Debt</t>
  </si>
  <si>
    <t>Imputed Interest</t>
  </si>
  <si>
    <t>State Taxable Income</t>
  </si>
  <si>
    <t>State Income Tax</t>
  </si>
  <si>
    <t>Federal Taxable Income</t>
  </si>
  <si>
    <t>Federal Income Tax</t>
  </si>
  <si>
    <t>Total Income Tax</t>
  </si>
  <si>
    <t>ADJ From Avg</t>
  </si>
  <si>
    <t>FORMULA</t>
  </si>
  <si>
    <t>Reserve Accrual</t>
  </si>
  <si>
    <t>Removal of Financial Based Payouts</t>
  </si>
  <si>
    <t>TOTAL WEXPRO PLANT ADJUSTMENT</t>
  </si>
  <si>
    <t>Utah Adjustment</t>
  </si>
  <si>
    <t>Wyoming Adjustment</t>
  </si>
  <si>
    <t>Sporting Events</t>
  </si>
  <si>
    <t>5 Year Average</t>
  </si>
  <si>
    <t>System Total Customer Accounts Exp</t>
  </si>
  <si>
    <t>Utah Customer Accounts Expenses</t>
  </si>
  <si>
    <t>REPORT CHECK: MUST BE (0) ======&gt;</t>
  </si>
  <si>
    <t>Wyoming Customer Accounts Expenses</t>
  </si>
  <si>
    <t>System Total Cust Service &amp; Info Exp</t>
  </si>
  <si>
    <t>Utah Total Cust Service &amp; Info Exp</t>
  </si>
  <si>
    <t>Wyoming Total Cust Service &amp; Info Exp</t>
  </si>
  <si>
    <t>Total Utility O&amp;M Expenses</t>
  </si>
  <si>
    <t>SYSTEM TOTAL UTILITY OPERATING EXPENSES</t>
  </si>
  <si>
    <t>Total Utility Other Operating Expenses</t>
  </si>
  <si>
    <t>Total Depreciation, Deplec &amp; Amort</t>
  </si>
  <si>
    <t>Tax Expenses</t>
  </si>
  <si>
    <t>Total Tax Expenses</t>
  </si>
  <si>
    <t>SystemTotal Tariff Revenue</t>
  </si>
  <si>
    <t>Gas Plant in Service</t>
  </si>
  <si>
    <t>Complete Construction Not Yet Classified</t>
  </si>
  <si>
    <t>Accum Prov For Deprec - Gas Plant In Svc</t>
  </si>
  <si>
    <t>System Net Utility Plant</t>
  </si>
  <si>
    <t>System Working Capital (W/O WC Cash)</t>
  </si>
  <si>
    <t>Deprec, Depl, &amp; Amort</t>
  </si>
  <si>
    <t xml:space="preserve">Percent </t>
  </si>
  <si>
    <t>Amount</t>
  </si>
  <si>
    <t>CAPITAL STRUCTURE</t>
  </si>
  <si>
    <t>Other Revenues</t>
  </si>
  <si>
    <t>Daily Cost of Service</t>
  </si>
  <si>
    <t>System Average Rate Base</t>
  </si>
  <si>
    <t>Adj System Return On Rate Base</t>
  </si>
  <si>
    <t>Allowed Return</t>
  </si>
  <si>
    <t>System Weighted Cost Of Debt</t>
  </si>
  <si>
    <t>Imputed Interest Cost</t>
  </si>
  <si>
    <t>Taxable Return</t>
  </si>
  <si>
    <t>Tax Factor (Tax Rate/(1-Tax Rate))</t>
  </si>
  <si>
    <t>IS</t>
  </si>
  <si>
    <t>TS</t>
  </si>
  <si>
    <t>Income Tax on Return</t>
  </si>
  <si>
    <t>Historically Adjusted Income Taxes</t>
  </si>
  <si>
    <t>Tax Adjustment</t>
  </si>
  <si>
    <t>Blank</t>
  </si>
  <si>
    <t>Wexpro</t>
  </si>
  <si>
    <t>RATE BASE (W/O Working Cap. Cash)</t>
  </si>
  <si>
    <t>(D)</t>
  </si>
  <si>
    <t>(E)</t>
  </si>
  <si>
    <t>CET</t>
  </si>
  <si>
    <t>WORKING CAPITAL - CASH (General Plant)</t>
  </si>
  <si>
    <t>MT</t>
  </si>
  <si>
    <t>Sales</t>
  </si>
  <si>
    <t>Trans</t>
  </si>
  <si>
    <t>813.5</t>
  </si>
  <si>
    <t>Utah General Gas Purchase Exp</t>
  </si>
  <si>
    <t>Utah Pass Through Gas Purchase Exp</t>
  </si>
  <si>
    <t>Utah Timing Differences</t>
  </si>
  <si>
    <t>Wyoming Timing Differences</t>
  </si>
  <si>
    <t>Wyoming General Gas Purchase Exp</t>
  </si>
  <si>
    <t>Wyoming Pass Through Gas Purch Exp</t>
  </si>
  <si>
    <t>7581</t>
  </si>
  <si>
    <t>8041</t>
  </si>
  <si>
    <t>8051</t>
  </si>
  <si>
    <t>8081</t>
  </si>
  <si>
    <t>8082</t>
  </si>
  <si>
    <t>8083</t>
  </si>
  <si>
    <t>8135</t>
  </si>
  <si>
    <t>Trans &amp; Comp by Others - SNG Cost</t>
  </si>
  <si>
    <t>Natural Gas Trans Line - Purchases</t>
  </si>
  <si>
    <t>Y</t>
  </si>
  <si>
    <t>Natural Gas City Gate Purch - Resources</t>
  </si>
  <si>
    <t>Total Mains</t>
  </si>
  <si>
    <t>General Plant</t>
  </si>
  <si>
    <t>101  Gas Plant In Service</t>
  </si>
  <si>
    <t>FERC</t>
  </si>
  <si>
    <t>Natural Gas City Gate Purch - Other</t>
  </si>
  <si>
    <t>Average</t>
  </si>
  <si>
    <t>13 Month</t>
  </si>
  <si>
    <t>Purchased Gas Cost Adj - Other</t>
  </si>
  <si>
    <t>Government Relations Dept - Labor &amp; Overhead</t>
  </si>
  <si>
    <t>Purchased Gas Cost Adj - Utah</t>
  </si>
  <si>
    <t>Gas Withdrawn Underground Storage</t>
  </si>
  <si>
    <t>Natural Gas Gasoline Plant Outlet Purch</t>
  </si>
  <si>
    <t>Gath by Others, GRI &amp; ACA  -  Gas Cost</t>
  </si>
  <si>
    <t>Utah Gas Purchase Exp</t>
  </si>
  <si>
    <t>Wyoming Gas Purchase Exp</t>
  </si>
  <si>
    <t>Utah Gathering &amp; CO2</t>
  </si>
  <si>
    <t>Wyoming Gathering &amp; CO2</t>
  </si>
  <si>
    <t>Total Gathering &amp; CO2</t>
  </si>
  <si>
    <t>Bonds - Long Term</t>
  </si>
  <si>
    <t>Unamort Loss on Reacq Debt</t>
  </si>
  <si>
    <t>Unamortized Debt Expense</t>
  </si>
  <si>
    <t>Interest - Long term Debt</t>
  </si>
  <si>
    <t>Amortization of Debt Discount &amp; Expense</t>
  </si>
  <si>
    <t>COMMON EQUITY</t>
  </si>
  <si>
    <t>Common Stock Issued</t>
  </si>
  <si>
    <t>Premium on Common Stock</t>
  </si>
  <si>
    <t>Unappropriated Ret. Earnings</t>
  </si>
  <si>
    <t>TOTAL COMMON EQUITY</t>
  </si>
  <si>
    <t>TOTAL CAPITAL</t>
  </si>
  <si>
    <t>Rate Base</t>
  </si>
  <si>
    <t>Jurisdictional Allocation Base Summary</t>
  </si>
  <si>
    <t>#1</t>
  </si>
  <si>
    <t>#2</t>
  </si>
  <si>
    <t>#3</t>
  </si>
  <si>
    <t>#4</t>
  </si>
  <si>
    <t>#5</t>
  </si>
  <si>
    <t>PT = Pass Through Item</t>
  </si>
  <si>
    <t>Wyoming Method &amp; Allocations</t>
  </si>
  <si>
    <t>Scenario Title 1</t>
  </si>
  <si>
    <t>Scenario Title 2</t>
  </si>
  <si>
    <t>Utah Method &amp; Allocations</t>
  </si>
  <si>
    <t>Gross Plant Allocation Formulas</t>
  </si>
  <si>
    <t>Dth Sales Allocation Formulas</t>
  </si>
  <si>
    <t>Allocation Base # 1 - Gross Plant</t>
  </si>
  <si>
    <t>Allocation Base #2 - Rate Base</t>
  </si>
  <si>
    <t>Note: Allocation based on sales by state including interruptible sales.  May want to change to just include Firm Sales</t>
  </si>
  <si>
    <t>Rate Base Allocation Formulas</t>
  </si>
  <si>
    <t>Alloc Base</t>
  </si>
  <si>
    <t>Allocated</t>
  </si>
  <si>
    <t>TOTAL</t>
  </si>
  <si>
    <t>FTE</t>
  </si>
  <si>
    <t>GSW</t>
  </si>
  <si>
    <t>H</t>
  </si>
  <si>
    <t>(G)</t>
  </si>
  <si>
    <t>Wyo Non-Core DNG Revenue Credits</t>
  </si>
  <si>
    <t>HOT</t>
  </si>
  <si>
    <t>923000</t>
  </si>
  <si>
    <t>3 YR AVERAGE</t>
  </si>
  <si>
    <t xml:space="preserve">12 MONTHS </t>
  </si>
  <si>
    <t>Weighted Cost of Capital</t>
  </si>
  <si>
    <t>PRE TAX RATE OF RETURN</t>
  </si>
  <si>
    <t>Effective Tax Rate</t>
  </si>
  <si>
    <t>Total Adjustment</t>
  </si>
  <si>
    <t>E</t>
  </si>
  <si>
    <t>F</t>
  </si>
  <si>
    <t>Services</t>
  </si>
  <si>
    <t>Short Term Debt</t>
  </si>
  <si>
    <t>Montana</t>
  </si>
  <si>
    <t>Nevada</t>
  </si>
  <si>
    <t>New Mexico</t>
  </si>
  <si>
    <t>Gross Receipts</t>
  </si>
  <si>
    <t>Total Gas Plant In Service</t>
  </si>
  <si>
    <t>07</t>
  </si>
  <si>
    <t>(F)</t>
  </si>
  <si>
    <t>Revenues</t>
  </si>
  <si>
    <t>A</t>
  </si>
  <si>
    <t>B</t>
  </si>
  <si>
    <t>C</t>
  </si>
  <si>
    <t>D</t>
  </si>
  <si>
    <t>RETURN ON RATE BASE</t>
  </si>
  <si>
    <t>DEFICIENCY</t>
  </si>
  <si>
    <t>TOTAL RATE BASE</t>
  </si>
  <si>
    <t>Imputed Tax Adjustment</t>
  </si>
  <si>
    <t>231</t>
  </si>
  <si>
    <t>Notes Paybles-Outside Companies</t>
  </si>
  <si>
    <t>CAPITAL COMPONENT</t>
  </si>
  <si>
    <t xml:space="preserve">     Cost</t>
  </si>
  <si>
    <t>GSS</t>
  </si>
  <si>
    <t>F-1</t>
  </si>
  <si>
    <t>NGV</t>
  </si>
  <si>
    <t>F-3</t>
  </si>
  <si>
    <t>Supplier Non-Gas Demand Revenue</t>
  </si>
  <si>
    <t>Commodity Tariff Revenue</t>
  </si>
  <si>
    <t>Commodity Demand Revenue</t>
  </si>
  <si>
    <t>Junior Achievement</t>
  </si>
  <si>
    <t>3 YR BAD DEBT AVG FACTOR</t>
  </si>
  <si>
    <t>SYSTEM ADJUSTMENT</t>
  </si>
  <si>
    <t>System Adjustment</t>
  </si>
  <si>
    <t>Vendor</t>
  </si>
  <si>
    <t>Employee</t>
  </si>
  <si>
    <t>Recognition</t>
  </si>
  <si>
    <t>Pub. Relations</t>
  </si>
  <si>
    <t>Total Tickets</t>
  </si>
  <si>
    <t>Lead-Lag Factor</t>
  </si>
  <si>
    <t xml:space="preserve">DISTRIGAS  ALLOCATION </t>
  </si>
  <si>
    <t>928</t>
  </si>
  <si>
    <t>Regulatory Expense</t>
  </si>
  <si>
    <t>935</t>
  </si>
  <si>
    <t>Utah Administrative &amp; General Exp</t>
  </si>
  <si>
    <t>Wyoming Administrative &amp; General Exp</t>
  </si>
  <si>
    <t>System Total Administrative &amp; General Exp</t>
  </si>
  <si>
    <t>All Accounts</t>
  </si>
  <si>
    <t>Account 164 - Underground Storage</t>
  </si>
  <si>
    <t>Rate Class</t>
  </si>
  <si>
    <t>Grand Total</t>
  </si>
  <si>
    <t xml:space="preserve"> </t>
  </si>
  <si>
    <t>Historical</t>
  </si>
  <si>
    <t>12 Months</t>
  </si>
  <si>
    <t>FERC Acct</t>
  </si>
  <si>
    <t>Description</t>
  </si>
  <si>
    <t>UTILITY OPERATING REVENUE</t>
  </si>
  <si>
    <t>Weighting of states</t>
  </si>
  <si>
    <t>Gross-Up Factors</t>
  </si>
  <si>
    <t>Tax Factor</t>
  </si>
  <si>
    <t>Calculation of Effective Income Tax Rate and Gross-Up Factors</t>
  </si>
  <si>
    <t>Combined Rate = Average State Rate + (Federal Rate * (1 - Average State Rate))</t>
  </si>
  <si>
    <t>Tax &amp; Bad Debt Gross-Up Factor</t>
  </si>
  <si>
    <t>Combined Federal &amp; State Tax Rate</t>
  </si>
  <si>
    <t>Tax Factor = (Tax Rate/(1 - Tax Rate))</t>
  </si>
  <si>
    <t>Gross-Up Factor = 1 / (1 - Tax Rate))</t>
  </si>
  <si>
    <t>Adjustment to Reflect change in Security Deposits</t>
  </si>
  <si>
    <t>BOOKED</t>
  </si>
  <si>
    <t>ACTUAL</t>
  </si>
  <si>
    <t>Voucher</t>
  </si>
  <si>
    <t>ShortName</t>
  </si>
  <si>
    <t>UTAHJAZZ-001</t>
  </si>
  <si>
    <t>SYSTEM Distribution Non-Gas Rev</t>
  </si>
  <si>
    <t>TOTAL Commodity Revenue</t>
  </si>
  <si>
    <t>13 Month Average</t>
  </si>
  <si>
    <t>Structures &amp; Improyements</t>
  </si>
  <si>
    <t>Deferred Inyestment Tax Credits</t>
  </si>
  <si>
    <t>Accum Proy For Deprec - Gas Plant In Svc</t>
  </si>
  <si>
    <t>Total 904</t>
  </si>
  <si>
    <t xml:space="preserve">Rate Base </t>
  </si>
  <si>
    <t>EXPENSES</t>
  </si>
  <si>
    <t>SNG and Commodity of acc 904 Removal</t>
  </si>
  <si>
    <t>Reserve Accrual Adjustment</t>
  </si>
  <si>
    <t>(H)</t>
  </si>
  <si>
    <t>REVENUE CHANGE</t>
  </si>
  <si>
    <t>GS-R</t>
  </si>
  <si>
    <t>COMMODITY</t>
  </si>
  <si>
    <t>SYSTEM NON GS</t>
  </si>
  <si>
    <t>SYSTEM FIRM SALES</t>
  </si>
  <si>
    <t>SYSTEM TRANSPORTATION</t>
  </si>
  <si>
    <t>F-S</t>
  </si>
  <si>
    <t>Labor Annualization</t>
  </si>
  <si>
    <t>Labor Adjustment</t>
  </si>
  <si>
    <t>CHECKS MUST BE (0)</t>
  </si>
  <si>
    <t>RESULTING TOTAL</t>
  </si>
  <si>
    <t>FILLED  AND EXTERNAL PARTY ADJUSTMENTS</t>
  </si>
  <si>
    <t>UT SUBTOTALS FROM PRN</t>
  </si>
  <si>
    <t xml:space="preserve">UTAH TOTAL </t>
  </si>
  <si>
    <t>UTAH CHECK</t>
  </si>
  <si>
    <t>WYO</t>
  </si>
  <si>
    <t>FT1</t>
  </si>
  <si>
    <t>Less Booked System UT DNG Bad Debt</t>
  </si>
  <si>
    <t>Less Booked System WY DNG Bad Debt</t>
  </si>
  <si>
    <t>3YR Average UT DNG Bad Debt</t>
  </si>
  <si>
    <t>UT Distribution Non Gas Rev</t>
  </si>
  <si>
    <t>WY Distribution Non Gas Rev</t>
  </si>
  <si>
    <t>3 YR Average WY DNG Bad Debt</t>
  </si>
  <si>
    <t>Bad Debt %</t>
  </si>
  <si>
    <t>TSP</t>
  </si>
  <si>
    <t>Donations</t>
  </si>
  <si>
    <t>Utah Jazz</t>
  </si>
  <si>
    <t xml:space="preserve">SCHEDULE I </t>
  </si>
  <si>
    <t>QUESTAR CORPORATION</t>
  </si>
  <si>
    <t>ALLOCATION PERCENTAGES FOR CORPORATE CHARGES</t>
  </si>
  <si>
    <t>DISTRIGAS FORMULA</t>
  </si>
  <si>
    <t>(Dollars in thousands)</t>
  </si>
  <si>
    <t>Gross Revenues</t>
  </si>
  <si>
    <t>DISTRIGAS</t>
  </si>
  <si>
    <t>less Product Costs  *</t>
  </si>
  <si>
    <t>Gross Payroll</t>
  </si>
  <si>
    <t>PERCENTAGES</t>
  </si>
  <si>
    <t>Excludes Questar Corp. - parent</t>
  </si>
  <si>
    <t>(a)</t>
  </si>
  <si>
    <t>(b)</t>
  </si>
  <si>
    <t>(c)</t>
  </si>
  <si>
    <t>(d)</t>
  </si>
  <si>
    <t>(e)</t>
  </si>
  <si>
    <t>(f)</t>
  </si>
  <si>
    <t>(g)</t>
  </si>
  <si>
    <t>1.</t>
  </si>
  <si>
    <t>2.</t>
  </si>
  <si>
    <t>3.</t>
  </si>
  <si>
    <t>4.</t>
  </si>
  <si>
    <t>5.</t>
  </si>
  <si>
    <t>Questar InfoComm</t>
  </si>
  <si>
    <t xml:space="preserve">   Total</t>
  </si>
  <si>
    <t>*  Product Costs include:  natural gas and other product purchases, cost of goods sold, and plant and gathering shrinkage.</t>
  </si>
  <si>
    <t>SCHEDULE II</t>
  </si>
  <si>
    <t>Bad Debt</t>
  </si>
  <si>
    <t>Column E Less</t>
  </si>
  <si>
    <t>Event Tickets</t>
  </si>
  <si>
    <t/>
  </si>
  <si>
    <t>Total Expenses</t>
  </si>
  <si>
    <t xml:space="preserve">Escalation Factor </t>
  </si>
  <si>
    <t>Wyoming Adjusment</t>
  </si>
  <si>
    <t>Utah - Average Adjusted Results Of Operations</t>
  </si>
  <si>
    <t>SPORTING EVENT TICKETS</t>
  </si>
  <si>
    <t>Allocated from Corp</t>
  </si>
  <si>
    <t>Allocated from</t>
  </si>
  <si>
    <t xml:space="preserve">Based on </t>
  </si>
  <si>
    <t>Mkting</t>
  </si>
  <si>
    <t>Corp</t>
  </si>
  <si>
    <t>PR</t>
  </si>
  <si>
    <t xml:space="preserve">     Total</t>
  </si>
  <si>
    <t>Energy Efficiency Accounting Adjustment</t>
  </si>
  <si>
    <t>3 Factor</t>
  </si>
  <si>
    <t>Combined</t>
  </si>
  <si>
    <t>Ave Investment</t>
  </si>
  <si>
    <t>Ave State Rate</t>
  </si>
  <si>
    <t>AGA Expenses relating to Lobbying</t>
  </si>
  <si>
    <t>Real Salt Lake</t>
  </si>
  <si>
    <t>Jazz Tickets</t>
  </si>
  <si>
    <t>Total Percentage:</t>
  </si>
  <si>
    <t>FIRM</t>
  </si>
  <si>
    <t>sales</t>
  </si>
  <si>
    <t># of Customers</t>
  </si>
  <si>
    <t>F1_FS_F1A_F1B</t>
  </si>
  <si>
    <t>INTERRUPTIBLE</t>
  </si>
  <si>
    <t>I-4_I4A_I4B</t>
  </si>
  <si>
    <t>IS_IS-2</t>
  </si>
  <si>
    <t>P1</t>
  </si>
  <si>
    <t>TRANSPORTATION</t>
  </si>
  <si>
    <t>FT_FT-1</t>
  </si>
  <si>
    <t>trans</t>
  </si>
  <si>
    <t>FT2</t>
  </si>
  <si>
    <t>FTE_FT1L</t>
  </si>
  <si>
    <t>IT_TS_ITA_ITB</t>
  </si>
  <si>
    <t>TSP_ITS</t>
  </si>
  <si>
    <t>F1_FS_F1A_F1B_F1C</t>
  </si>
  <si>
    <t>I-S_I-2</t>
  </si>
  <si>
    <t>I-T_TS_ITA_ITB</t>
  </si>
  <si>
    <t>IC-IC1-IC2</t>
  </si>
  <si>
    <t>ENDING CUST</t>
  </si>
  <si>
    <t>TOTAL CET AND DSM</t>
  </si>
  <si>
    <t>UTAH GRAND TOTAL</t>
  </si>
  <si>
    <t>WYOMING</t>
  </si>
  <si>
    <t>GS1</t>
  </si>
  <si>
    <t>I4</t>
  </si>
  <si>
    <t>IC+IC1</t>
  </si>
  <si>
    <t>WYOMING GRAND TOTAL</t>
  </si>
  <si>
    <t>SYSTEM+TRANSPORTATION</t>
  </si>
  <si>
    <t>SYSTEM GENERAL SERVICE</t>
  </si>
  <si>
    <t>SYSTEM INTERRUPTIBLE</t>
  </si>
  <si>
    <t>SYSTEM CET</t>
  </si>
  <si>
    <t>SYSTEM DSM</t>
  </si>
  <si>
    <t>UTAH TOTAL</t>
  </si>
  <si>
    <t>WYOMING TOTALS</t>
  </si>
  <si>
    <t>SYSTEM GRAND TOTALS</t>
  </si>
  <si>
    <t>AVG CUST</t>
  </si>
  <si>
    <t xml:space="preserve">12-Month Total </t>
  </si>
  <si>
    <t>OR Average</t>
  </si>
  <si>
    <t>TOTAL  REVENUE</t>
  </si>
  <si>
    <t>GRAND TOTAL</t>
  </si>
  <si>
    <t>AVG CAP STR</t>
  </si>
  <si>
    <t>YE CAP STR</t>
  </si>
  <si>
    <t>Energy Efficiency Adj</t>
  </si>
  <si>
    <t>Complete Construction Not yet Classified</t>
  </si>
  <si>
    <t xml:space="preserve">Base Pay </t>
  </si>
  <si>
    <t xml:space="preserve">Actual </t>
  </si>
  <si>
    <t>Including Allowed Time</t>
  </si>
  <si>
    <t>Total Labor</t>
  </si>
  <si>
    <t>Overhead Components</t>
  </si>
  <si>
    <t>Pension Plan</t>
  </si>
  <si>
    <t>Total Overhead</t>
  </si>
  <si>
    <t>Expense / Capitalization Ratio</t>
  </si>
  <si>
    <t>`````</t>
  </si>
  <si>
    <t>Less Column B</t>
  </si>
  <si>
    <t>% Related to Lobbying</t>
  </si>
  <si>
    <t>254</t>
  </si>
  <si>
    <t>Other Regulatory Liabilities</t>
  </si>
  <si>
    <t>Other Regulatory Liabilities ARC</t>
  </si>
  <si>
    <t>Labor Annualization Calculations</t>
  </si>
  <si>
    <t>Capital</t>
  </si>
  <si>
    <t>Intercompany &amp; Allocated Charges</t>
  </si>
  <si>
    <t>Other</t>
  </si>
  <si>
    <t>Total Base Labor</t>
  </si>
  <si>
    <t>Incentive Accrual Expense</t>
  </si>
  <si>
    <t>Total Base Labor Expensed</t>
  </si>
  <si>
    <t>Other Than Payroll Taxes</t>
  </si>
  <si>
    <t>Heathcare</t>
  </si>
  <si>
    <t>401K</t>
  </si>
  <si>
    <t>Post Retirement</t>
  </si>
  <si>
    <t>Allowed Time</t>
  </si>
  <si>
    <t>Overhead Expensed</t>
  </si>
  <si>
    <t xml:space="preserve">Total Labor &amp; Overhead </t>
  </si>
  <si>
    <t>Total Labor &amp; Overhead Expensed</t>
  </si>
  <si>
    <t>Utah O&amp;M %</t>
  </si>
  <si>
    <t>Wyoming O&amp;M %</t>
  </si>
  <si>
    <t>Distrigas &amp; Pretax</t>
  </si>
  <si>
    <t>Distrigas 2015</t>
  </si>
  <si>
    <t>Distrigas 2014</t>
  </si>
  <si>
    <t>Questar Fueling</t>
  </si>
  <si>
    <t>2015</t>
  </si>
  <si>
    <t>At 12/31/14</t>
  </si>
  <si>
    <t>12 months ended 12/31/14</t>
  </si>
  <si>
    <t>6</t>
  </si>
  <si>
    <t>7</t>
  </si>
  <si>
    <t>8</t>
  </si>
  <si>
    <t>Wexpro II</t>
  </si>
  <si>
    <t>Wexpro Development</t>
  </si>
  <si>
    <t>Questar Pipeline Company-Consolidated (less QIC)</t>
  </si>
  <si>
    <t>QUESTAR</t>
  </si>
  <si>
    <t>9</t>
  </si>
  <si>
    <t>Questar Corp</t>
  </si>
  <si>
    <t>Distrigas 2016</t>
  </si>
  <si>
    <t>224</t>
  </si>
  <si>
    <t>Notes - Long Term</t>
  </si>
  <si>
    <t>Transition Costs</t>
  </si>
  <si>
    <t>Transition Costs - GL Account 930205</t>
  </si>
  <si>
    <t>Retention</t>
  </si>
  <si>
    <t>Voluntary severance program</t>
  </si>
  <si>
    <t>Total Transition Costs</t>
  </si>
  <si>
    <t>Costs include directly assignable costs and allocated corporate costs.</t>
  </si>
  <si>
    <t>Distrigas 2017</t>
  </si>
  <si>
    <t>Mike confirms</t>
  </si>
  <si>
    <t>C:\State\RooExcel\ROO2016-12-31\[Legal Accrual from Connie M.xlsx]Sheet1'!$B$4+'C:\State\RooExcel\ROO2016-12-31\[Legal Accrual from Connie M.xlsx]Sheet1'!$B$6+'C:\State\RooExcel\ROO2016-12-31\[Legal Accrual from Connie M.xlsx]Sheet1'!$B$7+'C:\State\RooExcel\ROO2016-12-31\[Legal Accrual from Connie M.xlsx]Sheet1'!$B$10</t>
  </si>
  <si>
    <t>Query for accruals: Account 921000, dpt 1070, trans 645 =  143,507</t>
  </si>
  <si>
    <t>CORP JAN TO DEC 2017</t>
  </si>
  <si>
    <t>Short Name</t>
  </si>
  <si>
    <t>DES charges to Questar Gas</t>
  </si>
  <si>
    <t>YTD</t>
  </si>
  <si>
    <t>Accounts</t>
  </si>
  <si>
    <t>Budget</t>
  </si>
  <si>
    <t>Variance</t>
  </si>
  <si>
    <t>YTD Actual</t>
  </si>
  <si>
    <t xml:space="preserve">            8504081  Allocate-Payroll Ta</t>
  </si>
  <si>
    <t xml:space="preserve">            8504083  Allocate-Taxes-Othe</t>
  </si>
  <si>
    <t xml:space="preserve">            8504210  Allocat-Other Incom</t>
  </si>
  <si>
    <t xml:space="preserve">            8504261  Allocated-Donations</t>
  </si>
  <si>
    <t xml:space="preserve">            8504262  Alloc-Life Insuranc</t>
  </si>
  <si>
    <t xml:space="preserve">            8504264  Alloc-Civic/PoltcAc</t>
  </si>
  <si>
    <t xml:space="preserve">            8504265  Alloc-Aviation Cost</t>
  </si>
  <si>
    <t xml:space="preserve">            8504310  Alloc-Interest-Othe</t>
  </si>
  <si>
    <t xml:space="preserve">            8509200  Allocat-A&amp;G-Salarie</t>
  </si>
  <si>
    <t xml:space="preserve">            8509210  Alloc-A&amp;G-Off Suppl</t>
  </si>
  <si>
    <t xml:space="preserve">            8509211  Alloc-A&amp;G-Interest</t>
  </si>
  <si>
    <t xml:space="preserve">            8509213  Alloc-A&amp;G-Soft Pool</t>
  </si>
  <si>
    <t xml:space="preserve">            8509230  Alloc-A&amp;G-Outsd Ser</t>
  </si>
  <si>
    <t xml:space="preserve">            8509301  Alloc-AG-MiscGen Ad</t>
  </si>
  <si>
    <t xml:space="preserve">            8509302  Allocat-A&amp;G-Misc Ex</t>
  </si>
  <si>
    <t xml:space="preserve">            8509310  Alloc-Facilits Cost</t>
  </si>
  <si>
    <t xml:space="preserve">            8509350  Allocated-A&amp;G-Rents</t>
  </si>
  <si>
    <t xml:space="preserve">            5404030  Allocated-Deprec Ex</t>
  </si>
  <si>
    <t xml:space="preserve">            5404040  Allocat-Amortztn Ex</t>
  </si>
  <si>
    <t xml:space="preserve">            5404081  Allocate-Payroll Ta</t>
  </si>
  <si>
    <t xml:space="preserve">            5404083  Allocate-Taxes-Othe</t>
  </si>
  <si>
    <t xml:space="preserve">            5404261  Allocated-Donations</t>
  </si>
  <si>
    <t xml:space="preserve">            5404262  Alloc-Life Insuranc</t>
  </si>
  <si>
    <t xml:space="preserve">            5404264  Alloc-Civic/PoltcAc</t>
  </si>
  <si>
    <t xml:space="preserve">            5409201  Alloc-Vacation Liab</t>
  </si>
  <si>
    <t xml:space="preserve">            5409202  Alloc-Annl Incentiv</t>
  </si>
  <si>
    <t xml:space="preserve">            5409203  Allc-LTIP/RstrStkGr</t>
  </si>
  <si>
    <t xml:space="preserve">            5409210  Alloc-A&amp;G-Off Suppl</t>
  </si>
  <si>
    <t xml:space="preserve">            5409230  Alloc-A&amp;G-Outsd Ser</t>
  </si>
  <si>
    <t xml:space="preserve">            5409250  Alloc-A&amp;G-Injrs&amp;Dmg</t>
  </si>
  <si>
    <t xml:space="preserve">            5409261  Alloc-Empl Bens-Med</t>
  </si>
  <si>
    <t xml:space="preserve">            5409262  Alloc-Empl Ben-Othe</t>
  </si>
  <si>
    <t xml:space="preserve">            5409263  Allocated-OPEB Cost</t>
  </si>
  <si>
    <t xml:space="preserve">            5409264  Alloc-Pension Costs</t>
  </si>
  <si>
    <t xml:space="preserve">            5409265  Alloc-ExcSup Cmp Pr</t>
  </si>
  <si>
    <t xml:space="preserve">            5409301  Alloc-AG-MiscGen Ad</t>
  </si>
  <si>
    <t xml:space="preserve">            5409302  Allocat-A&amp;G-Misc Ex</t>
  </si>
  <si>
    <t xml:space="preserve">            5409350  Allocated-A&amp;G-Rents</t>
  </si>
  <si>
    <t xml:space="preserve">            5409999  Alloc-Labor Resid T</t>
  </si>
  <si>
    <t xml:space="preserve">            5410001  TXR-QGAS Fleet</t>
  </si>
  <si>
    <t xml:space="preserve">            5410002  TXR-QGAS Facilities</t>
  </si>
  <si>
    <t xml:space="preserve">            5410004  TXR-QGAS Warehouse</t>
  </si>
  <si>
    <t xml:space="preserve">            8100105  QGAS Juris Cost</t>
  </si>
  <si>
    <t xml:space="preserve">            8209000  DES Labor</t>
  </si>
  <si>
    <t>*           InterComp Operating Exp &amp; In</t>
  </si>
  <si>
    <t>Less: Incentives</t>
  </si>
  <si>
    <t>Net Corporate Overhead Expense</t>
  </si>
  <si>
    <t>Dominion Energy</t>
  </si>
  <si>
    <t xml:space="preserve"> Incentives</t>
  </si>
  <si>
    <t xml:space="preserve"> Sporting Events </t>
  </si>
  <si>
    <t xml:space="preserve"> Advertising </t>
  </si>
  <si>
    <t xml:space="preserve"> Don &amp; Membership </t>
  </si>
  <si>
    <t xml:space="preserve"> Reserve accrual </t>
  </si>
  <si>
    <t xml:space="preserve"> Labor Adj </t>
  </si>
  <si>
    <t>TOTAL  ADJUSTMENTS</t>
  </si>
  <si>
    <t xml:space="preserve">% Applicable to </t>
  </si>
  <si>
    <t xml:space="preserve">Allocated to </t>
  </si>
  <si>
    <t xml:space="preserve">     Percent to </t>
  </si>
  <si>
    <t xml:space="preserve">     Total to </t>
  </si>
  <si>
    <t xml:space="preserve"> JAN TO DEC 2017</t>
  </si>
  <si>
    <t xml:space="preserve"> Direct</t>
  </si>
  <si>
    <t>Total Disallowed  Sporting Events Expense</t>
  </si>
  <si>
    <t xml:space="preserve"> Cost Of Capital Scenarios</t>
  </si>
  <si>
    <t>Total Disallowed Corp Sporting Events Expense</t>
  </si>
  <si>
    <t>CORP to</t>
  </si>
  <si>
    <t>Dominion Energy Utah/Wyoming</t>
  </si>
  <si>
    <t xml:space="preserve">Billed From Corp to </t>
  </si>
  <si>
    <t>Total Corp General Advertising Expenses</t>
  </si>
  <si>
    <t>Total Corp Outside Services</t>
  </si>
  <si>
    <t>Total Corp Institutional Advertising</t>
  </si>
  <si>
    <t>Total Allocated Corporate Expense Jan-June 2018</t>
  </si>
  <si>
    <t>Involuntary severance program</t>
  </si>
  <si>
    <t>Total 6 months DES overhead expense</t>
  </si>
  <si>
    <t>Allocated overheads</t>
  </si>
  <si>
    <t>Jan to June 2018</t>
  </si>
  <si>
    <t>From Mike R.</t>
  </si>
  <si>
    <t>June</t>
  </si>
  <si>
    <t xml:space="preserve">            8509250  Alloc-A&amp;G-Injrs&amp;Dmg</t>
  </si>
  <si>
    <t xml:space="preserve">            8509260  Alloc-Empl Bens</t>
  </si>
  <si>
    <t xml:space="preserve">            8509320  Allocate-Maintenanc</t>
  </si>
  <si>
    <t>Other Regulatory Liabilities ARC &amp; EDIT</t>
  </si>
  <si>
    <t>AIP Expense by labor category</t>
  </si>
  <si>
    <t>Financial Goals to exclude</t>
  </si>
  <si>
    <t>Officers</t>
  </si>
  <si>
    <t>Management</t>
  </si>
  <si>
    <t>DES</t>
  </si>
  <si>
    <t>QGC</t>
  </si>
  <si>
    <t>* managing directors and Non-management considered Non-management</t>
  </si>
  <si>
    <t>DES Executive - cacluated conservative adjustment, excluded exec Financial goals at the highest percentage.</t>
  </si>
  <si>
    <t>Non-mgmt</t>
  </si>
  <si>
    <t>Total Payout</t>
  </si>
  <si>
    <t>O&amp;M AIP amount</t>
  </si>
  <si>
    <t>excl</t>
  </si>
  <si>
    <t>AIP on 1250</t>
  </si>
  <si>
    <t>Capital/Reg</t>
  </si>
  <si>
    <t>Exp on 1250</t>
  </si>
  <si>
    <t>Payout Ratio excluding Officers (cash basis) used to split management/non-mgmt for Financial % split</t>
  </si>
  <si>
    <t>Record #</t>
  </si>
  <si>
    <t>Invoice #</t>
  </si>
  <si>
    <t>Company Code</t>
  </si>
  <si>
    <t>Payment date</t>
  </si>
  <si>
    <t>0042</t>
  </si>
  <si>
    <t>Utah Taxpayers Association</t>
  </si>
  <si>
    <t>EF000103337</t>
  </si>
  <si>
    <t>Tax Executives Institute</t>
  </si>
  <si>
    <t>0024926IN</t>
  </si>
  <si>
    <t>0023651IN</t>
  </si>
  <si>
    <t>0024107IN</t>
  </si>
  <si>
    <t>700619</t>
  </si>
  <si>
    <t>American Gas Assoication</t>
  </si>
  <si>
    <t>2018 Legal Payment</t>
  </si>
  <si>
    <t>Allocation %</t>
  </si>
  <si>
    <t>Questar Corp &amp; Dominion Energy Services Allocation</t>
  </si>
  <si>
    <t>Total Amount</t>
  </si>
  <si>
    <t>Allocated Amount</t>
  </si>
  <si>
    <t>Employee Recognition</t>
  </si>
  <si>
    <t>Percentage</t>
  </si>
  <si>
    <t>Sum of Val/COArea Crcy</t>
  </si>
  <si>
    <t>Cost Elem.</t>
  </si>
  <si>
    <t>Cost element descr.</t>
  </si>
  <si>
    <t>5302010</t>
  </si>
  <si>
    <t>Travel Expense</t>
  </si>
  <si>
    <t>5302014</t>
  </si>
  <si>
    <t>Meals - Taxable</t>
  </si>
  <si>
    <t>5302015</t>
  </si>
  <si>
    <t>Meals- Non-Taxable</t>
  </si>
  <si>
    <t>5303890</t>
  </si>
  <si>
    <t>Miscellaneous Outside Services</t>
  </si>
  <si>
    <t>5304320</t>
  </si>
  <si>
    <t>Postage Shipping &amp; Freight</t>
  </si>
  <si>
    <t>5304390</t>
  </si>
  <si>
    <t>Misc Supplies</t>
  </si>
  <si>
    <t>5308090</t>
  </si>
  <si>
    <t>Other Dues&amp;Membershp</t>
  </si>
  <si>
    <t>5404081</t>
  </si>
  <si>
    <t>Allocated-Payroll Tax</t>
  </si>
  <si>
    <t>5404261</t>
  </si>
  <si>
    <t>Allocated-Donations</t>
  </si>
  <si>
    <t>5404264</t>
  </si>
  <si>
    <t>Allocated-Civic/ Political Act</t>
  </si>
  <si>
    <t>5409201</t>
  </si>
  <si>
    <t>Allocated-Vacation Liability</t>
  </si>
  <si>
    <t>5409202</t>
  </si>
  <si>
    <t>Allocated-Annual Incentive</t>
  </si>
  <si>
    <t>5409203</t>
  </si>
  <si>
    <t>Allocated-LTIP/ Restricted Stock Grants</t>
  </si>
  <si>
    <t>5409210</t>
  </si>
  <si>
    <t>Allocated-A&amp;G - Office Supplies</t>
  </si>
  <si>
    <t>5409230</t>
  </si>
  <si>
    <t>Allocated-A&amp;G - Outside Services</t>
  </si>
  <si>
    <t>5409261</t>
  </si>
  <si>
    <t>Allocated-Employee Benefits - Medical</t>
  </si>
  <si>
    <t>5409262</t>
  </si>
  <si>
    <t>Allocated-Employee Benefits - Other</t>
  </si>
  <si>
    <t>5409263</t>
  </si>
  <si>
    <t>Allocated-OPEB Costs</t>
  </si>
  <si>
    <t>5409264</t>
  </si>
  <si>
    <t>Allocated-Pension Costs</t>
  </si>
  <si>
    <t>5409302</t>
  </si>
  <si>
    <t>Allocated-A&amp;G - Misc. Exp</t>
  </si>
  <si>
    <t>5409350</t>
  </si>
  <si>
    <t>Allocated-A&amp;G - Rents</t>
  </si>
  <si>
    <t>5409999</t>
  </si>
  <si>
    <t>Allocated-Labor Residual True-Up</t>
  </si>
  <si>
    <t>6201030</t>
  </si>
  <si>
    <t>Donations- 501c3</t>
  </si>
  <si>
    <t>8201044</t>
  </si>
  <si>
    <t>Activity Alloc - External Affairs ST</t>
  </si>
  <si>
    <t>8209000</t>
  </si>
  <si>
    <t>DES Labor</t>
  </si>
  <si>
    <t>8504261</t>
  </si>
  <si>
    <t>8509210</t>
  </si>
  <si>
    <t>8509230</t>
  </si>
  <si>
    <t>A&amp;G</t>
  </si>
  <si>
    <t>Not included in utility cost</t>
  </si>
  <si>
    <t>Questar Gas no longer pays the AGA</t>
  </si>
  <si>
    <t>211</t>
  </si>
  <si>
    <t>Miscellaneous Paid-In Capital</t>
  </si>
  <si>
    <t>American Gas Association</t>
  </si>
  <si>
    <t>x</t>
  </si>
  <si>
    <t>2018</t>
  </si>
  <si>
    <t>Annualization Of Depreciation Expense</t>
  </si>
  <si>
    <t>Historical 12 Months</t>
  </si>
  <si>
    <t>Historical Month of</t>
  </si>
  <si>
    <t>Historical Annualized</t>
  </si>
  <si>
    <t>Workpaper A</t>
  </si>
  <si>
    <t>WYO DEPR EXPENSE</t>
  </si>
  <si>
    <t>WBS Element</t>
  </si>
  <si>
    <t>5303830</t>
  </si>
  <si>
    <t>UT.GA.AD.INFRMTL.4210</t>
  </si>
  <si>
    <t>UT.GA.OT.ADVERT</t>
  </si>
  <si>
    <t>SAPBATCH</t>
  </si>
  <si>
    <t>From DES</t>
  </si>
  <si>
    <t xml:space="preserve">Financial % of AIP </t>
  </si>
  <si>
    <t>186007</t>
  </si>
  <si>
    <t>Deferred Pension Asset</t>
  </si>
  <si>
    <t>Promotional Advertising-Dealer- Fall Prep</t>
  </si>
  <si>
    <t>Adv Exp - E-bill</t>
  </si>
  <si>
    <t>282 ADIT</t>
  </si>
  <si>
    <t xml:space="preserve">186007 Deferred Pension Asset </t>
  </si>
  <si>
    <t>Total Rate Base</t>
  </si>
  <si>
    <t>Pension Expense Labor (Utah)</t>
  </si>
  <si>
    <t>Pension Expense Labor (Wyoming)</t>
  </si>
  <si>
    <t>Total Expense</t>
  </si>
  <si>
    <t>Pension</t>
  </si>
  <si>
    <t>186-7</t>
  </si>
  <si>
    <t>2019 Legal Payment</t>
  </si>
  <si>
    <t>Vivint Smart Home Arena</t>
  </si>
  <si>
    <t>Bad Debt Workpaper A</t>
  </si>
  <si>
    <t>Sum of ValCOArCur</t>
  </si>
  <si>
    <t>Cost elem.name</t>
  </si>
  <si>
    <t>Meals -Taxable</t>
  </si>
  <si>
    <t>Meals-Non-Taxable</t>
  </si>
  <si>
    <t>Misc. Outside Svcs</t>
  </si>
  <si>
    <t>Pstge/Shppng/Frght</t>
  </si>
  <si>
    <t>5404030</t>
  </si>
  <si>
    <t>CA-Depr Exp Util Plt</t>
  </si>
  <si>
    <t>CA-Payroll Taxes</t>
  </si>
  <si>
    <t>CA-Other Ded-Donatio</t>
  </si>
  <si>
    <t>CA-Other Ded-Civic/P</t>
  </si>
  <si>
    <t>CA-Vacation Liabilit</t>
  </si>
  <si>
    <t>CA-AIP</t>
  </si>
  <si>
    <t>CA-LTIP/Restricted S</t>
  </si>
  <si>
    <t>CA-Office Supplies &amp;</t>
  </si>
  <si>
    <t>5409214</t>
  </si>
  <si>
    <t>CA-Vehicle Expenses</t>
  </si>
  <si>
    <t>CA-Outside Services</t>
  </si>
  <si>
    <t>CA-Emp Bfit-Medical</t>
  </si>
  <si>
    <t>CA-Emp Bfit-Other</t>
  </si>
  <si>
    <t>CA-Emp Bfit-OPEB</t>
  </si>
  <si>
    <t>CA-Emp Bfit-Pensions</t>
  </si>
  <si>
    <t>5409310</t>
  </si>
  <si>
    <t>CA-Rents/Facilities</t>
  </si>
  <si>
    <t>CA-Maint-Elec Struc/</t>
  </si>
  <si>
    <t>CA-Labor Residual Tr</t>
  </si>
  <si>
    <t>6201040</t>
  </si>
  <si>
    <t>Donations-Non 501c3</t>
  </si>
  <si>
    <t>6202020</t>
  </si>
  <si>
    <t>Civic/Polt/Lobby Act</t>
  </si>
  <si>
    <t>External Affairs ST</t>
  </si>
  <si>
    <t>SETL-Other Ded-Donat</t>
  </si>
  <si>
    <t>8504264</t>
  </si>
  <si>
    <t>SETL-Other Ded-Civic</t>
  </si>
  <si>
    <t>SETL-Office Supplies</t>
  </si>
  <si>
    <t>SETL-Outside Service</t>
  </si>
  <si>
    <t>19-057-02 Ordered CAP STR</t>
  </si>
  <si>
    <t>Deferred State Income Tax</t>
  </si>
  <si>
    <t>ORDERED CAP STR 30010-187-GR-19</t>
  </si>
  <si>
    <t>to Year End</t>
  </si>
  <si>
    <t>ORDERED CAP STR 19-057-02</t>
  </si>
  <si>
    <t>2020 Legal Payment</t>
  </si>
  <si>
    <t>2020 Data</t>
  </si>
  <si>
    <t>Cost elem. name</t>
  </si>
  <si>
    <t>Weighted Costs 19-057-02 &amp; 13-057-05</t>
  </si>
  <si>
    <t>Calculation of Weighted Costs:</t>
  </si>
  <si>
    <t>Previous ROE</t>
  </si>
  <si>
    <t>Current ROE</t>
  </si>
  <si>
    <t>Monthly %</t>
  </si>
  <si>
    <t>LT Debt Calc:</t>
  </si>
  <si>
    <t>Previous LT Debt</t>
  </si>
  <si>
    <t>Current LT Debt</t>
  </si>
  <si>
    <t>Equity Calc:</t>
  </si>
  <si>
    <t>% of Rev - Previous</t>
  </si>
  <si>
    <t>% of Rev - Current</t>
  </si>
  <si>
    <t>364</t>
  </si>
  <si>
    <t>LNG Plant</t>
  </si>
  <si>
    <t>364.1</t>
  </si>
  <si>
    <t>LNG Plant - Land</t>
  </si>
  <si>
    <t>STEP Accounting Adjustment</t>
  </si>
  <si>
    <t>STEP 2021 (Booked)</t>
  </si>
  <si>
    <t>Energy Efficiency 2021</t>
  </si>
  <si>
    <t>2021 Legal Payment</t>
  </si>
  <si>
    <t>Tickets Used for Employee Recognition - % Calculation 2021</t>
  </si>
  <si>
    <t>Misc Paid In Capital</t>
  </si>
  <si>
    <t>December 2021</t>
  </si>
  <si>
    <t>(Updated Dec 2021)</t>
  </si>
  <si>
    <t>(Updated 2021)</t>
  </si>
  <si>
    <t>Pension Adjustment</t>
  </si>
  <si>
    <t>STEP  June 2022</t>
  </si>
  <si>
    <t xml:space="preserve"> Expense December 2022</t>
  </si>
  <si>
    <t>Rev booked December 2022</t>
  </si>
  <si>
    <t xml:space="preserve"> Energy Efficiency &amp; STEP Dec 2022</t>
  </si>
  <si>
    <t>\1 5-Year Average 2018-2022 Annual Capitalization Ratio</t>
  </si>
  <si>
    <t>(SUM(EXPENSES!F380,EXPENSES!F323,EXPENSES!F295,EXPENSES!F241))/EXPENSES!F383</t>
  </si>
  <si>
    <t>\2 Actual 12 Months 2022 Capitalization Ratio</t>
  </si>
  <si>
    <t>Row Labels</t>
  </si>
  <si>
    <t>EXTAFFRS.ALLOC7</t>
  </si>
  <si>
    <t>5409216</t>
  </si>
  <si>
    <t>CA - Material &amp; Supp</t>
  </si>
  <si>
    <t>CA-Misc General Exp</t>
  </si>
  <si>
    <t>5409997</t>
  </si>
  <si>
    <t>CA Salaries Accrl</t>
  </si>
  <si>
    <t>8209044</t>
  </si>
  <si>
    <t>DES-Ext Affairs ST</t>
  </si>
  <si>
    <t>50.28% of QGC labor was capitalized</t>
  </si>
  <si>
    <t>2022 Legal Payment</t>
  </si>
  <si>
    <t>Legal Accruals for 12 Months Ended Dec 2022</t>
  </si>
  <si>
    <t>Ledger</t>
  </si>
  <si>
    <t>Fiscal Year</t>
  </si>
  <si>
    <t>FERC Account</t>
  </si>
  <si>
    <t>Document Number</t>
  </si>
  <si>
    <t>G/L Account</t>
  </si>
  <si>
    <t>G/L Account Description</t>
  </si>
  <si>
    <t>Cost Object Type</t>
  </si>
  <si>
    <t>Cost Object</t>
  </si>
  <si>
    <t>Cost Object Description</t>
  </si>
  <si>
    <t>Activity Description</t>
  </si>
  <si>
    <t>Line Item Amount</t>
  </si>
  <si>
    <t>Deb/Crd.Indicator</t>
  </si>
  <si>
    <t>Partner Func.Area</t>
  </si>
  <si>
    <t>Reference Doc.Number</t>
  </si>
  <si>
    <t>Partner Company Code</t>
  </si>
  <si>
    <t>Profit Center</t>
  </si>
  <si>
    <t>Document Type</t>
  </si>
  <si>
    <t>Username</t>
  </si>
  <si>
    <t>Partner Cost Object Type</t>
  </si>
  <si>
    <t>Partner Cost Object</t>
  </si>
  <si>
    <t>Partner Object Description</t>
  </si>
  <si>
    <t>Partner Cost Object Activity Description</t>
  </si>
  <si>
    <t>Business Transaction</t>
  </si>
  <si>
    <t>Segment</t>
  </si>
  <si>
    <t>0L</t>
  </si>
  <si>
    <t>2022</t>
  </si>
  <si>
    <t>1</t>
  </si>
  <si>
    <t>1250</t>
  </si>
  <si>
    <t>9909000</t>
  </si>
  <si>
    <t>Custmr Serv/Info-Inf&amp;Inst</t>
  </si>
  <si>
    <t>1900000001</t>
  </si>
  <si>
    <t>WY.GA.AD.PUBLCINT.4210</t>
  </si>
  <si>
    <t>Advertise Exp-Public Interest</t>
  </si>
  <si>
    <t>S</t>
  </si>
  <si>
    <t>INV2810</t>
  </si>
  <si>
    <t>P12508000</t>
  </si>
  <si>
    <t>KN</t>
  </si>
  <si>
    <t>SAP_WFRT</t>
  </si>
  <si>
    <t>COIN</t>
  </si>
  <si>
    <t>UT.GA.AD.PUBLCINT.4210</t>
  </si>
  <si>
    <t>1900000178</t>
  </si>
  <si>
    <t>Advertise Exp-Informational</t>
  </si>
  <si>
    <t>1140599</t>
  </si>
  <si>
    <t>1900000179</t>
  </si>
  <si>
    <t>1240734</t>
  </si>
  <si>
    <t>1900007934</t>
  </si>
  <si>
    <t>0140817</t>
  </si>
  <si>
    <t>1900008519</t>
  </si>
  <si>
    <t>2880</t>
  </si>
  <si>
    <t>1900008527</t>
  </si>
  <si>
    <t>2968</t>
  </si>
  <si>
    <t>4400000007</t>
  </si>
  <si>
    <t>AR</t>
  </si>
  <si>
    <t>9900000018</t>
  </si>
  <si>
    <t>9999997</t>
  </si>
  <si>
    <t>Top Side-RTF ExpOnly</t>
  </si>
  <si>
    <t>ZA</t>
  </si>
  <si>
    <t>JASO048</t>
  </si>
  <si>
    <t>Cost Center</t>
  </si>
  <si>
    <t>12508910</t>
  </si>
  <si>
    <t>Othr UT Buildng</t>
  </si>
  <si>
    <t>P12508900</t>
  </si>
  <si>
    <t>12508950</t>
  </si>
  <si>
    <t>WY Buildings</t>
  </si>
  <si>
    <t>P12508950</t>
  </si>
  <si>
    <t>2</t>
  </si>
  <si>
    <t>0500002723</t>
  </si>
  <si>
    <t>5304100</t>
  </si>
  <si>
    <t>Material Exp-Stock</t>
  </si>
  <si>
    <t>WY.GA.OT.MISCEXP.4465</t>
  </si>
  <si>
    <t>Miscellaneous Expenses</t>
  </si>
  <si>
    <t>9000000</t>
  </si>
  <si>
    <t>P12504465</t>
  </si>
  <si>
    <t>ERIC544</t>
  </si>
  <si>
    <t>SY.GA.OT.MISCEXP.4465</t>
  </si>
  <si>
    <t>KOAO</t>
  </si>
  <si>
    <t>UT.GA.OT.MISCEXP.4465</t>
  </si>
  <si>
    <t>3</t>
  </si>
  <si>
    <t>0500004383</t>
  </si>
  <si>
    <t>1700004902</t>
  </si>
  <si>
    <t>POST00824</t>
  </si>
  <si>
    <t>RE</t>
  </si>
  <si>
    <t>1900025304</t>
  </si>
  <si>
    <t>5303820</t>
  </si>
  <si>
    <t>Collection Agencies</t>
  </si>
  <si>
    <t>222083</t>
  </si>
  <si>
    <t>9900000087</t>
  </si>
  <si>
    <t>12508000</t>
  </si>
  <si>
    <t>Corp Common</t>
  </si>
  <si>
    <t>4</t>
  </si>
  <si>
    <t>2200000085</t>
  </si>
  <si>
    <t>AC</t>
  </si>
  <si>
    <t>JAMEKA1</t>
  </si>
  <si>
    <t>9900000106</t>
  </si>
  <si>
    <t>5</t>
  </si>
  <si>
    <t>0100112379</t>
  </si>
  <si>
    <t>5302990</t>
  </si>
  <si>
    <t>Misc Emp Related Exp</t>
  </si>
  <si>
    <t>247858  1</t>
  </si>
  <si>
    <t>PD</t>
  </si>
  <si>
    <t>0100114556</t>
  </si>
  <si>
    <t>UT.GA.OT.ADVPROMO.4460</t>
  </si>
  <si>
    <t>Advertising &amp; Promotion</t>
  </si>
  <si>
    <t>265409  1</t>
  </si>
  <si>
    <t>P12504460</t>
  </si>
  <si>
    <t>0100114557</t>
  </si>
  <si>
    <t>265394  1</t>
  </si>
  <si>
    <t>1700007932</t>
  </si>
  <si>
    <t>INV02541</t>
  </si>
  <si>
    <t>1900040063</t>
  </si>
  <si>
    <t>3065</t>
  </si>
  <si>
    <t>4400000106</t>
  </si>
  <si>
    <t>9900000131</t>
  </si>
  <si>
    <t>0500009157</t>
  </si>
  <si>
    <t>5310010</t>
  </si>
  <si>
    <t>Operating Permits</t>
  </si>
  <si>
    <t>0500010600</t>
  </si>
  <si>
    <t>0500012519</t>
  </si>
  <si>
    <t>1700015051</t>
  </si>
  <si>
    <t>INV02674</t>
  </si>
  <si>
    <t>1900081545</t>
  </si>
  <si>
    <t>004961</t>
  </si>
  <si>
    <t>1900081548</t>
  </si>
  <si>
    <t>004910</t>
  </si>
  <si>
    <t>9900000212</t>
  </si>
  <si>
    <t>9900000224</t>
  </si>
  <si>
    <t>0100168752</t>
  </si>
  <si>
    <t>331334  1</t>
  </si>
  <si>
    <t>0500015011</t>
  </si>
  <si>
    <t>1900084192</t>
  </si>
  <si>
    <t>005126</t>
  </si>
  <si>
    <t>1900087160</t>
  </si>
  <si>
    <t>3312</t>
  </si>
  <si>
    <t>1900087162</t>
  </si>
  <si>
    <t>3314</t>
  </si>
  <si>
    <t>1900087164</t>
  </si>
  <si>
    <t>3313</t>
  </si>
  <si>
    <t>1900087165</t>
  </si>
  <si>
    <t>3335</t>
  </si>
  <si>
    <t>1900087167</t>
  </si>
  <si>
    <t>3336</t>
  </si>
  <si>
    <t>1900087168</t>
  </si>
  <si>
    <t>3339</t>
  </si>
  <si>
    <t>1900087169</t>
  </si>
  <si>
    <t>3338</t>
  </si>
  <si>
    <t>9900000245</t>
  </si>
  <si>
    <t>10</t>
  </si>
  <si>
    <t>0500016965</t>
  </si>
  <si>
    <t>1900098097</t>
  </si>
  <si>
    <t>005511</t>
  </si>
  <si>
    <t>9900000277</t>
  </si>
  <si>
    <t>11</t>
  </si>
  <si>
    <t>0500019165</t>
  </si>
  <si>
    <t>2200000243</t>
  </si>
  <si>
    <t>9900000298</t>
  </si>
  <si>
    <t>12</t>
  </si>
  <si>
    <t>0500021030</t>
  </si>
  <si>
    <t>1700024423</t>
  </si>
  <si>
    <t>02922</t>
  </si>
  <si>
    <t>1900105643</t>
  </si>
  <si>
    <t>3392</t>
  </si>
  <si>
    <t>1900105644</t>
  </si>
  <si>
    <t>3389</t>
  </si>
  <si>
    <t>1900105645</t>
  </si>
  <si>
    <t>3388</t>
  </si>
  <si>
    <t>1900105679</t>
  </si>
  <si>
    <t>3412</t>
  </si>
  <si>
    <t>1900105680</t>
  </si>
  <si>
    <t>3411</t>
  </si>
  <si>
    <t>1900105681</t>
  </si>
  <si>
    <t>3438</t>
  </si>
  <si>
    <t>1900105682</t>
  </si>
  <si>
    <t>3443</t>
  </si>
  <si>
    <t>1900105683</t>
  </si>
  <si>
    <t>3436</t>
  </si>
  <si>
    <t>1900105685</t>
  </si>
  <si>
    <t>3445</t>
  </si>
  <si>
    <t>1900105686</t>
  </si>
  <si>
    <t>3444</t>
  </si>
  <si>
    <t>1900118478</t>
  </si>
  <si>
    <t>3455</t>
  </si>
  <si>
    <t>2200000271</t>
  </si>
  <si>
    <t>5399900</t>
  </si>
  <si>
    <t>Miscellaneous Exp</t>
  </si>
  <si>
    <t>4400000256</t>
  </si>
  <si>
    <t>9900000323</t>
  </si>
  <si>
    <t>CLAIR11</t>
  </si>
  <si>
    <t>9900000338</t>
  </si>
  <si>
    <t>QGC/DEU</t>
  </si>
  <si>
    <t>Total Expense Adjustment</t>
  </si>
  <si>
    <t>Total QGC Incentive Capitalized</t>
  </si>
  <si>
    <t>Capitalized Financial Goals to exclude</t>
  </si>
  <si>
    <t>Financial % of QGC Incentive</t>
  </si>
  <si>
    <t>Capital Adjustment</t>
  </si>
  <si>
    <t>Pension December 2022 Actual</t>
  </si>
  <si>
    <t xml:space="preserve"> Expense June 2023</t>
  </si>
  <si>
    <t>YE RB June 2023</t>
  </si>
  <si>
    <t>AVG RB June 2023</t>
  </si>
  <si>
    <t>WY AVG RB June 2023</t>
  </si>
  <si>
    <t>WY RB June 2023</t>
  </si>
  <si>
    <t>June 2023 Unadjusted Avg Results</t>
  </si>
  <si>
    <t>June 2023 Adjusted Avg Results</t>
  </si>
  <si>
    <t>roo</t>
  </si>
  <si>
    <t xml:space="preserve"> Other Rev June 2023</t>
  </si>
  <si>
    <t>12 Months Ended : Dec-2022</t>
  </si>
  <si>
    <t>12 Months Ended : Jun-2022</t>
  </si>
  <si>
    <t>December 2022</t>
  </si>
  <si>
    <t>DEC 2021</t>
  </si>
  <si>
    <t>Distribution -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</si>
</sst>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00%"/>
    <numFmt numFmtId="167" formatCode="0.0000%"/>
    <numFmt numFmtId="168" formatCode="0.00000%"/>
    <numFmt numFmtId="169" formatCode="0.000000%"/>
    <numFmt numFmtId="170" formatCode="#,##0.000_);\(#,##0.000\)"/>
    <numFmt numFmtId="171" formatCode="0.000_);\(0.000\)"/>
    <numFmt numFmtId="172" formatCode="0_);\(0\)"/>
    <numFmt numFmtId="173" formatCode="mmm\-yy_)"/>
    <numFmt numFmtId="174" formatCode="#,##0.0000000_);\(#,##0.0000000\)"/>
    <numFmt numFmtId="175" formatCode="mmmm\-yy"/>
    <numFmt numFmtId="176" formatCode="#,##0.000000_);\(#,##0.000000\)"/>
    <numFmt numFmtId="177" formatCode="mmmm\ d\,\ yyyy\ \ \ h:mm\ AM/PM"/>
    <numFmt numFmtId="178" formatCode="[$-409]mmm\-yy;@"/>
    <numFmt numFmtId="179" formatCode="#,##0.00000"/>
    <numFmt numFmtId="180" formatCode="dd\-mmm\-yy_)"/>
    <numFmt numFmtId="181" formatCode="General_)"/>
    <numFmt numFmtId="182" formatCode="[$-409]dd\-mmm\-yy;@"/>
    <numFmt numFmtId="183" formatCode="_(* #,##0.000000_);_(* \(#,##0.000000\);_(* &quot;-&quot;??_);_(@_)"/>
    <numFmt numFmtId="184" formatCode="_(&quot;$&quot;* #,##0_);_(&quot;$&quot;* \(#,##0\);_(&quot;$&quot;* &quot;-&quot;??_);_(@_)"/>
    <numFmt numFmtId="185" formatCode="#,##0_);\(#,##0\);&quot; &quot;"/>
    <numFmt numFmtId="186" formatCode="&quot;$&quot;#,##0.00"/>
    <numFmt numFmtId="187" formatCode="_(* #,##0.0000_);_(* \(#,##0.0000\);_(* &quot;-&quot;??_);_(@_)"/>
    <numFmt numFmtId="188" formatCode="#,##0.000000000"/>
    <numFmt numFmtId="189" formatCode="#,##0.000"/>
  </numFmts>
  <fonts count="92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color indexed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10"/>
      <name val="OAK"/>
    </font>
    <font>
      <b/>
      <sz val="10"/>
      <name val="OAK"/>
    </font>
    <font>
      <sz val="10"/>
      <color indexed="8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sz val="10"/>
      <color indexed="8"/>
      <name val="Arial"/>
      <family val="2"/>
    </font>
    <font>
      <sz val="10"/>
      <color indexed="8"/>
      <name val="Times New Roman"/>
      <family val="1"/>
    </font>
    <font>
      <b/>
      <sz val="10"/>
      <name val="Times New Roman"/>
      <family val="1"/>
    </font>
    <font>
      <sz val="12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0"/>
      <name val="Arial"/>
      <family val="2"/>
      <charset val="161"/>
    </font>
    <font>
      <b/>
      <sz val="16"/>
      <name val="Arial"/>
      <family val="2"/>
    </font>
    <font>
      <b/>
      <sz val="10"/>
      <color indexed="8"/>
      <name val="Arial"/>
      <family val="2"/>
      <charset val="161"/>
    </font>
    <font>
      <u/>
      <sz val="10"/>
      <name val="Arial"/>
      <family val="2"/>
    </font>
    <font>
      <b/>
      <sz val="10"/>
      <name val="PrOJECTED_EXPENSES"/>
    </font>
    <font>
      <sz val="10"/>
      <name val="PrOJECTED_EXPENSES"/>
    </font>
    <font>
      <b/>
      <sz val="10"/>
      <name val="Forecasted_Expenses"/>
    </font>
    <font>
      <sz val="10"/>
      <name val="Forecasted_Expenses"/>
    </font>
    <font>
      <sz val="10"/>
      <name val="Arial"/>
      <family val="2"/>
    </font>
    <font>
      <b/>
      <sz val="14"/>
      <name val="Arial"/>
      <family val="2"/>
    </font>
    <font>
      <vertAlign val="subscript"/>
      <sz val="8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Tahoma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Helv"/>
    </font>
    <font>
      <sz val="8"/>
      <name val="MS Sans Serif"/>
      <family val="2"/>
    </font>
    <font>
      <b/>
      <sz val="8"/>
      <name val="MS Sans Serif"/>
      <family val="2"/>
    </font>
    <font>
      <b/>
      <u/>
      <sz val="8"/>
      <name val="MS Sans Serif"/>
      <family val="2"/>
    </font>
    <font>
      <b/>
      <sz val="8"/>
      <name val="Times New Roman"/>
      <family val="1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7"/>
      <color rgb="FF000000"/>
      <name val="Verdana"/>
      <family val="2"/>
    </font>
    <font>
      <sz val="8"/>
      <color rgb="FF0066CC"/>
      <name val="MS Sans Serif"/>
      <family val="2"/>
    </font>
    <font>
      <sz val="12"/>
      <color rgb="FF1F497D"/>
      <name val="Calibri"/>
      <family val="2"/>
    </font>
    <font>
      <b/>
      <sz val="10"/>
      <color rgb="FF00000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sz val="12"/>
      <color rgb="FF333333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4"/>
      <name val="Arial"/>
      <family val="2"/>
    </font>
    <font>
      <sz val="14"/>
      <color indexed="8"/>
      <name val="Arial"/>
      <family val="2"/>
    </font>
    <font>
      <b/>
      <sz val="14"/>
      <color indexed="8"/>
      <name val="Arial"/>
      <family val="2"/>
    </font>
    <font>
      <sz val="16"/>
      <name val="Arial"/>
      <family val="2"/>
    </font>
    <font>
      <sz val="11"/>
      <color indexed="8"/>
      <name val="Calibri"/>
      <family val="2"/>
      <scheme val="minor"/>
    </font>
    <font>
      <sz val="10"/>
      <name val="Arial"/>
      <family val="2"/>
    </font>
    <font>
      <b/>
      <sz val="8"/>
      <name val="MS Sans Serif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i/>
      <sz val="11"/>
      <color rgb="FF000000"/>
      <name val="Calibri"/>
      <family val="2"/>
    </font>
    <font>
      <sz val="10"/>
      <name val="Arial Narrow"/>
      <family val="2"/>
    </font>
  </fonts>
  <fills count="13">
    <fill>
      <patternFill patternType="none"/>
    </fill>
    <fill>
      <patternFill patternType="gray125"/>
    </fill>
    <fill>
      <patternFill patternType="mediumGray">
        <fgColor indexed="22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79998168889431442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</borders>
  <cellStyleXfs count="112">
    <xf numFmtId="0" fontId="0" fillId="0" borderId="0"/>
    <xf numFmtId="43" fontId="2" fillId="0" borderId="0" applyFont="0" applyFill="0" applyBorder="0" applyProtection="0"/>
    <xf numFmtId="43" fontId="68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2" fillId="0" borderId="0" applyFont="0" applyFill="0" applyBorder="0" applyProtection="0"/>
    <xf numFmtId="0" fontId="6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2" fillId="0" borderId="0"/>
    <xf numFmtId="0" fontId="2" fillId="0" borderId="0"/>
    <xf numFmtId="0" fontId="2" fillId="0" borderId="0"/>
    <xf numFmtId="0" fontId="65" fillId="0" borderId="0"/>
    <xf numFmtId="0" fontId="17" fillId="0" borderId="0"/>
    <xf numFmtId="0" fontId="17" fillId="0" borderId="0"/>
    <xf numFmtId="0" fontId="2" fillId="0" borderId="0"/>
    <xf numFmtId="0" fontId="2" fillId="0" borderId="0"/>
    <xf numFmtId="0" fontId="2" fillId="0" borderId="0"/>
    <xf numFmtId="180" fontId="59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17" fillId="0" borderId="0" applyNumberFormat="0" applyFont="0" applyFill="0" applyBorder="0" applyAlignment="0" applyProtection="0">
      <alignment horizontal="left"/>
    </xf>
    <xf numFmtId="0" fontId="17" fillId="0" borderId="0" applyNumberFormat="0" applyFont="0" applyFill="0" applyBorder="0" applyAlignment="0" applyProtection="0">
      <alignment horizontal="left"/>
    </xf>
    <xf numFmtId="0" fontId="17" fillId="0" borderId="0" applyNumberFormat="0" applyFont="0" applyFill="0" applyBorder="0" applyAlignment="0" applyProtection="0">
      <alignment horizontal="left"/>
    </xf>
    <xf numFmtId="0" fontId="17" fillId="0" borderId="0" applyNumberFormat="0" applyFont="0" applyFill="0" applyBorder="0" applyAlignment="0" applyProtection="0">
      <alignment horizontal="left"/>
    </xf>
    <xf numFmtId="0" fontId="17" fillId="0" borderId="0" applyNumberFormat="0" applyFont="0" applyFill="0" applyBorder="0" applyAlignment="0" applyProtection="0">
      <alignment horizontal="left"/>
    </xf>
    <xf numFmtId="0" fontId="17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15" fontId="17" fillId="0" borderId="0" applyFont="0" applyFill="0" applyBorder="0" applyAlignment="0" applyProtection="0"/>
    <xf numFmtId="15" fontId="17" fillId="0" borderId="0" applyFont="0" applyFill="0" applyBorder="0" applyAlignment="0" applyProtection="0"/>
    <xf numFmtId="15" fontId="17" fillId="0" borderId="0" applyFont="0" applyFill="0" applyBorder="0" applyAlignment="0" applyProtection="0"/>
    <xf numFmtId="15" fontId="17" fillId="0" borderId="0" applyFont="0" applyFill="0" applyBorder="0" applyAlignment="0" applyProtection="0"/>
    <xf numFmtId="15" fontId="17" fillId="0" borderId="0" applyFont="0" applyFill="0" applyBorder="0" applyAlignment="0" applyProtection="0"/>
    <xf numFmtId="15" fontId="17" fillId="0" borderId="0" applyFont="0" applyFill="0" applyBorder="0" applyAlignment="0" applyProtection="0"/>
    <xf numFmtId="15" fontId="65" fillId="0" borderId="0" applyFont="0" applyFill="0" applyBorder="0" applyAlignment="0" applyProtection="0"/>
    <xf numFmtId="4" fontId="17" fillId="0" borderId="0" applyFont="0" applyFill="0" applyBorder="0" applyAlignment="0" applyProtection="0"/>
    <xf numFmtId="4" fontId="17" fillId="0" borderId="0" applyFont="0" applyFill="0" applyBorder="0" applyAlignment="0" applyProtection="0"/>
    <xf numFmtId="4" fontId="17" fillId="0" borderId="0" applyFont="0" applyFill="0" applyBorder="0" applyAlignment="0" applyProtection="0"/>
    <xf numFmtId="4" fontId="17" fillId="0" borderId="0" applyFont="0" applyFill="0" applyBorder="0" applyAlignment="0" applyProtection="0"/>
    <xf numFmtId="4" fontId="17" fillId="0" borderId="0" applyFont="0" applyFill="0" applyBorder="0" applyAlignment="0" applyProtection="0"/>
    <xf numFmtId="4" fontId="17" fillId="0" borderId="0" applyFont="0" applyFill="0" applyBorder="0" applyAlignment="0" applyProtection="0"/>
    <xf numFmtId="4" fontId="65" fillId="0" borderId="0" applyFont="0" applyFill="0" applyBorder="0" applyAlignment="0" applyProtection="0"/>
    <xf numFmtId="0" fontId="18" fillId="0" borderId="1">
      <alignment horizontal="center"/>
    </xf>
    <xf numFmtId="0" fontId="18" fillId="0" borderId="1">
      <alignment horizontal="center"/>
    </xf>
    <xf numFmtId="0" fontId="18" fillId="0" borderId="1">
      <alignment horizontal="center"/>
    </xf>
    <xf numFmtId="0" fontId="18" fillId="0" borderId="1">
      <alignment horizontal="center"/>
    </xf>
    <xf numFmtId="0" fontId="18" fillId="0" borderId="1">
      <alignment horizontal="center"/>
    </xf>
    <xf numFmtId="0" fontId="66" fillId="0" borderId="1">
      <alignment horizontal="center"/>
    </xf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65" fillId="0" borderId="0" applyFont="0" applyFill="0" applyBorder="0" applyAlignment="0" applyProtection="0"/>
    <xf numFmtId="0" fontId="17" fillId="2" borderId="0" applyNumberFormat="0" applyFont="0" applyBorder="0" applyAlignment="0" applyProtection="0"/>
    <xf numFmtId="0" fontId="17" fillId="2" borderId="0" applyNumberFormat="0" applyFont="0" applyBorder="0" applyAlignment="0" applyProtection="0"/>
    <xf numFmtId="0" fontId="17" fillId="2" borderId="0" applyNumberFormat="0" applyFont="0" applyBorder="0" applyAlignment="0" applyProtection="0"/>
    <xf numFmtId="0" fontId="17" fillId="2" borderId="0" applyNumberFormat="0" applyFont="0" applyBorder="0" applyAlignment="0" applyProtection="0"/>
    <xf numFmtId="0" fontId="17" fillId="2" borderId="0" applyNumberFormat="0" applyFont="0" applyBorder="0" applyAlignment="0" applyProtection="0"/>
    <xf numFmtId="0" fontId="65" fillId="2" borderId="0" applyNumberFormat="0" applyFont="0" applyBorder="0" applyAlignment="0" applyProtection="0"/>
    <xf numFmtId="0" fontId="73" fillId="0" borderId="0"/>
    <xf numFmtId="0" fontId="73" fillId="0" borderId="0" applyNumberFormat="0" applyFont="0" applyFill="0" applyBorder="0" applyAlignment="0" applyProtection="0">
      <alignment horizontal="left"/>
    </xf>
    <xf numFmtId="15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0" fontId="74" fillId="0" borderId="1">
      <alignment horizontal="center"/>
    </xf>
    <xf numFmtId="3" fontId="73" fillId="0" borderId="0" applyFont="0" applyFill="0" applyBorder="0" applyAlignment="0" applyProtection="0"/>
    <xf numFmtId="0" fontId="73" fillId="2" borderId="0" applyNumberFormat="0" applyFont="0" applyBorder="0" applyAlignment="0" applyProtection="0"/>
    <xf numFmtId="40" fontId="17" fillId="0" borderId="0" applyFont="0" applyFill="0" applyBorder="0" applyAlignment="0" applyProtection="0"/>
    <xf numFmtId="0" fontId="76" fillId="0" borderId="0"/>
    <xf numFmtId="0" fontId="76" fillId="0" borderId="0" applyNumberFormat="0" applyFont="0" applyFill="0" applyBorder="0" applyAlignment="0" applyProtection="0">
      <alignment horizontal="left"/>
    </xf>
    <xf numFmtId="15" fontId="76" fillId="0" borderId="0" applyFont="0" applyFill="0" applyBorder="0" applyAlignment="0" applyProtection="0"/>
    <xf numFmtId="4" fontId="76" fillId="0" borderId="0" applyFont="0" applyFill="0" applyBorder="0" applyAlignment="0" applyProtection="0"/>
    <xf numFmtId="0" fontId="77" fillId="0" borderId="1">
      <alignment horizontal="center"/>
    </xf>
    <xf numFmtId="3" fontId="76" fillId="0" borderId="0" applyFont="0" applyFill="0" applyBorder="0" applyAlignment="0" applyProtection="0"/>
    <xf numFmtId="0" fontId="76" fillId="2" borderId="0" applyNumberFormat="0" applyFont="0" applyBorder="0" applyAlignment="0" applyProtection="0"/>
    <xf numFmtId="0" fontId="2" fillId="0" borderId="0"/>
    <xf numFmtId="43" fontId="2" fillId="0" borderId="0" applyFont="0" applyFill="0" applyBorder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7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" fillId="0" borderId="0" applyNumberFormat="0" applyFont="0" applyFill="0" applyBorder="0" applyAlignment="0" applyProtection="0">
      <alignment horizontal="left"/>
    </xf>
    <xf numFmtId="0" fontId="17" fillId="0" borderId="0" applyNumberFormat="0" applyFont="0" applyFill="0" applyBorder="0" applyAlignment="0" applyProtection="0">
      <alignment horizontal="left"/>
    </xf>
    <xf numFmtId="15" fontId="17" fillId="0" borderId="0" applyFont="0" applyFill="0" applyBorder="0" applyAlignment="0" applyProtection="0"/>
    <xf numFmtId="15" fontId="17" fillId="0" borderId="0" applyFont="0" applyFill="0" applyBorder="0" applyAlignment="0" applyProtection="0"/>
    <xf numFmtId="4" fontId="17" fillId="0" borderId="0" applyFont="0" applyFill="0" applyBorder="0" applyAlignment="0" applyProtection="0"/>
    <xf numFmtId="4" fontId="17" fillId="0" borderId="0" applyFont="0" applyFill="0" applyBorder="0" applyAlignment="0" applyProtection="0"/>
    <xf numFmtId="0" fontId="18" fillId="0" borderId="1">
      <alignment horizontal="center"/>
    </xf>
    <xf numFmtId="0" fontId="18" fillId="0" borderId="1">
      <alignment horizontal="center"/>
    </xf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0" fontId="17" fillId="2" borderId="0" applyNumberFormat="0" applyFont="0" applyBorder="0" applyAlignment="0" applyProtection="0"/>
    <xf numFmtId="0" fontId="17" fillId="2" borderId="0" applyNumberFormat="0" applyFont="0" applyBorder="0" applyAlignment="0" applyProtection="0"/>
    <xf numFmtId="0" fontId="17" fillId="0" borderId="0"/>
    <xf numFmtId="0" fontId="17" fillId="0" borderId="0" applyNumberFormat="0" applyFont="0" applyFill="0" applyBorder="0" applyAlignment="0" applyProtection="0">
      <alignment horizontal="left"/>
    </xf>
    <xf numFmtId="15" fontId="17" fillId="0" borderId="0" applyFont="0" applyFill="0" applyBorder="0" applyAlignment="0" applyProtection="0"/>
    <xf numFmtId="4" fontId="17" fillId="0" borderId="0" applyFont="0" applyFill="0" applyBorder="0" applyAlignment="0" applyProtection="0"/>
    <xf numFmtId="0" fontId="18" fillId="0" borderId="1">
      <alignment horizontal="center"/>
    </xf>
    <xf numFmtId="3" fontId="17" fillId="0" borderId="0" applyFont="0" applyFill="0" applyBorder="0" applyAlignment="0" applyProtection="0"/>
    <xf numFmtId="0" fontId="17" fillId="2" borderId="0" applyNumberFormat="0" applyFont="0" applyBorder="0" applyAlignment="0" applyProtection="0"/>
    <xf numFmtId="0" fontId="17" fillId="0" borderId="0"/>
    <xf numFmtId="0" fontId="17" fillId="0" borderId="0" applyNumberFormat="0" applyFont="0" applyFill="0" applyBorder="0" applyAlignment="0" applyProtection="0">
      <alignment horizontal="left"/>
    </xf>
    <xf numFmtId="15" fontId="17" fillId="0" borderId="0" applyFont="0" applyFill="0" applyBorder="0" applyAlignment="0" applyProtection="0"/>
    <xf numFmtId="4" fontId="17" fillId="0" borderId="0" applyFont="0" applyFill="0" applyBorder="0" applyAlignment="0" applyProtection="0"/>
    <xf numFmtId="0" fontId="18" fillId="0" borderId="1">
      <alignment horizontal="center"/>
    </xf>
    <xf numFmtId="3" fontId="17" fillId="0" borderId="0" applyFont="0" applyFill="0" applyBorder="0" applyAlignment="0" applyProtection="0"/>
    <xf numFmtId="0" fontId="17" fillId="2" borderId="0" applyNumberFormat="0" applyFont="0" applyBorder="0" applyAlignment="0" applyProtection="0"/>
    <xf numFmtId="0" fontId="18" fillId="0" borderId="39">
      <alignment horizontal="center"/>
    </xf>
    <xf numFmtId="0" fontId="82" fillId="0" borderId="0"/>
    <xf numFmtId="44" fontId="83" fillId="0" borderId="0" applyFont="0" applyFill="0" applyBorder="0" applyAlignment="0" applyProtection="0"/>
    <xf numFmtId="43" fontId="91" fillId="0" borderId="0" applyFont="0" applyFill="0" applyBorder="0" applyAlignment="0" applyProtection="0"/>
  </cellStyleXfs>
  <cellXfs count="1137">
    <xf numFmtId="0" fontId="0" fillId="0" borderId="0" xfId="0"/>
    <xf numFmtId="37" fontId="0" fillId="0" borderId="0" xfId="0" applyNumberFormat="1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37" fontId="3" fillId="0" borderId="0" xfId="1" applyNumberFormat="1" applyFont="1" applyFill="1" applyBorder="1" applyAlignment="1">
      <alignment horizontal="center"/>
    </xf>
    <xf numFmtId="172" fontId="3" fillId="0" borderId="0" xfId="1" applyNumberFormat="1" applyFont="1" applyFill="1" applyBorder="1" applyAlignment="1">
      <alignment horizontal="left"/>
    </xf>
    <xf numFmtId="37" fontId="3" fillId="0" borderId="0" xfId="1" quotePrefix="1" applyNumberFormat="1" applyFont="1" applyFill="1" applyBorder="1" applyAlignment="1">
      <alignment horizontal="center"/>
    </xf>
    <xf numFmtId="37" fontId="0" fillId="0" borderId="0" xfId="1" applyNumberFormat="1" applyFont="1" applyFill="1" applyBorder="1"/>
    <xf numFmtId="37" fontId="0" fillId="0" borderId="0" xfId="1" quotePrefix="1" applyNumberFormat="1" applyFont="1" applyFill="1" applyBorder="1" applyAlignment="1">
      <alignment horizontal="right"/>
    </xf>
    <xf numFmtId="37" fontId="0" fillId="0" borderId="0" xfId="1" applyNumberFormat="1" applyFont="1" applyFill="1" applyBorder="1" applyAlignment="1">
      <alignment horizontal="right"/>
    </xf>
    <xf numFmtId="164" fontId="0" fillId="0" borderId="0" xfId="0" applyNumberFormat="1"/>
    <xf numFmtId="0" fontId="0" fillId="0" borderId="0" xfId="0" quotePrefix="1" applyAlignment="1">
      <alignment horizontal="left"/>
    </xf>
    <xf numFmtId="164" fontId="3" fillId="0" borderId="0" xfId="1" applyNumberFormat="1" applyFont="1" applyFill="1" applyAlignment="1">
      <alignment horizontal="left"/>
    </xf>
    <xf numFmtId="37" fontId="3" fillId="0" borderId="0" xfId="1" applyNumberFormat="1" applyFont="1" applyFill="1"/>
    <xf numFmtId="37" fontId="0" fillId="0" borderId="0" xfId="1" applyNumberFormat="1" applyFont="1" applyFill="1" applyAlignment="1">
      <alignment horizontal="left"/>
    </xf>
    <xf numFmtId="37" fontId="0" fillId="0" borderId="0" xfId="1" applyNumberFormat="1" applyFont="1" applyFill="1"/>
    <xf numFmtId="37" fontId="3" fillId="0" borderId="0" xfId="1" applyNumberFormat="1" applyFont="1" applyFill="1" applyAlignment="1">
      <alignment horizontal="center"/>
    </xf>
    <xf numFmtId="37" fontId="3" fillId="0" borderId="0" xfId="1" quotePrefix="1" applyNumberFormat="1" applyFont="1" applyFill="1" applyAlignment="1">
      <alignment horizontal="center"/>
    </xf>
    <xf numFmtId="172" fontId="0" fillId="0" borderId="0" xfId="1" applyNumberFormat="1" applyFont="1" applyFill="1" applyAlignment="1">
      <alignment horizontal="center"/>
    </xf>
    <xf numFmtId="37" fontId="3" fillId="0" borderId="1" xfId="1" applyNumberFormat="1" applyFont="1" applyFill="1" applyBorder="1" applyAlignment="1">
      <alignment horizontal="center"/>
    </xf>
    <xf numFmtId="17" fontId="3" fillId="0" borderId="1" xfId="1" applyNumberFormat="1" applyFont="1" applyFill="1" applyBorder="1" applyAlignment="1">
      <alignment horizontal="center"/>
    </xf>
    <xf numFmtId="37" fontId="0" fillId="0" borderId="0" xfId="1" applyNumberFormat="1" applyFont="1" applyFill="1" applyAlignment="1">
      <alignment horizontal="right"/>
    </xf>
    <xf numFmtId="37" fontId="0" fillId="0" borderId="0" xfId="1" quotePrefix="1" applyNumberFormat="1" applyFont="1" applyFill="1" applyAlignment="1">
      <alignment horizontal="right"/>
    </xf>
    <xf numFmtId="37" fontId="0" fillId="0" borderId="3" xfId="1" applyNumberFormat="1" applyFont="1" applyFill="1" applyBorder="1"/>
    <xf numFmtId="37" fontId="0" fillId="0" borderId="4" xfId="1" applyNumberFormat="1" applyFont="1" applyFill="1" applyBorder="1"/>
    <xf numFmtId="37" fontId="5" fillId="0" borderId="0" xfId="1" applyNumberFormat="1" applyFont="1" applyFill="1"/>
    <xf numFmtId="37" fontId="3" fillId="0" borderId="0" xfId="1" quotePrefix="1" applyNumberFormat="1" applyFont="1" applyFill="1" applyAlignment="1">
      <alignment horizontal="left"/>
    </xf>
    <xf numFmtId="10" fontId="3" fillId="0" borderId="0" xfId="17" applyNumberFormat="1" applyFont="1" applyFill="1"/>
    <xf numFmtId="0" fontId="5" fillId="0" borderId="0" xfId="0" applyFont="1"/>
    <xf numFmtId="37" fontId="0" fillId="0" borderId="0" xfId="1" quotePrefix="1" applyNumberFormat="1" applyFont="1" applyFill="1" applyBorder="1" applyAlignment="1">
      <alignment horizontal="center"/>
    </xf>
    <xf numFmtId="0" fontId="10" fillId="0" borderId="0" xfId="0" applyFont="1" applyAlignment="1">
      <alignment horizontal="left"/>
    </xf>
    <xf numFmtId="0" fontId="11" fillId="0" borderId="0" xfId="0" applyFont="1"/>
    <xf numFmtId="0" fontId="10" fillId="0" borderId="0" xfId="0" applyFont="1"/>
    <xf numFmtId="0" fontId="11" fillId="0" borderId="0" xfId="0" applyFont="1" applyAlignment="1">
      <alignment horizontal="center"/>
    </xf>
    <xf numFmtId="0" fontId="11" fillId="0" borderId="5" xfId="0" applyFont="1" applyBorder="1"/>
    <xf numFmtId="37" fontId="11" fillId="0" borderId="5" xfId="0" applyNumberFormat="1" applyFont="1" applyBorder="1" applyAlignment="1">
      <alignment horizontal="centerContinuous"/>
    </xf>
    <xf numFmtId="37" fontId="11" fillId="0" borderId="5" xfId="0" applyNumberFormat="1" applyFont="1" applyBorder="1" applyAlignment="1">
      <alignment horizontal="left"/>
    </xf>
    <xf numFmtId="37" fontId="11" fillId="0" borderId="0" xfId="0" applyNumberFormat="1" applyFont="1" applyAlignment="1">
      <alignment horizontal="centerContinuous"/>
    </xf>
    <xf numFmtId="37" fontId="11" fillId="0" borderId="0" xfId="0" applyNumberFormat="1" applyFont="1" applyAlignment="1">
      <alignment horizontal="left"/>
    </xf>
    <xf numFmtId="10" fontId="10" fillId="0" borderId="0" xfId="0" applyNumberFormat="1" applyFont="1"/>
    <xf numFmtId="10" fontId="10" fillId="0" borderId="6" xfId="0" applyNumberFormat="1" applyFont="1" applyBorder="1"/>
    <xf numFmtId="0" fontId="10" fillId="0" borderId="5" xfId="0" applyFont="1" applyBorder="1"/>
    <xf numFmtId="10" fontId="0" fillId="0" borderId="0" xfId="17" applyNumberFormat="1" applyFont="1" applyFill="1"/>
    <xf numFmtId="0" fontId="5" fillId="0" borderId="0" xfId="0" quotePrefix="1" applyFont="1" applyAlignment="1">
      <alignment horizontal="left"/>
    </xf>
    <xf numFmtId="0" fontId="0" fillId="0" borderId="0" xfId="0" applyAlignment="1">
      <alignment horizontal="left"/>
    </xf>
    <xf numFmtId="0" fontId="3" fillId="0" borderId="0" xfId="0" quotePrefix="1" applyFont="1" applyAlignment="1">
      <alignment horizontal="left"/>
    </xf>
    <xf numFmtId="37" fontId="0" fillId="0" borderId="7" xfId="0" applyNumberFormat="1" applyBorder="1"/>
    <xf numFmtId="164" fontId="0" fillId="0" borderId="0" xfId="1" applyNumberFormat="1" applyFont="1" applyFill="1"/>
    <xf numFmtId="37" fontId="3" fillId="0" borderId="0" xfId="1" applyNumberFormat="1" applyFont="1" applyFill="1" applyAlignment="1">
      <alignment horizontal="left"/>
    </xf>
    <xf numFmtId="164" fontId="0" fillId="0" borderId="0" xfId="1" applyNumberFormat="1" applyFont="1" applyFill="1" applyBorder="1"/>
    <xf numFmtId="0" fontId="3" fillId="0" borderId="1" xfId="0" applyFont="1" applyBorder="1" applyAlignment="1">
      <alignment horizontal="center"/>
    </xf>
    <xf numFmtId="164" fontId="3" fillId="0" borderId="0" xfId="1" applyNumberFormat="1" applyFont="1" applyFill="1" applyBorder="1" applyAlignment="1">
      <alignment horizontal="center"/>
    </xf>
    <xf numFmtId="17" fontId="3" fillId="0" borderId="0" xfId="1" applyNumberFormat="1" applyFont="1" applyFill="1" applyBorder="1" applyAlignment="1">
      <alignment horizontal="center"/>
    </xf>
    <xf numFmtId="164" fontId="3" fillId="0" borderId="0" xfId="1" applyNumberFormat="1" applyFont="1" applyFill="1"/>
    <xf numFmtId="37" fontId="16" fillId="0" borderId="8" xfId="0" applyNumberFormat="1" applyFont="1" applyBorder="1" applyAlignment="1">
      <alignment horizontal="centerContinuous"/>
    </xf>
    <xf numFmtId="37" fontId="16" fillId="0" borderId="8" xfId="0" applyNumberFormat="1" applyFont="1" applyBorder="1" applyAlignment="1">
      <alignment horizontal="center"/>
    </xf>
    <xf numFmtId="37" fontId="11" fillId="0" borderId="0" xfId="0" applyNumberFormat="1" applyFont="1"/>
    <xf numFmtId="10" fontId="16" fillId="0" borderId="0" xfId="0" applyNumberFormat="1" applyFont="1"/>
    <xf numFmtId="37" fontId="10" fillId="0" borderId="0" xfId="0" applyNumberFormat="1" applyFont="1"/>
    <xf numFmtId="37" fontId="16" fillId="0" borderId="6" xfId="0" applyNumberFormat="1" applyFont="1" applyBorder="1"/>
    <xf numFmtId="37" fontId="16" fillId="0" borderId="9" xfId="0" applyNumberFormat="1" applyFont="1" applyBorder="1"/>
    <xf numFmtId="37" fontId="16" fillId="0" borderId="0" xfId="0" applyNumberFormat="1" applyFont="1" applyAlignment="1">
      <alignment horizontal="center"/>
    </xf>
    <xf numFmtId="37" fontId="16" fillId="0" borderId="0" xfId="0" applyNumberFormat="1" applyFont="1"/>
    <xf numFmtId="0" fontId="2" fillId="0" borderId="0" xfId="0" applyFont="1"/>
    <xf numFmtId="37" fontId="3" fillId="0" borderId="0" xfId="1" applyNumberFormat="1" applyFont="1" applyFill="1" applyAlignment="1">
      <alignment horizontal="right"/>
    </xf>
    <xf numFmtId="0" fontId="3" fillId="0" borderId="0" xfId="0" applyFont="1" applyAlignment="1">
      <alignment horizontal="right"/>
    </xf>
    <xf numFmtId="37" fontId="11" fillId="0" borderId="0" xfId="0" quotePrefix="1" applyNumberFormat="1" applyFont="1" applyAlignment="1">
      <alignment horizontal="left"/>
    </xf>
    <xf numFmtId="37" fontId="16" fillId="0" borderId="10" xfId="0" applyNumberFormat="1" applyFont="1" applyBorder="1" applyAlignment="1">
      <alignment horizontal="center"/>
    </xf>
    <xf numFmtId="37" fontId="16" fillId="0" borderId="10" xfId="0" applyNumberFormat="1" applyFont="1" applyBorder="1"/>
    <xf numFmtId="37" fontId="16" fillId="0" borderId="0" xfId="0" applyNumberFormat="1" applyFont="1" applyAlignment="1">
      <alignment horizontal="left"/>
    </xf>
    <xf numFmtId="0" fontId="3" fillId="0" borderId="0" xfId="0" applyFont="1"/>
    <xf numFmtId="0" fontId="5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17" fontId="0" fillId="0" borderId="0" xfId="0" applyNumberFormat="1"/>
    <xf numFmtId="5" fontId="0" fillId="0" borderId="0" xfId="0" applyNumberFormat="1"/>
    <xf numFmtId="0" fontId="0" fillId="0" borderId="1" xfId="0" applyBorder="1"/>
    <xf numFmtId="0" fontId="0" fillId="0" borderId="11" xfId="0" applyBorder="1"/>
    <xf numFmtId="0" fontId="0" fillId="0" borderId="0" xfId="0" applyAlignment="1">
      <alignment horizontal="right"/>
    </xf>
    <xf numFmtId="43" fontId="0" fillId="0" borderId="0" xfId="0" applyNumberFormat="1"/>
    <xf numFmtId="0" fontId="0" fillId="0" borderId="4" xfId="0" applyBorder="1"/>
    <xf numFmtId="43" fontId="0" fillId="0" borderId="0" xfId="1" applyFont="1" applyFill="1"/>
    <xf numFmtId="10" fontId="0" fillId="0" borderId="0" xfId="0" applyNumberFormat="1"/>
    <xf numFmtId="37" fontId="19" fillId="0" borderId="0" xfId="0" quotePrefix="1" applyNumberFormat="1" applyFont="1" applyAlignment="1">
      <alignment horizontal="left"/>
    </xf>
    <xf numFmtId="5" fontId="19" fillId="0" borderId="0" xfId="0" applyNumberFormat="1" applyFont="1"/>
    <xf numFmtId="0" fontId="2" fillId="0" borderId="0" xfId="0" applyFont="1" applyAlignment="1">
      <alignment horizontal="center"/>
    </xf>
    <xf numFmtId="37" fontId="3" fillId="0" borderId="0" xfId="1" quotePrefix="1" applyNumberFormat="1" applyFont="1" applyFill="1" applyAlignment="1">
      <alignment horizontal="right"/>
    </xf>
    <xf numFmtId="0" fontId="16" fillId="0" borderId="0" xfId="0" applyFont="1"/>
    <xf numFmtId="0" fontId="11" fillId="0" borderId="0" xfId="0" applyFont="1" applyAlignment="1">
      <alignment horizontal="centerContinuous"/>
    </xf>
    <xf numFmtId="0" fontId="16" fillId="0" borderId="4" xfId="0" applyFont="1" applyBorder="1"/>
    <xf numFmtId="5" fontId="10" fillId="0" borderId="0" xfId="0" applyNumberFormat="1" applyFont="1"/>
    <xf numFmtId="37" fontId="20" fillId="0" borderId="0" xfId="0" applyNumberFormat="1" applyFont="1" applyAlignment="1">
      <alignment horizontal="right"/>
    </xf>
    <xf numFmtId="164" fontId="0" fillId="0" borderId="7" xfId="1" applyNumberFormat="1" applyFont="1" applyFill="1" applyBorder="1"/>
    <xf numFmtId="37" fontId="3" fillId="0" borderId="0" xfId="0" applyNumberFormat="1" applyFont="1" applyAlignment="1">
      <alignment horizontal="center"/>
    </xf>
    <xf numFmtId="10" fontId="5" fillId="0" borderId="0" xfId="17" applyNumberFormat="1" applyFont="1" applyFill="1"/>
    <xf numFmtId="37" fontId="0" fillId="0" borderId="1" xfId="0" applyNumberFormat="1" applyBorder="1"/>
    <xf numFmtId="37" fontId="3" fillId="0" borderId="1" xfId="0" applyNumberFormat="1" applyFont="1" applyBorder="1" applyAlignment="1">
      <alignment horizontal="center"/>
    </xf>
    <xf numFmtId="37" fontId="0" fillId="0" borderId="11" xfId="0" applyNumberFormat="1" applyBorder="1"/>
    <xf numFmtId="37" fontId="0" fillId="0" borderId="4" xfId="0" applyNumberFormat="1" applyBorder="1"/>
    <xf numFmtId="0" fontId="2" fillId="0" borderId="0" xfId="0" applyFont="1" applyAlignment="1">
      <alignment horizontal="right"/>
    </xf>
    <xf numFmtId="0" fontId="19" fillId="0" borderId="1" xfId="0" applyFont="1" applyBorder="1" applyAlignment="1">
      <alignment horizontal="center"/>
    </xf>
    <xf numFmtId="37" fontId="2" fillId="0" borderId="0" xfId="0" applyNumberFormat="1" applyFont="1"/>
    <xf numFmtId="164" fontId="0" fillId="0" borderId="0" xfId="1" applyNumberFormat="1" applyFont="1" applyFill="1" applyAlignment="1">
      <alignment horizontal="left"/>
    </xf>
    <xf numFmtId="0" fontId="3" fillId="0" borderId="12" xfId="0" applyFont="1" applyBorder="1" applyAlignment="1">
      <alignment horizontal="center"/>
    </xf>
    <xf numFmtId="172" fontId="3" fillId="0" borderId="0" xfId="1" applyNumberFormat="1" applyFont="1" applyFill="1" applyBorder="1" applyAlignment="1">
      <alignment horizontal="center"/>
    </xf>
    <xf numFmtId="0" fontId="3" fillId="0" borderId="13" xfId="0" applyFont="1" applyBorder="1" applyAlignment="1">
      <alignment horizontal="center"/>
    </xf>
    <xf numFmtId="164" fontId="3" fillId="0" borderId="1" xfId="1" applyNumberFormat="1" applyFont="1" applyFill="1" applyBorder="1" applyAlignment="1">
      <alignment horizontal="center"/>
    </xf>
    <xf numFmtId="164" fontId="3" fillId="0" borderId="0" xfId="1" applyNumberFormat="1" applyFont="1" applyFill="1" applyBorder="1"/>
    <xf numFmtId="0" fontId="0" fillId="0" borderId="0" xfId="0" quotePrefix="1" applyAlignment="1">
      <alignment horizontal="center"/>
    </xf>
    <xf numFmtId="37" fontId="3" fillId="0" borderId="0" xfId="1" applyNumberFormat="1" applyFont="1" applyFill="1" applyBorder="1" applyAlignment="1">
      <alignment horizontal="left"/>
    </xf>
    <xf numFmtId="9" fontId="0" fillId="0" borderId="0" xfId="17" applyFont="1" applyFill="1"/>
    <xf numFmtId="0" fontId="0" fillId="0" borderId="14" xfId="0" applyBorder="1"/>
    <xf numFmtId="0" fontId="0" fillId="0" borderId="15" xfId="0" applyBorder="1"/>
    <xf numFmtId="166" fontId="0" fillId="0" borderId="0" xfId="17" applyNumberFormat="1" applyFont="1" applyFill="1" applyBorder="1"/>
    <xf numFmtId="0" fontId="0" fillId="0" borderId="16" xfId="0" applyBorder="1"/>
    <xf numFmtId="0" fontId="0" fillId="0" borderId="17" xfId="0" applyBorder="1"/>
    <xf numFmtId="37" fontId="0" fillId="0" borderId="0" xfId="1" quotePrefix="1" applyNumberFormat="1" applyFont="1" applyFill="1" applyAlignment="1">
      <alignment horizontal="center"/>
    </xf>
    <xf numFmtId="49" fontId="3" fillId="0" borderId="0" xfId="1" applyNumberFormat="1" applyFont="1" applyFill="1"/>
    <xf numFmtId="37" fontId="3" fillId="0" borderId="0" xfId="0" applyNumberFormat="1" applyFont="1"/>
    <xf numFmtId="17" fontId="10" fillId="0" borderId="0" xfId="0" applyNumberFormat="1" applyFont="1" applyAlignment="1">
      <alignment horizontal="left"/>
    </xf>
    <xf numFmtId="164" fontId="3" fillId="0" borderId="15" xfId="1" applyNumberFormat="1" applyFont="1" applyFill="1" applyBorder="1"/>
    <xf numFmtId="37" fontId="0" fillId="0" borderId="15" xfId="1" applyNumberFormat="1" applyFont="1" applyFill="1" applyBorder="1"/>
    <xf numFmtId="164" fontId="0" fillId="0" borderId="15" xfId="1" applyNumberFormat="1" applyFont="1" applyFill="1" applyBorder="1" applyAlignment="1">
      <alignment horizontal="center"/>
    </xf>
    <xf numFmtId="164" fontId="3" fillId="0" borderId="15" xfId="1" applyNumberFormat="1" applyFont="1" applyFill="1" applyBorder="1" applyAlignment="1">
      <alignment horizontal="center"/>
    </xf>
    <xf numFmtId="37" fontId="3" fillId="0" borderId="15" xfId="1" applyNumberFormat="1" applyFont="1" applyFill="1" applyBorder="1" applyAlignment="1">
      <alignment horizontal="center"/>
    </xf>
    <xf numFmtId="164" fontId="0" fillId="0" borderId="15" xfId="1" applyNumberFormat="1" applyFont="1" applyFill="1" applyBorder="1"/>
    <xf numFmtId="170" fontId="0" fillId="0" borderId="15" xfId="1" applyNumberFormat="1" applyFont="1" applyFill="1" applyBorder="1"/>
    <xf numFmtId="37" fontId="0" fillId="0" borderId="0" xfId="1" applyNumberFormat="1" applyFont="1" applyFill="1" applyBorder="1" applyAlignment="1">
      <alignment horizontal="center"/>
    </xf>
    <xf numFmtId="164" fontId="3" fillId="0" borderId="0" xfId="1" applyNumberFormat="1" applyFont="1" applyFill="1" applyAlignment="1">
      <alignment horizontal="center"/>
    </xf>
    <xf numFmtId="0" fontId="2" fillId="0" borderId="0" xfId="0" quotePrefix="1" applyFont="1" applyAlignment="1">
      <alignment horizontal="left"/>
    </xf>
    <xf numFmtId="0" fontId="11" fillId="0" borderId="0" xfId="0" quotePrefix="1" applyFont="1" applyAlignment="1">
      <alignment horizontal="left"/>
    </xf>
    <xf numFmtId="3" fontId="0" fillId="0" borderId="0" xfId="0" applyNumberFormat="1"/>
    <xf numFmtId="0" fontId="16" fillId="0" borderId="18" xfId="0" applyFont="1" applyBorder="1"/>
    <xf numFmtId="10" fontId="2" fillId="0" borderId="0" xfId="0" applyNumberFormat="1" applyFont="1" applyAlignment="1">
      <alignment horizontal="center"/>
    </xf>
    <xf numFmtId="10" fontId="2" fillId="0" borderId="0" xfId="0" applyNumberFormat="1" applyFont="1"/>
    <xf numFmtId="49" fontId="3" fillId="0" borderId="1" xfId="1" applyNumberFormat="1" applyFont="1" applyFill="1" applyBorder="1"/>
    <xf numFmtId="164" fontId="3" fillId="0" borderId="1" xfId="1" applyNumberFormat="1" applyFont="1" applyFill="1" applyBorder="1"/>
    <xf numFmtId="49" fontId="0" fillId="0" borderId="0" xfId="1" applyNumberFormat="1" applyFont="1" applyFill="1"/>
    <xf numFmtId="49" fontId="0" fillId="0" borderId="0" xfId="1" applyNumberFormat="1" applyFont="1" applyFill="1" applyAlignment="1">
      <alignment horizontal="left"/>
    </xf>
    <xf numFmtId="167" fontId="0" fillId="0" borderId="0" xfId="17" applyNumberFormat="1" applyFont="1" applyFill="1" applyBorder="1"/>
    <xf numFmtId="164" fontId="0" fillId="0" borderId="0" xfId="1" applyNumberFormat="1" applyFont="1" applyFill="1" applyAlignment="1">
      <alignment horizontal="center"/>
    </xf>
    <xf numFmtId="37" fontId="0" fillId="0" borderId="7" xfId="1" applyNumberFormat="1" applyFont="1" applyFill="1" applyBorder="1"/>
    <xf numFmtId="0" fontId="3" fillId="0" borderId="0" xfId="1" applyNumberFormat="1" applyFont="1" applyFill="1"/>
    <xf numFmtId="17" fontId="3" fillId="0" borderId="0" xfId="0" applyNumberFormat="1" applyFont="1" applyAlignment="1">
      <alignment horizontal="center"/>
    </xf>
    <xf numFmtId="0" fontId="3" fillId="0" borderId="1" xfId="0" applyFont="1" applyBorder="1"/>
    <xf numFmtId="0" fontId="10" fillId="0" borderId="0" xfId="0" applyFont="1" applyAlignment="1">
      <alignment horizontal="centerContinuous"/>
    </xf>
    <xf numFmtId="0" fontId="2" fillId="0" borderId="0" xfId="0" applyFont="1" applyAlignment="1">
      <alignment horizontal="centerContinuous"/>
    </xf>
    <xf numFmtId="0" fontId="10" fillId="0" borderId="0" xfId="0" quotePrefix="1" applyFont="1" applyAlignment="1">
      <alignment horizontal="left"/>
    </xf>
    <xf numFmtId="166" fontId="10" fillId="0" borderId="0" xfId="0" applyNumberFormat="1" applyFont="1"/>
    <xf numFmtId="10" fontId="10" fillId="0" borderId="0" xfId="0" applyNumberFormat="1" applyFont="1" applyAlignment="1">
      <alignment horizontal="right"/>
    </xf>
    <xf numFmtId="0" fontId="0" fillId="0" borderId="0" xfId="1" applyNumberFormat="1" applyFont="1" applyFill="1" applyAlignment="1">
      <alignment horizontal="center"/>
    </xf>
    <xf numFmtId="37" fontId="16" fillId="0" borderId="19" xfId="0" applyNumberFormat="1" applyFont="1" applyBorder="1"/>
    <xf numFmtId="0" fontId="0" fillId="0" borderId="20" xfId="0" applyBorder="1"/>
    <xf numFmtId="164" fontId="0" fillId="0" borderId="0" xfId="1" quotePrefix="1" applyNumberFormat="1" applyFont="1" applyFill="1" applyAlignment="1">
      <alignment horizontal="left"/>
    </xf>
    <xf numFmtId="167" fontId="0" fillId="0" borderId="0" xfId="0" applyNumberFormat="1"/>
    <xf numFmtId="37" fontId="0" fillId="0" borderId="1" xfId="1" applyNumberFormat="1" applyFont="1" applyFill="1" applyBorder="1"/>
    <xf numFmtId="37" fontId="0" fillId="0" borderId="21" xfId="1" applyNumberFormat="1" applyFont="1" applyFill="1" applyBorder="1"/>
    <xf numFmtId="10" fontId="0" fillId="0" borderId="0" xfId="17" applyNumberFormat="1" applyFont="1" applyFill="1" applyBorder="1" applyAlignment="1">
      <alignment horizontal="center"/>
    </xf>
    <xf numFmtId="4" fontId="0" fillId="0" borderId="0" xfId="0" applyNumberFormat="1"/>
    <xf numFmtId="164" fontId="5" fillId="0" borderId="0" xfId="1" applyNumberFormat="1" applyFont="1" applyFill="1"/>
    <xf numFmtId="0" fontId="3" fillId="0" borderId="0" xfId="0" applyFont="1" applyAlignment="1">
      <alignment horizontal="left"/>
    </xf>
    <xf numFmtId="37" fontId="4" fillId="0" borderId="0" xfId="1" applyNumberFormat="1" applyFont="1" applyFill="1" applyBorder="1" applyAlignment="1">
      <alignment horizontal="left"/>
    </xf>
    <xf numFmtId="17" fontId="3" fillId="0" borderId="20" xfId="1" applyNumberFormat="1" applyFont="1" applyFill="1" applyBorder="1" applyAlignment="1">
      <alignment horizontal="center"/>
    </xf>
    <xf numFmtId="49" fontId="0" fillId="0" borderId="0" xfId="0" applyNumberFormat="1"/>
    <xf numFmtId="37" fontId="13" fillId="0" borderId="1" xfId="1" applyNumberFormat="1" applyFont="1" applyFill="1" applyBorder="1" applyAlignment="1">
      <alignment horizontal="left"/>
    </xf>
    <xf numFmtId="37" fontId="13" fillId="0" borderId="1" xfId="1" applyNumberFormat="1" applyFont="1" applyFill="1" applyBorder="1" applyAlignment="1">
      <alignment horizontal="center"/>
    </xf>
    <xf numFmtId="37" fontId="13" fillId="0" borderId="22" xfId="1" applyNumberFormat="1" applyFont="1" applyFill="1" applyBorder="1" applyAlignment="1">
      <alignment horizontal="center"/>
    </xf>
    <xf numFmtId="37" fontId="13" fillId="0" borderId="1" xfId="1" applyNumberFormat="1" applyFont="1" applyFill="1" applyBorder="1" applyAlignment="1">
      <alignment horizontal="center" wrapText="1"/>
    </xf>
    <xf numFmtId="49" fontId="3" fillId="0" borderId="0" xfId="1" applyNumberFormat="1" applyFont="1" applyFill="1" applyBorder="1"/>
    <xf numFmtId="49" fontId="0" fillId="0" borderId="0" xfId="1" applyNumberFormat="1" applyFont="1" applyFill="1" applyBorder="1"/>
    <xf numFmtId="37" fontId="0" fillId="0" borderId="7" xfId="1" quotePrefix="1" applyNumberFormat="1" applyFont="1" applyFill="1" applyBorder="1" applyAlignment="1">
      <alignment horizontal="right"/>
    </xf>
    <xf numFmtId="37" fontId="3" fillId="0" borderId="0" xfId="1" applyNumberFormat="1" applyFont="1" applyFill="1" applyBorder="1"/>
    <xf numFmtId="164" fontId="0" fillId="0" borderId="0" xfId="1" applyNumberFormat="1" applyFont="1" applyFill="1" applyBorder="1" applyAlignment="1">
      <alignment horizontal="left"/>
    </xf>
    <xf numFmtId="37" fontId="0" fillId="0" borderId="7" xfId="1" applyNumberFormat="1" applyFont="1" applyFill="1" applyBorder="1" applyAlignment="1">
      <alignment horizontal="right"/>
    </xf>
    <xf numFmtId="49" fontId="0" fillId="0" borderId="0" xfId="1" applyNumberFormat="1" applyFont="1" applyFill="1" applyBorder="1" applyAlignment="1">
      <alignment horizontal="left"/>
    </xf>
    <xf numFmtId="49" fontId="0" fillId="0" borderId="0" xfId="1" quotePrefix="1" applyNumberFormat="1" applyFont="1" applyFill="1" applyBorder="1" applyAlignment="1">
      <alignment horizontal="left"/>
    </xf>
    <xf numFmtId="0" fontId="3" fillId="0" borderId="0" xfId="1" applyNumberFormat="1" applyFont="1" applyFill="1" applyBorder="1"/>
    <xf numFmtId="49" fontId="3" fillId="0" borderId="0" xfId="1" applyNumberFormat="1" applyFont="1" applyFill="1" applyBorder="1" applyAlignment="1">
      <alignment horizontal="left"/>
    </xf>
    <xf numFmtId="164" fontId="3" fillId="0" borderId="20" xfId="1" applyNumberFormat="1" applyFont="1" applyFill="1" applyBorder="1"/>
    <xf numFmtId="164" fontId="3" fillId="0" borderId="22" xfId="1" applyNumberFormat="1" applyFont="1" applyFill="1" applyBorder="1"/>
    <xf numFmtId="164" fontId="5" fillId="0" borderId="0" xfId="1" applyNumberFormat="1" applyFont="1" applyFill="1" applyBorder="1"/>
    <xf numFmtId="170" fontId="0" fillId="0" borderId="0" xfId="1" applyNumberFormat="1" applyFont="1" applyFill="1" applyBorder="1"/>
    <xf numFmtId="37" fontId="0" fillId="0" borderId="0" xfId="0" quotePrefix="1" applyNumberFormat="1"/>
    <xf numFmtId="177" fontId="3" fillId="0" borderId="0" xfId="0" applyNumberFormat="1" applyFont="1" applyAlignment="1">
      <alignment horizontal="left"/>
    </xf>
    <xf numFmtId="166" fontId="3" fillId="0" borderId="0" xfId="17" applyNumberFormat="1" applyFont="1" applyFill="1"/>
    <xf numFmtId="166" fontId="3" fillId="0" borderId="0" xfId="1" applyNumberFormat="1" applyFont="1" applyFill="1"/>
    <xf numFmtId="166" fontId="0" fillId="0" borderId="0" xfId="1" applyNumberFormat="1" applyFont="1" applyFill="1"/>
    <xf numFmtId="10" fontId="3" fillId="0" borderId="0" xfId="1" applyNumberFormat="1" applyFont="1" applyFill="1"/>
    <xf numFmtId="37" fontId="10" fillId="0" borderId="19" xfId="0" applyNumberFormat="1" applyFont="1" applyBorder="1"/>
    <xf numFmtId="164" fontId="5" fillId="0" borderId="0" xfId="0" applyNumberFormat="1" applyFont="1"/>
    <xf numFmtId="0" fontId="0" fillId="0" borderId="0" xfId="1" applyNumberFormat="1" applyFont="1" applyFill="1" applyAlignment="1">
      <alignment horizontal="left"/>
    </xf>
    <xf numFmtId="17" fontId="3" fillId="0" borderId="0" xfId="0" quotePrefix="1" applyNumberFormat="1" applyFont="1" applyAlignment="1">
      <alignment horizontal="left"/>
    </xf>
    <xf numFmtId="164" fontId="3" fillId="0" borderId="3" xfId="1" applyNumberFormat="1" applyFont="1" applyFill="1" applyBorder="1"/>
    <xf numFmtId="164" fontId="0" fillId="0" borderId="0" xfId="1" applyNumberFormat="1" applyFont="1" applyFill="1" applyBorder="1" applyAlignment="1">
      <alignment horizontal="center"/>
    </xf>
    <xf numFmtId="168" fontId="0" fillId="0" borderId="0" xfId="17" applyNumberFormat="1" applyFont="1" applyFill="1" applyBorder="1" applyAlignment="1">
      <alignment horizontal="center"/>
    </xf>
    <xf numFmtId="164" fontId="0" fillId="0" borderId="0" xfId="1" quotePrefix="1" applyNumberFormat="1" applyFont="1" applyFill="1" applyAlignment="1">
      <alignment horizontal="center"/>
    </xf>
    <xf numFmtId="172" fontId="0" fillId="0" borderId="15" xfId="1" applyNumberFormat="1" applyFont="1" applyFill="1" applyBorder="1"/>
    <xf numFmtId="164" fontId="0" fillId="0" borderId="1" xfId="1" applyNumberFormat="1" applyFont="1" applyFill="1" applyBorder="1" applyAlignment="1">
      <alignment horizontal="center"/>
    </xf>
    <xf numFmtId="164" fontId="0" fillId="0" borderId="1" xfId="1" applyNumberFormat="1" applyFont="1" applyFill="1" applyBorder="1" applyAlignment="1">
      <alignment horizontal="left"/>
    </xf>
    <xf numFmtId="168" fontId="0" fillId="0" borderId="1" xfId="17" applyNumberFormat="1" applyFont="1" applyFill="1" applyBorder="1" applyAlignment="1">
      <alignment horizontal="center"/>
    </xf>
    <xf numFmtId="175" fontId="3" fillId="0" borderId="1" xfId="1" applyNumberFormat="1" applyFont="1" applyFill="1" applyBorder="1" applyAlignment="1">
      <alignment horizontal="center"/>
    </xf>
    <xf numFmtId="49" fontId="3" fillId="0" borderId="0" xfId="1" applyNumberFormat="1" applyFont="1" applyFill="1" applyAlignment="1">
      <alignment horizontal="left"/>
    </xf>
    <xf numFmtId="37" fontId="0" fillId="0" borderId="7" xfId="1" applyNumberFormat="1" applyFont="1" applyFill="1" applyBorder="1" applyAlignment="1">
      <alignment horizontal="center"/>
    </xf>
    <xf numFmtId="37" fontId="0" fillId="0" borderId="4" xfId="1" applyNumberFormat="1" applyFont="1" applyFill="1" applyBorder="1" applyAlignment="1">
      <alignment horizontal="center"/>
    </xf>
    <xf numFmtId="37" fontId="0" fillId="0" borderId="7" xfId="1" quotePrefix="1" applyNumberFormat="1" applyFont="1" applyFill="1" applyBorder="1" applyAlignment="1">
      <alignment horizontal="center"/>
    </xf>
    <xf numFmtId="37" fontId="0" fillId="0" borderId="1" xfId="1" applyNumberFormat="1" applyFont="1" applyFill="1" applyBorder="1" applyAlignment="1">
      <alignment horizontal="center"/>
    </xf>
    <xf numFmtId="37" fontId="0" fillId="0" borderId="23" xfId="1" applyNumberFormat="1" applyFont="1" applyFill="1" applyBorder="1"/>
    <xf numFmtId="0" fontId="5" fillId="0" borderId="0" xfId="1" applyNumberFormat="1" applyFont="1" applyFill="1"/>
    <xf numFmtId="169" fontId="0" fillId="0" borderId="0" xfId="0" applyNumberFormat="1"/>
    <xf numFmtId="37" fontId="0" fillId="0" borderId="3" xfId="1" applyNumberFormat="1" applyFont="1" applyFill="1" applyBorder="1" applyAlignment="1">
      <alignment horizontal="center"/>
    </xf>
    <xf numFmtId="49" fontId="3" fillId="0" borderId="0" xfId="1" quotePrefix="1" applyNumberFormat="1" applyFont="1" applyFill="1" applyAlignment="1">
      <alignment horizontal="left"/>
    </xf>
    <xf numFmtId="0" fontId="3" fillId="0" borderId="0" xfId="1" quotePrefix="1" applyNumberFormat="1" applyFont="1" applyFill="1" applyAlignment="1">
      <alignment horizontal="left"/>
    </xf>
    <xf numFmtId="0" fontId="3" fillId="0" borderId="0" xfId="1" applyNumberFormat="1" applyFont="1" applyFill="1" applyAlignment="1">
      <alignment horizontal="left"/>
    </xf>
    <xf numFmtId="170" fontId="0" fillId="0" borderId="0" xfId="1" quotePrefix="1" applyNumberFormat="1" applyFont="1" applyFill="1" applyBorder="1" applyAlignment="1">
      <alignment horizontal="right"/>
    </xf>
    <xf numFmtId="170" fontId="0" fillId="0" borderId="0" xfId="1" applyNumberFormat="1" applyFont="1" applyFill="1" applyBorder="1" applyAlignment="1">
      <alignment horizontal="center"/>
    </xf>
    <xf numFmtId="0" fontId="3" fillId="0" borderId="0" xfId="0" quotePrefix="1" applyFont="1" applyAlignment="1">
      <alignment horizontal="center"/>
    </xf>
    <xf numFmtId="17" fontId="3" fillId="0" borderId="0" xfId="1" applyNumberFormat="1" applyFont="1" applyFill="1" applyAlignment="1">
      <alignment horizontal="left"/>
    </xf>
    <xf numFmtId="0" fontId="0" fillId="0" borderId="13" xfId="0" applyBorder="1"/>
    <xf numFmtId="37" fontId="7" fillId="0" borderId="0" xfId="1" applyNumberFormat="1" applyFont="1" applyFill="1" applyAlignment="1">
      <alignment horizontal="center"/>
    </xf>
    <xf numFmtId="0" fontId="0" fillId="0" borderId="0" xfId="0" applyAlignment="1">
      <alignment wrapText="1"/>
    </xf>
    <xf numFmtId="37" fontId="3" fillId="0" borderId="0" xfId="1" applyNumberFormat="1" applyFont="1" applyFill="1" applyAlignment="1">
      <alignment horizontal="center" wrapText="1"/>
    </xf>
    <xf numFmtId="37" fontId="7" fillId="0" borderId="1" xfId="1" applyNumberFormat="1" applyFont="1" applyFill="1" applyBorder="1" applyAlignment="1">
      <alignment horizontal="center" wrapText="1"/>
    </xf>
    <xf numFmtId="37" fontId="12" fillId="0" borderId="0" xfId="0" quotePrefix="1" applyNumberFormat="1" applyFont="1" applyAlignment="1">
      <alignment horizontal="left"/>
    </xf>
    <xf numFmtId="37" fontId="0" fillId="0" borderId="0" xfId="0" applyNumberFormat="1" applyAlignment="1">
      <alignment horizontal="center"/>
    </xf>
    <xf numFmtId="37" fontId="3" fillId="0" borderId="1" xfId="0" applyNumberFormat="1" applyFont="1" applyBorder="1"/>
    <xf numFmtId="37" fontId="5" fillId="0" borderId="3" xfId="0" quotePrefix="1" applyNumberFormat="1" applyFont="1" applyBorder="1" applyAlignment="1">
      <alignment horizontal="left"/>
    </xf>
    <xf numFmtId="10" fontId="0" fillId="0" borderId="0" xfId="0" applyNumberFormat="1" applyAlignment="1">
      <alignment horizontal="right"/>
    </xf>
    <xf numFmtId="37" fontId="0" fillId="0" borderId="0" xfId="0" quotePrefix="1" applyNumberFormat="1" applyAlignment="1">
      <alignment horizontal="left"/>
    </xf>
    <xf numFmtId="174" fontId="0" fillId="0" borderId="0" xfId="0" applyNumberFormat="1"/>
    <xf numFmtId="37" fontId="3" fillId="0" borderId="0" xfId="0" quotePrefix="1" applyNumberFormat="1" applyFont="1" applyAlignment="1">
      <alignment horizontal="left"/>
    </xf>
    <xf numFmtId="168" fontId="3" fillId="0" borderId="0" xfId="0" quotePrefix="1" applyNumberFormat="1" applyFont="1" applyAlignment="1">
      <alignment horizontal="right"/>
    </xf>
    <xf numFmtId="168" fontId="5" fillId="0" borderId="0" xfId="0" quotePrefix="1" applyNumberFormat="1" applyFont="1" applyAlignment="1">
      <alignment horizontal="left"/>
    </xf>
    <xf numFmtId="168" fontId="3" fillId="0" borderId="0" xfId="0" applyNumberFormat="1" applyFont="1" applyAlignment="1">
      <alignment horizontal="right"/>
    </xf>
    <xf numFmtId="176" fontId="0" fillId="0" borderId="0" xfId="0" applyNumberFormat="1"/>
    <xf numFmtId="37" fontId="11" fillId="0" borderId="0" xfId="1" applyNumberFormat="1" applyFont="1" applyFill="1" applyBorder="1" applyAlignment="1">
      <alignment horizontal="center"/>
    </xf>
    <xf numFmtId="37" fontId="9" fillId="0" borderId="0" xfId="1" applyNumberFormat="1" applyFont="1" applyFill="1" applyBorder="1" applyAlignment="1">
      <alignment horizontal="center"/>
    </xf>
    <xf numFmtId="37" fontId="0" fillId="0" borderId="15" xfId="0" applyNumberFormat="1" applyBorder="1"/>
    <xf numFmtId="164" fontId="0" fillId="0" borderId="14" xfId="1" quotePrefix="1" applyNumberFormat="1" applyFont="1" applyFill="1" applyBorder="1" applyAlignment="1">
      <alignment horizontal="left"/>
    </xf>
    <xf numFmtId="0" fontId="0" fillId="0" borderId="25" xfId="0" applyBorder="1"/>
    <xf numFmtId="0" fontId="0" fillId="0" borderId="26" xfId="0" applyBorder="1"/>
    <xf numFmtId="0" fontId="0" fillId="0" borderId="3" xfId="0" applyBorder="1"/>
    <xf numFmtId="0" fontId="2" fillId="0" borderId="0" xfId="0" applyFont="1" applyAlignment="1">
      <alignment horizontal="left"/>
    </xf>
    <xf numFmtId="43" fontId="5" fillId="0" borderId="0" xfId="1" applyFont="1" applyFill="1"/>
    <xf numFmtId="164" fontId="3" fillId="0" borderId="0" xfId="1" quotePrefix="1" applyNumberFormat="1" applyFont="1" applyFill="1" applyAlignment="1">
      <alignment horizontal="center"/>
    </xf>
    <xf numFmtId="43" fontId="3" fillId="0" borderId="1" xfId="1" quotePrefix="1" applyFont="1" applyFill="1" applyBorder="1" applyAlignment="1">
      <alignment horizontal="left"/>
    </xf>
    <xf numFmtId="43" fontId="5" fillId="0" borderId="1" xfId="1" applyFont="1" applyFill="1" applyBorder="1"/>
    <xf numFmtId="43" fontId="3" fillId="0" borderId="0" xfId="1" quotePrefix="1" applyFont="1" applyFill="1" applyAlignment="1">
      <alignment horizontal="left"/>
    </xf>
    <xf numFmtId="43" fontId="3" fillId="0" borderId="0" xfId="1" applyFont="1" applyFill="1"/>
    <xf numFmtId="164" fontId="5" fillId="0" borderId="1" xfId="1" applyNumberFormat="1" applyFont="1" applyFill="1" applyBorder="1"/>
    <xf numFmtId="43" fontId="3" fillId="0" borderId="1" xfId="1" applyFont="1" applyFill="1" applyBorder="1"/>
    <xf numFmtId="43" fontId="5" fillId="0" borderId="4" xfId="1" applyFont="1" applyFill="1" applyBorder="1"/>
    <xf numFmtId="164" fontId="5" fillId="0" borderId="4" xfId="1" applyNumberFormat="1" applyFont="1" applyFill="1" applyBorder="1"/>
    <xf numFmtId="3" fontId="0" fillId="0" borderId="4" xfId="0" applyNumberFormat="1" applyBorder="1"/>
    <xf numFmtId="3" fontId="0" fillId="0" borderId="11" xfId="0" applyNumberFormat="1" applyBorder="1"/>
    <xf numFmtId="10" fontId="0" fillId="0" borderId="1" xfId="0" applyNumberFormat="1" applyBorder="1"/>
    <xf numFmtId="164" fontId="5" fillId="0" borderId="7" xfId="1" applyNumberFormat="1" applyFont="1" applyFill="1" applyBorder="1" applyAlignment="1">
      <alignment horizontal="left" indent="1"/>
    </xf>
    <xf numFmtId="164" fontId="5" fillId="0" borderId="0" xfId="1" applyNumberFormat="1" applyFont="1" applyFill="1" applyBorder="1" applyAlignment="1">
      <alignment horizontal="left" indent="1"/>
    </xf>
    <xf numFmtId="164" fontId="2" fillId="0" borderId="0" xfId="0" applyNumberFormat="1" applyFont="1"/>
    <xf numFmtId="5" fontId="11" fillId="0" borderId="0" xfId="0" applyNumberFormat="1" applyFont="1"/>
    <xf numFmtId="178" fontId="3" fillId="0" borderId="1" xfId="1" applyNumberFormat="1" applyFont="1" applyFill="1" applyBorder="1" applyAlignment="1">
      <alignment horizontal="center"/>
    </xf>
    <xf numFmtId="10" fontId="25" fillId="0" borderId="15" xfId="17" applyNumberFormat="1" applyFont="1" applyFill="1" applyBorder="1"/>
    <xf numFmtId="0" fontId="25" fillId="0" borderId="0" xfId="0" applyFont="1"/>
    <xf numFmtId="37" fontId="3" fillId="0" borderId="0" xfId="1" applyNumberFormat="1" applyFont="1" applyFill="1" applyBorder="1" applyAlignment="1">
      <alignment horizontal="right"/>
    </xf>
    <xf numFmtId="164" fontId="0" fillId="0" borderId="0" xfId="0" quotePrefix="1" applyNumberFormat="1" applyAlignment="1">
      <alignment horizontal="center"/>
    </xf>
    <xf numFmtId="10" fontId="0" fillId="0" borderId="15" xfId="0" applyNumberFormat="1" applyBorder="1"/>
    <xf numFmtId="37" fontId="24" fillId="0" borderId="0" xfId="1" applyNumberFormat="1" applyFont="1" applyFill="1" applyBorder="1"/>
    <xf numFmtId="164" fontId="2" fillId="0" borderId="0" xfId="1" applyNumberFormat="1" applyFont="1" applyFill="1"/>
    <xf numFmtId="37" fontId="23" fillId="0" borderId="0" xfId="1" applyNumberFormat="1" applyFont="1" applyFill="1"/>
    <xf numFmtId="0" fontId="23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68" fontId="0" fillId="0" borderId="0" xfId="17" quotePrefix="1" applyNumberFormat="1" applyFont="1" applyFill="1" applyBorder="1" applyAlignment="1">
      <alignment horizontal="center"/>
    </xf>
    <xf numFmtId="10" fontId="25" fillId="0" borderId="0" xfId="17" applyNumberFormat="1" applyFont="1" applyFill="1" applyBorder="1"/>
    <xf numFmtId="0" fontId="3" fillId="0" borderId="14" xfId="0" applyFont="1" applyBorder="1" applyAlignment="1">
      <alignment horizontal="left"/>
    </xf>
    <xf numFmtId="37" fontId="3" fillId="0" borderId="2" xfId="0" applyNumberFormat="1" applyFont="1" applyBorder="1" applyAlignment="1">
      <alignment horizontal="center"/>
    </xf>
    <xf numFmtId="0" fontId="0" fillId="0" borderId="14" xfId="0" quotePrefix="1" applyBorder="1" applyAlignment="1">
      <alignment horizontal="left"/>
    </xf>
    <xf numFmtId="37" fontId="0" fillId="0" borderId="25" xfId="0" applyNumberFormat="1" applyBorder="1"/>
    <xf numFmtId="9" fontId="3" fillId="0" borderId="0" xfId="0" quotePrefix="1" applyNumberFormat="1" applyFont="1" applyAlignment="1">
      <alignment horizontal="left"/>
    </xf>
    <xf numFmtId="37" fontId="11" fillId="0" borderId="5" xfId="0" applyNumberFormat="1" applyFont="1" applyBorder="1" applyAlignment="1">
      <alignment horizontal="center"/>
    </xf>
    <xf numFmtId="164" fontId="2" fillId="0" borderId="0" xfId="1" applyNumberFormat="1" applyFont="1" applyFill="1" applyBorder="1"/>
    <xf numFmtId="5" fontId="19" fillId="0" borderId="1" xfId="0" applyNumberFormat="1" applyFont="1" applyBorder="1"/>
    <xf numFmtId="5" fontId="27" fillId="0" borderId="0" xfId="0" applyNumberFormat="1" applyFont="1"/>
    <xf numFmtId="0" fontId="25" fillId="0" borderId="0" xfId="0" quotePrefix="1" applyFont="1" applyAlignment="1">
      <alignment horizontal="left"/>
    </xf>
    <xf numFmtId="164" fontId="3" fillId="0" borderId="0" xfId="1" quotePrefix="1" applyNumberFormat="1" applyFont="1" applyFill="1" applyAlignment="1">
      <alignment horizontal="left"/>
    </xf>
    <xf numFmtId="17" fontId="3" fillId="0" borderId="1" xfId="1" quotePrefix="1" applyNumberFormat="1" applyFont="1" applyFill="1" applyBorder="1" applyAlignment="1">
      <alignment horizontal="center"/>
    </xf>
    <xf numFmtId="49" fontId="0" fillId="0" borderId="14" xfId="1" quotePrefix="1" applyNumberFormat="1" applyFont="1" applyFill="1" applyBorder="1" applyAlignment="1">
      <alignment horizontal="left"/>
    </xf>
    <xf numFmtId="49" fontId="0" fillId="0" borderId="14" xfId="1" applyNumberFormat="1" applyFont="1" applyFill="1" applyBorder="1" applyAlignment="1">
      <alignment horizontal="left"/>
    </xf>
    <xf numFmtId="17" fontId="9" fillId="0" borderId="0" xfId="1" applyNumberFormat="1" applyFont="1" applyFill="1" applyBorder="1" applyAlignment="1">
      <alignment horizontal="center"/>
    </xf>
    <xf numFmtId="0" fontId="0" fillId="0" borderId="26" xfId="0" quotePrefix="1" applyBorder="1" applyAlignment="1">
      <alignment horizontal="left"/>
    </xf>
    <xf numFmtId="10" fontId="0" fillId="0" borderId="25" xfId="0" applyNumberFormat="1" applyBorder="1"/>
    <xf numFmtId="0" fontId="0" fillId="0" borderId="14" xfId="1" applyNumberFormat="1" applyFont="1" applyFill="1" applyBorder="1" applyAlignment="1">
      <alignment horizontal="center"/>
    </xf>
    <xf numFmtId="167" fontId="0" fillId="0" borderId="0" xfId="17" applyNumberFormat="1" applyFont="1" applyFill="1" applyBorder="1" applyAlignment="1">
      <alignment horizontal="center"/>
    </xf>
    <xf numFmtId="0" fontId="3" fillId="0" borderId="14" xfId="0" quotePrefix="1" applyFont="1" applyBorder="1" applyAlignment="1">
      <alignment horizontal="left"/>
    </xf>
    <xf numFmtId="0" fontId="3" fillId="0" borderId="16" xfId="0" applyFont="1" applyBorder="1" applyAlignment="1">
      <alignment horizontal="left"/>
    </xf>
    <xf numFmtId="37" fontId="0" fillId="0" borderId="0" xfId="0" quotePrefix="1" applyNumberFormat="1" applyAlignment="1">
      <alignment horizontal="center"/>
    </xf>
    <xf numFmtId="10" fontId="10" fillId="0" borderId="11" xfId="0" applyNumberFormat="1" applyFont="1" applyBorder="1" applyAlignment="1">
      <alignment horizontal="right"/>
    </xf>
    <xf numFmtId="10" fontId="10" fillId="0" borderId="4" xfId="0" applyNumberFormat="1" applyFont="1" applyBorder="1" applyAlignment="1">
      <alignment horizontal="right"/>
    </xf>
    <xf numFmtId="10" fontId="11" fillId="0" borderId="0" xfId="0" applyNumberFormat="1" applyFont="1" applyAlignment="1">
      <alignment horizontal="center"/>
    </xf>
    <xf numFmtId="10" fontId="5" fillId="0" borderId="0" xfId="0" applyNumberFormat="1" applyFont="1" applyAlignment="1">
      <alignment horizontal="center"/>
    </xf>
    <xf numFmtId="10" fontId="10" fillId="0" borderId="0" xfId="0" applyNumberFormat="1" applyFont="1" applyAlignment="1">
      <alignment horizontal="center"/>
    </xf>
    <xf numFmtId="37" fontId="2" fillId="0" borderId="0" xfId="1" applyNumberFormat="1" applyFill="1" applyAlignment="1">
      <alignment horizontal="left"/>
    </xf>
    <xf numFmtId="37" fontId="2" fillId="0" borderId="0" xfId="1" applyNumberFormat="1" applyFont="1" applyFill="1" applyAlignment="1">
      <alignment horizontal="left"/>
    </xf>
    <xf numFmtId="37" fontId="2" fillId="0" borderId="0" xfId="1" applyNumberFormat="1" applyFont="1" applyFill="1"/>
    <xf numFmtId="37" fontId="2" fillId="0" borderId="0" xfId="1" applyNumberFormat="1" applyFont="1" applyFill="1" applyBorder="1"/>
    <xf numFmtId="37" fontId="2" fillId="0" borderId="0" xfId="1" quotePrefix="1" applyNumberFormat="1" applyFont="1" applyFill="1" applyBorder="1" applyAlignment="1">
      <alignment horizontal="right"/>
    </xf>
    <xf numFmtId="164" fontId="2" fillId="0" borderId="0" xfId="1" applyNumberFormat="1" applyFont="1" applyFill="1" applyAlignment="1">
      <alignment horizontal="center"/>
    </xf>
    <xf numFmtId="164" fontId="2" fillId="0" borderId="0" xfId="1" quotePrefix="1" applyNumberFormat="1" applyFont="1" applyFill="1" applyAlignment="1">
      <alignment horizontal="left"/>
    </xf>
    <xf numFmtId="49" fontId="3" fillId="0" borderId="0" xfId="1" applyNumberFormat="1" applyFont="1" applyFill="1" applyAlignment="1">
      <alignment horizontal="center"/>
    </xf>
    <xf numFmtId="0" fontId="3" fillId="0" borderId="0" xfId="0" applyFont="1" applyAlignment="1">
      <alignment horizontal="center" wrapText="1"/>
    </xf>
    <xf numFmtId="49" fontId="0" fillId="0" borderId="0" xfId="1" quotePrefix="1" applyNumberFormat="1" applyFont="1" applyFill="1" applyAlignment="1">
      <alignment horizontal="left"/>
    </xf>
    <xf numFmtId="37" fontId="3" fillId="0" borderId="0" xfId="1" quotePrefix="1" applyNumberFormat="1" applyFont="1" applyFill="1"/>
    <xf numFmtId="37" fontId="3" fillId="0" borderId="0" xfId="0" applyNumberFormat="1" applyFont="1" applyAlignment="1">
      <alignment horizontal="left"/>
    </xf>
    <xf numFmtId="37" fontId="3" fillId="0" borderId="0" xfId="1" quotePrefix="1" applyNumberFormat="1" applyFont="1" applyFill="1" applyBorder="1" applyAlignment="1">
      <alignment horizontal="right"/>
    </xf>
    <xf numFmtId="172" fontId="3" fillId="0" borderId="0" xfId="1" applyNumberFormat="1" applyFont="1" applyFill="1" applyBorder="1" applyAlignment="1">
      <alignment horizontal="right"/>
    </xf>
    <xf numFmtId="37" fontId="3" fillId="0" borderId="1" xfId="1" applyNumberFormat="1" applyFont="1" applyFill="1" applyBorder="1" applyAlignment="1">
      <alignment horizontal="right"/>
    </xf>
    <xf numFmtId="5" fontId="19" fillId="0" borderId="0" xfId="0" quotePrefix="1" applyNumberFormat="1" applyFont="1" applyAlignment="1">
      <alignment horizontal="right"/>
    </xf>
    <xf numFmtId="0" fontId="3" fillId="0" borderId="0" xfId="1" applyNumberFormat="1" applyFont="1" applyFill="1" applyAlignment="1">
      <alignment horizontal="center"/>
    </xf>
    <xf numFmtId="37" fontId="11" fillId="0" borderId="8" xfId="0" applyNumberFormat="1" applyFont="1" applyBorder="1" applyAlignment="1">
      <alignment horizontal="left"/>
    </xf>
    <xf numFmtId="49" fontId="16" fillId="0" borderId="0" xfId="0" applyNumberFormat="1" applyFont="1"/>
    <xf numFmtId="49" fontId="2" fillId="0" borderId="0" xfId="0" applyNumberFormat="1" applyFont="1"/>
    <xf numFmtId="49" fontId="3" fillId="0" borderId="0" xfId="1" applyNumberFormat="1" applyFont="1" applyFill="1" applyAlignment="1">
      <alignment horizontal="right"/>
    </xf>
    <xf numFmtId="49" fontId="3" fillId="0" borderId="0" xfId="0" quotePrefix="1" applyNumberFormat="1" applyFont="1" applyAlignment="1">
      <alignment horizontal="right"/>
    </xf>
    <xf numFmtId="49" fontId="3" fillId="0" borderId="0" xfId="0" applyNumberFormat="1" applyFont="1" applyAlignment="1">
      <alignment horizontal="right"/>
    </xf>
    <xf numFmtId="49" fontId="11" fillId="0" borderId="0" xfId="0" applyNumberFormat="1" applyFont="1" applyAlignment="1">
      <alignment horizontal="center"/>
    </xf>
    <xf numFmtId="17" fontId="0" fillId="0" borderId="0" xfId="0" applyNumberFormat="1" applyAlignment="1">
      <alignment horizontal="center"/>
    </xf>
    <xf numFmtId="37" fontId="2" fillId="0" borderId="7" xfId="1" applyNumberFormat="1" applyFont="1" applyFill="1" applyBorder="1"/>
    <xf numFmtId="37" fontId="2" fillId="0" borderId="7" xfId="1" quotePrefix="1" applyNumberFormat="1" applyFont="1" applyFill="1" applyBorder="1" applyAlignment="1">
      <alignment horizontal="right"/>
    </xf>
    <xf numFmtId="37" fontId="2" fillId="0" borderId="0" xfId="1" applyNumberFormat="1" applyFont="1" applyFill="1" applyBorder="1" applyAlignment="1">
      <alignment horizontal="right"/>
    </xf>
    <xf numFmtId="49" fontId="2" fillId="0" borderId="0" xfId="1" applyNumberFormat="1" applyFont="1" applyFill="1" applyBorder="1" applyAlignment="1">
      <alignment horizontal="left"/>
    </xf>
    <xf numFmtId="49" fontId="2" fillId="0" borderId="0" xfId="1" applyNumberFormat="1" applyFont="1" applyFill="1" applyAlignment="1">
      <alignment horizontal="left"/>
    </xf>
    <xf numFmtId="37" fontId="2" fillId="0" borderId="3" xfId="1" applyNumberFormat="1" applyFont="1" applyFill="1" applyBorder="1"/>
    <xf numFmtId="0" fontId="0" fillId="0" borderId="0" xfId="0" applyAlignment="1">
      <alignment horizontal="center" wrapText="1"/>
    </xf>
    <xf numFmtId="37" fontId="0" fillId="0" borderId="0" xfId="1" applyNumberFormat="1" applyFont="1" applyFill="1" applyAlignment="1">
      <alignment wrapText="1"/>
    </xf>
    <xf numFmtId="37" fontId="3" fillId="0" borderId="0" xfId="1" applyNumberFormat="1" applyFont="1" applyFill="1" applyBorder="1" applyAlignment="1">
      <alignment horizontal="center" wrapText="1"/>
    </xf>
    <xf numFmtId="164" fontId="29" fillId="0" borderId="0" xfId="1" applyNumberFormat="1" applyFont="1" applyFill="1" applyAlignment="1">
      <alignment horizontal="center"/>
    </xf>
    <xf numFmtId="0" fontId="30" fillId="0" borderId="0" xfId="0" applyFont="1"/>
    <xf numFmtId="0" fontId="29" fillId="0" borderId="0" xfId="0" applyFont="1" applyAlignment="1">
      <alignment horizontal="center"/>
    </xf>
    <xf numFmtId="37" fontId="29" fillId="0" borderId="0" xfId="1" applyNumberFormat="1" applyFont="1" applyFill="1" applyBorder="1" applyAlignment="1">
      <alignment horizontal="center"/>
    </xf>
    <xf numFmtId="17" fontId="31" fillId="0" borderId="0" xfId="1" applyNumberFormat="1" applyFont="1" applyFill="1" applyBorder="1" applyAlignment="1">
      <alignment horizontal="center"/>
    </xf>
    <xf numFmtId="0" fontId="32" fillId="0" borderId="0" xfId="0" applyFont="1"/>
    <xf numFmtId="37" fontId="31" fillId="0" borderId="1" xfId="1" quotePrefix="1" applyNumberFormat="1" applyFont="1" applyFill="1" applyBorder="1" applyAlignment="1">
      <alignment horizontal="center"/>
    </xf>
    <xf numFmtId="37" fontId="32" fillId="0" borderId="0" xfId="1" applyNumberFormat="1" applyFont="1" applyFill="1" applyBorder="1"/>
    <xf numFmtId="37" fontId="32" fillId="0" borderId="19" xfId="1" applyNumberFormat="1" applyFont="1" applyFill="1" applyBorder="1"/>
    <xf numFmtId="37" fontId="32" fillId="0" borderId="4" xfId="1" applyNumberFormat="1" applyFont="1" applyFill="1" applyBorder="1"/>
    <xf numFmtId="37" fontId="32" fillId="0" borderId="1" xfId="1" applyNumberFormat="1" applyFont="1" applyFill="1" applyBorder="1"/>
    <xf numFmtId="37" fontId="32" fillId="0" borderId="27" xfId="1" applyNumberFormat="1" applyFont="1" applyFill="1" applyBorder="1"/>
    <xf numFmtId="37" fontId="32" fillId="0" borderId="7" xfId="1" applyNumberFormat="1" applyFont="1" applyFill="1" applyBorder="1"/>
    <xf numFmtId="37" fontId="32" fillId="0" borderId="11" xfId="1" applyNumberFormat="1" applyFont="1" applyFill="1" applyBorder="1"/>
    <xf numFmtId="37" fontId="32" fillId="0" borderId="28" xfId="1" applyNumberFormat="1" applyFont="1" applyFill="1" applyBorder="1"/>
    <xf numFmtId="37" fontId="32" fillId="0" borderId="0" xfId="1" quotePrefix="1" applyNumberFormat="1" applyFont="1" applyFill="1" applyBorder="1" applyAlignment="1">
      <alignment horizontal="right"/>
    </xf>
    <xf numFmtId="37" fontId="31" fillId="0" borderId="0" xfId="1" applyNumberFormat="1" applyFont="1" applyFill="1" applyBorder="1"/>
    <xf numFmtId="49" fontId="3" fillId="0" borderId="0" xfId="1" applyNumberFormat="1" applyFont="1" applyFill="1" applyAlignment="1">
      <alignment wrapText="1"/>
    </xf>
    <xf numFmtId="164" fontId="3" fillId="0" borderId="0" xfId="1" applyNumberFormat="1" applyFont="1" applyFill="1" applyAlignment="1">
      <alignment wrapText="1"/>
    </xf>
    <xf numFmtId="37" fontId="3" fillId="0" borderId="0" xfId="0" applyNumberFormat="1" applyFont="1" applyAlignment="1">
      <alignment horizontal="center" wrapText="1"/>
    </xf>
    <xf numFmtId="178" fontId="3" fillId="0" borderId="0" xfId="0" applyNumberFormat="1" applyFont="1" applyAlignment="1">
      <alignment horizontal="center"/>
    </xf>
    <xf numFmtId="49" fontId="9" fillId="0" borderId="0" xfId="1" applyNumberFormat="1" applyFont="1" applyFill="1" applyBorder="1" applyAlignment="1">
      <alignment horizontal="center" wrapText="1"/>
    </xf>
    <xf numFmtId="0" fontId="0" fillId="0" borderId="15" xfId="0" applyBorder="1" applyAlignment="1">
      <alignment wrapText="1"/>
    </xf>
    <xf numFmtId="0" fontId="32" fillId="0" borderId="1" xfId="0" applyFont="1" applyBorder="1"/>
    <xf numFmtId="37" fontId="0" fillId="0" borderId="14" xfId="0" applyNumberFormat="1" applyBorder="1"/>
    <xf numFmtId="5" fontId="5" fillId="0" borderId="0" xfId="1" applyNumberFormat="1" applyFont="1" applyFill="1" applyAlignment="1">
      <alignment horizontal="right"/>
    </xf>
    <xf numFmtId="5" fontId="5" fillId="0" borderId="19" xfId="1" applyNumberFormat="1" applyFont="1" applyFill="1" applyBorder="1" applyAlignment="1">
      <alignment horizontal="right"/>
    </xf>
    <xf numFmtId="164" fontId="0" fillId="0" borderId="11" xfId="0" applyNumberFormat="1" applyBorder="1"/>
    <xf numFmtId="10" fontId="3" fillId="0" borderId="0" xfId="17" applyNumberFormat="1" applyFont="1" applyFill="1" applyBorder="1" applyAlignment="1">
      <alignment horizontal="center"/>
    </xf>
    <xf numFmtId="3" fontId="2" fillId="0" borderId="0" xfId="0" applyNumberFormat="1" applyFont="1" applyAlignment="1">
      <alignment horizontal="right"/>
    </xf>
    <xf numFmtId="38" fontId="2" fillId="0" borderId="0" xfId="0" applyNumberFormat="1" applyFont="1" applyAlignment="1">
      <alignment horizontal="right"/>
    </xf>
    <xf numFmtId="37" fontId="11" fillId="0" borderId="0" xfId="0" applyNumberFormat="1" applyFont="1" applyAlignment="1">
      <alignment horizontal="center"/>
    </xf>
    <xf numFmtId="0" fontId="0" fillId="0" borderId="0" xfId="20" applyFont="1" applyFill="1" applyAlignment="1"/>
    <xf numFmtId="17" fontId="2" fillId="0" borderId="0" xfId="0" applyNumberFormat="1" applyFont="1"/>
    <xf numFmtId="4" fontId="0" fillId="0" borderId="0" xfId="34" applyFont="1" applyFill="1"/>
    <xf numFmtId="7" fontId="0" fillId="0" borderId="0" xfId="0" applyNumberFormat="1"/>
    <xf numFmtId="10" fontId="25" fillId="0" borderId="25" xfId="17" applyNumberFormat="1" applyFont="1" applyFill="1" applyBorder="1"/>
    <xf numFmtId="9" fontId="0" fillId="0" borderId="0" xfId="0" applyNumberFormat="1"/>
    <xf numFmtId="167" fontId="3" fillId="0" borderId="0" xfId="0" quotePrefix="1" applyNumberFormat="1" applyFont="1" applyAlignment="1">
      <alignment horizontal="right"/>
    </xf>
    <xf numFmtId="37" fontId="0" fillId="0" borderId="33" xfId="0" applyNumberFormat="1" applyBorder="1"/>
    <xf numFmtId="0" fontId="26" fillId="0" borderId="0" xfId="0" quotePrefix="1" applyFont="1" applyAlignment="1">
      <alignment horizontal="left"/>
    </xf>
    <xf numFmtId="37" fontId="32" fillId="0" borderId="1" xfId="0" applyNumberFormat="1" applyFont="1" applyBorder="1"/>
    <xf numFmtId="0" fontId="0" fillId="0" borderId="17" xfId="0" applyBorder="1" applyAlignment="1">
      <alignment horizontal="center"/>
    </xf>
    <xf numFmtId="0" fontId="11" fillId="0" borderId="0" xfId="0" applyFont="1" applyAlignment="1">
      <alignment horizontal="center" wrapText="1"/>
    </xf>
    <xf numFmtId="0" fontId="0" fillId="0" borderId="3" xfId="0" applyBorder="1" applyAlignment="1">
      <alignment horizontal="center"/>
    </xf>
    <xf numFmtId="49" fontId="5" fillId="0" borderId="0" xfId="1" applyNumberFormat="1" applyFont="1" applyFill="1" applyAlignment="1">
      <alignment horizontal="center"/>
    </xf>
    <xf numFmtId="164" fontId="5" fillId="0" borderId="0" xfId="1" applyNumberFormat="1" applyFont="1" applyFill="1" applyAlignment="1">
      <alignment horizontal="center"/>
    </xf>
    <xf numFmtId="37" fontId="3" fillId="0" borderId="0" xfId="1" quotePrefix="1" applyNumberFormat="1" applyFont="1" applyFill="1" applyBorder="1" applyAlignment="1">
      <alignment horizontal="center" wrapText="1"/>
    </xf>
    <xf numFmtId="37" fontId="3" fillId="0" borderId="34" xfId="0" applyNumberFormat="1" applyFont="1" applyBorder="1" applyAlignment="1">
      <alignment horizontal="center"/>
    </xf>
    <xf numFmtId="10" fontId="3" fillId="0" borderId="34" xfId="17" applyNumberFormat="1" applyFont="1" applyFill="1" applyBorder="1" applyAlignment="1">
      <alignment horizontal="center"/>
    </xf>
    <xf numFmtId="37" fontId="3" fillId="0" borderId="2" xfId="0" quotePrefix="1" applyNumberFormat="1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12" xfId="0" applyFont="1" applyBorder="1" applyAlignment="1">
      <alignment horizontal="center" wrapText="1"/>
    </xf>
    <xf numFmtId="37" fontId="3" fillId="0" borderId="12" xfId="1" quotePrefix="1" applyNumberFormat="1" applyFont="1" applyFill="1" applyBorder="1" applyAlignment="1">
      <alignment horizontal="center"/>
    </xf>
    <xf numFmtId="37" fontId="3" fillId="0" borderId="13" xfId="1" quotePrefix="1" applyNumberFormat="1" applyFont="1" applyFill="1" applyBorder="1" applyAlignment="1">
      <alignment horizontal="center"/>
    </xf>
    <xf numFmtId="37" fontId="33" fillId="0" borderId="0" xfId="1" applyNumberFormat="1" applyFont="1" applyFill="1" applyBorder="1"/>
    <xf numFmtId="0" fontId="11" fillId="0" borderId="0" xfId="0" applyFont="1" applyAlignment="1">
      <alignment horizontal="left"/>
    </xf>
    <xf numFmtId="0" fontId="23" fillId="0" borderId="0" xfId="0" applyFont="1"/>
    <xf numFmtId="0" fontId="3" fillId="0" borderId="25" xfId="0" applyFont="1" applyBorder="1" applyAlignment="1">
      <alignment horizontal="left"/>
    </xf>
    <xf numFmtId="170" fontId="0" fillId="0" borderId="0" xfId="0" applyNumberFormat="1"/>
    <xf numFmtId="0" fontId="7" fillId="0" borderId="0" xfId="0" applyFont="1" applyAlignment="1">
      <alignment horizontal="center"/>
    </xf>
    <xf numFmtId="174" fontId="0" fillId="0" borderId="15" xfId="0" applyNumberFormat="1" applyBorder="1"/>
    <xf numFmtId="3" fontId="0" fillId="0" borderId="15" xfId="0" applyNumberFormat="1" applyBorder="1"/>
    <xf numFmtId="37" fontId="0" fillId="0" borderId="28" xfId="0" applyNumberFormat="1" applyBorder="1"/>
    <xf numFmtId="37" fontId="0" fillId="0" borderId="17" xfId="0" applyNumberFormat="1" applyBorder="1"/>
    <xf numFmtId="174" fontId="0" fillId="0" borderId="25" xfId="0" applyNumberFormat="1" applyBorder="1"/>
    <xf numFmtId="170" fontId="0" fillId="0" borderId="15" xfId="0" applyNumberFormat="1" applyBorder="1"/>
    <xf numFmtId="3" fontId="0" fillId="0" borderId="3" xfId="0" applyNumberFormat="1" applyBorder="1"/>
    <xf numFmtId="168" fontId="0" fillId="0" borderId="0" xfId="0" applyNumberFormat="1"/>
    <xf numFmtId="0" fontId="0" fillId="0" borderId="14" xfId="0" applyBorder="1" applyAlignment="1">
      <alignment horizontal="left"/>
    </xf>
    <xf numFmtId="3" fontId="0" fillId="0" borderId="17" xfId="0" applyNumberFormat="1" applyBorder="1"/>
    <xf numFmtId="168" fontId="0" fillId="0" borderId="15" xfId="0" applyNumberFormat="1" applyBorder="1"/>
    <xf numFmtId="0" fontId="7" fillId="0" borderId="26" xfId="0" applyFont="1" applyBorder="1"/>
    <xf numFmtId="0" fontId="7" fillId="0" borderId="3" xfId="0" applyFont="1" applyBorder="1"/>
    <xf numFmtId="0" fontId="7" fillId="0" borderId="35" xfId="0" applyFont="1" applyBorder="1"/>
    <xf numFmtId="0" fontId="7" fillId="0" borderId="32" xfId="0" applyFont="1" applyBorder="1"/>
    <xf numFmtId="0" fontId="7" fillId="0" borderId="17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0" fontId="11" fillId="0" borderId="5" xfId="0" applyFont="1" applyBorder="1" applyAlignment="1">
      <alignment horizontal="centerContinuous"/>
    </xf>
    <xf numFmtId="5" fontId="10" fillId="0" borderId="6" xfId="0" applyNumberFormat="1" applyFont="1" applyBorder="1"/>
    <xf numFmtId="37" fontId="39" fillId="0" borderId="0" xfId="1" applyNumberFormat="1" applyFont="1" applyFill="1" applyBorder="1"/>
    <xf numFmtId="10" fontId="2" fillId="0" borderId="0" xfId="17" applyNumberFormat="1" applyFont="1" applyFill="1"/>
    <xf numFmtId="5" fontId="11" fillId="0" borderId="1" xfId="0" applyNumberFormat="1" applyFont="1" applyBorder="1"/>
    <xf numFmtId="0" fontId="17" fillId="0" borderId="0" xfId="20" applyFont="1" applyFill="1" applyAlignment="1"/>
    <xf numFmtId="37" fontId="2" fillId="0" borderId="0" xfId="0" quotePrefix="1" applyNumberFormat="1" applyFont="1" applyAlignment="1">
      <alignment horizontal="left"/>
    </xf>
    <xf numFmtId="37" fontId="2" fillId="0" borderId="7" xfId="0" applyNumberFormat="1" applyFont="1" applyBorder="1"/>
    <xf numFmtId="0" fontId="3" fillId="0" borderId="1" xfId="0" applyFont="1" applyBorder="1" applyAlignment="1">
      <alignment horizontal="center" wrapText="1"/>
    </xf>
    <xf numFmtId="167" fontId="39" fillId="0" borderId="0" xfId="17" applyNumberFormat="1" applyFont="1" applyFill="1" applyBorder="1"/>
    <xf numFmtId="0" fontId="69" fillId="0" borderId="0" xfId="0" applyFont="1"/>
    <xf numFmtId="164" fontId="2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0" fontId="2" fillId="0" borderId="0" xfId="1" applyNumberFormat="1" applyFont="1" applyFill="1"/>
    <xf numFmtId="164" fontId="2" fillId="0" borderId="4" xfId="1" applyNumberFormat="1" applyFont="1" applyFill="1" applyBorder="1"/>
    <xf numFmtId="0" fontId="2" fillId="0" borderId="0" xfId="1" applyNumberFormat="1" applyFont="1" applyFill="1" applyAlignment="1">
      <alignment horizontal="left"/>
    </xf>
    <xf numFmtId="0" fontId="41" fillId="0" borderId="0" xfId="1" applyNumberFormat="1" applyFont="1" applyFill="1" applyAlignment="1">
      <alignment horizontal="center"/>
    </xf>
    <xf numFmtId="49" fontId="41" fillId="0" borderId="0" xfId="1" applyNumberFormat="1" applyFont="1" applyFill="1" applyAlignment="1">
      <alignment horizontal="left"/>
    </xf>
    <xf numFmtId="164" fontId="41" fillId="0" borderId="0" xfId="1" applyNumberFormat="1" applyFont="1" applyFill="1"/>
    <xf numFmtId="0" fontId="0" fillId="0" borderId="26" xfId="0" applyBorder="1" applyAlignment="1">
      <alignment horizontal="left"/>
    </xf>
    <xf numFmtId="0" fontId="0" fillId="0" borderId="16" xfId="0" applyBorder="1" applyAlignment="1">
      <alignment horizontal="left"/>
    </xf>
    <xf numFmtId="0" fontId="0" fillId="4" borderId="0" xfId="0" applyFill="1"/>
    <xf numFmtId="0" fontId="3" fillId="0" borderId="2" xfId="0" applyFont="1" applyBorder="1"/>
    <xf numFmtId="0" fontId="3" fillId="0" borderId="34" xfId="0" quotePrefix="1" applyFont="1" applyBorder="1" applyAlignment="1">
      <alignment horizontal="center"/>
    </xf>
    <xf numFmtId="0" fontId="3" fillId="0" borderId="13" xfId="0" applyFont="1" applyBorder="1"/>
    <xf numFmtId="49" fontId="38" fillId="0" borderId="0" xfId="1" applyNumberFormat="1" applyFont="1" applyFill="1" applyAlignment="1">
      <alignment horizontal="left"/>
    </xf>
    <xf numFmtId="164" fontId="38" fillId="0" borderId="0" xfId="1" applyNumberFormat="1" applyFont="1" applyFill="1"/>
    <xf numFmtId="37" fontId="38" fillId="0" borderId="0" xfId="1" applyNumberFormat="1" applyFont="1" applyFill="1" applyBorder="1"/>
    <xf numFmtId="164" fontId="43" fillId="0" borderId="0" xfId="1" applyNumberFormat="1" applyFont="1" applyFill="1"/>
    <xf numFmtId="37" fontId="43" fillId="0" borderId="0" xfId="1" applyNumberFormat="1" applyFont="1" applyFill="1" applyBorder="1"/>
    <xf numFmtId="49" fontId="43" fillId="0" borderId="0" xfId="1" applyNumberFormat="1" applyFont="1" applyFill="1"/>
    <xf numFmtId="49" fontId="43" fillId="0" borderId="0" xfId="1" applyNumberFormat="1" applyFont="1" applyFill="1" applyAlignment="1">
      <alignment horizontal="left"/>
    </xf>
    <xf numFmtId="37" fontId="43" fillId="0" borderId="7" xfId="1" applyNumberFormat="1" applyFont="1" applyFill="1" applyBorder="1"/>
    <xf numFmtId="164" fontId="43" fillId="0" borderId="0" xfId="1" quotePrefix="1" applyNumberFormat="1" applyFont="1" applyFill="1" applyAlignment="1">
      <alignment horizontal="left"/>
    </xf>
    <xf numFmtId="37" fontId="43" fillId="0" borderId="4" xfId="1" applyNumberFormat="1" applyFont="1" applyFill="1" applyBorder="1"/>
    <xf numFmtId="0" fontId="38" fillId="0" borderId="0" xfId="1" applyNumberFormat="1" applyFont="1" applyFill="1" applyAlignment="1">
      <alignment horizontal="left"/>
    </xf>
    <xf numFmtId="164" fontId="37" fillId="0" borderId="0" xfId="1" applyNumberFormat="1" applyFont="1" applyFill="1"/>
    <xf numFmtId="49" fontId="37" fillId="0" borderId="0" xfId="1" applyNumberFormat="1" applyFont="1" applyFill="1" applyAlignment="1">
      <alignment horizontal="left"/>
    </xf>
    <xf numFmtId="37" fontId="37" fillId="0" borderId="0" xfId="1" applyNumberFormat="1" applyFont="1" applyFill="1" applyBorder="1"/>
    <xf numFmtId="0" fontId="3" fillId="0" borderId="14" xfId="0" applyFont="1" applyBorder="1"/>
    <xf numFmtId="10" fontId="45" fillId="0" borderId="0" xfId="17" applyNumberFormat="1" applyFont="1" applyFill="1"/>
    <xf numFmtId="37" fontId="44" fillId="0" borderId="14" xfId="1" applyNumberFormat="1" applyFont="1" applyFill="1" applyBorder="1"/>
    <xf numFmtId="164" fontId="44" fillId="0" borderId="0" xfId="1" applyNumberFormat="1" applyFont="1" applyFill="1" applyBorder="1"/>
    <xf numFmtId="37" fontId="2" fillId="0" borderId="14" xfId="1" applyNumberFormat="1" applyFont="1" applyFill="1" applyBorder="1"/>
    <xf numFmtId="0" fontId="0" fillId="0" borderId="0" xfId="0" quotePrefix="1" applyAlignment="1">
      <alignment horizontal="right"/>
    </xf>
    <xf numFmtId="37" fontId="32" fillId="0" borderId="0" xfId="1" applyNumberFormat="1" applyFont="1" applyFill="1" applyBorder="1" applyAlignment="1">
      <alignment horizontal="center"/>
    </xf>
    <xf numFmtId="0" fontId="25" fillId="0" borderId="0" xfId="0" applyFont="1" applyAlignment="1">
      <alignment horizontal="left"/>
    </xf>
    <xf numFmtId="5" fontId="27" fillId="0" borderId="0" xfId="0" applyNumberFormat="1" applyFont="1" applyAlignment="1">
      <alignment horizontal="left"/>
    </xf>
    <xf numFmtId="0" fontId="0" fillId="0" borderId="15" xfId="0" applyBorder="1" applyAlignment="1">
      <alignment horizontal="center"/>
    </xf>
    <xf numFmtId="0" fontId="2" fillId="0" borderId="13" xfId="0" applyFont="1" applyBorder="1"/>
    <xf numFmtId="0" fontId="2" fillId="0" borderId="34" xfId="0" applyFont="1" applyBorder="1"/>
    <xf numFmtId="49" fontId="2" fillId="0" borderId="0" xfId="1" applyNumberFormat="1" applyFont="1" applyFill="1"/>
    <xf numFmtId="37" fontId="0" fillId="4" borderId="0" xfId="0" applyNumberFormat="1" applyFill="1"/>
    <xf numFmtId="3" fontId="2" fillId="0" borderId="0" xfId="0" applyNumberFormat="1" applyFont="1"/>
    <xf numFmtId="37" fontId="2" fillId="0" borderId="0" xfId="0" applyNumberFormat="1" applyFont="1" applyAlignment="1">
      <alignment horizontal="right"/>
    </xf>
    <xf numFmtId="164" fontId="3" fillId="0" borderId="25" xfId="1" applyNumberFormat="1" applyFont="1" applyFill="1" applyBorder="1" applyAlignment="1">
      <alignment horizontal="center"/>
    </xf>
    <xf numFmtId="0" fontId="2" fillId="0" borderId="0" xfId="1" applyNumberFormat="1" applyFont="1" applyFill="1" applyBorder="1"/>
    <xf numFmtId="164" fontId="2" fillId="0" borderId="0" xfId="1" quotePrefix="1" applyNumberFormat="1" applyFont="1" applyFill="1" applyBorder="1" applyAlignment="1">
      <alignment horizontal="left"/>
    </xf>
    <xf numFmtId="37" fontId="2" fillId="0" borderId="0" xfId="1" quotePrefix="1" applyNumberFormat="1" applyFont="1" applyFill="1" applyAlignment="1">
      <alignment horizontal="right"/>
    </xf>
    <xf numFmtId="37" fontId="2" fillId="0" borderId="0" xfId="1" applyNumberFormat="1" applyFont="1" applyFill="1" applyAlignment="1">
      <alignment horizontal="right"/>
    </xf>
    <xf numFmtId="37" fontId="2" fillId="0" borderId="4" xfId="1" applyNumberFormat="1" applyFont="1" applyFill="1" applyBorder="1"/>
    <xf numFmtId="37" fontId="2" fillId="0" borderId="1" xfId="1" applyNumberFormat="1" applyFont="1" applyFill="1" applyBorder="1"/>
    <xf numFmtId="172" fontId="2" fillId="0" borderId="0" xfId="1" applyNumberFormat="1" applyFont="1" applyFill="1" applyAlignment="1">
      <alignment horizontal="center"/>
    </xf>
    <xf numFmtId="49" fontId="2" fillId="0" borderId="0" xfId="1" quotePrefix="1" applyNumberFormat="1" applyFont="1" applyFill="1" applyAlignment="1">
      <alignment horizontal="left"/>
    </xf>
    <xf numFmtId="37" fontId="2" fillId="0" borderId="0" xfId="1" quotePrefix="1" applyNumberFormat="1" applyFont="1" applyFill="1" applyBorder="1" applyAlignment="1">
      <alignment horizontal="center"/>
    </xf>
    <xf numFmtId="37" fontId="2" fillId="0" borderId="0" xfId="1" applyNumberFormat="1" applyFont="1" applyFill="1" applyBorder="1" applyAlignment="1">
      <alignment horizontal="center"/>
    </xf>
    <xf numFmtId="37" fontId="2" fillId="0" borderId="7" xfId="1" applyNumberFormat="1" applyFont="1" applyFill="1" applyBorder="1" applyAlignment="1">
      <alignment horizontal="right"/>
    </xf>
    <xf numFmtId="37" fontId="2" fillId="0" borderId="4" xfId="1" applyNumberFormat="1" applyFont="1" applyFill="1" applyBorder="1" applyAlignment="1">
      <alignment horizontal="right"/>
    </xf>
    <xf numFmtId="164" fontId="2" fillId="0" borderId="0" xfId="1" applyNumberFormat="1" applyFont="1" applyFill="1" applyBorder="1" applyAlignment="1">
      <alignment horizontal="right"/>
    </xf>
    <xf numFmtId="170" fontId="2" fillId="0" borderId="0" xfId="1" applyNumberFormat="1" applyFont="1" applyFill="1" applyBorder="1"/>
    <xf numFmtId="168" fontId="2" fillId="0" borderId="0" xfId="0" applyNumberFormat="1" applyFont="1"/>
    <xf numFmtId="3" fontId="0" fillId="4" borderId="0" xfId="0" applyNumberFormat="1" applyFill="1"/>
    <xf numFmtId="37" fontId="0" fillId="0" borderId="0" xfId="0" applyNumberFormat="1" applyAlignment="1">
      <alignment horizontal="right"/>
    </xf>
    <xf numFmtId="5" fontId="2" fillId="0" borderId="0" xfId="1" applyNumberFormat="1" applyFont="1" applyFill="1" applyAlignment="1">
      <alignment horizontal="right"/>
    </xf>
    <xf numFmtId="5" fontId="2" fillId="0" borderId="0" xfId="1" applyNumberFormat="1" applyFont="1" applyFill="1" applyBorder="1" applyAlignment="1">
      <alignment horizontal="right"/>
    </xf>
    <xf numFmtId="49" fontId="2" fillId="0" borderId="0" xfId="8" applyNumberFormat="1"/>
    <xf numFmtId="0" fontId="2" fillId="0" borderId="0" xfId="8"/>
    <xf numFmtId="0" fontId="14" fillId="0" borderId="0" xfId="8" applyFont="1"/>
    <xf numFmtId="0" fontId="3" fillId="0" borderId="0" xfId="8" quotePrefix="1" applyFont="1" applyAlignment="1">
      <alignment horizontal="left"/>
    </xf>
    <xf numFmtId="0" fontId="2" fillId="0" borderId="0" xfId="8" applyAlignment="1">
      <alignment horizontal="center"/>
    </xf>
    <xf numFmtId="0" fontId="3" fillId="0" borderId="0" xfId="8" applyFont="1"/>
    <xf numFmtId="0" fontId="15" fillId="0" borderId="0" xfId="8" applyFont="1" applyAlignment="1">
      <alignment horizontal="center"/>
    </xf>
    <xf numFmtId="178" fontId="2" fillId="0" borderId="0" xfId="8" applyNumberFormat="1" applyAlignment="1">
      <alignment horizontal="center"/>
    </xf>
    <xf numFmtId="43" fontId="14" fillId="0" borderId="0" xfId="8" applyNumberFormat="1" applyFont="1" applyAlignment="1">
      <alignment horizontal="center"/>
    </xf>
    <xf numFmtId="43" fontId="14" fillId="0" borderId="0" xfId="8" applyNumberFormat="1" applyFont="1"/>
    <xf numFmtId="43" fontId="14" fillId="0" borderId="1" xfId="8" applyNumberFormat="1" applyFont="1" applyBorder="1" applyAlignment="1">
      <alignment horizontal="center"/>
    </xf>
    <xf numFmtId="164" fontId="14" fillId="0" borderId="0" xfId="8" applyNumberFormat="1" applyFont="1" applyAlignment="1">
      <alignment horizontal="right"/>
    </xf>
    <xf numFmtId="0" fontId="14" fillId="0" borderId="0" xfId="8" applyFont="1" applyAlignment="1">
      <alignment horizontal="left"/>
    </xf>
    <xf numFmtId="164" fontId="14" fillId="0" borderId="19" xfId="8" quotePrefix="1" applyNumberFormat="1" applyFont="1" applyBorder="1" applyAlignment="1">
      <alignment horizontal="center"/>
    </xf>
    <xf numFmtId="164" fontId="14" fillId="0" borderId="19" xfId="8" applyNumberFormat="1" applyFont="1" applyBorder="1" applyAlignment="1">
      <alignment horizontal="right"/>
    </xf>
    <xf numFmtId="0" fontId="2" fillId="0" borderId="0" xfId="1" applyNumberFormat="1" applyFont="1" applyFill="1" applyAlignment="1">
      <alignment horizontal="center"/>
    </xf>
    <xf numFmtId="174" fontId="0" fillId="0" borderId="15" xfId="0" applyNumberFormat="1" applyBorder="1" applyAlignment="1">
      <alignment horizontal="center"/>
    </xf>
    <xf numFmtId="168" fontId="0" fillId="0" borderId="15" xfId="17" applyNumberFormat="1" applyFont="1" applyFill="1" applyBorder="1" applyAlignment="1" applyProtection="1">
      <alignment horizontal="center"/>
      <protection locked="0"/>
    </xf>
    <xf numFmtId="5" fontId="0" fillId="0" borderId="15" xfId="0" applyNumberFormat="1" applyBorder="1" applyAlignment="1">
      <alignment horizontal="center"/>
    </xf>
    <xf numFmtId="168" fontId="5" fillId="0" borderId="0" xfId="17" applyNumberFormat="1" applyFont="1" applyFill="1"/>
    <xf numFmtId="37" fontId="0" fillId="0" borderId="14" xfId="0" applyNumberFormat="1" applyBorder="1" applyAlignment="1">
      <alignment horizontal="left"/>
    </xf>
    <xf numFmtId="0" fontId="36" fillId="0" borderId="14" xfId="0" applyFont="1" applyBorder="1" applyAlignment="1">
      <alignment horizontal="left"/>
    </xf>
    <xf numFmtId="0" fontId="8" fillId="0" borderId="14" xfId="0" applyFont="1" applyBorder="1" applyAlignment="1">
      <alignment horizontal="left"/>
    </xf>
    <xf numFmtId="37" fontId="2" fillId="0" borderId="0" xfId="0" applyNumberFormat="1" applyFont="1" applyAlignment="1">
      <alignment horizontal="center"/>
    </xf>
    <xf numFmtId="0" fontId="3" fillId="0" borderId="11" xfId="0" applyFont="1" applyBorder="1" applyAlignment="1">
      <alignment horizontal="center"/>
    </xf>
    <xf numFmtId="37" fontId="2" fillId="0" borderId="11" xfId="1" applyNumberFormat="1" applyFont="1" applyFill="1" applyBorder="1" applyAlignment="1">
      <alignment horizontal="center"/>
    </xf>
    <xf numFmtId="37" fontId="2" fillId="0" borderId="11" xfId="1" applyNumberFormat="1" applyFont="1" applyFill="1" applyBorder="1"/>
    <xf numFmtId="37" fontId="2" fillId="0" borderId="7" xfId="1" applyNumberFormat="1" applyFont="1" applyFill="1" applyBorder="1" applyAlignment="1">
      <alignment horizontal="center"/>
    </xf>
    <xf numFmtId="37" fontId="2" fillId="0" borderId="4" xfId="1" applyNumberFormat="1" applyFont="1" applyFill="1" applyBorder="1" applyAlignment="1">
      <alignment horizontal="center"/>
    </xf>
    <xf numFmtId="164" fontId="2" fillId="0" borderId="4" xfId="1" applyNumberFormat="1" applyFont="1" applyFill="1" applyBorder="1" applyAlignment="1">
      <alignment horizontal="center"/>
    </xf>
    <xf numFmtId="17" fontId="3" fillId="0" borderId="1" xfId="1" applyNumberFormat="1" applyFont="1" applyFill="1" applyBorder="1"/>
    <xf numFmtId="0" fontId="3" fillId="0" borderId="11" xfId="0" applyFont="1" applyBorder="1"/>
    <xf numFmtId="164" fontId="3" fillId="0" borderId="0" xfId="1" applyNumberFormat="1" applyFont="1" applyFill="1" applyBorder="1" applyAlignment="1">
      <alignment wrapText="1"/>
    </xf>
    <xf numFmtId="164" fontId="2" fillId="0" borderId="36" xfId="1" applyNumberFormat="1" applyFont="1" applyFill="1" applyBorder="1"/>
    <xf numFmtId="49" fontId="46" fillId="0" borderId="0" xfId="1" applyNumberFormat="1" applyFont="1" applyFill="1"/>
    <xf numFmtId="37" fontId="46" fillId="0" borderId="0" xfId="1" applyNumberFormat="1" applyFont="1" applyFill="1" applyBorder="1"/>
    <xf numFmtId="37" fontId="46" fillId="0" borderId="7" xfId="1" applyNumberFormat="1" applyFont="1" applyFill="1" applyBorder="1"/>
    <xf numFmtId="37" fontId="46" fillId="0" borderId="0" xfId="1" quotePrefix="1" applyNumberFormat="1" applyFont="1" applyFill="1" applyBorder="1" applyAlignment="1">
      <alignment horizontal="right"/>
    </xf>
    <xf numFmtId="37" fontId="46" fillId="0" borderId="7" xfId="1" quotePrefix="1" applyNumberFormat="1" applyFont="1" applyFill="1" applyBorder="1" applyAlignment="1">
      <alignment horizontal="right"/>
    </xf>
    <xf numFmtId="37" fontId="46" fillId="0" borderId="0" xfId="1" applyNumberFormat="1" applyFont="1" applyFill="1" applyBorder="1" applyAlignment="1">
      <alignment horizontal="right"/>
    </xf>
    <xf numFmtId="37" fontId="46" fillId="0" borderId="7" xfId="1" applyNumberFormat="1" applyFont="1" applyFill="1" applyBorder="1" applyAlignment="1">
      <alignment horizontal="right"/>
    </xf>
    <xf numFmtId="49" fontId="51" fillId="0" borderId="0" xfId="1" applyNumberFormat="1" applyFont="1" applyFill="1"/>
    <xf numFmtId="37" fontId="51" fillId="0" borderId="0" xfId="1" applyNumberFormat="1" applyFont="1" applyFill="1" applyBorder="1"/>
    <xf numFmtId="37" fontId="55" fillId="0" borderId="0" xfId="1" applyNumberFormat="1" applyFont="1" applyFill="1" applyBorder="1"/>
    <xf numFmtId="37" fontId="55" fillId="0" borderId="0" xfId="1" quotePrefix="1" applyNumberFormat="1" applyFont="1" applyFill="1" applyBorder="1" applyAlignment="1">
      <alignment horizontal="right"/>
    </xf>
    <xf numFmtId="37" fontId="55" fillId="0" borderId="20" xfId="1" applyNumberFormat="1" applyFont="1" applyFill="1" applyBorder="1"/>
    <xf numFmtId="164" fontId="55" fillId="0" borderId="20" xfId="1" applyNumberFormat="1" applyFont="1" applyFill="1" applyBorder="1"/>
    <xf numFmtId="37" fontId="55" fillId="0" borderId="0" xfId="1" applyNumberFormat="1" applyFont="1" applyFill="1" applyBorder="1" applyAlignment="1">
      <alignment horizontal="right"/>
    </xf>
    <xf numFmtId="37" fontId="55" fillId="0" borderId="0" xfId="1" applyNumberFormat="1" applyFont="1" applyFill="1" applyBorder="1" applyAlignment="1">
      <alignment horizontal="left"/>
    </xf>
    <xf numFmtId="164" fontId="55" fillId="0" borderId="0" xfId="1" applyNumberFormat="1" applyFont="1" applyFill="1" applyBorder="1"/>
    <xf numFmtId="49" fontId="55" fillId="0" borderId="0" xfId="1" applyNumberFormat="1" applyFont="1" applyFill="1" applyBorder="1"/>
    <xf numFmtId="37" fontId="55" fillId="0" borderId="7" xfId="1" applyNumberFormat="1" applyFont="1" applyFill="1" applyBorder="1" applyAlignment="1">
      <alignment horizontal="right"/>
    </xf>
    <xf numFmtId="164" fontId="55" fillId="0" borderId="0" xfId="1" applyNumberFormat="1" applyFont="1" applyFill="1"/>
    <xf numFmtId="37" fontId="55" fillId="0" borderId="4" xfId="1" applyNumberFormat="1" applyFont="1" applyFill="1" applyBorder="1" applyAlignment="1">
      <alignment horizontal="right"/>
    </xf>
    <xf numFmtId="37" fontId="55" fillId="0" borderId="7" xfId="1" quotePrefix="1" applyNumberFormat="1" applyFont="1" applyFill="1" applyBorder="1" applyAlignment="1">
      <alignment horizontal="right"/>
    </xf>
    <xf numFmtId="37" fontId="55" fillId="0" borderId="0" xfId="1" applyNumberFormat="1" applyFont="1" applyFill="1" applyAlignment="1">
      <alignment horizontal="left"/>
    </xf>
    <xf numFmtId="37" fontId="55" fillId="0" borderId="0" xfId="1" applyNumberFormat="1" applyFont="1" applyFill="1"/>
    <xf numFmtId="164" fontId="55" fillId="0" borderId="0" xfId="1" applyNumberFormat="1" applyFont="1" applyFill="1" applyBorder="1" applyAlignment="1">
      <alignment horizontal="right"/>
    </xf>
    <xf numFmtId="49" fontId="55" fillId="0" borderId="0" xfId="1" applyNumberFormat="1" applyFont="1" applyFill="1" applyBorder="1" applyAlignment="1">
      <alignment horizontal="left"/>
    </xf>
    <xf numFmtId="164" fontId="55" fillId="0" borderId="20" xfId="1" applyNumberFormat="1" applyFont="1" applyFill="1" applyBorder="1" applyAlignment="1">
      <alignment horizontal="center"/>
    </xf>
    <xf numFmtId="49" fontId="55" fillId="0" borderId="0" xfId="1" quotePrefix="1" applyNumberFormat="1" applyFont="1" applyFill="1" applyBorder="1" applyAlignment="1">
      <alignment horizontal="left"/>
    </xf>
    <xf numFmtId="164" fontId="55" fillId="0" borderId="0" xfId="1" quotePrefix="1" applyNumberFormat="1" applyFont="1" applyFill="1" applyAlignment="1">
      <alignment horizontal="left"/>
    </xf>
    <xf numFmtId="164" fontId="55" fillId="0" borderId="0" xfId="1" applyNumberFormat="1" applyFont="1" applyFill="1" applyAlignment="1">
      <alignment horizontal="center"/>
    </xf>
    <xf numFmtId="37" fontId="2" fillId="0" borderId="1" xfId="1" applyNumberFormat="1" applyFont="1" applyFill="1" applyBorder="1" applyAlignment="1">
      <alignment horizontal="right"/>
    </xf>
    <xf numFmtId="37" fontId="55" fillId="0" borderId="1" xfId="1" applyNumberFormat="1" applyFont="1" applyFill="1" applyBorder="1" applyAlignment="1">
      <alignment horizontal="right"/>
    </xf>
    <xf numFmtId="37" fontId="55" fillId="0" borderId="7" xfId="1" applyNumberFormat="1" applyFont="1" applyFill="1" applyBorder="1"/>
    <xf numFmtId="164" fontId="55" fillId="0" borderId="0" xfId="1" applyNumberFormat="1" applyFont="1" applyFill="1" applyBorder="1" applyAlignment="1">
      <alignment horizontal="left"/>
    </xf>
    <xf numFmtId="49" fontId="55" fillId="0" borderId="0" xfId="1" quotePrefix="1" applyNumberFormat="1" applyFont="1" applyFill="1" applyAlignment="1">
      <alignment horizontal="left"/>
    </xf>
    <xf numFmtId="49" fontId="55" fillId="0" borderId="0" xfId="1" applyNumberFormat="1" applyFont="1" applyFill="1" applyAlignment="1">
      <alignment horizontal="left"/>
    </xf>
    <xf numFmtId="0" fontId="55" fillId="0" borderId="0" xfId="1" applyNumberFormat="1" applyFont="1" applyFill="1" applyAlignment="1">
      <alignment horizontal="left"/>
    </xf>
    <xf numFmtId="164" fontId="2" fillId="0" borderId="4" xfId="1" applyNumberFormat="1" applyFont="1" applyFill="1" applyBorder="1" applyAlignment="1">
      <alignment horizontal="right"/>
    </xf>
    <xf numFmtId="164" fontId="55" fillId="0" borderId="4" xfId="1" applyNumberFormat="1" applyFont="1" applyFill="1" applyBorder="1" applyAlignment="1">
      <alignment horizontal="right"/>
    </xf>
    <xf numFmtId="0" fontId="55" fillId="0" borderId="0" xfId="1" applyNumberFormat="1" applyFont="1" applyFill="1" applyBorder="1"/>
    <xf numFmtId="37" fontId="40" fillId="0" borderId="0" xfId="1" applyNumberFormat="1" applyFont="1" applyFill="1" applyBorder="1"/>
    <xf numFmtId="37" fontId="10" fillId="0" borderId="0" xfId="1" applyNumberFormat="1" applyFont="1" applyFill="1" applyBorder="1" applyAlignment="1">
      <alignment horizontal="center"/>
    </xf>
    <xf numFmtId="37" fontId="11" fillId="0" borderId="0" xfId="1" applyNumberFormat="1" applyFont="1" applyFill="1" applyBorder="1" applyAlignment="1">
      <alignment horizontal="center" wrapText="1"/>
    </xf>
    <xf numFmtId="0" fontId="8" fillId="0" borderId="0" xfId="0" applyFont="1" applyAlignment="1">
      <alignment horizontal="center"/>
    </xf>
    <xf numFmtId="37" fontId="40" fillId="0" borderId="7" xfId="1" applyNumberFormat="1" applyFont="1" applyFill="1" applyBorder="1"/>
    <xf numFmtId="37" fontId="40" fillId="0" borderId="4" xfId="1" applyNumberFormat="1" applyFont="1" applyFill="1" applyBorder="1"/>
    <xf numFmtId="37" fontId="40" fillId="0" borderId="0" xfId="1" quotePrefix="1" applyNumberFormat="1" applyFont="1" applyFill="1" applyBorder="1" applyAlignment="1">
      <alignment horizontal="right"/>
    </xf>
    <xf numFmtId="37" fontId="54" fillId="0" borderId="0" xfId="1" quotePrefix="1" applyNumberFormat="1" applyFont="1" applyFill="1" applyBorder="1" applyAlignment="1">
      <alignment horizontal="right"/>
    </xf>
    <xf numFmtId="37" fontId="40" fillId="0" borderId="7" xfId="1" quotePrefix="1" applyNumberFormat="1" applyFont="1" applyFill="1" applyBorder="1" applyAlignment="1">
      <alignment horizontal="right"/>
    </xf>
    <xf numFmtId="37" fontId="40" fillId="0" borderId="0" xfId="1" applyNumberFormat="1" applyFont="1" applyFill="1" applyBorder="1" applyAlignment="1">
      <alignment horizontal="right"/>
    </xf>
    <xf numFmtId="37" fontId="40" fillId="0" borderId="7" xfId="1" applyNumberFormat="1" applyFont="1" applyFill="1" applyBorder="1" applyAlignment="1">
      <alignment horizontal="right"/>
    </xf>
    <xf numFmtId="37" fontId="40" fillId="0" borderId="1" xfId="1" applyNumberFormat="1" applyFont="1" applyFill="1" applyBorder="1"/>
    <xf numFmtId="0" fontId="11" fillId="0" borderId="0" xfId="0" applyFont="1" applyAlignment="1">
      <alignment horizontal="right"/>
    </xf>
    <xf numFmtId="5" fontId="0" fillId="0" borderId="1" xfId="0" applyNumberFormat="1" applyBorder="1"/>
    <xf numFmtId="164" fontId="46" fillId="0" borderId="0" xfId="1" applyNumberFormat="1" applyFont="1" applyFill="1"/>
    <xf numFmtId="37" fontId="46" fillId="0" borderId="15" xfId="1" applyNumberFormat="1" applyFont="1" applyFill="1" applyBorder="1"/>
    <xf numFmtId="37" fontId="46" fillId="0" borderId="0" xfId="1" applyNumberFormat="1" applyFont="1" applyFill="1" applyBorder="1" applyAlignment="1">
      <alignment horizontal="center"/>
    </xf>
    <xf numFmtId="164" fontId="46" fillId="0" borderId="15" xfId="1" applyNumberFormat="1" applyFont="1" applyFill="1" applyBorder="1"/>
    <xf numFmtId="164" fontId="46" fillId="0" borderId="0" xfId="1" applyNumberFormat="1" applyFont="1" applyFill="1" applyAlignment="1">
      <alignment horizontal="center"/>
    </xf>
    <xf numFmtId="37" fontId="46" fillId="0" borderId="7" xfId="1" applyNumberFormat="1" applyFont="1" applyFill="1" applyBorder="1" applyAlignment="1">
      <alignment horizontal="center"/>
    </xf>
    <xf numFmtId="37" fontId="2" fillId="0" borderId="15" xfId="1" applyNumberFormat="1" applyFont="1" applyFill="1" applyBorder="1"/>
    <xf numFmtId="164" fontId="2" fillId="0" borderId="15" xfId="1" applyNumberFormat="1" applyFont="1" applyFill="1" applyBorder="1"/>
    <xf numFmtId="164" fontId="51" fillId="0" borderId="0" xfId="1" applyNumberFormat="1" applyFont="1" applyFill="1"/>
    <xf numFmtId="37" fontId="51" fillId="0" borderId="15" xfId="1" applyNumberFormat="1" applyFont="1" applyFill="1" applyBorder="1"/>
    <xf numFmtId="37" fontId="51" fillId="0" borderId="0" xfId="1" applyNumberFormat="1" applyFont="1" applyFill="1" applyBorder="1" applyAlignment="1">
      <alignment horizontal="center"/>
    </xf>
    <xf numFmtId="164" fontId="51" fillId="0" borderId="15" xfId="1" applyNumberFormat="1" applyFont="1" applyFill="1" applyBorder="1"/>
    <xf numFmtId="164" fontId="51" fillId="0" borderId="0" xfId="1" applyNumberFormat="1" applyFont="1" applyFill="1" applyAlignment="1">
      <alignment horizontal="center"/>
    </xf>
    <xf numFmtId="37" fontId="52" fillId="0" borderId="0" xfId="1" applyNumberFormat="1" applyFont="1" applyFill="1" applyBorder="1"/>
    <xf numFmtId="37" fontId="47" fillId="0" borderId="0" xfId="1" applyNumberFormat="1" applyFont="1" applyFill="1" applyBorder="1"/>
    <xf numFmtId="37" fontId="53" fillId="0" borderId="0" xfId="1" applyNumberFormat="1" applyFont="1" applyFill="1" applyBorder="1"/>
    <xf numFmtId="0" fontId="0" fillId="0" borderId="21" xfId="0" applyBorder="1"/>
    <xf numFmtId="37" fontId="47" fillId="0" borderId="0" xfId="1" applyNumberFormat="1" applyFont="1" applyFill="1"/>
    <xf numFmtId="37" fontId="13" fillId="0" borderId="0" xfId="1" applyNumberFormat="1" applyFont="1" applyFill="1" applyBorder="1" applyAlignment="1">
      <alignment horizontal="center" wrapText="1"/>
    </xf>
    <xf numFmtId="37" fontId="43" fillId="0" borderId="0" xfId="1" applyNumberFormat="1" applyFont="1" applyFill="1" applyBorder="1" applyAlignment="1">
      <alignment horizontal="center"/>
    </xf>
    <xf numFmtId="0" fontId="17" fillId="0" borderId="0" xfId="22" applyFont="1" applyFill="1" applyAlignment="1"/>
    <xf numFmtId="17" fontId="11" fillId="0" borderId="0" xfId="0" applyNumberFormat="1" applyFont="1" applyAlignment="1">
      <alignment horizontal="centerContinuous"/>
    </xf>
    <xf numFmtId="0" fontId="0" fillId="0" borderId="0" xfId="1" applyNumberFormat="1" applyFont="1" applyFill="1" applyBorder="1" applyAlignment="1">
      <alignment horizontal="center" wrapText="1"/>
    </xf>
    <xf numFmtId="49" fontId="3" fillId="0" borderId="2" xfId="1" applyNumberFormat="1" applyFont="1" applyFill="1" applyBorder="1" applyAlignment="1">
      <alignment horizontal="center"/>
    </xf>
    <xf numFmtId="17" fontId="3" fillId="0" borderId="34" xfId="17" applyNumberFormat="1" applyFont="1" applyFill="1" applyBorder="1" applyAlignment="1">
      <alignment horizontal="center"/>
    </xf>
    <xf numFmtId="17" fontId="3" fillId="0" borderId="13" xfId="17" applyNumberFormat="1" applyFont="1" applyFill="1" applyBorder="1" applyAlignment="1">
      <alignment horizontal="center"/>
    </xf>
    <xf numFmtId="43" fontId="2" fillId="0" borderId="0" xfId="0" applyNumberFormat="1" applyFont="1"/>
    <xf numFmtId="10" fontId="2" fillId="0" borderId="13" xfId="17" quotePrefix="1" applyNumberFormat="1" applyFont="1" applyFill="1" applyBorder="1" applyAlignment="1">
      <alignment horizontal="center"/>
    </xf>
    <xf numFmtId="170" fontId="2" fillId="0" borderId="13" xfId="0" applyNumberFormat="1" applyFont="1" applyBorder="1" applyAlignment="1">
      <alignment horizontal="center"/>
    </xf>
    <xf numFmtId="171" fontId="2" fillId="0" borderId="13" xfId="17" quotePrefix="1" applyNumberFormat="1" applyFont="1" applyFill="1" applyBorder="1" applyAlignment="1">
      <alignment horizontal="center"/>
    </xf>
    <xf numFmtId="10" fontId="2" fillId="0" borderId="34" xfId="17" quotePrefix="1" applyNumberFormat="1" applyFont="1" applyFill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14" xfId="0" quotePrefix="1" applyFont="1" applyBorder="1" applyAlignment="1">
      <alignment horizontal="center"/>
    </xf>
    <xf numFmtId="0" fontId="2" fillId="0" borderId="15" xfId="0" quotePrefix="1" applyFont="1" applyBorder="1" applyAlignment="1">
      <alignment horizontal="center"/>
    </xf>
    <xf numFmtId="37" fontId="2" fillId="0" borderId="34" xfId="1" quotePrefix="1" applyNumberFormat="1" applyFont="1" applyFill="1" applyBorder="1" applyAlignment="1">
      <alignment horizontal="center"/>
    </xf>
    <xf numFmtId="37" fontId="2" fillId="0" borderId="13" xfId="1" quotePrefix="1" applyNumberFormat="1" applyFont="1" applyFill="1" applyBorder="1" applyAlignment="1">
      <alignment horizontal="left"/>
    </xf>
    <xf numFmtId="0" fontId="28" fillId="0" borderId="0" xfId="5" applyFont="1" applyFill="1" applyAlignment="1" applyProtection="1">
      <alignment horizontal="left"/>
    </xf>
    <xf numFmtId="0" fontId="0" fillId="5" borderId="0" xfId="0" applyFill="1"/>
    <xf numFmtId="37" fontId="2" fillId="5" borderId="0" xfId="1" applyNumberFormat="1" applyFont="1" applyFill="1" applyBorder="1"/>
    <xf numFmtId="49" fontId="55" fillId="5" borderId="0" xfId="1" applyNumberFormat="1" applyFont="1" applyFill="1" applyBorder="1"/>
    <xf numFmtId="0" fontId="10" fillId="5" borderId="0" xfId="0" applyFont="1" applyFill="1"/>
    <xf numFmtId="164" fontId="55" fillId="5" borderId="0" xfId="1" applyNumberFormat="1" applyFont="1" applyFill="1" applyBorder="1"/>
    <xf numFmtId="164" fontId="55" fillId="5" borderId="20" xfId="1" applyNumberFormat="1" applyFont="1" applyFill="1" applyBorder="1"/>
    <xf numFmtId="37" fontId="55" fillId="5" borderId="0" xfId="1" applyNumberFormat="1" applyFont="1" applyFill="1" applyBorder="1" applyAlignment="1">
      <alignment horizontal="right"/>
    </xf>
    <xf numFmtId="37" fontId="2" fillId="5" borderId="4" xfId="1" applyNumberFormat="1" applyFont="1" applyFill="1" applyBorder="1"/>
    <xf numFmtId="37" fontId="55" fillId="5" borderId="4" xfId="1" applyNumberFormat="1" applyFont="1" applyFill="1" applyBorder="1" applyAlignment="1">
      <alignment horizontal="right"/>
    </xf>
    <xf numFmtId="37" fontId="57" fillId="5" borderId="0" xfId="1" applyNumberFormat="1" applyFont="1" applyFill="1" applyBorder="1"/>
    <xf numFmtId="49" fontId="57" fillId="5" borderId="0" xfId="1" applyNumberFormat="1" applyFont="1" applyFill="1"/>
    <xf numFmtId="164" fontId="57" fillId="5" borderId="0" xfId="1" applyNumberFormat="1" applyFont="1" applyFill="1"/>
    <xf numFmtId="37" fontId="57" fillId="5" borderId="0" xfId="1" applyNumberFormat="1" applyFont="1" applyFill="1"/>
    <xf numFmtId="37" fontId="40" fillId="5" borderId="0" xfId="1" applyNumberFormat="1" applyFont="1" applyFill="1" applyBorder="1"/>
    <xf numFmtId="37" fontId="40" fillId="5" borderId="4" xfId="1" applyNumberFormat="1" applyFont="1" applyFill="1" applyBorder="1"/>
    <xf numFmtId="37" fontId="40" fillId="5" borderId="0" xfId="1" applyNumberFormat="1" applyFont="1" applyFill="1" applyBorder="1" applyAlignment="1">
      <alignment horizontal="right"/>
    </xf>
    <xf numFmtId="0" fontId="0" fillId="0" borderId="0" xfId="20" applyFont="1" applyAlignment="1"/>
    <xf numFmtId="37" fontId="11" fillId="0" borderId="0" xfId="0" applyNumberFormat="1" applyFont="1" applyAlignment="1">
      <alignment horizontal="right"/>
    </xf>
    <xf numFmtId="0" fontId="10" fillId="0" borderId="0" xfId="0" applyFont="1" applyAlignment="1">
      <alignment horizontal="right"/>
    </xf>
    <xf numFmtId="10" fontId="2" fillId="0" borderId="0" xfId="2" applyNumberFormat="1" applyFont="1" applyFill="1"/>
    <xf numFmtId="164" fontId="2" fillId="0" borderId="0" xfId="2" applyNumberFormat="1" applyFont="1" applyFill="1"/>
    <xf numFmtId="43" fontId="10" fillId="0" borderId="0" xfId="2" applyFont="1" applyFill="1"/>
    <xf numFmtId="164" fontId="3" fillId="0" borderId="0" xfId="2" applyNumberFormat="1" applyFont="1" applyFill="1" applyAlignment="1">
      <alignment horizontal="left"/>
    </xf>
    <xf numFmtId="37" fontId="3" fillId="0" borderId="0" xfId="2" quotePrefix="1" applyNumberFormat="1" applyFont="1" applyFill="1" applyAlignment="1">
      <alignment horizontal="left"/>
    </xf>
    <xf numFmtId="37" fontId="2" fillId="0" borderId="15" xfId="0" applyNumberFormat="1" applyFont="1" applyBorder="1"/>
    <xf numFmtId="0" fontId="4" fillId="0" borderId="0" xfId="0" applyFont="1"/>
    <xf numFmtId="0" fontId="18" fillId="0" borderId="0" xfId="41" applyBorder="1" applyAlignment="1">
      <alignment horizontal="center" wrapText="1"/>
    </xf>
    <xf numFmtId="0" fontId="11" fillId="0" borderId="1" xfId="0" applyFont="1" applyBorder="1" applyAlignment="1">
      <alignment horizontal="center"/>
    </xf>
    <xf numFmtId="0" fontId="10" fillId="0" borderId="18" xfId="0" applyFont="1" applyBorder="1"/>
    <xf numFmtId="37" fontId="2" fillId="0" borderId="13" xfId="0" applyNumberFormat="1" applyFont="1" applyBorder="1"/>
    <xf numFmtId="180" fontId="70" fillId="0" borderId="0" xfId="16" quotePrefix="1" applyFont="1" applyAlignment="1">
      <alignment horizontal="center"/>
    </xf>
    <xf numFmtId="180" fontId="60" fillId="0" borderId="0" xfId="16" applyFont="1" applyAlignment="1">
      <alignment horizontal="left"/>
    </xf>
    <xf numFmtId="180" fontId="60" fillId="0" borderId="0" xfId="16" applyFont="1"/>
    <xf numFmtId="37" fontId="60" fillId="0" borderId="0" xfId="16" applyNumberFormat="1" applyFont="1"/>
    <xf numFmtId="10" fontId="60" fillId="0" borderId="0" xfId="16" applyNumberFormat="1" applyFont="1"/>
    <xf numFmtId="5" fontId="60" fillId="0" borderId="0" xfId="16" applyNumberFormat="1" applyFont="1"/>
    <xf numFmtId="180" fontId="60" fillId="0" borderId="0" xfId="16" quotePrefix="1" applyFont="1" applyAlignment="1">
      <alignment horizontal="left"/>
    </xf>
    <xf numFmtId="37" fontId="61" fillId="0" borderId="0" xfId="16" applyNumberFormat="1" applyFont="1"/>
    <xf numFmtId="10" fontId="61" fillId="0" borderId="0" xfId="16" applyNumberFormat="1" applyFont="1"/>
    <xf numFmtId="180" fontId="60" fillId="0" borderId="6" xfId="16" applyFont="1" applyBorder="1"/>
    <xf numFmtId="10" fontId="60" fillId="0" borderId="6" xfId="16" applyNumberFormat="1" applyFont="1" applyBorder="1"/>
    <xf numFmtId="180" fontId="61" fillId="0" borderId="6" xfId="16" applyFont="1" applyBorder="1"/>
    <xf numFmtId="10" fontId="61" fillId="0" borderId="6" xfId="16" applyNumberFormat="1" applyFont="1" applyBorder="1"/>
    <xf numFmtId="180" fontId="61" fillId="0" borderId="0" xfId="16" quotePrefix="1" applyFont="1" applyAlignment="1">
      <alignment horizontal="left"/>
    </xf>
    <xf numFmtId="180" fontId="61" fillId="0" borderId="0" xfId="16" applyFont="1" applyAlignment="1">
      <alignment horizontal="left"/>
    </xf>
    <xf numFmtId="180" fontId="61" fillId="0" borderId="0" xfId="16" applyFont="1"/>
    <xf numFmtId="5" fontId="61" fillId="0" borderId="0" xfId="16" applyNumberFormat="1" applyFont="1"/>
    <xf numFmtId="180" fontId="60" fillId="0" borderId="9" xfId="16" applyFont="1" applyBorder="1"/>
    <xf numFmtId="180" fontId="60" fillId="0" borderId="0" xfId="16" quotePrefix="1" applyFont="1"/>
    <xf numFmtId="181" fontId="17" fillId="0" borderId="0" xfId="0" applyNumberFormat="1" applyFont="1"/>
    <xf numFmtId="180" fontId="60" fillId="0" borderId="0" xfId="16" applyFont="1" applyAlignment="1">
      <alignment horizontal="center"/>
    </xf>
    <xf numFmtId="180" fontId="60" fillId="0" borderId="11" xfId="16" applyFont="1" applyBorder="1" applyAlignment="1">
      <alignment horizontal="centerContinuous"/>
    </xf>
    <xf numFmtId="180" fontId="60" fillId="0" borderId="0" xfId="16" applyFont="1" applyAlignment="1">
      <alignment horizontal="centerContinuous"/>
    </xf>
    <xf numFmtId="180" fontId="61" fillId="0" borderId="0" xfId="16" applyFont="1" applyAlignment="1">
      <alignment horizontal="centerContinuous"/>
    </xf>
    <xf numFmtId="180" fontId="62" fillId="0" borderId="0" xfId="16" applyFont="1"/>
    <xf numFmtId="0" fontId="3" fillId="0" borderId="0" xfId="1" applyNumberFormat="1" applyFont="1" applyFill="1" applyBorder="1" applyAlignment="1">
      <alignment horizontal="center" wrapText="1"/>
    </xf>
    <xf numFmtId="0" fontId="2" fillId="0" borderId="0" xfId="0" quotePrefix="1" applyFont="1" applyAlignment="1">
      <alignment horizontal="center"/>
    </xf>
    <xf numFmtId="0" fontId="10" fillId="0" borderId="4" xfId="0" applyFont="1" applyBorder="1"/>
    <xf numFmtId="0" fontId="19" fillId="0" borderId="0" xfId="0" quotePrefix="1" applyFont="1" applyAlignment="1">
      <alignment horizontal="right"/>
    </xf>
    <xf numFmtId="164" fontId="10" fillId="0" borderId="0" xfId="1" applyNumberFormat="1" applyFont="1" applyFill="1"/>
    <xf numFmtId="164" fontId="16" fillId="0" borderId="0" xfId="1" applyNumberFormat="1" applyFont="1" applyFill="1"/>
    <xf numFmtId="164" fontId="10" fillId="0" borderId="18" xfId="1" applyNumberFormat="1" applyFont="1" applyFill="1" applyBorder="1"/>
    <xf numFmtId="164" fontId="16" fillId="0" borderId="18" xfId="1" applyNumberFormat="1" applyFont="1" applyFill="1" applyBorder="1"/>
    <xf numFmtId="164" fontId="11" fillId="0" borderId="0" xfId="1" applyNumberFormat="1" applyFont="1" applyFill="1"/>
    <xf numFmtId="164" fontId="19" fillId="0" borderId="0" xfId="1" applyNumberFormat="1" applyFont="1" applyFill="1"/>
    <xf numFmtId="164" fontId="11" fillId="0" borderId="4" xfId="1" applyNumberFormat="1" applyFont="1" applyFill="1" applyBorder="1"/>
    <xf numFmtId="164" fontId="19" fillId="0" borderId="4" xfId="1" applyNumberFormat="1" applyFont="1" applyFill="1" applyBorder="1"/>
    <xf numFmtId="164" fontId="11" fillId="0" borderId="0" xfId="1" quotePrefix="1" applyNumberFormat="1" applyFont="1" applyFill="1"/>
    <xf numFmtId="164" fontId="19" fillId="0" borderId="0" xfId="1" quotePrefix="1" applyNumberFormat="1" applyFont="1" applyFill="1"/>
    <xf numFmtId="164" fontId="11" fillId="0" borderId="0" xfId="1" quotePrefix="1" applyNumberFormat="1" applyFont="1" applyFill="1" applyBorder="1"/>
    <xf numFmtId="164" fontId="19" fillId="0" borderId="0" xfId="1" quotePrefix="1" applyNumberFormat="1" applyFont="1" applyFill="1" applyBorder="1"/>
    <xf numFmtId="0" fontId="22" fillId="0" borderId="0" xfId="0" applyFont="1" applyAlignment="1">
      <alignment horizontal="center"/>
    </xf>
    <xf numFmtId="164" fontId="3" fillId="0" borderId="0" xfId="1" applyNumberFormat="1" applyFont="1" applyFill="1" applyAlignment="1">
      <alignment horizontal="right"/>
    </xf>
    <xf numFmtId="0" fontId="0" fillId="0" borderId="0" xfId="0" applyAlignment="1">
      <alignment horizontal="left" wrapText="1"/>
    </xf>
    <xf numFmtId="164" fontId="3" fillId="0" borderId="0" xfId="1" quotePrefix="1" applyNumberFormat="1" applyFont="1" applyFill="1" applyAlignment="1">
      <alignment horizontal="center" wrapText="1"/>
    </xf>
    <xf numFmtId="49" fontId="3" fillId="0" borderId="1" xfId="1" applyNumberFormat="1" applyFont="1" applyFill="1" applyBorder="1" applyAlignment="1">
      <alignment horizontal="center" wrapText="1"/>
    </xf>
    <xf numFmtId="17" fontId="3" fillId="0" borderId="1" xfId="1" applyNumberFormat="1" applyFont="1" applyFill="1" applyBorder="1" applyAlignment="1">
      <alignment horizontal="center" wrapText="1"/>
    </xf>
    <xf numFmtId="164" fontId="63" fillId="0" borderId="0" xfId="1" applyNumberFormat="1" applyFont="1" applyFill="1" applyAlignment="1">
      <alignment horizontal="center"/>
    </xf>
    <xf numFmtId="181" fontId="17" fillId="0" borderId="0" xfId="0" applyNumberFormat="1" applyFont="1" applyAlignment="1">
      <alignment horizontal="centerContinuous"/>
    </xf>
    <xf numFmtId="180" fontId="61" fillId="0" borderId="11" xfId="16" applyFont="1" applyBorder="1" applyAlignment="1">
      <alignment horizontal="centerContinuous"/>
    </xf>
    <xf numFmtId="180" fontId="60" fillId="0" borderId="11" xfId="16" applyFont="1" applyBorder="1" applyAlignment="1">
      <alignment horizontal="left"/>
    </xf>
    <xf numFmtId="180" fontId="61" fillId="0" borderId="0" xfId="16" quotePrefix="1" applyFont="1" applyAlignment="1">
      <alignment horizontal="center"/>
    </xf>
    <xf numFmtId="49" fontId="58" fillId="0" borderId="0" xfId="1" applyNumberFormat="1" applyFont="1" applyFill="1" applyAlignment="1">
      <alignment horizontal="left"/>
    </xf>
    <xf numFmtId="164" fontId="58" fillId="0" borderId="0" xfId="1" applyNumberFormat="1" applyFont="1" applyFill="1"/>
    <xf numFmtId="37" fontId="58" fillId="0" borderId="0" xfId="1" applyNumberFormat="1" applyFont="1" applyFill="1" applyBorder="1"/>
    <xf numFmtId="37" fontId="58" fillId="0" borderId="7" xfId="1" applyNumberFormat="1" applyFont="1" applyFill="1" applyBorder="1"/>
    <xf numFmtId="37" fontId="3" fillId="6" borderId="0" xfId="0" applyNumberFormat="1" applyFont="1" applyFill="1" applyAlignment="1">
      <alignment horizontal="center" wrapText="1"/>
    </xf>
    <xf numFmtId="43" fontId="5" fillId="6" borderId="0" xfId="1" quotePrefix="1" applyFont="1" applyFill="1" applyAlignment="1">
      <alignment horizontal="left"/>
    </xf>
    <xf numFmtId="0" fontId="6" fillId="0" borderId="0" xfId="5" applyFill="1" applyAlignment="1" applyProtection="1">
      <alignment horizontal="left"/>
    </xf>
    <xf numFmtId="164" fontId="27" fillId="0" borderId="0" xfId="0" applyNumberFormat="1" applyFont="1"/>
    <xf numFmtId="0" fontId="42" fillId="0" borderId="0" xfId="0" applyFont="1"/>
    <xf numFmtId="164" fontId="10" fillId="0" borderId="0" xfId="0" applyNumberFormat="1" applyFont="1"/>
    <xf numFmtId="14" fontId="11" fillId="0" borderId="0" xfId="0" applyNumberFormat="1" applyFont="1" applyAlignment="1">
      <alignment horizontal="left"/>
    </xf>
    <xf numFmtId="0" fontId="11" fillId="0" borderId="14" xfId="0" applyFont="1" applyBorder="1" applyAlignment="1">
      <alignment horizontal="centerContinuous"/>
    </xf>
    <xf numFmtId="0" fontId="11" fillId="0" borderId="15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1" fillId="0" borderId="16" xfId="0" applyFont="1" applyBorder="1" applyAlignment="1">
      <alignment horizontal="centerContinuous"/>
    </xf>
    <xf numFmtId="0" fontId="11" fillId="0" borderId="25" xfId="0" applyFont="1" applyBorder="1" applyAlignment="1">
      <alignment horizontal="center"/>
    </xf>
    <xf numFmtId="37" fontId="10" fillId="0" borderId="11" xfId="0" applyNumberFormat="1" applyFont="1" applyBorder="1"/>
    <xf numFmtId="39" fontId="10" fillId="0" borderId="0" xfId="0" applyNumberFormat="1" applyFont="1"/>
    <xf numFmtId="0" fontId="48" fillId="0" borderId="0" xfId="0" applyFont="1"/>
    <xf numFmtId="0" fontId="71" fillId="0" borderId="0" xfId="0" applyFont="1"/>
    <xf numFmtId="5" fontId="10" fillId="0" borderId="18" xfId="0" applyNumberFormat="1" applyFont="1" applyBorder="1"/>
    <xf numFmtId="5" fontId="10" fillId="0" borderId="4" xfId="0" applyNumberFormat="1" applyFont="1" applyBorder="1"/>
    <xf numFmtId="5" fontId="11" fillId="0" borderId="4" xfId="0" applyNumberFormat="1" applyFont="1" applyBorder="1"/>
    <xf numFmtId="10" fontId="3" fillId="0" borderId="0" xfId="0" applyNumberFormat="1" applyFont="1"/>
    <xf numFmtId="10" fontId="10" fillId="0" borderId="5" xfId="0" applyNumberFormat="1" applyFont="1" applyBorder="1"/>
    <xf numFmtId="37" fontId="29" fillId="0" borderId="0" xfId="1" applyNumberFormat="1" applyFont="1" applyFill="1" applyBorder="1" applyAlignment="1">
      <alignment horizontal="center" wrapText="1"/>
    </xf>
    <xf numFmtId="49" fontId="0" fillId="7" borderId="0" xfId="1" applyNumberFormat="1" applyFont="1" applyFill="1"/>
    <xf numFmtId="0" fontId="10" fillId="7" borderId="0" xfId="0" applyFont="1" applyFill="1"/>
    <xf numFmtId="37" fontId="0" fillId="7" borderId="0" xfId="1" applyNumberFormat="1" applyFont="1" applyFill="1"/>
    <xf numFmtId="164" fontId="0" fillId="7" borderId="0" xfId="1" applyNumberFormat="1" applyFont="1" applyFill="1"/>
    <xf numFmtId="37" fontId="2" fillId="7" borderId="0" xfId="1" applyNumberFormat="1" applyFont="1" applyFill="1" applyBorder="1"/>
    <xf numFmtId="37" fontId="0" fillId="7" borderId="0" xfId="1" applyNumberFormat="1" applyFont="1" applyFill="1" applyBorder="1"/>
    <xf numFmtId="0" fontId="0" fillId="7" borderId="0" xfId="0" applyFill="1" applyAlignment="1">
      <alignment horizontal="center"/>
    </xf>
    <xf numFmtId="0" fontId="0" fillId="7" borderId="0" xfId="0" applyFill="1"/>
    <xf numFmtId="10" fontId="2" fillId="0" borderId="11" xfId="0" applyNumberFormat="1" applyFont="1" applyBorder="1"/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right"/>
    </xf>
    <xf numFmtId="37" fontId="67" fillId="0" borderId="0" xfId="1" applyNumberFormat="1" applyFont="1" applyFill="1"/>
    <xf numFmtId="5" fontId="11" fillId="0" borderId="0" xfId="0" quotePrefix="1" applyNumberFormat="1" applyFont="1" applyAlignment="1">
      <alignment horizontal="right"/>
    </xf>
    <xf numFmtId="5" fontId="11" fillId="0" borderId="1" xfId="0" quotePrefix="1" applyNumberFormat="1" applyFont="1" applyBorder="1" applyAlignment="1">
      <alignment horizontal="right"/>
    </xf>
    <xf numFmtId="5" fontId="3" fillId="0" borderId="0" xfId="0" applyNumberFormat="1" applyFont="1"/>
    <xf numFmtId="164" fontId="3" fillId="0" borderId="0" xfId="0" applyNumberFormat="1" applyFont="1"/>
    <xf numFmtId="49" fontId="2" fillId="0" borderId="0" xfId="1" applyNumberFormat="1" applyFont="1" applyFill="1" applyBorder="1"/>
    <xf numFmtId="164" fontId="2" fillId="0" borderId="20" xfId="1" applyNumberFormat="1" applyFont="1" applyFill="1" applyBorder="1"/>
    <xf numFmtId="37" fontId="2" fillId="6" borderId="7" xfId="1" applyNumberFormat="1" applyFont="1" applyFill="1" applyBorder="1" applyAlignment="1">
      <alignment horizontal="right"/>
    </xf>
    <xf numFmtId="37" fontId="2" fillId="5" borderId="0" xfId="1" applyNumberFormat="1" applyFont="1" applyFill="1" applyBorder="1" applyAlignment="1">
      <alignment horizontal="right"/>
    </xf>
    <xf numFmtId="37" fontId="2" fillId="5" borderId="7" xfId="1" applyNumberFormat="1" applyFont="1" applyFill="1" applyBorder="1" applyAlignment="1">
      <alignment horizontal="right"/>
    </xf>
    <xf numFmtId="3" fontId="2" fillId="0" borderId="11" xfId="0" applyNumberFormat="1" applyFont="1" applyBorder="1"/>
    <xf numFmtId="49" fontId="3" fillId="0" borderId="0" xfId="1" applyNumberFormat="1" applyFont="1" applyFill="1" applyBorder="1" applyAlignment="1">
      <alignment horizontal="center"/>
    </xf>
    <xf numFmtId="37" fontId="55" fillId="5" borderId="7" xfId="1" applyNumberFormat="1" applyFont="1" applyFill="1" applyBorder="1" applyAlignment="1">
      <alignment horizontal="right"/>
    </xf>
    <xf numFmtId="0" fontId="75" fillId="0" borderId="0" xfId="0" applyFont="1" applyAlignment="1">
      <alignment vertical="top" indent="1"/>
    </xf>
    <xf numFmtId="164" fontId="11" fillId="0" borderId="0" xfId="0" quotePrefix="1" applyNumberFormat="1" applyFont="1" applyAlignment="1">
      <alignment horizontal="center"/>
    </xf>
    <xf numFmtId="14" fontId="0" fillId="0" borderId="0" xfId="0" applyNumberFormat="1" applyAlignment="1">
      <alignment horizontal="left"/>
    </xf>
    <xf numFmtId="21" fontId="0" fillId="0" borderId="0" xfId="0" applyNumberFormat="1" applyAlignment="1">
      <alignment horizontal="left"/>
    </xf>
    <xf numFmtId="0" fontId="18" fillId="0" borderId="35" xfId="0" applyFont="1" applyBorder="1"/>
    <xf numFmtId="0" fontId="4" fillId="0" borderId="31" xfId="0" applyFont="1" applyBorder="1" applyAlignment="1">
      <alignment horizontal="center" wrapText="1"/>
    </xf>
    <xf numFmtId="0" fontId="18" fillId="0" borderId="14" xfId="0" applyFont="1" applyBorder="1"/>
    <xf numFmtId="0" fontId="18" fillId="0" borderId="15" xfId="0" applyFont="1" applyBorder="1"/>
    <xf numFmtId="0" fontId="4" fillId="0" borderId="14" xfId="0" applyFont="1" applyBorder="1"/>
    <xf numFmtId="0" fontId="4" fillId="0" borderId="15" xfId="0" applyFont="1" applyBorder="1"/>
    <xf numFmtId="0" fontId="4" fillId="0" borderId="16" xfId="0" applyFont="1" applyBorder="1"/>
    <xf numFmtId="0" fontId="4" fillId="0" borderId="25" xfId="0" applyFont="1" applyBorder="1"/>
    <xf numFmtId="37" fontId="11" fillId="0" borderId="14" xfId="0" applyNumberFormat="1" applyFont="1" applyBorder="1"/>
    <xf numFmtId="0" fontId="18" fillId="0" borderId="16" xfId="0" applyFont="1" applyBorder="1"/>
    <xf numFmtId="0" fontId="18" fillId="0" borderId="25" xfId="0" applyFont="1" applyBorder="1"/>
    <xf numFmtId="0" fontId="18" fillId="0" borderId="26" xfId="0" applyFont="1" applyBorder="1"/>
    <xf numFmtId="0" fontId="18" fillId="0" borderId="17" xfId="0" applyFont="1" applyBorder="1"/>
    <xf numFmtId="0" fontId="4" fillId="0" borderId="16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22" fillId="0" borderId="3" xfId="0" applyFont="1" applyBorder="1" applyAlignment="1">
      <alignment horizontal="center" wrapText="1"/>
    </xf>
    <xf numFmtId="0" fontId="22" fillId="0" borderId="17" xfId="0" applyFont="1" applyBorder="1" applyAlignment="1">
      <alignment horizontal="center" wrapText="1"/>
    </xf>
    <xf numFmtId="0" fontId="4" fillId="0" borderId="32" xfId="0" applyFont="1" applyBorder="1" applyAlignment="1">
      <alignment horizontal="center"/>
    </xf>
    <xf numFmtId="0" fontId="18" fillId="0" borderId="0" xfId="0" applyFont="1"/>
    <xf numFmtId="164" fontId="0" fillId="0" borderId="15" xfId="0" applyNumberFormat="1" applyBorder="1"/>
    <xf numFmtId="0" fontId="4" fillId="0" borderId="1" xfId="0" applyFont="1" applyBorder="1"/>
    <xf numFmtId="164" fontId="0" fillId="0" borderId="1" xfId="0" applyNumberFormat="1" applyBorder="1"/>
    <xf numFmtId="164" fontId="0" fillId="0" borderId="25" xfId="0" applyNumberFormat="1" applyBorder="1"/>
    <xf numFmtId="0" fontId="18" fillId="0" borderId="1" xfId="0" applyFont="1" applyBorder="1"/>
    <xf numFmtId="164" fontId="4" fillId="0" borderId="0" xfId="0" applyNumberFormat="1" applyFont="1"/>
    <xf numFmtId="164" fontId="4" fillId="0" borderId="15" xfId="0" applyNumberFormat="1" applyFont="1" applyBorder="1"/>
    <xf numFmtId="0" fontId="18" fillId="0" borderId="3" xfId="0" applyFont="1" applyBorder="1"/>
    <xf numFmtId="0" fontId="4" fillId="0" borderId="1" xfId="0" applyFont="1" applyBorder="1" applyAlignment="1">
      <alignment horizontal="center"/>
    </xf>
    <xf numFmtId="164" fontId="18" fillId="0" borderId="0" xfId="0" applyNumberFormat="1" applyFont="1"/>
    <xf numFmtId="164" fontId="18" fillId="0" borderId="15" xfId="0" applyNumberFormat="1" applyFont="1" applyBorder="1"/>
    <xf numFmtId="164" fontId="4" fillId="0" borderId="2" xfId="66" applyNumberFormat="1" applyFont="1" applyFill="1" applyBorder="1" applyAlignment="1">
      <alignment horizontal="center" wrapText="1"/>
    </xf>
    <xf numFmtId="164" fontId="18" fillId="0" borderId="13" xfId="66" applyNumberFormat="1" applyFont="1" applyFill="1" applyBorder="1"/>
    <xf numFmtId="164" fontId="4" fillId="0" borderId="13" xfId="66" applyNumberFormat="1" applyFont="1" applyFill="1" applyBorder="1"/>
    <xf numFmtId="164" fontId="4" fillId="0" borderId="34" xfId="66" applyNumberFormat="1" applyFont="1" applyFill="1" applyBorder="1"/>
    <xf numFmtId="164" fontId="18" fillId="0" borderId="34" xfId="66" applyNumberFormat="1" applyFont="1" applyFill="1" applyBorder="1"/>
    <xf numFmtId="164" fontId="18" fillId="0" borderId="12" xfId="66" applyNumberFormat="1" applyFont="1" applyFill="1" applyBorder="1"/>
    <xf numFmtId="164" fontId="4" fillId="0" borderId="34" xfId="66" applyNumberFormat="1" applyFont="1" applyFill="1" applyBorder="1" applyAlignment="1">
      <alignment horizontal="center"/>
    </xf>
    <xf numFmtId="164" fontId="4" fillId="0" borderId="0" xfId="66" applyNumberFormat="1" applyFont="1" applyFill="1" applyBorder="1"/>
    <xf numFmtId="164" fontId="17" fillId="0" borderId="0" xfId="66" applyNumberFormat="1" applyFont="1" applyFill="1"/>
    <xf numFmtId="164" fontId="18" fillId="5" borderId="0" xfId="0" applyNumberFormat="1" applyFont="1" applyFill="1"/>
    <xf numFmtId="0" fontId="17" fillId="0" borderId="0" xfId="20" applyFont="1" applyAlignment="1"/>
    <xf numFmtId="0" fontId="18" fillId="0" borderId="1" xfId="41" applyAlignment="1">
      <alignment horizontal="center" wrapText="1"/>
    </xf>
    <xf numFmtId="4" fontId="17" fillId="0" borderId="0" xfId="34" applyFont="1"/>
    <xf numFmtId="15" fontId="17" fillId="0" borderId="0" xfId="27" quotePrefix="1" applyFont="1"/>
    <xf numFmtId="3" fontId="0" fillId="5" borderId="0" xfId="0" applyNumberFormat="1" applyFill="1"/>
    <xf numFmtId="37" fontId="0" fillId="5" borderId="25" xfId="0" applyNumberFormat="1" applyFill="1" applyBorder="1"/>
    <xf numFmtId="37" fontId="0" fillId="3" borderId="1" xfId="0" applyNumberFormat="1" applyFill="1" applyBorder="1"/>
    <xf numFmtId="3" fontId="0" fillId="3" borderId="0" xfId="0" applyNumberFormat="1" applyFill="1"/>
    <xf numFmtId="0" fontId="3" fillId="0" borderId="35" xfId="0" applyFont="1" applyBorder="1" applyAlignment="1">
      <alignment horizontal="center"/>
    </xf>
    <xf numFmtId="0" fontId="3" fillId="0" borderId="2" xfId="0" quotePrefix="1" applyFont="1" applyBorder="1" applyAlignment="1">
      <alignment horizontal="center"/>
    </xf>
    <xf numFmtId="17" fontId="3" fillId="0" borderId="34" xfId="17" quotePrefix="1" applyNumberFormat="1" applyFont="1" applyFill="1" applyBorder="1" applyAlignment="1">
      <alignment horizontal="center"/>
    </xf>
    <xf numFmtId="10" fontId="2" fillId="0" borderId="13" xfId="17" applyNumberFormat="1" applyFont="1" applyFill="1" applyBorder="1" applyAlignment="1">
      <alignment horizontal="center"/>
    </xf>
    <xf numFmtId="10" fontId="3" fillId="0" borderId="13" xfId="17" quotePrefix="1" applyNumberFormat="1" applyFont="1" applyFill="1" applyBorder="1" applyAlignment="1">
      <alignment horizontal="center"/>
    </xf>
    <xf numFmtId="37" fontId="3" fillId="0" borderId="34" xfId="1" quotePrefix="1" applyNumberFormat="1" applyFont="1" applyFill="1" applyBorder="1" applyAlignment="1">
      <alignment horizontal="center" wrapText="1"/>
    </xf>
    <xf numFmtId="171" fontId="3" fillId="0" borderId="2" xfId="17" quotePrefix="1" applyNumberFormat="1" applyFont="1" applyFill="1" applyBorder="1" applyAlignment="1">
      <alignment horizontal="center"/>
    </xf>
    <xf numFmtId="0" fontId="3" fillId="0" borderId="2" xfId="0" quotePrefix="1" applyFont="1" applyBorder="1" applyAlignment="1">
      <alignment horizontal="center" wrapText="1"/>
    </xf>
    <xf numFmtId="10" fontId="2" fillId="0" borderId="12" xfId="17" quotePrefix="1" applyNumberFormat="1" applyFont="1" applyFill="1" applyBorder="1" applyAlignment="1">
      <alignment horizontal="center"/>
    </xf>
    <xf numFmtId="37" fontId="3" fillId="0" borderId="13" xfId="1" applyNumberFormat="1" applyFont="1" applyFill="1" applyBorder="1" applyAlignment="1">
      <alignment horizontal="center"/>
    </xf>
    <xf numFmtId="37" fontId="3" fillId="0" borderId="13" xfId="1" applyNumberFormat="1" applyFont="1" applyFill="1" applyBorder="1" applyAlignment="1">
      <alignment horizontal="center" wrapText="1"/>
    </xf>
    <xf numFmtId="10" fontId="2" fillId="0" borderId="0" xfId="0" applyNumberFormat="1" applyFont="1" applyAlignment="1">
      <alignment horizontal="right"/>
    </xf>
    <xf numFmtId="0" fontId="11" fillId="0" borderId="5" xfId="0" applyFont="1" applyBorder="1" applyAlignment="1">
      <alignment horizontal="center"/>
    </xf>
    <xf numFmtId="37" fontId="0" fillId="0" borderId="1" xfId="0" quotePrefix="1" applyNumberFormat="1" applyBorder="1"/>
    <xf numFmtId="5" fontId="2" fillId="0" borderId="0" xfId="0" applyNumberFormat="1" applyFont="1"/>
    <xf numFmtId="5" fontId="5" fillId="0" borderId="1" xfId="1" applyNumberFormat="1" applyFont="1" applyFill="1" applyBorder="1" applyAlignment="1">
      <alignment horizontal="right"/>
    </xf>
    <xf numFmtId="0" fontId="78" fillId="0" borderId="0" xfId="0" applyFont="1"/>
    <xf numFmtId="164" fontId="34" fillId="0" borderId="0" xfId="66" applyNumberFormat="1" applyFont="1" applyFill="1" applyAlignment="1"/>
    <xf numFmtId="164" fontId="34" fillId="0" borderId="0" xfId="66" applyNumberFormat="1" applyFont="1" applyFill="1"/>
    <xf numFmtId="164" fontId="79" fillId="0" borderId="29" xfId="66" applyNumberFormat="1" applyFont="1" applyFill="1" applyBorder="1" applyProtection="1"/>
    <xf numFmtId="37" fontId="78" fillId="0" borderId="0" xfId="66" applyNumberFormat="1" applyFont="1" applyFill="1" applyAlignment="1"/>
    <xf numFmtId="37" fontId="78" fillId="0" borderId="0" xfId="66" applyNumberFormat="1" applyFont="1" applyFill="1" applyAlignment="1">
      <alignment horizontal="left"/>
    </xf>
    <xf numFmtId="0" fontId="80" fillId="0" borderId="0" xfId="0" applyFont="1" applyAlignment="1">
      <alignment horizontal="left"/>
    </xf>
    <xf numFmtId="14" fontId="78" fillId="0" borderId="0" xfId="0" applyNumberFormat="1" applyFont="1" applyAlignment="1">
      <alignment horizontal="left"/>
    </xf>
    <xf numFmtId="37" fontId="78" fillId="0" borderId="0" xfId="66" applyNumberFormat="1" applyFont="1" applyFill="1"/>
    <xf numFmtId="0" fontId="79" fillId="0" borderId="0" xfId="0" applyFont="1"/>
    <xf numFmtId="21" fontId="78" fillId="0" borderId="0" xfId="0" applyNumberFormat="1" applyFont="1" applyAlignment="1">
      <alignment horizontal="left"/>
    </xf>
    <xf numFmtId="164" fontId="78" fillId="0" borderId="0" xfId="66" applyNumberFormat="1" applyFont="1" applyFill="1"/>
    <xf numFmtId="49" fontId="78" fillId="0" borderId="0" xfId="66" applyNumberFormat="1" applyFont="1" applyFill="1" applyAlignment="1">
      <alignment horizontal="center"/>
    </xf>
    <xf numFmtId="164" fontId="78" fillId="0" borderId="0" xfId="66" applyNumberFormat="1" applyFont="1" applyFill="1" applyAlignment="1">
      <alignment horizontal="center"/>
    </xf>
    <xf numFmtId="37" fontId="79" fillId="0" borderId="0" xfId="0" applyNumberFormat="1" applyFont="1" applyAlignment="1">
      <alignment horizontal="centerContinuous"/>
    </xf>
    <xf numFmtId="164" fontId="79" fillId="0" borderId="29" xfId="66" applyNumberFormat="1" applyFont="1" applyFill="1" applyBorder="1" applyAlignment="1" applyProtection="1">
      <alignment horizontal="center"/>
    </xf>
    <xf numFmtId="49" fontId="34" fillId="0" borderId="0" xfId="66" applyNumberFormat="1" applyFont="1" applyFill="1" applyAlignment="1">
      <alignment wrapText="1"/>
    </xf>
    <xf numFmtId="164" fontId="34" fillId="0" borderId="0" xfId="66" applyNumberFormat="1" applyFont="1" applyFill="1" applyAlignment="1">
      <alignment wrapText="1"/>
    </xf>
    <xf numFmtId="0" fontId="79" fillId="0" borderId="1" xfId="0" applyFont="1" applyBorder="1" applyAlignment="1">
      <alignment horizontal="left"/>
    </xf>
    <xf numFmtId="164" fontId="34" fillId="0" borderId="1" xfId="66" applyNumberFormat="1" applyFont="1" applyFill="1" applyBorder="1"/>
    <xf numFmtId="0" fontId="78" fillId="0" borderId="1" xfId="0" applyFont="1" applyBorder="1"/>
    <xf numFmtId="178" fontId="79" fillId="0" borderId="30" xfId="66" applyNumberFormat="1" applyFont="1" applyFill="1" applyBorder="1" applyAlignment="1" applyProtection="1">
      <alignment horizontal="center"/>
    </xf>
    <xf numFmtId="178" fontId="79" fillId="0" borderId="29" xfId="66" applyNumberFormat="1" applyFont="1" applyFill="1" applyBorder="1" applyAlignment="1" applyProtection="1">
      <alignment horizontal="center"/>
    </xf>
    <xf numFmtId="0" fontId="80" fillId="0" borderId="0" xfId="0" applyFont="1"/>
    <xf numFmtId="0" fontId="79" fillId="0" borderId="0" xfId="0" applyFont="1" applyAlignment="1">
      <alignment horizontal="centerContinuous"/>
    </xf>
    <xf numFmtId="164" fontId="78" fillId="0" borderId="29" xfId="66" applyNumberFormat="1" applyFont="1" applyFill="1" applyBorder="1" applyProtection="1"/>
    <xf numFmtId="49" fontId="78" fillId="0" borderId="0" xfId="66" applyNumberFormat="1" applyFont="1" applyFill="1"/>
    <xf numFmtId="164" fontId="78" fillId="0" borderId="38" xfId="66" applyNumberFormat="1" applyFont="1" applyFill="1" applyBorder="1" applyProtection="1"/>
    <xf numFmtId="37" fontId="79" fillId="0" borderId="0" xfId="0" applyNumberFormat="1" applyFont="1"/>
    <xf numFmtId="0" fontId="79" fillId="0" borderId="0" xfId="0" quotePrefix="1" applyFont="1" applyAlignment="1">
      <alignment horizontal="left"/>
    </xf>
    <xf numFmtId="37" fontId="80" fillId="0" borderId="0" xfId="0" applyNumberFormat="1" applyFont="1"/>
    <xf numFmtId="164" fontId="79" fillId="0" borderId="38" xfId="66" applyNumberFormat="1" applyFont="1" applyFill="1" applyBorder="1" applyProtection="1"/>
    <xf numFmtId="0" fontId="22" fillId="0" borderId="0" xfId="0" applyFont="1"/>
    <xf numFmtId="0" fontId="4" fillId="0" borderId="0" xfId="0" applyFont="1" applyAlignment="1">
      <alignment horizontal="center"/>
    </xf>
    <xf numFmtId="0" fontId="4" fillId="0" borderId="0" xfId="0" quotePrefix="1" applyFont="1" applyAlignment="1">
      <alignment horizontal="left"/>
    </xf>
    <xf numFmtId="17" fontId="4" fillId="0" borderId="0" xfId="0" applyNumberFormat="1" applyFont="1" applyAlignment="1">
      <alignment horizontal="center"/>
    </xf>
    <xf numFmtId="182" fontId="4" fillId="0" borderId="0" xfId="0" quotePrefix="1" applyNumberFormat="1" applyFont="1" applyAlignment="1">
      <alignment horizontal="center"/>
    </xf>
    <xf numFmtId="37" fontId="49" fillId="0" borderId="0" xfId="0" applyNumberFormat="1" applyFont="1"/>
    <xf numFmtId="0" fontId="4" fillId="0" borderId="8" xfId="0" applyFont="1" applyBorder="1" applyAlignment="1">
      <alignment horizontal="center"/>
    </xf>
    <xf numFmtId="0" fontId="49" fillId="0" borderId="0" xfId="0" applyFont="1" applyAlignment="1">
      <alignment horizontal="left"/>
    </xf>
    <xf numFmtId="5" fontId="4" fillId="0" borderId="0" xfId="0" applyNumberFormat="1" applyFont="1"/>
    <xf numFmtId="5" fontId="50" fillId="0" borderId="0" xfId="0" applyNumberFormat="1" applyFont="1"/>
    <xf numFmtId="0" fontId="22" fillId="0" borderId="11" xfId="0" applyFont="1" applyBorder="1"/>
    <xf numFmtId="0" fontId="22" fillId="0" borderId="0" xfId="0" quotePrefix="1" applyFont="1" applyAlignment="1">
      <alignment horizontal="left"/>
    </xf>
    <xf numFmtId="10" fontId="50" fillId="0" borderId="0" xfId="0" applyNumberFormat="1" applyFont="1"/>
    <xf numFmtId="0" fontId="10" fillId="0" borderId="0" xfId="0" applyFont="1" applyAlignment="1">
      <alignment horizontal="center"/>
    </xf>
    <xf numFmtId="0" fontId="17" fillId="0" borderId="0" xfId="20" applyFont="1" applyFill="1" applyBorder="1" applyAlignment="1"/>
    <xf numFmtId="0" fontId="2" fillId="0" borderId="12" xfId="0" quotePrefix="1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10" fontId="2" fillId="0" borderId="13" xfId="0" applyNumberFormat="1" applyFont="1" applyBorder="1" applyAlignment="1">
      <alignment horizontal="center"/>
    </xf>
    <xf numFmtId="37" fontId="3" fillId="0" borderId="0" xfId="0" applyNumberFormat="1" applyFont="1" applyAlignment="1">
      <alignment horizontal="right"/>
    </xf>
    <xf numFmtId="17" fontId="3" fillId="0" borderId="0" xfId="0" quotePrefix="1" applyNumberFormat="1" applyFont="1" applyAlignment="1">
      <alignment horizontal="center"/>
    </xf>
    <xf numFmtId="14" fontId="0" fillId="0" borderId="0" xfId="0" applyNumberFormat="1"/>
    <xf numFmtId="37" fontId="10" fillId="0" borderId="0" xfId="0" applyNumberFormat="1" applyFont="1" applyAlignment="1">
      <alignment horizontal="center"/>
    </xf>
    <xf numFmtId="164" fontId="4" fillId="0" borderId="1" xfId="0" applyNumberFormat="1" applyFont="1" applyBorder="1"/>
    <xf numFmtId="164" fontId="4" fillId="0" borderId="25" xfId="0" applyNumberFormat="1" applyFont="1" applyBorder="1"/>
    <xf numFmtId="183" fontId="0" fillId="0" borderId="0" xfId="0" applyNumberFormat="1"/>
    <xf numFmtId="37" fontId="0" fillId="0" borderId="39" xfId="0" applyNumberFormat="1" applyBorder="1"/>
    <xf numFmtId="174" fontId="0" fillId="0" borderId="11" xfId="0" applyNumberFormat="1" applyBorder="1"/>
    <xf numFmtId="174" fontId="0" fillId="0" borderId="36" xfId="0" applyNumberFormat="1" applyBorder="1"/>
    <xf numFmtId="0" fontId="3" fillId="0" borderId="26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179" fontId="0" fillId="0" borderId="0" xfId="0" applyNumberFormat="1"/>
    <xf numFmtId="180" fontId="61" fillId="0" borderId="11" xfId="16" applyFont="1" applyBorder="1" applyAlignment="1">
      <alignment horizontal="center"/>
    </xf>
    <xf numFmtId="180" fontId="61" fillId="0" borderId="0" xfId="16" applyFont="1" applyAlignment="1">
      <alignment horizontal="center"/>
    </xf>
    <xf numFmtId="43" fontId="2" fillId="0" borderId="0" xfId="1" quotePrefix="1" applyFont="1" applyFill="1" applyBorder="1" applyAlignment="1">
      <alignment horizontal="center"/>
    </xf>
    <xf numFmtId="49" fontId="2" fillId="0" borderId="0" xfId="77" applyNumberFormat="1" applyFont="1" applyFill="1" applyAlignment="1">
      <alignment horizontal="left"/>
    </xf>
    <xf numFmtId="164" fontId="2" fillId="0" borderId="0" xfId="77" applyNumberFormat="1" applyFont="1" applyFill="1"/>
    <xf numFmtId="164" fontId="0" fillId="0" borderId="0" xfId="77" applyNumberFormat="1" applyFont="1" applyFill="1"/>
    <xf numFmtId="0" fontId="81" fillId="0" borderId="0" xfId="0" applyFont="1"/>
    <xf numFmtId="165" fontId="3" fillId="0" borderId="0" xfId="0" applyNumberFormat="1" applyFont="1"/>
    <xf numFmtId="0" fontId="4" fillId="0" borderId="39" xfId="0" applyFont="1" applyBorder="1" applyAlignment="1">
      <alignment horizontal="center"/>
    </xf>
    <xf numFmtId="0" fontId="22" fillId="0" borderId="0" xfId="0" applyFont="1" applyAlignment="1">
      <alignment horizontal="left"/>
    </xf>
    <xf numFmtId="164" fontId="22" fillId="0" borderId="0" xfId="77" applyNumberFormat="1" applyFont="1" applyFill="1" applyBorder="1" applyProtection="1"/>
    <xf numFmtId="5" fontId="50" fillId="0" borderId="7" xfId="0" applyNumberFormat="1" applyFont="1" applyBorder="1"/>
    <xf numFmtId="5" fontId="4" fillId="0" borderId="24" xfId="0" applyNumberFormat="1" applyFont="1" applyBorder="1"/>
    <xf numFmtId="5" fontId="50" fillId="0" borderId="24" xfId="0" applyNumberFormat="1" applyFont="1" applyBorder="1"/>
    <xf numFmtId="7" fontId="4" fillId="0" borderId="0" xfId="0" applyNumberFormat="1" applyFont="1"/>
    <xf numFmtId="7" fontId="4" fillId="0" borderId="40" xfId="0" applyNumberFormat="1" applyFont="1" applyBorder="1"/>
    <xf numFmtId="182" fontId="4" fillId="0" borderId="0" xfId="0" quotePrefix="1" applyNumberFormat="1" applyFont="1" applyAlignment="1">
      <alignment horizontal="left"/>
    </xf>
    <xf numFmtId="17" fontId="4" fillId="0" borderId="0" xfId="0" applyNumberFormat="1" applyFont="1"/>
    <xf numFmtId="10" fontId="32" fillId="0" borderId="0" xfId="17" applyNumberFormat="1" applyFont="1" applyFill="1" applyBorder="1"/>
    <xf numFmtId="0" fontId="3" fillId="0" borderId="2" xfId="0" applyFont="1" applyBorder="1" applyAlignment="1">
      <alignment horizontal="center" wrapText="1"/>
    </xf>
    <xf numFmtId="0" fontId="3" fillId="0" borderId="34" xfId="0" applyFont="1" applyBorder="1" applyAlignment="1">
      <alignment horizontal="center"/>
    </xf>
    <xf numFmtId="10" fontId="3" fillId="0" borderId="13" xfId="17" applyNumberFormat="1" applyFont="1" applyFill="1" applyBorder="1" applyAlignment="1">
      <alignment horizontal="center"/>
    </xf>
    <xf numFmtId="37" fontId="2" fillId="0" borderId="12" xfId="1" quotePrefix="1" applyNumberFormat="1" applyFont="1" applyFill="1" applyBorder="1" applyAlignment="1">
      <alignment horizontal="center"/>
    </xf>
    <xf numFmtId="10" fontId="3" fillId="0" borderId="0" xfId="0" applyNumberFormat="1" applyFont="1" applyAlignment="1">
      <alignment horizontal="center"/>
    </xf>
    <xf numFmtId="10" fontId="3" fillId="0" borderId="12" xfId="0" applyNumberFormat="1" applyFont="1" applyBorder="1" applyAlignment="1">
      <alignment horizontal="center"/>
    </xf>
    <xf numFmtId="10" fontId="2" fillId="0" borderId="34" xfId="0" applyNumberFormat="1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184" fontId="49" fillId="0" borderId="0" xfId="110" applyNumberFormat="1" applyFont="1" applyFill="1" applyBorder="1" applyProtection="1"/>
    <xf numFmtId="10" fontId="61" fillId="0" borderId="0" xfId="17" applyNumberFormat="1" applyFont="1" applyFill="1" applyProtection="1"/>
    <xf numFmtId="10" fontId="84" fillId="0" borderId="0" xfId="16" applyNumberFormat="1" applyFont="1"/>
    <xf numFmtId="0" fontId="2" fillId="0" borderId="0" xfId="0" applyFont="1" applyAlignment="1">
      <alignment horizontal="left" vertical="top" wrapText="1"/>
    </xf>
    <xf numFmtId="0" fontId="11" fillId="0" borderId="37" xfId="0" quotePrefix="1" applyFont="1" applyBorder="1" applyAlignment="1">
      <alignment horizontal="center"/>
    </xf>
    <xf numFmtId="43" fontId="2" fillId="0" borderId="0" xfId="1" applyFont="1" applyFill="1"/>
    <xf numFmtId="49" fontId="3" fillId="0" borderId="1" xfId="1" applyNumberFormat="1" applyFont="1" applyFill="1" applyBorder="1" applyAlignment="1">
      <alignment horizontal="center"/>
    </xf>
    <xf numFmtId="167" fontId="2" fillId="0" borderId="0" xfId="0" applyNumberFormat="1" applyFont="1"/>
    <xf numFmtId="168" fontId="2" fillId="0" borderId="7" xfId="0" quotePrefix="1" applyNumberFormat="1" applyFont="1" applyBorder="1" applyAlignment="1">
      <alignment horizontal="right"/>
    </xf>
    <xf numFmtId="37" fontId="2" fillId="0" borderId="3" xfId="0" applyNumberFormat="1" applyFont="1" applyBorder="1" applyAlignment="1">
      <alignment horizontal="right"/>
    </xf>
    <xf numFmtId="10" fontId="2" fillId="0" borderId="3" xfId="0" applyNumberFormat="1" applyFont="1" applyBorder="1" applyAlignment="1">
      <alignment horizontal="right"/>
    </xf>
    <xf numFmtId="164" fontId="3" fillId="0" borderId="26" xfId="1" applyNumberFormat="1" applyFont="1" applyFill="1" applyBorder="1" applyAlignment="1">
      <alignment horizontal="left"/>
    </xf>
    <xf numFmtId="0" fontId="5" fillId="0" borderId="3" xfId="0" applyFont="1" applyBorder="1"/>
    <xf numFmtId="0" fontId="5" fillId="0" borderId="17" xfId="0" applyFont="1" applyBorder="1"/>
    <xf numFmtId="164" fontId="3" fillId="0" borderId="14" xfId="1" applyNumberFormat="1" applyFont="1" applyFill="1" applyBorder="1" applyAlignment="1">
      <alignment horizontal="left"/>
    </xf>
    <xf numFmtId="0" fontId="5" fillId="0" borderId="15" xfId="0" applyFont="1" applyBorder="1"/>
    <xf numFmtId="37" fontId="5" fillId="0" borderId="0" xfId="0" applyNumberFormat="1" applyFont="1" applyAlignment="1">
      <alignment horizontal="center"/>
    </xf>
    <xf numFmtId="10" fontId="5" fillId="0" borderId="0" xfId="17" applyNumberFormat="1" applyFont="1" applyFill="1" applyBorder="1" applyAlignment="1">
      <alignment horizontal="right"/>
    </xf>
    <xf numFmtId="10" fontId="5" fillId="0" borderId="15" xfId="17" applyNumberFormat="1" applyFont="1" applyFill="1" applyBorder="1" applyAlignment="1">
      <alignment horizontal="right"/>
    </xf>
    <xf numFmtId="0" fontId="3" fillId="0" borderId="15" xfId="0" applyFont="1" applyBorder="1" applyAlignment="1">
      <alignment horizontal="center"/>
    </xf>
    <xf numFmtId="0" fontId="5" fillId="0" borderId="14" xfId="0" applyFont="1" applyBorder="1"/>
    <xf numFmtId="0" fontId="3" fillId="0" borderId="25" xfId="0" applyFont="1" applyBorder="1" applyAlignment="1">
      <alignment horizontal="center"/>
    </xf>
    <xf numFmtId="10" fontId="5" fillId="0" borderId="0" xfId="17" quotePrefix="1" applyNumberFormat="1" applyFont="1" applyFill="1" applyBorder="1" applyAlignment="1">
      <alignment horizontal="center"/>
    </xf>
    <xf numFmtId="10" fontId="5" fillId="0" borderId="15" xfId="17" quotePrefix="1" applyNumberFormat="1" applyFont="1" applyFill="1" applyBorder="1" applyAlignment="1">
      <alignment horizontal="center"/>
    </xf>
    <xf numFmtId="10" fontId="5" fillId="0" borderId="7" xfId="17" applyNumberFormat="1" applyFont="1" applyFill="1" applyBorder="1" applyAlignment="1">
      <alignment horizontal="center"/>
    </xf>
    <xf numFmtId="10" fontId="5" fillId="0" borderId="33" xfId="17" applyNumberFormat="1" applyFont="1" applyFill="1" applyBorder="1" applyAlignment="1">
      <alignment horizontal="center"/>
    </xf>
    <xf numFmtId="10" fontId="5" fillId="0" borderId="0" xfId="17" applyNumberFormat="1" applyFont="1" applyFill="1" applyBorder="1" applyAlignment="1">
      <alignment horizontal="center"/>
    </xf>
    <xf numFmtId="0" fontId="5" fillId="0" borderId="16" xfId="0" applyFont="1" applyBorder="1"/>
    <xf numFmtId="0" fontId="5" fillId="0" borderId="1" xfId="0" quotePrefix="1" applyFont="1" applyBorder="1" applyAlignment="1">
      <alignment horizontal="left"/>
    </xf>
    <xf numFmtId="0" fontId="5" fillId="0" borderId="1" xfId="0" applyFont="1" applyBorder="1"/>
    <xf numFmtId="0" fontId="5" fillId="0" borderId="25" xfId="0" applyFont="1" applyBorder="1"/>
    <xf numFmtId="164" fontId="3" fillId="0" borderId="0" xfId="1" applyNumberFormat="1" applyFont="1" applyFill="1" applyBorder="1" applyAlignment="1">
      <alignment horizontal="left"/>
    </xf>
    <xf numFmtId="0" fontId="3" fillId="0" borderId="0" xfId="0" applyFont="1" applyAlignment="1">
      <alignment wrapText="1"/>
    </xf>
    <xf numFmtId="10" fontId="2" fillId="0" borderId="7" xfId="17" applyNumberFormat="1" applyFont="1" applyFill="1" applyBorder="1" applyAlignment="1">
      <alignment horizontal="right"/>
    </xf>
    <xf numFmtId="10" fontId="5" fillId="0" borderId="7" xfId="17" applyNumberFormat="1" applyFont="1" applyFill="1" applyBorder="1" applyAlignment="1">
      <alignment horizontal="right"/>
    </xf>
    <xf numFmtId="10" fontId="2" fillId="0" borderId="0" xfId="17" applyNumberFormat="1" applyFont="1" applyFill="1" applyAlignment="1">
      <alignment horizontal="right"/>
    </xf>
    <xf numFmtId="10" fontId="5" fillId="0" borderId="0" xfId="17" applyNumberFormat="1" applyFont="1" applyFill="1" applyAlignment="1">
      <alignment horizontal="right"/>
    </xf>
    <xf numFmtId="0" fontId="2" fillId="0" borderId="1" xfId="0" applyFont="1" applyBorder="1"/>
    <xf numFmtId="43" fontId="3" fillId="0" borderId="0" xfId="1" quotePrefix="1" applyFont="1" applyFill="1" applyBorder="1" applyAlignment="1">
      <alignment horizontal="center"/>
    </xf>
    <xf numFmtId="43" fontId="5" fillId="0" borderId="0" xfId="1" applyFont="1" applyFill="1" applyBorder="1"/>
    <xf numFmtId="43" fontId="3" fillId="0" borderId="0" xfId="1" applyFont="1" applyFill="1" applyBorder="1" applyAlignment="1">
      <alignment horizontal="center"/>
    </xf>
    <xf numFmtId="178" fontId="3" fillId="0" borderId="1" xfId="1" quotePrefix="1" applyNumberFormat="1" applyFont="1" applyFill="1" applyBorder="1" applyAlignment="1">
      <alignment horizontal="center"/>
    </xf>
    <xf numFmtId="43" fontId="64" fillId="0" borderId="0" xfId="1" applyFont="1" applyFill="1"/>
    <xf numFmtId="43" fontId="5" fillId="0" borderId="0" xfId="1" applyFont="1" applyFill="1" applyAlignment="1">
      <alignment horizontal="left"/>
    </xf>
    <xf numFmtId="43" fontId="64" fillId="0" borderId="0" xfId="1" quotePrefix="1" applyFont="1" applyFill="1" applyAlignment="1">
      <alignment horizontal="left"/>
    </xf>
    <xf numFmtId="43" fontId="5" fillId="0" borderId="0" xfId="1" quotePrefix="1" applyFont="1" applyFill="1" applyAlignment="1">
      <alignment horizontal="left"/>
    </xf>
    <xf numFmtId="164" fontId="3" fillId="0" borderId="7" xfId="1" applyNumberFormat="1" applyFont="1" applyFill="1" applyBorder="1" applyAlignment="1">
      <alignment horizontal="left" indent="1"/>
    </xf>
    <xf numFmtId="164" fontId="3" fillId="0" borderId="0" xfId="1" applyNumberFormat="1" applyFont="1" applyFill="1" applyBorder="1" applyAlignment="1">
      <alignment horizontal="left" indent="1"/>
    </xf>
    <xf numFmtId="164" fontId="2" fillId="0" borderId="1" xfId="1" applyNumberFormat="1" applyFont="1" applyFill="1" applyBorder="1"/>
    <xf numFmtId="164" fontId="2" fillId="0" borderId="0" xfId="1" quotePrefix="1" applyNumberFormat="1" applyFont="1" applyFill="1" applyAlignment="1">
      <alignment horizontal="center"/>
    </xf>
    <xf numFmtId="10" fontId="21" fillId="0" borderId="0" xfId="17" applyNumberFormat="1" applyFont="1" applyFill="1" applyBorder="1" applyAlignment="1">
      <alignment horizontal="right"/>
    </xf>
    <xf numFmtId="0" fontId="5" fillId="0" borderId="0" xfId="0" quotePrefix="1" applyFont="1" applyAlignment="1">
      <alignment horizontal="center"/>
    </xf>
    <xf numFmtId="43" fontId="2" fillId="0" borderId="0" xfId="1" quotePrefix="1" applyFont="1" applyFill="1"/>
    <xf numFmtId="43" fontId="2" fillId="0" borderId="0" xfId="1" applyFont="1" applyFill="1" applyAlignment="1">
      <alignment horizontal="left"/>
    </xf>
    <xf numFmtId="0" fontId="25" fillId="0" borderId="11" xfId="0" applyFont="1" applyBorder="1" applyAlignment="1">
      <alignment horizontal="center"/>
    </xf>
    <xf numFmtId="0" fontId="25" fillId="0" borderId="11" xfId="0" quotePrefix="1" applyFont="1" applyBorder="1" applyAlignment="1">
      <alignment horizontal="center"/>
    </xf>
    <xf numFmtId="0" fontId="11" fillId="0" borderId="11" xfId="0" applyFont="1" applyBorder="1" applyAlignment="1">
      <alignment horizontal="center"/>
    </xf>
    <xf numFmtId="17" fontId="11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173" fontId="3" fillId="0" borderId="0" xfId="0" quotePrefix="1" applyNumberFormat="1" applyFont="1" applyAlignment="1">
      <alignment horizontal="right"/>
    </xf>
    <xf numFmtId="0" fontId="3" fillId="0" borderId="0" xfId="20" applyFont="1" applyFill="1" applyAlignment="1"/>
    <xf numFmtId="3" fontId="0" fillId="0" borderId="0" xfId="47" applyFont="1" applyFill="1"/>
    <xf numFmtId="0" fontId="0" fillId="0" borderId="0" xfId="20" applyFont="1" applyFill="1" applyBorder="1" applyAlignment="1"/>
    <xf numFmtId="0" fontId="2" fillId="0" borderId="0" xfId="20" applyFont="1" applyFill="1" applyAlignment="1"/>
    <xf numFmtId="37" fontId="3" fillId="0" borderId="0" xfId="0" quotePrefix="1" applyNumberFormat="1" applyFont="1" applyAlignment="1">
      <alignment horizontal="center" wrapText="1"/>
    </xf>
    <xf numFmtId="4" fontId="0" fillId="0" borderId="0" xfId="20" applyNumberFormat="1" applyFont="1" applyFill="1" applyAlignment="1"/>
    <xf numFmtId="164" fontId="10" fillId="0" borderId="0" xfId="1" applyNumberFormat="1" applyFont="1" applyFill="1" applyBorder="1"/>
    <xf numFmtId="10" fontId="2" fillId="0" borderId="1" xfId="0" applyNumberFormat="1" applyFont="1" applyBorder="1"/>
    <xf numFmtId="4" fontId="18" fillId="0" borderId="0" xfId="34" applyFont="1" applyFill="1"/>
    <xf numFmtId="0" fontId="11" fillId="0" borderId="11" xfId="0" applyFont="1" applyBorder="1" applyAlignment="1">
      <alignment horizontal="centerContinuous"/>
    </xf>
    <xf numFmtId="10" fontId="10" fillId="0" borderId="11" xfId="0" applyNumberFormat="1" applyFont="1" applyBorder="1"/>
    <xf numFmtId="0" fontId="10" fillId="0" borderId="11" xfId="0" applyFont="1" applyBorder="1"/>
    <xf numFmtId="5" fontId="2" fillId="0" borderId="1" xfId="0" applyNumberFormat="1" applyFont="1" applyBorder="1"/>
    <xf numFmtId="10" fontId="22" fillId="0" borderId="0" xfId="0" applyNumberFormat="1" applyFont="1"/>
    <xf numFmtId="0" fontId="3" fillId="0" borderId="39" xfId="0" applyFont="1" applyBorder="1" applyAlignment="1">
      <alignment horizontal="center"/>
    </xf>
    <xf numFmtId="0" fontId="5" fillId="0" borderId="39" xfId="0" applyFont="1" applyBorder="1"/>
    <xf numFmtId="178" fontId="3" fillId="0" borderId="39" xfId="1" quotePrefix="1" applyNumberFormat="1" applyFont="1" applyFill="1" applyBorder="1" applyAlignment="1">
      <alignment horizontal="center"/>
    </xf>
    <xf numFmtId="164" fontId="2" fillId="0" borderId="39" xfId="1" applyNumberFormat="1" applyFont="1" applyFill="1" applyBorder="1"/>
    <xf numFmtId="37" fontId="0" fillId="0" borderId="19" xfId="0" applyNumberFormat="1" applyBorder="1" applyAlignment="1">
      <alignment horizontal="right"/>
    </xf>
    <xf numFmtId="10" fontId="2" fillId="5" borderId="13" xfId="0" applyNumberFormat="1" applyFont="1" applyFill="1" applyBorder="1" applyAlignment="1">
      <alignment horizontal="center"/>
    </xf>
    <xf numFmtId="37" fontId="3" fillId="4" borderId="13" xfId="1" applyNumberFormat="1" applyFont="1" applyFill="1" applyBorder="1" applyAlignment="1">
      <alignment horizontal="center" wrapText="1"/>
    </xf>
    <xf numFmtId="37" fontId="3" fillId="4" borderId="34" xfId="1" applyNumberFormat="1" applyFont="1" applyFill="1" applyBorder="1" applyAlignment="1">
      <alignment horizontal="center" wrapText="1"/>
    </xf>
    <xf numFmtId="43" fontId="0" fillId="0" borderId="0" xfId="34" applyNumberFormat="1" applyFont="1" applyFill="1"/>
    <xf numFmtId="1" fontId="0" fillId="0" borderId="0" xfId="47" applyNumberFormat="1" applyFont="1" applyFill="1"/>
    <xf numFmtId="43" fontId="18" fillId="0" borderId="1" xfId="41" applyNumberFormat="1" applyAlignment="1">
      <alignment horizontal="center" wrapText="1"/>
    </xf>
    <xf numFmtId="0" fontId="2" fillId="0" borderId="0" xfId="7"/>
    <xf numFmtId="37" fontId="2" fillId="0" borderId="0" xfId="7" applyNumberFormat="1"/>
    <xf numFmtId="37" fontId="3" fillId="0" borderId="0" xfId="7" quotePrefix="1" applyNumberFormat="1" applyFont="1" applyAlignment="1">
      <alignment horizontal="left"/>
    </xf>
    <xf numFmtId="0" fontId="6" fillId="0" borderId="0" xfId="5" quotePrefix="1" applyFill="1" applyAlignment="1" applyProtection="1">
      <alignment horizontal="left"/>
    </xf>
    <xf numFmtId="37" fontId="2" fillId="8" borderId="0" xfId="1" applyNumberFormat="1" applyFont="1" applyFill="1" applyBorder="1" applyAlignment="1">
      <alignment horizontal="right"/>
    </xf>
    <xf numFmtId="0" fontId="4" fillId="0" borderId="0" xfId="0" applyFont="1" applyAlignment="1">
      <alignment horizontal="right"/>
    </xf>
    <xf numFmtId="49" fontId="87" fillId="0" borderId="38" xfId="0" applyNumberFormat="1" applyFont="1" applyBorder="1" applyAlignment="1">
      <alignment horizontal="left"/>
    </xf>
    <xf numFmtId="49" fontId="87" fillId="0" borderId="38" xfId="0" applyNumberFormat="1" applyFont="1" applyBorder="1" applyAlignment="1">
      <alignment horizontal="center"/>
    </xf>
    <xf numFmtId="49" fontId="2" fillId="0" borderId="29" xfId="11" applyNumberFormat="1" applyFont="1" applyBorder="1" applyAlignment="1">
      <alignment horizontal="left"/>
    </xf>
    <xf numFmtId="185" fontId="2" fillId="0" borderId="29" xfId="11" applyNumberFormat="1" applyFont="1" applyBorder="1"/>
    <xf numFmtId="185" fontId="2" fillId="5" borderId="29" xfId="11" applyNumberFormat="1" applyFont="1" applyFill="1" applyBorder="1"/>
    <xf numFmtId="49" fontId="2" fillId="0" borderId="0" xfId="0" applyNumberFormat="1" applyFont="1" applyAlignment="1">
      <alignment horizontal="right"/>
    </xf>
    <xf numFmtId="185" fontId="0" fillId="0" borderId="0" xfId="0" applyNumberFormat="1"/>
    <xf numFmtId="49" fontId="0" fillId="0" borderId="0" xfId="0" applyNumberFormat="1" applyAlignment="1">
      <alignment horizontal="right"/>
    </xf>
    <xf numFmtId="185" fontId="3" fillId="0" borderId="19" xfId="0" applyNumberFormat="1" applyFont="1" applyBorder="1"/>
    <xf numFmtId="0" fontId="14" fillId="0" borderId="0" xfId="8" applyFont="1" applyAlignment="1">
      <alignment horizontal="right"/>
    </xf>
    <xf numFmtId="185" fontId="3" fillId="0" borderId="0" xfId="0" applyNumberFormat="1" applyFont="1"/>
    <xf numFmtId="0" fontId="88" fillId="0" borderId="0" xfId="0" applyFont="1"/>
    <xf numFmtId="164" fontId="19" fillId="0" borderId="0" xfId="0" applyNumberFormat="1" applyFont="1"/>
    <xf numFmtId="186" fontId="0" fillId="0" borderId="0" xfId="0" applyNumberFormat="1"/>
    <xf numFmtId="0" fontId="0" fillId="0" borderId="0" xfId="0" quotePrefix="1"/>
    <xf numFmtId="184" fontId="22" fillId="0" borderId="7" xfId="0" applyNumberFormat="1" applyFont="1" applyBorder="1"/>
    <xf numFmtId="184" fontId="50" fillId="0" borderId="7" xfId="0" applyNumberFormat="1" applyFont="1" applyBorder="1"/>
    <xf numFmtId="164" fontId="4" fillId="0" borderId="7" xfId="0" applyNumberFormat="1" applyFont="1" applyBorder="1"/>
    <xf numFmtId="0" fontId="0" fillId="0" borderId="24" xfId="0" applyBorder="1"/>
    <xf numFmtId="164" fontId="2" fillId="0" borderId="11" xfId="2" applyNumberFormat="1" applyFont="1" applyFill="1" applyBorder="1"/>
    <xf numFmtId="164" fontId="2" fillId="0" borderId="0" xfId="2" applyNumberFormat="1" applyFont="1" applyFill="1" applyBorder="1"/>
    <xf numFmtId="44" fontId="0" fillId="0" borderId="0" xfId="0" applyNumberFormat="1"/>
    <xf numFmtId="44" fontId="0" fillId="5" borderId="0" xfId="0" applyNumberFormat="1" applyFill="1"/>
    <xf numFmtId="0" fontId="0" fillId="0" borderId="0" xfId="0" pivotButton="1"/>
    <xf numFmtId="43" fontId="0" fillId="5" borderId="0" xfId="0" applyNumberFormat="1" applyFill="1"/>
    <xf numFmtId="10" fontId="3" fillId="0" borderId="0" xfId="17" quotePrefix="1" applyNumberFormat="1" applyFont="1" applyFill="1" applyBorder="1" applyAlignment="1">
      <alignment horizontal="center"/>
    </xf>
    <xf numFmtId="187" fontId="0" fillId="0" borderId="0" xfId="1" applyNumberFormat="1" applyFont="1"/>
    <xf numFmtId="0" fontId="3" fillId="0" borderId="39" xfId="0" applyFont="1" applyBorder="1"/>
    <xf numFmtId="0" fontId="10" fillId="0" borderId="39" xfId="0" applyFont="1" applyBorder="1" applyAlignment="1">
      <alignment horizontal="center"/>
    </xf>
    <xf numFmtId="0" fontId="11" fillId="0" borderId="39" xfId="0" applyFont="1" applyBorder="1" applyAlignment="1">
      <alignment horizontal="center"/>
    </xf>
    <xf numFmtId="10" fontId="10" fillId="0" borderId="39" xfId="0" applyNumberFormat="1" applyFont="1" applyBorder="1"/>
    <xf numFmtId="0" fontId="10" fillId="0" borderId="39" xfId="0" applyFont="1" applyBorder="1"/>
    <xf numFmtId="164" fontId="11" fillId="0" borderId="39" xfId="1" quotePrefix="1" applyNumberFormat="1" applyFont="1" applyFill="1" applyBorder="1"/>
    <xf numFmtId="0" fontId="3" fillId="0" borderId="0" xfId="7" quotePrefix="1" applyFont="1" applyAlignment="1">
      <alignment horizontal="left"/>
    </xf>
    <xf numFmtId="0" fontId="3" fillId="0" borderId="0" xfId="7" applyFont="1" applyAlignment="1">
      <alignment horizontal="center"/>
    </xf>
    <xf numFmtId="17" fontId="3" fillId="0" borderId="0" xfId="7" quotePrefix="1" applyNumberFormat="1" applyFont="1" applyAlignment="1">
      <alignment horizontal="center"/>
    </xf>
    <xf numFmtId="0" fontId="3" fillId="0" borderId="0" xfId="7" quotePrefix="1" applyFont="1" applyAlignment="1">
      <alignment horizontal="center"/>
    </xf>
    <xf numFmtId="0" fontId="2" fillId="0" borderId="0" xfId="7" applyAlignment="1">
      <alignment horizontal="center"/>
    </xf>
    <xf numFmtId="0" fontId="2" fillId="0" borderId="0" xfId="7" applyAlignment="1">
      <alignment wrapText="1"/>
    </xf>
    <xf numFmtId="0" fontId="2" fillId="0" borderId="0" xfId="7" applyAlignment="1">
      <alignment horizontal="left" wrapText="1"/>
    </xf>
    <xf numFmtId="49" fontId="3" fillId="0" borderId="39" xfId="1" applyNumberFormat="1" applyFont="1" applyFill="1" applyBorder="1" applyAlignment="1">
      <alignment horizontal="center" wrapText="1"/>
    </xf>
    <xf numFmtId="17" fontId="3" fillId="0" borderId="39" xfId="1" applyNumberFormat="1" applyFont="1" applyFill="1" applyBorder="1" applyAlignment="1">
      <alignment horizontal="center" wrapText="1"/>
    </xf>
    <xf numFmtId="0" fontId="2" fillId="0" borderId="0" xfId="7" applyAlignment="1">
      <alignment horizontal="left"/>
    </xf>
    <xf numFmtId="37" fontId="2" fillId="0" borderId="0" xfId="7" applyNumberFormat="1" applyAlignment="1">
      <alignment horizontal="right"/>
    </xf>
    <xf numFmtId="37" fontId="2" fillId="0" borderId="7" xfId="7" applyNumberFormat="1" applyBorder="1" applyAlignment="1">
      <alignment horizontal="right"/>
    </xf>
    <xf numFmtId="0" fontId="2" fillId="0" borderId="0" xfId="7" quotePrefix="1" applyAlignment="1">
      <alignment horizontal="left"/>
    </xf>
    <xf numFmtId="37" fontId="8" fillId="0" borderId="0" xfId="1" applyNumberFormat="1" applyFont="1" applyFill="1"/>
    <xf numFmtId="164" fontId="2" fillId="0" borderId="0" xfId="0" quotePrefix="1" applyNumberFormat="1" applyFont="1"/>
    <xf numFmtId="0" fontId="3" fillId="0" borderId="0" xfId="7" applyFont="1"/>
    <xf numFmtId="178" fontId="3" fillId="0" borderId="0" xfId="7" applyNumberFormat="1" applyFont="1" applyAlignment="1">
      <alignment horizontal="center"/>
    </xf>
    <xf numFmtId="0" fontId="3" fillId="0" borderId="39" xfId="7" applyFont="1" applyBorder="1" applyAlignment="1">
      <alignment horizontal="center"/>
    </xf>
    <xf numFmtId="165" fontId="2" fillId="0" borderId="0" xfId="17" applyNumberFormat="1" applyFont="1" applyFill="1"/>
    <xf numFmtId="0" fontId="2" fillId="0" borderId="0" xfId="7" quotePrefix="1" applyAlignment="1">
      <alignment horizontal="center"/>
    </xf>
    <xf numFmtId="0" fontId="2" fillId="0" borderId="0" xfId="7" quotePrefix="1" applyAlignment="1">
      <alignment horizontal="left" wrapText="1"/>
    </xf>
    <xf numFmtId="37" fontId="2" fillId="0" borderId="41" xfId="1" applyNumberFormat="1" applyFont="1" applyFill="1" applyBorder="1"/>
    <xf numFmtId="37" fontId="0" fillId="0" borderId="41" xfId="1" applyNumberFormat="1" applyFont="1" applyFill="1" applyBorder="1"/>
    <xf numFmtId="171" fontId="2" fillId="0" borderId="13" xfId="17" quotePrefix="1" applyNumberFormat="1" applyBorder="1" applyAlignment="1">
      <alignment horizontal="center"/>
    </xf>
    <xf numFmtId="164" fontId="2" fillId="0" borderId="0" xfId="1" applyNumberFormat="1"/>
    <xf numFmtId="10" fontId="5" fillId="0" borderId="41" xfId="17" applyNumberFormat="1" applyFont="1" applyFill="1" applyBorder="1" applyAlignment="1">
      <alignment horizontal="center"/>
    </xf>
    <xf numFmtId="164" fontId="3" fillId="0" borderId="41" xfId="1" applyNumberFormat="1" applyFont="1" applyFill="1" applyBorder="1" applyAlignment="1">
      <alignment horizontal="left" indent="1"/>
    </xf>
    <xf numFmtId="10" fontId="0" fillId="0" borderId="11" xfId="0" applyNumberFormat="1" applyBorder="1"/>
    <xf numFmtId="188" fontId="0" fillId="0" borderId="0" xfId="0" applyNumberFormat="1"/>
    <xf numFmtId="188" fontId="0" fillId="4" borderId="11" xfId="0" applyNumberFormat="1" applyFill="1" applyBorder="1"/>
    <xf numFmtId="10" fontId="0" fillId="4" borderId="0" xfId="0" applyNumberFormat="1" applyFill="1"/>
    <xf numFmtId="4" fontId="0" fillId="0" borderId="0" xfId="0" applyNumberFormat="1" applyAlignment="1">
      <alignment horizontal="center"/>
    </xf>
    <xf numFmtId="10" fontId="0" fillId="0" borderId="0" xfId="0" applyNumberFormat="1" applyAlignment="1">
      <alignment horizontal="center"/>
    </xf>
    <xf numFmtId="164" fontId="2" fillId="0" borderId="0" xfId="1" quotePrefix="1" applyNumberFormat="1" applyFont="1" applyFill="1"/>
    <xf numFmtId="37" fontId="2" fillId="0" borderId="42" xfId="0" applyNumberFormat="1" applyFont="1" applyBorder="1"/>
    <xf numFmtId="5" fontId="3" fillId="0" borderId="0" xfId="0" quotePrefix="1" applyNumberFormat="1" applyFont="1" applyAlignment="1">
      <alignment horizontal="right"/>
    </xf>
    <xf numFmtId="5" fontId="3" fillId="0" borderId="39" xfId="0" quotePrefix="1" applyNumberFormat="1" applyFont="1" applyBorder="1" applyAlignment="1">
      <alignment horizontal="right"/>
    </xf>
    <xf numFmtId="17" fontId="2" fillId="0" borderId="0" xfId="0" applyNumberFormat="1" applyFont="1" applyAlignment="1">
      <alignment horizontal="center"/>
    </xf>
    <xf numFmtId="37" fontId="0" fillId="0" borderId="11" xfId="1" applyNumberFormat="1" applyFont="1" applyFill="1" applyBorder="1"/>
    <xf numFmtId="37" fontId="32" fillId="0" borderId="42" xfId="1" applyNumberFormat="1" applyFont="1" applyFill="1" applyBorder="1"/>
    <xf numFmtId="37" fontId="2" fillId="0" borderId="42" xfId="1" applyNumberFormat="1" applyFont="1" applyFill="1" applyBorder="1"/>
    <xf numFmtId="164" fontId="79" fillId="0" borderId="40" xfId="66" applyNumberFormat="1" applyFont="1" applyFill="1" applyBorder="1" applyProtection="1"/>
    <xf numFmtId="166" fontId="0" fillId="0" borderId="0" xfId="0" applyNumberFormat="1"/>
    <xf numFmtId="184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37" fontId="2" fillId="0" borderId="43" xfId="0" applyNumberFormat="1" applyFont="1" applyBorder="1"/>
    <xf numFmtId="5" fontId="2" fillId="0" borderId="1" xfId="1" applyNumberFormat="1" applyFont="1" applyFill="1" applyBorder="1" applyAlignment="1">
      <alignment horizontal="right"/>
    </xf>
    <xf numFmtId="0" fontId="89" fillId="0" borderId="0" xfId="0" applyFont="1"/>
    <xf numFmtId="0" fontId="89" fillId="0" borderId="0" xfId="0" applyFont="1" applyAlignment="1">
      <alignment horizontal="center"/>
    </xf>
    <xf numFmtId="0" fontId="89" fillId="0" borderId="0" xfId="0" applyFont="1" applyAlignment="1">
      <alignment horizontal="right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right"/>
    </xf>
    <xf numFmtId="10" fontId="88" fillId="0" borderId="0" xfId="17" applyNumberFormat="1" applyFont="1" applyFill="1" applyBorder="1"/>
    <xf numFmtId="164" fontId="88" fillId="0" borderId="0" xfId="1" applyNumberFormat="1" applyFont="1" applyFill="1" applyBorder="1"/>
    <xf numFmtId="9" fontId="88" fillId="0" borderId="0" xfId="17" applyFont="1" applyFill="1" applyBorder="1"/>
    <xf numFmtId="164" fontId="88" fillId="0" borderId="0" xfId="0" applyNumberFormat="1" applyFont="1"/>
    <xf numFmtId="164" fontId="88" fillId="0" borderId="11" xfId="1" applyNumberFormat="1" applyFont="1" applyFill="1" applyBorder="1"/>
    <xf numFmtId="164" fontId="88" fillId="0" borderId="11" xfId="0" applyNumberFormat="1" applyFont="1" applyBorder="1"/>
    <xf numFmtId="0" fontId="90" fillId="0" borderId="0" xfId="0" applyFont="1"/>
    <xf numFmtId="5" fontId="2" fillId="5" borderId="0" xfId="1" applyNumberFormat="1" applyFont="1" applyFill="1" applyBorder="1" applyAlignment="1">
      <alignment horizontal="right"/>
    </xf>
    <xf numFmtId="5" fontId="5" fillId="5" borderId="0" xfId="1" applyNumberFormat="1" applyFont="1" applyFill="1" applyAlignment="1">
      <alignment horizontal="right"/>
    </xf>
    <xf numFmtId="0" fontId="0" fillId="0" borderId="0" xfId="0" applyAlignment="1">
      <alignment vertical="top"/>
    </xf>
    <xf numFmtId="0" fontId="0" fillId="9" borderId="40" xfId="0" applyFill="1" applyBorder="1" applyAlignment="1">
      <alignment vertical="top"/>
    </xf>
    <xf numFmtId="0" fontId="0" fillId="9" borderId="40" xfId="0" applyFill="1" applyBorder="1" applyAlignment="1">
      <alignment vertical="top" wrapText="1"/>
    </xf>
    <xf numFmtId="4" fontId="0" fillId="0" borderId="0" xfId="0" applyNumberFormat="1" applyAlignment="1">
      <alignment horizontal="right" vertical="top"/>
    </xf>
    <xf numFmtId="0" fontId="0" fillId="10" borderId="40" xfId="0" applyFill="1" applyBorder="1" applyAlignment="1">
      <alignment vertical="top"/>
    </xf>
    <xf numFmtId="4" fontId="0" fillId="10" borderId="40" xfId="0" applyNumberFormat="1" applyFill="1" applyBorder="1" applyAlignment="1">
      <alignment horizontal="right" vertical="top"/>
    </xf>
    <xf numFmtId="164" fontId="2" fillId="0" borderId="0" xfId="111" applyNumberFormat="1" applyFont="1" applyFill="1" applyBorder="1"/>
    <xf numFmtId="164" fontId="2" fillId="0" borderId="42" xfId="111" applyNumberFormat="1" applyFont="1" applyFill="1" applyBorder="1"/>
    <xf numFmtId="164" fontId="42" fillId="11" borderId="0" xfId="0" applyNumberFormat="1" applyFont="1" applyFill="1"/>
    <xf numFmtId="164" fontId="2" fillId="5" borderId="0" xfId="1" applyNumberFormat="1" applyFont="1" applyFill="1" applyBorder="1"/>
    <xf numFmtId="37" fontId="0" fillId="5" borderId="0" xfId="0" applyNumberFormat="1" applyFill="1"/>
    <xf numFmtId="164" fontId="78" fillId="0" borderId="0" xfId="0" applyNumberFormat="1" applyFont="1"/>
    <xf numFmtId="0" fontId="0" fillId="12" borderId="0" xfId="0" applyFill="1"/>
    <xf numFmtId="0" fontId="75" fillId="12" borderId="0" xfId="0" applyFont="1" applyFill="1" applyAlignment="1">
      <alignment vertical="top" indent="1"/>
    </xf>
    <xf numFmtId="164" fontId="3" fillId="12" borderId="0" xfId="1" applyNumberFormat="1" applyFont="1" applyFill="1" applyAlignment="1">
      <alignment horizontal="left"/>
    </xf>
    <xf numFmtId="37" fontId="0" fillId="12" borderId="0" xfId="0" applyNumberFormat="1" applyFill="1"/>
    <xf numFmtId="10" fontId="0" fillId="12" borderId="0" xfId="17" applyNumberFormat="1" applyFont="1" applyFill="1"/>
    <xf numFmtId="0" fontId="3" fillId="0" borderId="0" xfId="0" quotePrefix="1" applyFont="1" applyAlignment="1">
      <alignment horizontal="center"/>
    </xf>
    <xf numFmtId="37" fontId="3" fillId="0" borderId="1" xfId="1" applyNumberFormat="1" applyFont="1" applyFill="1" applyBorder="1" applyAlignment="1">
      <alignment horizontal="center"/>
    </xf>
    <xf numFmtId="0" fontId="11" fillId="0" borderId="0" xfId="7" quotePrefix="1" applyFont="1" applyAlignment="1">
      <alignment horizontal="left"/>
    </xf>
    <xf numFmtId="0" fontId="11" fillId="0" borderId="0" xfId="7" quotePrefix="1" applyFont="1" applyAlignment="1">
      <alignment horizontal="center"/>
    </xf>
    <xf numFmtId="0" fontId="2" fillId="0" borderId="39" xfId="7" quotePrefix="1" applyBorder="1" applyAlignment="1">
      <alignment horizontal="center"/>
    </xf>
    <xf numFmtId="164" fontId="3" fillId="0" borderId="0" xfId="1" applyNumberFormat="1" applyFont="1" applyFill="1" applyAlignment="1">
      <alignment horizontal="left"/>
    </xf>
    <xf numFmtId="49" fontId="3" fillId="0" borderId="0" xfId="1" applyNumberFormat="1" applyFont="1" applyFill="1" applyBorder="1" applyAlignment="1">
      <alignment horizontal="center"/>
    </xf>
    <xf numFmtId="49" fontId="3" fillId="0" borderId="20" xfId="1" applyNumberFormat="1" applyFont="1" applyFill="1" applyBorder="1" applyAlignment="1">
      <alignment horizontal="center"/>
    </xf>
    <xf numFmtId="164" fontId="3" fillId="0" borderId="1" xfId="1" applyNumberFormat="1" applyFont="1" applyFill="1" applyBorder="1" applyAlignment="1">
      <alignment horizontal="center"/>
    </xf>
    <xf numFmtId="49" fontId="3" fillId="0" borderId="0" xfId="1" applyNumberFormat="1" applyFont="1" applyFill="1" applyAlignment="1">
      <alignment horizontal="center"/>
    </xf>
    <xf numFmtId="49" fontId="3" fillId="0" borderId="1" xfId="1" applyNumberFormat="1" applyFont="1" applyFill="1" applyBorder="1" applyAlignment="1">
      <alignment horizontal="center"/>
    </xf>
    <xf numFmtId="164" fontId="3" fillId="0" borderId="0" xfId="1" applyNumberFormat="1" applyFont="1" applyFill="1" applyBorder="1" applyAlignment="1">
      <alignment horizontal="center"/>
    </xf>
    <xf numFmtId="164" fontId="3" fillId="0" borderId="14" xfId="1" applyNumberFormat="1" applyFont="1" applyFill="1" applyBorder="1" applyAlignment="1">
      <alignment horizontal="center"/>
    </xf>
    <xf numFmtId="172" fontId="3" fillId="0" borderId="0" xfId="1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11" fillId="0" borderId="0" xfId="0" quotePrefix="1" applyFont="1" applyAlignment="1">
      <alignment horizontal="left"/>
    </xf>
    <xf numFmtId="0" fontId="11" fillId="0" borderId="0" xfId="0" quotePrefix="1" applyFont="1" applyAlignment="1">
      <alignment horizontal="center"/>
    </xf>
    <xf numFmtId="0" fontId="2" fillId="0" borderId="1" xfId="0" quotePrefix="1" applyFont="1" applyBorder="1" applyAlignment="1">
      <alignment horizontal="center"/>
    </xf>
    <xf numFmtId="0" fontId="0" fillId="0" borderId="1" xfId="0" quotePrefix="1" applyBorder="1" applyAlignment="1">
      <alignment horizontal="center"/>
    </xf>
    <xf numFmtId="0" fontId="3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1" fillId="0" borderId="11" xfId="0" applyFont="1" applyBorder="1" applyAlignment="1">
      <alignment horizontal="center"/>
    </xf>
    <xf numFmtId="0" fontId="25" fillId="0" borderId="0" xfId="0" applyFont="1" applyAlignment="1">
      <alignment horizontal="center"/>
    </xf>
    <xf numFmtId="164" fontId="11" fillId="0" borderId="0" xfId="0" quotePrefix="1" applyNumberFormat="1" applyFont="1" applyAlignment="1">
      <alignment horizontal="center"/>
    </xf>
    <xf numFmtId="0" fontId="3" fillId="0" borderId="26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49" fontId="3" fillId="0" borderId="0" xfId="1" applyNumberFormat="1" applyFont="1" applyFill="1" applyBorder="1" applyAlignment="1">
      <alignment horizontal="left"/>
    </xf>
    <xf numFmtId="164" fontId="3" fillId="0" borderId="14" xfId="0" quotePrefix="1" applyNumberFormat="1" applyFont="1" applyBorder="1" applyAlignment="1">
      <alignment horizontal="center"/>
    </xf>
    <xf numFmtId="164" fontId="3" fillId="0" borderId="0" xfId="0" quotePrefix="1" applyNumberFormat="1" applyFont="1" applyAlignment="1">
      <alignment horizontal="center"/>
    </xf>
    <xf numFmtId="180" fontId="61" fillId="0" borderId="11" xfId="16" quotePrefix="1" applyFont="1" applyBorder="1" applyAlignment="1">
      <alignment horizontal="center"/>
    </xf>
    <xf numFmtId="180" fontId="61" fillId="0" borderId="0" xfId="16" applyFont="1" applyAlignment="1">
      <alignment horizontal="center"/>
    </xf>
    <xf numFmtId="180" fontId="61" fillId="0" borderId="0" xfId="16" quotePrefix="1" applyFont="1" applyAlignment="1">
      <alignment horizontal="center"/>
    </xf>
    <xf numFmtId="180" fontId="60" fillId="0" borderId="0" xfId="16" applyFont="1" applyAlignment="1">
      <alignment horizontal="center"/>
    </xf>
    <xf numFmtId="180" fontId="61" fillId="0" borderId="7" xfId="16" applyFont="1" applyBorder="1" applyAlignment="1">
      <alignment horizontal="center"/>
    </xf>
  </cellXfs>
  <cellStyles count="112">
    <cellStyle name="Comma" xfId="1" builtinId="3"/>
    <cellStyle name="Comma 2" xfId="2" xr:uid="{00000000-0005-0000-0000-000001000000}"/>
    <cellStyle name="Comma 2 2" xfId="76" xr:uid="{00000000-0005-0000-0000-000002000000}"/>
    <cellStyle name="Comma 3" xfId="3" xr:uid="{00000000-0005-0000-0000-000003000000}"/>
    <cellStyle name="Comma 3 2" xfId="77" xr:uid="{00000000-0005-0000-0000-000004000000}"/>
    <cellStyle name="Comma 4" xfId="66" xr:uid="{00000000-0005-0000-0000-000005000000}"/>
    <cellStyle name="Comma 5" xfId="75" xr:uid="{00000000-0005-0000-0000-000006000000}"/>
    <cellStyle name="Comma 6" xfId="111" xr:uid="{4A0CCDB3-434A-4E98-B5E8-4B4ACE216926}"/>
    <cellStyle name="Comma 8" xfId="4" xr:uid="{00000000-0005-0000-0000-000007000000}"/>
    <cellStyle name="Currency" xfId="110" builtinId="4"/>
    <cellStyle name="Currency 2" xfId="78" xr:uid="{00000000-0005-0000-0000-000009000000}"/>
    <cellStyle name="Hyperlink" xfId="5" builtinId="8"/>
    <cellStyle name="Normal" xfId="0" builtinId="0"/>
    <cellStyle name="Normal 10" xfId="109" xr:uid="{00000000-0005-0000-0000-00000C000000}"/>
    <cellStyle name="Normal 11" xfId="6" xr:uid="{00000000-0005-0000-0000-00000D000000}"/>
    <cellStyle name="Normal 12" xfId="7" xr:uid="{00000000-0005-0000-0000-00000E000000}"/>
    <cellStyle name="Normal 13" xfId="8" xr:uid="{00000000-0005-0000-0000-00000F000000}"/>
    <cellStyle name="Normal 14" xfId="9" xr:uid="{00000000-0005-0000-0000-000010000000}"/>
    <cellStyle name="Normal 19" xfId="10" xr:uid="{00000000-0005-0000-0000-000011000000}"/>
    <cellStyle name="Normal 19 2" xfId="79" xr:uid="{00000000-0005-0000-0000-000012000000}"/>
    <cellStyle name="Normal 2" xfId="11" xr:uid="{00000000-0005-0000-0000-000013000000}"/>
    <cellStyle name="Normal 3" xfId="12" xr:uid="{00000000-0005-0000-0000-000014000000}"/>
    <cellStyle name="Normal 4" xfId="59" xr:uid="{00000000-0005-0000-0000-000015000000}"/>
    <cellStyle name="Normal 4 2" xfId="94" xr:uid="{00000000-0005-0000-0000-000016000000}"/>
    <cellStyle name="Normal 5" xfId="13" xr:uid="{00000000-0005-0000-0000-000017000000}"/>
    <cellStyle name="Normal 6" xfId="67" xr:uid="{00000000-0005-0000-0000-000018000000}"/>
    <cellStyle name="Normal 6 2" xfId="101" xr:uid="{00000000-0005-0000-0000-000019000000}"/>
    <cellStyle name="Normal 7" xfId="14" xr:uid="{00000000-0005-0000-0000-00001A000000}"/>
    <cellStyle name="Normal 8" xfId="15" xr:uid="{00000000-0005-0000-0000-00001B000000}"/>
    <cellStyle name="Normal 9" xfId="74" xr:uid="{00000000-0005-0000-0000-00001C000000}"/>
    <cellStyle name="Normal_DISTRI95" xfId="16" xr:uid="{00000000-0005-0000-0000-00001D000000}"/>
    <cellStyle name="Percent" xfId="17" builtinId="5"/>
    <cellStyle name="Percent 2" xfId="18" xr:uid="{00000000-0005-0000-0000-00001F000000}"/>
    <cellStyle name="Percent 3" xfId="19" xr:uid="{00000000-0005-0000-0000-000020000000}"/>
    <cellStyle name="Percent 3 2" xfId="81" xr:uid="{00000000-0005-0000-0000-000021000000}"/>
    <cellStyle name="Percent 4" xfId="80" xr:uid="{00000000-0005-0000-0000-000022000000}"/>
    <cellStyle name="PSChar" xfId="20" xr:uid="{00000000-0005-0000-0000-000023000000}"/>
    <cellStyle name="PSChar 10" xfId="82" xr:uid="{00000000-0005-0000-0000-000024000000}"/>
    <cellStyle name="PSChar 2" xfId="21" xr:uid="{00000000-0005-0000-0000-000025000000}"/>
    <cellStyle name="PSChar 3" xfId="22" xr:uid="{00000000-0005-0000-0000-000026000000}"/>
    <cellStyle name="PSChar 4" xfId="23" xr:uid="{00000000-0005-0000-0000-000027000000}"/>
    <cellStyle name="PSChar 5" xfId="24" xr:uid="{00000000-0005-0000-0000-000028000000}"/>
    <cellStyle name="PSChar 6" xfId="25" xr:uid="{00000000-0005-0000-0000-000029000000}"/>
    <cellStyle name="PSChar 7" xfId="26" xr:uid="{00000000-0005-0000-0000-00002A000000}"/>
    <cellStyle name="PSChar 7 2" xfId="83" xr:uid="{00000000-0005-0000-0000-00002B000000}"/>
    <cellStyle name="PSChar 8" xfId="60" xr:uid="{00000000-0005-0000-0000-00002C000000}"/>
    <cellStyle name="PSChar 8 2" xfId="95" xr:uid="{00000000-0005-0000-0000-00002D000000}"/>
    <cellStyle name="PSChar 9" xfId="68" xr:uid="{00000000-0005-0000-0000-00002E000000}"/>
    <cellStyle name="PSChar 9 2" xfId="102" xr:uid="{00000000-0005-0000-0000-00002F000000}"/>
    <cellStyle name="PSDate" xfId="27" xr:uid="{00000000-0005-0000-0000-000030000000}"/>
    <cellStyle name="PSDate 10" xfId="84" xr:uid="{00000000-0005-0000-0000-000031000000}"/>
    <cellStyle name="PSDate 2" xfId="28" xr:uid="{00000000-0005-0000-0000-000032000000}"/>
    <cellStyle name="PSDate 3" xfId="29" xr:uid="{00000000-0005-0000-0000-000033000000}"/>
    <cellStyle name="PSDate 4" xfId="30" xr:uid="{00000000-0005-0000-0000-000034000000}"/>
    <cellStyle name="PSDate 5" xfId="31" xr:uid="{00000000-0005-0000-0000-000035000000}"/>
    <cellStyle name="PSDate 6" xfId="32" xr:uid="{00000000-0005-0000-0000-000036000000}"/>
    <cellStyle name="PSDate 7" xfId="33" xr:uid="{00000000-0005-0000-0000-000037000000}"/>
    <cellStyle name="PSDate 7 2" xfId="85" xr:uid="{00000000-0005-0000-0000-000038000000}"/>
    <cellStyle name="PSDate 8" xfId="61" xr:uid="{00000000-0005-0000-0000-000039000000}"/>
    <cellStyle name="PSDate 8 2" xfId="96" xr:uid="{00000000-0005-0000-0000-00003A000000}"/>
    <cellStyle name="PSDate 9" xfId="69" xr:uid="{00000000-0005-0000-0000-00003B000000}"/>
    <cellStyle name="PSDate 9 2" xfId="103" xr:uid="{00000000-0005-0000-0000-00003C000000}"/>
    <cellStyle name="PSDec" xfId="34" xr:uid="{00000000-0005-0000-0000-00003D000000}"/>
    <cellStyle name="PSDec 10" xfId="86" xr:uid="{00000000-0005-0000-0000-00003E000000}"/>
    <cellStyle name="PSDec 2" xfId="35" xr:uid="{00000000-0005-0000-0000-00003F000000}"/>
    <cellStyle name="PSDec 3" xfId="36" xr:uid="{00000000-0005-0000-0000-000040000000}"/>
    <cellStyle name="PSDec 4" xfId="37" xr:uid="{00000000-0005-0000-0000-000041000000}"/>
    <cellStyle name="PSDec 5" xfId="38" xr:uid="{00000000-0005-0000-0000-000042000000}"/>
    <cellStyle name="PSDec 6" xfId="39" xr:uid="{00000000-0005-0000-0000-000043000000}"/>
    <cellStyle name="PSDec 7" xfId="40" xr:uid="{00000000-0005-0000-0000-000044000000}"/>
    <cellStyle name="PSDec 7 2" xfId="87" xr:uid="{00000000-0005-0000-0000-000045000000}"/>
    <cellStyle name="PSDec 8" xfId="62" xr:uid="{00000000-0005-0000-0000-000046000000}"/>
    <cellStyle name="PSDec 8 2" xfId="97" xr:uid="{00000000-0005-0000-0000-000047000000}"/>
    <cellStyle name="PSDec 9" xfId="70" xr:uid="{00000000-0005-0000-0000-000048000000}"/>
    <cellStyle name="PSDec 9 2" xfId="104" xr:uid="{00000000-0005-0000-0000-000049000000}"/>
    <cellStyle name="PSHeading" xfId="41" xr:uid="{00000000-0005-0000-0000-00004A000000}"/>
    <cellStyle name="PSHeading 10" xfId="108" xr:uid="{00000000-0005-0000-0000-00004B000000}"/>
    <cellStyle name="PSHeading 2" xfId="42" xr:uid="{00000000-0005-0000-0000-00004C000000}"/>
    <cellStyle name="PSHeading 3" xfId="43" xr:uid="{00000000-0005-0000-0000-00004D000000}"/>
    <cellStyle name="PSHeading 4" xfId="44" xr:uid="{00000000-0005-0000-0000-00004E000000}"/>
    <cellStyle name="PSHeading 5" xfId="45" xr:uid="{00000000-0005-0000-0000-00004F000000}"/>
    <cellStyle name="PSHeading 6" xfId="46" xr:uid="{00000000-0005-0000-0000-000050000000}"/>
    <cellStyle name="PSHeading 6 2" xfId="89" xr:uid="{00000000-0005-0000-0000-000051000000}"/>
    <cellStyle name="PSHeading 7" xfId="63" xr:uid="{00000000-0005-0000-0000-000052000000}"/>
    <cellStyle name="PSHeading 7 2" xfId="98" xr:uid="{00000000-0005-0000-0000-000053000000}"/>
    <cellStyle name="PSHeading 8" xfId="71" xr:uid="{00000000-0005-0000-0000-000054000000}"/>
    <cellStyle name="PSHeading 8 2" xfId="105" xr:uid="{00000000-0005-0000-0000-000055000000}"/>
    <cellStyle name="PSHeading 9" xfId="88" xr:uid="{00000000-0005-0000-0000-000056000000}"/>
    <cellStyle name="PSInt" xfId="47" xr:uid="{00000000-0005-0000-0000-000057000000}"/>
    <cellStyle name="PSInt 2" xfId="48" xr:uid="{00000000-0005-0000-0000-000058000000}"/>
    <cellStyle name="PSInt 3" xfId="49" xr:uid="{00000000-0005-0000-0000-000059000000}"/>
    <cellStyle name="PSInt 4" xfId="50" xr:uid="{00000000-0005-0000-0000-00005A000000}"/>
    <cellStyle name="PSInt 5" xfId="51" xr:uid="{00000000-0005-0000-0000-00005B000000}"/>
    <cellStyle name="PSInt 6" xfId="52" xr:uid="{00000000-0005-0000-0000-00005C000000}"/>
    <cellStyle name="PSInt 6 2" xfId="91" xr:uid="{00000000-0005-0000-0000-00005D000000}"/>
    <cellStyle name="PSInt 7" xfId="64" xr:uid="{00000000-0005-0000-0000-00005E000000}"/>
    <cellStyle name="PSInt 7 2" xfId="99" xr:uid="{00000000-0005-0000-0000-00005F000000}"/>
    <cellStyle name="PSInt 8" xfId="72" xr:uid="{00000000-0005-0000-0000-000060000000}"/>
    <cellStyle name="PSInt 8 2" xfId="106" xr:uid="{00000000-0005-0000-0000-000061000000}"/>
    <cellStyle name="PSInt 9" xfId="90" xr:uid="{00000000-0005-0000-0000-000062000000}"/>
    <cellStyle name="PSSpacer" xfId="53" xr:uid="{00000000-0005-0000-0000-000063000000}"/>
    <cellStyle name="PSSpacer 2" xfId="54" xr:uid="{00000000-0005-0000-0000-000064000000}"/>
    <cellStyle name="PSSpacer 3" xfId="55" xr:uid="{00000000-0005-0000-0000-000065000000}"/>
    <cellStyle name="PSSpacer 4" xfId="56" xr:uid="{00000000-0005-0000-0000-000066000000}"/>
    <cellStyle name="PSSpacer 5" xfId="57" xr:uid="{00000000-0005-0000-0000-000067000000}"/>
    <cellStyle name="PSSpacer 6" xfId="58" xr:uid="{00000000-0005-0000-0000-000068000000}"/>
    <cellStyle name="PSSpacer 6 2" xfId="93" xr:uid="{00000000-0005-0000-0000-000069000000}"/>
    <cellStyle name="PSSpacer 7" xfId="65" xr:uid="{00000000-0005-0000-0000-00006A000000}"/>
    <cellStyle name="PSSpacer 7 2" xfId="100" xr:uid="{00000000-0005-0000-0000-00006B000000}"/>
    <cellStyle name="PSSpacer 8" xfId="73" xr:uid="{00000000-0005-0000-0000-00006C000000}"/>
    <cellStyle name="PSSpacer 8 2" xfId="107" xr:uid="{00000000-0005-0000-0000-00006D000000}"/>
    <cellStyle name="PSSpacer 9" xfId="92" xr:uid="{00000000-0005-0000-0000-00006E000000}"/>
  </cellStyles>
  <dxfs count="2">
    <dxf>
      <fill>
        <patternFill patternType="solid">
          <bgColor rgb="FFFFFF00"/>
        </patternFill>
      </fill>
    </dxf>
    <dxf>
      <numFmt numFmtId="35" formatCode="_(* #,##0.00_);_(* \(#,##0.00\);_(* &quot;-&quot;??_);_(@_)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0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5.xml"/><Relationship Id="rId42" Type="http://schemas.openxmlformats.org/officeDocument/2006/relationships/externalLink" Target="externalLinks/externalLink13.xml"/><Relationship Id="rId47" Type="http://schemas.openxmlformats.org/officeDocument/2006/relationships/externalLink" Target="externalLinks/externalLink18.xml"/><Relationship Id="rId50" Type="http://schemas.openxmlformats.org/officeDocument/2006/relationships/externalLink" Target="externalLinks/externalLink21.xml"/><Relationship Id="rId55" Type="http://schemas.openxmlformats.org/officeDocument/2006/relationships/externalLink" Target="externalLinks/externalLink26.xml"/><Relationship Id="rId63" Type="http://schemas.openxmlformats.org/officeDocument/2006/relationships/externalLink" Target="externalLinks/externalLink34.xml"/><Relationship Id="rId68" Type="http://schemas.openxmlformats.org/officeDocument/2006/relationships/externalLink" Target="externalLinks/externalLink39.xml"/><Relationship Id="rId7" Type="http://schemas.openxmlformats.org/officeDocument/2006/relationships/worksheet" Target="worksheets/sheet7.xml"/><Relationship Id="rId71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externalLink" Target="externalLinks/externalLink8.xml"/><Relationship Id="rId40" Type="http://schemas.openxmlformats.org/officeDocument/2006/relationships/externalLink" Target="externalLinks/externalLink11.xml"/><Relationship Id="rId45" Type="http://schemas.openxmlformats.org/officeDocument/2006/relationships/externalLink" Target="externalLinks/externalLink16.xml"/><Relationship Id="rId53" Type="http://schemas.openxmlformats.org/officeDocument/2006/relationships/externalLink" Target="externalLinks/externalLink24.xml"/><Relationship Id="rId58" Type="http://schemas.openxmlformats.org/officeDocument/2006/relationships/externalLink" Target="externalLinks/externalLink29.xml"/><Relationship Id="rId66" Type="http://schemas.openxmlformats.org/officeDocument/2006/relationships/externalLink" Target="externalLinks/externalLink3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7.xml"/><Relationship Id="rId49" Type="http://schemas.openxmlformats.org/officeDocument/2006/relationships/externalLink" Target="externalLinks/externalLink20.xml"/><Relationship Id="rId57" Type="http://schemas.openxmlformats.org/officeDocument/2006/relationships/externalLink" Target="externalLinks/externalLink28.xml"/><Relationship Id="rId61" Type="http://schemas.openxmlformats.org/officeDocument/2006/relationships/externalLink" Target="externalLinks/externalLink3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4" Type="http://schemas.openxmlformats.org/officeDocument/2006/relationships/externalLink" Target="externalLinks/externalLink15.xml"/><Relationship Id="rId52" Type="http://schemas.openxmlformats.org/officeDocument/2006/relationships/externalLink" Target="externalLinks/externalLink23.xml"/><Relationship Id="rId60" Type="http://schemas.openxmlformats.org/officeDocument/2006/relationships/externalLink" Target="externalLinks/externalLink31.xml"/><Relationship Id="rId65" Type="http://schemas.openxmlformats.org/officeDocument/2006/relationships/externalLink" Target="externalLinks/externalLink36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externalLink" Target="externalLinks/externalLink6.xml"/><Relationship Id="rId43" Type="http://schemas.openxmlformats.org/officeDocument/2006/relationships/externalLink" Target="externalLinks/externalLink14.xml"/><Relationship Id="rId48" Type="http://schemas.openxmlformats.org/officeDocument/2006/relationships/externalLink" Target="externalLinks/externalLink19.xml"/><Relationship Id="rId56" Type="http://schemas.openxmlformats.org/officeDocument/2006/relationships/externalLink" Target="externalLinks/externalLink27.xml"/><Relationship Id="rId64" Type="http://schemas.openxmlformats.org/officeDocument/2006/relationships/externalLink" Target="externalLinks/externalLink35.xml"/><Relationship Id="rId69" Type="http://schemas.openxmlformats.org/officeDocument/2006/relationships/pivotCacheDefinition" Target="pivotCache/pivotCacheDefinition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2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38" Type="http://schemas.openxmlformats.org/officeDocument/2006/relationships/externalLink" Target="externalLinks/externalLink9.xml"/><Relationship Id="rId46" Type="http://schemas.openxmlformats.org/officeDocument/2006/relationships/externalLink" Target="externalLinks/externalLink17.xml"/><Relationship Id="rId59" Type="http://schemas.openxmlformats.org/officeDocument/2006/relationships/externalLink" Target="externalLinks/externalLink30.xml"/><Relationship Id="rId67" Type="http://schemas.openxmlformats.org/officeDocument/2006/relationships/externalLink" Target="externalLinks/externalLink38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2.xml"/><Relationship Id="rId54" Type="http://schemas.openxmlformats.org/officeDocument/2006/relationships/externalLink" Target="externalLinks/externalLink25.xml"/><Relationship Id="rId62" Type="http://schemas.openxmlformats.org/officeDocument/2006/relationships/externalLink" Target="externalLinks/externalLink33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5"/>
          <c:y val="0.24242495982765144"/>
          <c:w val="0.53043534565572459"/>
          <c:h val="0.6606080155303553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'Rate Base'!#REF!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'Rate Base'!#REF!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AD1-47A0-ADD3-D11AEA98F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9232"/>
        <c:axId val="646452592"/>
      </c:lineChart>
      <c:catAx>
        <c:axId val="64644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5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52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92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66" r="0.75000000000000366" t="1" header="0.5" footer="0.5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3"/>
          <c:y val="0.24242495982765144"/>
          <c:w val="0.53043534565572459"/>
          <c:h val="0.66060801553035575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6E0-4215-A2F3-7119B0C6A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0272"/>
        <c:axId val="646447552"/>
      </c:lineChart>
      <c:catAx>
        <c:axId val="64644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47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0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5"/>
          <c:y val="0.24242495982765144"/>
          <c:w val="0.53043534565572459"/>
          <c:h val="0.6606080155303553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'Rate Base'!#REF!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'Rate Base'!#REF!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19C-4CA9-A501-EA902415F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9232"/>
        <c:axId val="646452592"/>
      </c:lineChart>
      <c:catAx>
        <c:axId val="64644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5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52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92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66" r="0.75000000000000366" t="1" header="0.5" footer="0.5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3"/>
          <c:y val="0.24242495982765144"/>
          <c:w val="0.53043534565572459"/>
          <c:h val="0.66060801553035575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E93-48B9-A257-9312979D2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0272"/>
        <c:axId val="646447552"/>
      </c:lineChart>
      <c:catAx>
        <c:axId val="64644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47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0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5"/>
          <c:y val="0.24242495982765144"/>
          <c:w val="0.53043534565572459"/>
          <c:h val="0.6606080155303553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'Rate Base'!#REF!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'Rate Base'!#REF!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684-4611-9BAD-7F9F77D1F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9232"/>
        <c:axId val="646452592"/>
      </c:lineChart>
      <c:catAx>
        <c:axId val="64644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5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52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92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66" r="0.75000000000000366" t="1" header="0.5" footer="0.5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3"/>
          <c:y val="0.24242495982765144"/>
          <c:w val="0.53043534565572459"/>
          <c:h val="0.66060801553035575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F20-4749-819C-F296B33E5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0272"/>
        <c:axId val="646447552"/>
      </c:lineChart>
      <c:catAx>
        <c:axId val="64644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47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0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5"/>
          <c:y val="0.24242495982765144"/>
          <c:w val="0.53043534565572459"/>
          <c:h val="0.6606080155303553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'Rate Base'!#REF!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'Rate Base'!#REF!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B7B-4712-A662-C033328A3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9232"/>
        <c:axId val="646452592"/>
      </c:lineChart>
      <c:catAx>
        <c:axId val="64644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5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52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92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66" r="0.75000000000000366" t="1" header="0.5" footer="0.5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3"/>
          <c:y val="0.24242495982765144"/>
          <c:w val="0.53043534565572459"/>
          <c:h val="0.66060801553035575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B76-4815-AED6-273261841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0272"/>
        <c:axId val="646447552"/>
      </c:lineChart>
      <c:catAx>
        <c:axId val="64644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47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0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5"/>
          <c:y val="0.24242495982765144"/>
          <c:w val="0.53043534565572459"/>
          <c:h val="0.6606080155303553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'Rate Base'!#REF!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'Rate Base'!#REF!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F48-49F8-A6EE-9FF17BE7D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9232"/>
        <c:axId val="646452592"/>
      </c:lineChart>
      <c:catAx>
        <c:axId val="64644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5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52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92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66" r="0.75000000000000366" t="1" header="0.5" footer="0.5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3"/>
          <c:y val="0.24242495982765144"/>
          <c:w val="0.53043534565572459"/>
          <c:h val="0.66060801553035575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223-4A4D-B9D2-A2461CD18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0272"/>
        <c:axId val="646447552"/>
      </c:lineChart>
      <c:catAx>
        <c:axId val="64644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47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0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5"/>
          <c:y val="0.24242495982765144"/>
          <c:w val="0.53043534565572459"/>
          <c:h val="0.6606080155303553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'Rate Base'!#REF!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'Rate Base'!#REF!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1E8-4E81-A5D2-A956D5C59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9232"/>
        <c:axId val="646452592"/>
      </c:lineChart>
      <c:catAx>
        <c:axId val="64644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5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52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92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66" r="0.75000000000000366" t="1" header="0.5" footer="0.5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3"/>
          <c:y val="0.24242495982765144"/>
          <c:w val="0.53043534565572459"/>
          <c:h val="0.66060801553035575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268-4916-B720-9BB811A60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0272"/>
        <c:axId val="646447552"/>
      </c:lineChart>
      <c:catAx>
        <c:axId val="64644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47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0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3"/>
          <c:y val="0.24242495982765144"/>
          <c:w val="0.53043534565572459"/>
          <c:h val="0.66060801553035575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356-4C05-9FF6-BB1165765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0272"/>
        <c:axId val="646447552"/>
      </c:lineChart>
      <c:catAx>
        <c:axId val="64644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47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0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5"/>
          <c:y val="0.24242495982765144"/>
          <c:w val="0.53043534565572459"/>
          <c:h val="0.6606080155303553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'Rate Base'!#REF!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'Rate Base'!#REF!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7AD-42E5-BD48-2C95F2F3C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9232"/>
        <c:axId val="646452592"/>
      </c:lineChart>
      <c:catAx>
        <c:axId val="64644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5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52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92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66" r="0.75000000000000366" t="1" header="0.5" footer="0.5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3"/>
          <c:y val="0.24242495982765144"/>
          <c:w val="0.53043534565572459"/>
          <c:h val="0.66060801553035575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0CC-4595-B85A-F97E9D511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0272"/>
        <c:axId val="646447552"/>
      </c:lineChart>
      <c:catAx>
        <c:axId val="64644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47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0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5"/>
          <c:y val="0.24242495982765144"/>
          <c:w val="0.53043534565572459"/>
          <c:h val="0.6606080155303553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'Rate Base'!#REF!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'Rate Base'!#REF!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B3F-4200-BD3F-19DEB69C7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9232"/>
        <c:axId val="646452592"/>
      </c:lineChart>
      <c:catAx>
        <c:axId val="64644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5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52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92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66" r="0.75000000000000366" t="1" header="0.5" footer="0.5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3"/>
          <c:y val="0.24242495982765144"/>
          <c:w val="0.53043534565572459"/>
          <c:h val="0.66060801553035575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191-4679-A217-6A37234CB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0272"/>
        <c:axId val="646447552"/>
      </c:lineChart>
      <c:catAx>
        <c:axId val="64644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47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0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5"/>
          <c:y val="0.24242495982765144"/>
          <c:w val="0.53043534565572459"/>
          <c:h val="0.6606080155303553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'Rate Base'!#REF!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'Rate Base'!#REF!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AE7-4CA7-91C6-3BF530D95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9232"/>
        <c:axId val="646452592"/>
      </c:lineChart>
      <c:catAx>
        <c:axId val="64644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5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52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92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66" r="0.75000000000000366" t="1" header="0.5" footer="0.5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3"/>
          <c:y val="0.24242495982765144"/>
          <c:w val="0.53043534565572459"/>
          <c:h val="0.66060801553035575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5D0-4B52-B893-65979B24E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0272"/>
        <c:axId val="646447552"/>
      </c:lineChart>
      <c:catAx>
        <c:axId val="64644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47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0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5"/>
          <c:y val="0.24242495982765144"/>
          <c:w val="0.53043534565572459"/>
          <c:h val="0.6606080155303553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'Rate Base'!#REF!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'Rate Base'!#REF!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653-41CF-B6F1-FFA0C4119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9232"/>
        <c:axId val="646452592"/>
      </c:lineChart>
      <c:catAx>
        <c:axId val="64644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5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52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92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66" r="0.75000000000000366" t="1" header="0.5" footer="0.5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3"/>
          <c:y val="0.24242495982765144"/>
          <c:w val="0.53043534565572459"/>
          <c:h val="0.66060801553035575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900-47E5-8635-395B69987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0272"/>
        <c:axId val="646447552"/>
      </c:lineChart>
      <c:catAx>
        <c:axId val="64644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47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0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5"/>
          <c:y val="0.24242495982765144"/>
          <c:w val="0.53043534565572459"/>
          <c:h val="0.6606080155303553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'Rate Base'!#REF!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'Rate Base'!#REF!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37B-4707-8D4A-19A232A95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9232"/>
        <c:axId val="646452592"/>
      </c:lineChart>
      <c:catAx>
        <c:axId val="64644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5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52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92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66" r="0.75000000000000366" t="1" header="0.5" footer="0.5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3"/>
          <c:y val="0.24242495982765144"/>
          <c:w val="0.53043534565572459"/>
          <c:h val="0.66060801553035575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DF5-4ABD-859C-1A8899F92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0272"/>
        <c:axId val="646447552"/>
      </c:lineChart>
      <c:catAx>
        <c:axId val="64644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47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0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5"/>
          <c:y val="0.24242495982765144"/>
          <c:w val="0.53043534565572459"/>
          <c:h val="0.6606080155303553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'Rate Base'!#REF!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'Rate Base'!#REF!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220-4186-969C-138B8F0FD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9232"/>
        <c:axId val="646452592"/>
      </c:lineChart>
      <c:catAx>
        <c:axId val="64644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5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52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92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66" r="0.75000000000000366" t="1" header="0.5" footer="0.5"/>
    <c:pageSetup orientation="portrait"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1752600</xdr:colOff>
          <xdr:row>0</xdr:row>
          <xdr:rowOff>9525</xdr:rowOff>
        </xdr:from>
        <xdr:to>
          <xdr:col>3</xdr:col>
          <xdr:colOff>1752600</xdr:colOff>
          <xdr:row>0</xdr:row>
          <xdr:rowOff>85725</xdr:rowOff>
        </xdr:to>
        <xdr:sp macro="" textlink="">
          <xdr:nvSpPr>
            <xdr:cNvPr id="12859393" name="Button 1" hidden="1">
              <a:extLst>
                <a:ext uri="{63B3BB69-23CF-44E3-9099-C40C66FF867C}">
                  <a14:compatExt spid="_x0000_s12859393"/>
                </a:ext>
                <a:ext uri="{FF2B5EF4-FFF2-40B4-BE49-F238E27FC236}">
                  <a16:creationId xmlns:a16="http://schemas.microsoft.com/office/drawing/2014/main" id="{00000000-0008-0000-0100-00000138C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2505075</xdr:colOff>
          <xdr:row>34</xdr:row>
          <xdr:rowOff>38100</xdr:rowOff>
        </xdr:from>
        <xdr:to>
          <xdr:col>3</xdr:col>
          <xdr:colOff>2505075</xdr:colOff>
          <xdr:row>34</xdr:row>
          <xdr:rowOff>38100</xdr:rowOff>
        </xdr:to>
        <xdr:sp macro="" textlink="">
          <xdr:nvSpPr>
            <xdr:cNvPr id="12859394" name="Button 2" hidden="1">
              <a:extLst>
                <a:ext uri="{63B3BB69-23CF-44E3-9099-C40C66FF867C}">
                  <a14:compatExt spid="_x0000_s12859394"/>
                </a:ext>
                <a:ext uri="{FF2B5EF4-FFF2-40B4-BE49-F238E27FC236}">
                  <a16:creationId xmlns:a16="http://schemas.microsoft.com/office/drawing/2014/main" id="{00000000-0008-0000-0100-00000238C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1752600</xdr:colOff>
          <xdr:row>0</xdr:row>
          <xdr:rowOff>9525</xdr:rowOff>
        </xdr:from>
        <xdr:to>
          <xdr:col>3</xdr:col>
          <xdr:colOff>1752600</xdr:colOff>
          <xdr:row>0</xdr:row>
          <xdr:rowOff>85725</xdr:rowOff>
        </xdr:to>
        <xdr:sp macro="" textlink="">
          <xdr:nvSpPr>
            <xdr:cNvPr id="12859395" name="Button 3" hidden="1">
              <a:extLst>
                <a:ext uri="{63B3BB69-23CF-44E3-9099-C40C66FF867C}">
                  <a14:compatExt spid="_x0000_s12859395"/>
                </a:ext>
                <a:ext uri="{FF2B5EF4-FFF2-40B4-BE49-F238E27FC236}">
                  <a16:creationId xmlns:a16="http://schemas.microsoft.com/office/drawing/2014/main" id="{00000000-0008-0000-0100-00000338C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2505075</xdr:colOff>
          <xdr:row>34</xdr:row>
          <xdr:rowOff>38100</xdr:rowOff>
        </xdr:from>
        <xdr:to>
          <xdr:col>3</xdr:col>
          <xdr:colOff>2505075</xdr:colOff>
          <xdr:row>34</xdr:row>
          <xdr:rowOff>38100</xdr:rowOff>
        </xdr:to>
        <xdr:sp macro="" textlink="">
          <xdr:nvSpPr>
            <xdr:cNvPr id="12859396" name="Button 4" hidden="1">
              <a:extLst>
                <a:ext uri="{63B3BB69-23CF-44E3-9099-C40C66FF867C}">
                  <a14:compatExt spid="_x0000_s12859396"/>
                </a:ext>
                <a:ext uri="{FF2B5EF4-FFF2-40B4-BE49-F238E27FC236}">
                  <a16:creationId xmlns:a16="http://schemas.microsoft.com/office/drawing/2014/main" id="{00000000-0008-0000-0100-00000438C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</xdr:row>
          <xdr:rowOff>0</xdr:rowOff>
        </xdr:from>
        <xdr:to>
          <xdr:col>2</xdr:col>
          <xdr:colOff>0</xdr:colOff>
          <xdr:row>7</xdr:row>
          <xdr:rowOff>0</xdr:rowOff>
        </xdr:to>
        <xdr:sp macro="" textlink="">
          <xdr:nvSpPr>
            <xdr:cNvPr id="54434" name="Button 162" hidden="1">
              <a:extLst>
                <a:ext uri="{63B3BB69-23CF-44E3-9099-C40C66FF867C}">
                  <a14:compatExt spid="_x0000_s54434"/>
                </a:ext>
                <a:ext uri="{FF2B5EF4-FFF2-40B4-BE49-F238E27FC236}">
                  <a16:creationId xmlns:a16="http://schemas.microsoft.com/office/drawing/2014/main" id="{00000000-0008-0000-0400-0000A2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1771</xdr:row>
          <xdr:rowOff>0</xdr:rowOff>
        </xdr:from>
        <xdr:to>
          <xdr:col>2</xdr:col>
          <xdr:colOff>0</xdr:colOff>
          <xdr:row>1772</xdr:row>
          <xdr:rowOff>0</xdr:rowOff>
        </xdr:to>
        <xdr:sp macro="" textlink="">
          <xdr:nvSpPr>
            <xdr:cNvPr id="532537" name="Button 9273" hidden="1">
              <a:extLst>
                <a:ext uri="{63B3BB69-23CF-44E3-9099-C40C66FF867C}">
                  <a14:compatExt spid="_x0000_s532537"/>
                </a:ext>
                <a:ext uri="{FF2B5EF4-FFF2-40B4-BE49-F238E27FC236}">
                  <a16:creationId xmlns:a16="http://schemas.microsoft.com/office/drawing/2014/main" id="{00000000-0008-0000-0400-0000392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1771</xdr:row>
          <xdr:rowOff>0</xdr:rowOff>
        </xdr:from>
        <xdr:to>
          <xdr:col>2</xdr:col>
          <xdr:colOff>0</xdr:colOff>
          <xdr:row>1772</xdr:row>
          <xdr:rowOff>0</xdr:rowOff>
        </xdr:to>
        <xdr:sp macro="" textlink="">
          <xdr:nvSpPr>
            <xdr:cNvPr id="3902508" name="Button 10284" hidden="1">
              <a:extLst>
                <a:ext uri="{63B3BB69-23CF-44E3-9099-C40C66FF867C}">
                  <a14:compatExt spid="_x0000_s3902508"/>
                </a:ext>
                <a:ext uri="{FF2B5EF4-FFF2-40B4-BE49-F238E27FC236}">
                  <a16:creationId xmlns:a16="http://schemas.microsoft.com/office/drawing/2014/main" id="{00000000-0008-0000-0400-00002C8C3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1752600</xdr:colOff>
          <xdr:row>0</xdr:row>
          <xdr:rowOff>9525</xdr:rowOff>
        </xdr:from>
        <xdr:to>
          <xdr:col>3</xdr:col>
          <xdr:colOff>1752600</xdr:colOff>
          <xdr:row>0</xdr:row>
          <xdr:rowOff>85725</xdr:rowOff>
        </xdr:to>
        <xdr:sp macro="" textlink="">
          <xdr:nvSpPr>
            <xdr:cNvPr id="159819" name="Button 13387" hidden="1">
              <a:extLst>
                <a:ext uri="{63B3BB69-23CF-44E3-9099-C40C66FF867C}">
                  <a14:compatExt spid="_x0000_s159819"/>
                </a:ext>
                <a:ext uri="{FF2B5EF4-FFF2-40B4-BE49-F238E27FC236}">
                  <a16:creationId xmlns:a16="http://schemas.microsoft.com/office/drawing/2014/main" id="{00000000-0008-0000-0600-00004B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2505075</xdr:colOff>
          <xdr:row>34</xdr:row>
          <xdr:rowOff>38100</xdr:rowOff>
        </xdr:from>
        <xdr:to>
          <xdr:col>3</xdr:col>
          <xdr:colOff>2505075</xdr:colOff>
          <xdr:row>34</xdr:row>
          <xdr:rowOff>38100</xdr:rowOff>
        </xdr:to>
        <xdr:sp macro="" textlink="">
          <xdr:nvSpPr>
            <xdr:cNvPr id="159859" name="Button 13427" hidden="1">
              <a:extLst>
                <a:ext uri="{63B3BB69-23CF-44E3-9099-C40C66FF867C}">
                  <a14:compatExt spid="_x0000_s159859"/>
                </a:ext>
                <a:ext uri="{FF2B5EF4-FFF2-40B4-BE49-F238E27FC236}">
                  <a16:creationId xmlns:a16="http://schemas.microsoft.com/office/drawing/2014/main" id="{00000000-0008-0000-0600-000073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1752600</xdr:colOff>
          <xdr:row>0</xdr:row>
          <xdr:rowOff>9525</xdr:rowOff>
        </xdr:from>
        <xdr:to>
          <xdr:col>3</xdr:col>
          <xdr:colOff>1752600</xdr:colOff>
          <xdr:row>0</xdr:row>
          <xdr:rowOff>85725</xdr:rowOff>
        </xdr:to>
        <xdr:sp macro="" textlink="">
          <xdr:nvSpPr>
            <xdr:cNvPr id="160172" name="Button 13740" hidden="1">
              <a:extLst>
                <a:ext uri="{63B3BB69-23CF-44E3-9099-C40C66FF867C}">
                  <a14:compatExt spid="_x0000_s160172"/>
                </a:ext>
                <a:ext uri="{FF2B5EF4-FFF2-40B4-BE49-F238E27FC236}">
                  <a16:creationId xmlns:a16="http://schemas.microsoft.com/office/drawing/2014/main" id="{00000000-0008-0000-0600-0000AC71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2505075</xdr:colOff>
          <xdr:row>34</xdr:row>
          <xdr:rowOff>38100</xdr:rowOff>
        </xdr:from>
        <xdr:to>
          <xdr:col>3</xdr:col>
          <xdr:colOff>2505075</xdr:colOff>
          <xdr:row>34</xdr:row>
          <xdr:rowOff>38100</xdr:rowOff>
        </xdr:to>
        <xdr:sp macro="" textlink="">
          <xdr:nvSpPr>
            <xdr:cNvPr id="160174" name="Button 13742" hidden="1">
              <a:extLst>
                <a:ext uri="{63B3BB69-23CF-44E3-9099-C40C66FF867C}">
                  <a14:compatExt spid="_x0000_s160174"/>
                </a:ext>
                <a:ext uri="{FF2B5EF4-FFF2-40B4-BE49-F238E27FC236}">
                  <a16:creationId xmlns:a16="http://schemas.microsoft.com/office/drawing/2014/main" id="{00000000-0008-0000-0600-0000AE71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600</xdr:row>
      <xdr:rowOff>66675</xdr:rowOff>
    </xdr:from>
    <xdr:to>
      <xdr:col>9</xdr:col>
      <xdr:colOff>200025</xdr:colOff>
      <xdr:row>619</xdr:row>
      <xdr:rowOff>133350</xdr:rowOff>
    </xdr:to>
    <xdr:graphicFrame macro="">
      <xdr:nvGraphicFramePr>
        <xdr:cNvPr id="12852079" name="Chart 177">
          <a:extLst>
            <a:ext uri="{FF2B5EF4-FFF2-40B4-BE49-F238E27FC236}">
              <a16:creationId xmlns:a16="http://schemas.microsoft.com/office/drawing/2014/main" id="{00000000-0008-0000-0800-00006F1BC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600</xdr:row>
      <xdr:rowOff>66675</xdr:rowOff>
    </xdr:from>
    <xdr:to>
      <xdr:col>9</xdr:col>
      <xdr:colOff>200025</xdr:colOff>
      <xdr:row>619</xdr:row>
      <xdr:rowOff>133350</xdr:rowOff>
    </xdr:to>
    <xdr:graphicFrame macro="">
      <xdr:nvGraphicFramePr>
        <xdr:cNvPr id="12852080" name="Chart 177">
          <a:extLst>
            <a:ext uri="{FF2B5EF4-FFF2-40B4-BE49-F238E27FC236}">
              <a16:creationId xmlns:a16="http://schemas.microsoft.com/office/drawing/2014/main" id="{00000000-0008-0000-0800-0000701BC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600</xdr:row>
      <xdr:rowOff>66675</xdr:rowOff>
    </xdr:from>
    <xdr:to>
      <xdr:col>10</xdr:col>
      <xdr:colOff>200025</xdr:colOff>
      <xdr:row>619</xdr:row>
      <xdr:rowOff>133350</xdr:rowOff>
    </xdr:to>
    <xdr:graphicFrame macro="">
      <xdr:nvGraphicFramePr>
        <xdr:cNvPr id="2" name="Chart 177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600</xdr:row>
      <xdr:rowOff>66675</xdr:rowOff>
    </xdr:from>
    <xdr:to>
      <xdr:col>10</xdr:col>
      <xdr:colOff>200025</xdr:colOff>
      <xdr:row>619</xdr:row>
      <xdr:rowOff>133350</xdr:rowOff>
    </xdr:to>
    <xdr:graphicFrame macro="">
      <xdr:nvGraphicFramePr>
        <xdr:cNvPr id="3" name="Chart 177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600</xdr:row>
      <xdr:rowOff>66675</xdr:rowOff>
    </xdr:from>
    <xdr:to>
      <xdr:col>11</xdr:col>
      <xdr:colOff>200025</xdr:colOff>
      <xdr:row>619</xdr:row>
      <xdr:rowOff>133350</xdr:rowOff>
    </xdr:to>
    <xdr:graphicFrame macro="">
      <xdr:nvGraphicFramePr>
        <xdr:cNvPr id="4" name="Chart 177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600</xdr:row>
      <xdr:rowOff>66675</xdr:rowOff>
    </xdr:from>
    <xdr:to>
      <xdr:col>11</xdr:col>
      <xdr:colOff>200025</xdr:colOff>
      <xdr:row>619</xdr:row>
      <xdr:rowOff>133350</xdr:rowOff>
    </xdr:to>
    <xdr:graphicFrame macro="">
      <xdr:nvGraphicFramePr>
        <xdr:cNvPr id="5" name="Chart 177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600</xdr:row>
      <xdr:rowOff>66675</xdr:rowOff>
    </xdr:from>
    <xdr:to>
      <xdr:col>12</xdr:col>
      <xdr:colOff>200025</xdr:colOff>
      <xdr:row>619</xdr:row>
      <xdr:rowOff>133350</xdr:rowOff>
    </xdr:to>
    <xdr:graphicFrame macro="">
      <xdr:nvGraphicFramePr>
        <xdr:cNvPr id="6" name="Chart 177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0</xdr:colOff>
      <xdr:row>600</xdr:row>
      <xdr:rowOff>66675</xdr:rowOff>
    </xdr:from>
    <xdr:to>
      <xdr:col>12</xdr:col>
      <xdr:colOff>200025</xdr:colOff>
      <xdr:row>619</xdr:row>
      <xdr:rowOff>133350</xdr:rowOff>
    </xdr:to>
    <xdr:graphicFrame macro="">
      <xdr:nvGraphicFramePr>
        <xdr:cNvPr id="7" name="Chart 177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600</xdr:row>
      <xdr:rowOff>66675</xdr:rowOff>
    </xdr:from>
    <xdr:to>
      <xdr:col>13</xdr:col>
      <xdr:colOff>200025</xdr:colOff>
      <xdr:row>619</xdr:row>
      <xdr:rowOff>133350</xdr:rowOff>
    </xdr:to>
    <xdr:graphicFrame macro="">
      <xdr:nvGraphicFramePr>
        <xdr:cNvPr id="8" name="Chart 17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600</xdr:row>
      <xdr:rowOff>66675</xdr:rowOff>
    </xdr:from>
    <xdr:to>
      <xdr:col>13</xdr:col>
      <xdr:colOff>200025</xdr:colOff>
      <xdr:row>619</xdr:row>
      <xdr:rowOff>133350</xdr:rowOff>
    </xdr:to>
    <xdr:graphicFrame macro="">
      <xdr:nvGraphicFramePr>
        <xdr:cNvPr id="9" name="Chart 177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0</xdr:colOff>
      <xdr:row>600</xdr:row>
      <xdr:rowOff>66675</xdr:rowOff>
    </xdr:from>
    <xdr:to>
      <xdr:col>14</xdr:col>
      <xdr:colOff>200025</xdr:colOff>
      <xdr:row>619</xdr:row>
      <xdr:rowOff>133350</xdr:rowOff>
    </xdr:to>
    <xdr:graphicFrame macro="">
      <xdr:nvGraphicFramePr>
        <xdr:cNvPr id="10" name="Chart 177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0</xdr:colOff>
      <xdr:row>600</xdr:row>
      <xdr:rowOff>66675</xdr:rowOff>
    </xdr:from>
    <xdr:to>
      <xdr:col>14</xdr:col>
      <xdr:colOff>200025</xdr:colOff>
      <xdr:row>619</xdr:row>
      <xdr:rowOff>133350</xdr:rowOff>
    </xdr:to>
    <xdr:graphicFrame macro="">
      <xdr:nvGraphicFramePr>
        <xdr:cNvPr id="11" name="Chart 177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0</xdr:colOff>
      <xdr:row>600</xdr:row>
      <xdr:rowOff>66675</xdr:rowOff>
    </xdr:from>
    <xdr:to>
      <xdr:col>15</xdr:col>
      <xdr:colOff>200025</xdr:colOff>
      <xdr:row>619</xdr:row>
      <xdr:rowOff>133350</xdr:rowOff>
    </xdr:to>
    <xdr:graphicFrame macro="">
      <xdr:nvGraphicFramePr>
        <xdr:cNvPr id="12" name="Chart 177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0</xdr:colOff>
      <xdr:row>600</xdr:row>
      <xdr:rowOff>66675</xdr:rowOff>
    </xdr:from>
    <xdr:to>
      <xdr:col>15</xdr:col>
      <xdr:colOff>200025</xdr:colOff>
      <xdr:row>619</xdr:row>
      <xdr:rowOff>133350</xdr:rowOff>
    </xdr:to>
    <xdr:graphicFrame macro="">
      <xdr:nvGraphicFramePr>
        <xdr:cNvPr id="13" name="Chart 177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600</xdr:row>
      <xdr:rowOff>66675</xdr:rowOff>
    </xdr:from>
    <xdr:to>
      <xdr:col>16</xdr:col>
      <xdr:colOff>200025</xdr:colOff>
      <xdr:row>619</xdr:row>
      <xdr:rowOff>133350</xdr:rowOff>
    </xdr:to>
    <xdr:graphicFrame macro="">
      <xdr:nvGraphicFramePr>
        <xdr:cNvPr id="14" name="Chart 177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0</xdr:colOff>
      <xdr:row>600</xdr:row>
      <xdr:rowOff>66675</xdr:rowOff>
    </xdr:from>
    <xdr:to>
      <xdr:col>16</xdr:col>
      <xdr:colOff>200025</xdr:colOff>
      <xdr:row>619</xdr:row>
      <xdr:rowOff>133350</xdr:rowOff>
    </xdr:to>
    <xdr:graphicFrame macro="">
      <xdr:nvGraphicFramePr>
        <xdr:cNvPr id="15" name="Chart 177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15</xdr:col>
      <xdr:colOff>0</xdr:colOff>
      <xdr:row>600</xdr:row>
      <xdr:rowOff>66675</xdr:rowOff>
    </xdr:from>
    <xdr:to>
      <xdr:col>17</xdr:col>
      <xdr:colOff>200025</xdr:colOff>
      <xdr:row>619</xdr:row>
      <xdr:rowOff>133350</xdr:rowOff>
    </xdr:to>
    <xdr:graphicFrame macro="">
      <xdr:nvGraphicFramePr>
        <xdr:cNvPr id="16" name="Chart 177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15</xdr:col>
      <xdr:colOff>0</xdr:colOff>
      <xdr:row>600</xdr:row>
      <xdr:rowOff>66675</xdr:rowOff>
    </xdr:from>
    <xdr:to>
      <xdr:col>17</xdr:col>
      <xdr:colOff>200025</xdr:colOff>
      <xdr:row>619</xdr:row>
      <xdr:rowOff>133350</xdr:rowOff>
    </xdr:to>
    <xdr:graphicFrame macro="">
      <xdr:nvGraphicFramePr>
        <xdr:cNvPr id="17" name="Chart 177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16</xdr:col>
      <xdr:colOff>0</xdr:colOff>
      <xdr:row>600</xdr:row>
      <xdr:rowOff>66675</xdr:rowOff>
    </xdr:from>
    <xdr:to>
      <xdr:col>18</xdr:col>
      <xdr:colOff>200025</xdr:colOff>
      <xdr:row>619</xdr:row>
      <xdr:rowOff>133350</xdr:rowOff>
    </xdr:to>
    <xdr:graphicFrame macro="">
      <xdr:nvGraphicFramePr>
        <xdr:cNvPr id="18" name="Chart 177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16</xdr:col>
      <xdr:colOff>0</xdr:colOff>
      <xdr:row>600</xdr:row>
      <xdr:rowOff>66675</xdr:rowOff>
    </xdr:from>
    <xdr:to>
      <xdr:col>18</xdr:col>
      <xdr:colOff>200025</xdr:colOff>
      <xdr:row>619</xdr:row>
      <xdr:rowOff>133350</xdr:rowOff>
    </xdr:to>
    <xdr:graphicFrame macro="">
      <xdr:nvGraphicFramePr>
        <xdr:cNvPr id="19" name="Chart 177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17</xdr:col>
      <xdr:colOff>0</xdr:colOff>
      <xdr:row>600</xdr:row>
      <xdr:rowOff>66675</xdr:rowOff>
    </xdr:from>
    <xdr:to>
      <xdr:col>19</xdr:col>
      <xdr:colOff>200025</xdr:colOff>
      <xdr:row>619</xdr:row>
      <xdr:rowOff>133350</xdr:rowOff>
    </xdr:to>
    <xdr:graphicFrame macro="">
      <xdr:nvGraphicFramePr>
        <xdr:cNvPr id="20" name="Chart 177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17</xdr:col>
      <xdr:colOff>0</xdr:colOff>
      <xdr:row>600</xdr:row>
      <xdr:rowOff>66675</xdr:rowOff>
    </xdr:from>
    <xdr:to>
      <xdr:col>19</xdr:col>
      <xdr:colOff>200025</xdr:colOff>
      <xdr:row>619</xdr:row>
      <xdr:rowOff>133350</xdr:rowOff>
    </xdr:to>
    <xdr:graphicFrame macro="">
      <xdr:nvGraphicFramePr>
        <xdr:cNvPr id="21" name="Chart 177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0</xdr:colOff>
      <xdr:row>600</xdr:row>
      <xdr:rowOff>66675</xdr:rowOff>
    </xdr:from>
    <xdr:to>
      <xdr:col>20</xdr:col>
      <xdr:colOff>200025</xdr:colOff>
      <xdr:row>619</xdr:row>
      <xdr:rowOff>133350</xdr:rowOff>
    </xdr:to>
    <xdr:graphicFrame macro="">
      <xdr:nvGraphicFramePr>
        <xdr:cNvPr id="22" name="Chart 177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18</xdr:col>
      <xdr:colOff>0</xdr:colOff>
      <xdr:row>600</xdr:row>
      <xdr:rowOff>66675</xdr:rowOff>
    </xdr:from>
    <xdr:to>
      <xdr:col>20</xdr:col>
      <xdr:colOff>200025</xdr:colOff>
      <xdr:row>619</xdr:row>
      <xdr:rowOff>133350</xdr:rowOff>
    </xdr:to>
    <xdr:graphicFrame macro="">
      <xdr:nvGraphicFramePr>
        <xdr:cNvPr id="23" name="Chart 177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</xdr:row>
          <xdr:rowOff>47625</xdr:rowOff>
        </xdr:from>
        <xdr:to>
          <xdr:col>0</xdr:col>
          <xdr:colOff>0</xdr:colOff>
          <xdr:row>6</xdr:row>
          <xdr:rowOff>0</xdr:rowOff>
        </xdr:to>
        <xdr:sp macro="" textlink="">
          <xdr:nvSpPr>
            <xdr:cNvPr id="2515973" name="Button 5" hidden="1">
              <a:extLst>
                <a:ext uri="{63B3BB69-23CF-44E3-9099-C40C66FF867C}">
                  <a14:compatExt spid="_x0000_s2515973"/>
                </a:ext>
                <a:ext uri="{FF2B5EF4-FFF2-40B4-BE49-F238E27FC236}">
                  <a16:creationId xmlns:a16="http://schemas.microsoft.com/office/drawing/2014/main" id="{00000000-0008-0000-0B00-0000056426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89648</xdr:colOff>
      <xdr:row>57</xdr:row>
      <xdr:rowOff>112059</xdr:rowOff>
    </xdr:from>
    <xdr:to>
      <xdr:col>43</xdr:col>
      <xdr:colOff>868931</xdr:colOff>
      <xdr:row>75</xdr:row>
      <xdr:rowOff>65331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446883" y="9838765"/>
          <a:ext cx="4017447" cy="27790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tate\RooExcel\STAND%20ALONE%20MODELS\2017_WYOMING_RESULTS_ELECTRONIC_COPY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tate\Utah\Rate%20Design\Copy%20of%20Rate%20Department%20I%20and%20F%20rate%20model%20Aug%2016%20200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tate\compare\UT\2002RESULT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ate\RooExcel\ROO2009-06-30\BOOKED%20REV%20May%20200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tate\Filings%20General\2007%20Rate%20Case\JUNE%202009%20TEST%20YEAR\BEFORE%20FILING\COMPLETED\Rate%20Design%20Model%20-%20Bill%20Factor%20Inpu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tate\RooExcel\ROO2021-12-31\Accounting%20Inputs\Expenses%20December%20202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tate\Filings%20General\2022%20Rate%20Case%20Utah\2022%20Utah%20Rate%20Case%20Model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tate\RooExcel\ROO2023-06-30\Accounting%20Inputs\Rate%20Base%20June%202023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tate\RooExcel\ROO2023-06-30\Accounting%20Inputs\Expenses%20June%202023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tate\Greybacks\2022\January,%202022\01%20GL%20Entries%20by%20Component%20Jan%20202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tate\Greybacks\2022\February,%202022\02%20GL%20Entries%20by%20Component%20Feb%20202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ate\RooExcel\ROO2009-06-30\JUNE%202009%20UTAH%20RESULT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tate\Greybacks\2022\March,%202022\03%20GL%20Entries%20by%20Component%20Mar%20202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tate\Greybacks\2022\April,%202022\04%20GL%20Entries%20by%20Component%20Apr%20202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tate\Greybacks\2022\May,%202022\05%20GL%20Entries%20by%20Component%20May%20202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tate\Greybacks\2022\June,%202022\06%20GL%20Entries%20by%20Component%20June%20202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tate\Monthly%20Accounting%20Data\Greybacks\2023\January\01%20GL%20Entries%20by%20Component%20January%202023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tate\Monthly%20Accounting%20Data\Greybacks\2023\February\02%20GL%20Entries%20by%20Component%20February%202023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tate\Monthly%20Accounting%20Data\Greybacks\2023\March\03%20GL%20Entries%20by%20Component%20March%202023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tate\Monthly%20Accounting%20Data\Greybacks\2023\April\04%20GL%20Entries%20by%20Component%20April%202023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tate\Monthly%20Accounting%20Data\Greybacks\2023\May\05%20GL%20Entries%20by%20Component%20May%202023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tate\Monthly%20Accounting%20Data\Greybacks\2023\June\06%20GL%20Entries%20by%20Component%20June%20202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tate\RooExcel\PROJECTED%20ROO2007-12\PRELIMINARY%20ROO2007-12\REVENUES%2012%20M%20DEC%202006\BOOKEDREVDEC06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tate\RooExcel\STAND%20ALONE%20MODELS\2017_UTAH_RESULTS_ELECTRONIC_COPY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tate\RooExcel\ROO2022-12-31\Backup\Labor%20forecast%202023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tate\RooExcel\STAND%20ALONE%20MODELS\2018_UTAH_RESULTS_ELECTRONIC_COPY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tate\Greybacks\2018\December,%202018\Financial%20Statements%20Dec%202018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tate\Monthly%20Accounting%20Data\Greybacks\2023\June\Financial%20Statements%20Jun%202023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tate\RooExcel\ROO2023-06-30\Accounting%20Inputs\Other%20Revenue%20June%202023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tate\RooExcel\ROO2022-12-31\Backup\Bad%20Debt%202022%20Summary%20(003)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tate\RooExcel\ROO_PROJECTED_2020_2021\Forecasted%20Results%20Model%202020-2021.xlsm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tate\Filings%20General\2019%20Rate%20Case%20Wyoming\2019%20Wyoming%20Rate%20Case%20Model%20SETTLEMENT.xlsm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tate\RooExcel\ROO2022-12-31\Accounting%20Inputs\CAPITAL%20December%20202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tate\Filings%20General\2008%20Rate%20Case%20UT\2008%20GENERAL\Model%20Inputs\REVENUES\DEC%202008%20REVENUES\BOOKED\REVISED%20ON%20DEC%202008%20BOOKED%20REV%20DEC%2020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tate\RooExcel\JUNE%202009%20TEST%20YEAR\Cost%20of%20Service%20and%20Rate%20Design\Rate%20Design%20Model%20-%20Bill%20Factor%20Inpu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ate\Filings%20General\2007%20Rate%20Case\Dec%202008%20Test%20Year\Live%20Rebuttal\NEW%20WORKING_UNIVERSA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tate\Utah\RooExcel\ROO2005-06\DEC%2004%20REV%20FOR%20WYOMING%20MODE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09057\Desktop\dec%202012%20models\BOOKED%20REV%20June%2020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09057\Desktop\dec%202012%20models\BOOKED%20REV%20June%20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Panel"/>
      <sheetName val="WYO DEPR EXPENSE"/>
      <sheetName val="Summaries"/>
      <sheetName val="Adjustments"/>
      <sheetName val="Report"/>
      <sheetName val="ROR-Model"/>
      <sheetName val="Taxes"/>
      <sheetName val="Rate Base"/>
      <sheetName val="Transition Costs"/>
      <sheetName val="EXPENSES"/>
      <sheetName val="ENERGY EFFICIENCY SERVICES ADJ"/>
      <sheetName val="Und Stor"/>
      <sheetName val="Wexpro"/>
      <sheetName val="RESERVE ACCRUAL"/>
      <sheetName val="Donations"/>
      <sheetName val="Advertising"/>
      <sheetName val="Incentive"/>
      <sheetName val="Sporting Events"/>
      <sheetName val="Revenue"/>
      <sheetName val="Booked Dec 2017 Rev"/>
      <sheetName val="Other Rev"/>
      <sheetName val="Lab Adj"/>
      <sheetName val="Corp Overhead Adj"/>
      <sheetName val="Bad Debt"/>
      <sheetName val="Capital Str"/>
      <sheetName val="Allocation Factors"/>
      <sheetName val="ALLOCATIONS&amp;PRETAX"/>
      <sheetName val="UT 2016 VS 2017 RESULTS"/>
      <sheetName val="WY 2016 VS 2017 RESULTS"/>
      <sheetName val="Utah Allocation"/>
    </sheetNames>
    <sheetDataSet>
      <sheetData sheetId="0">
        <row r="10">
          <cell r="H10">
            <v>1</v>
          </cell>
          <cell r="I10" t="str">
            <v>1 - A</v>
          </cell>
          <cell r="J10">
            <v>2</v>
          </cell>
          <cell r="K10" t="str">
            <v>2 - A</v>
          </cell>
          <cell r="M10">
            <v>1</v>
          </cell>
        </row>
        <row r="11">
          <cell r="H11" t="str">
            <v>Wyoming</v>
          </cell>
          <cell r="I11"/>
          <cell r="J11" t="str">
            <v>Wyoming</v>
          </cell>
          <cell r="K11"/>
          <cell r="M11">
            <v>2</v>
          </cell>
        </row>
        <row r="12">
          <cell r="H12">
            <v>43100</v>
          </cell>
          <cell r="I12"/>
          <cell r="J12">
            <v>43100</v>
          </cell>
          <cell r="K12"/>
          <cell r="M12">
            <v>3</v>
          </cell>
        </row>
        <row r="13">
          <cell r="H13"/>
          <cell r="I13"/>
          <cell r="J13"/>
          <cell r="K13"/>
          <cell r="M13">
            <v>4</v>
          </cell>
        </row>
        <row r="14">
          <cell r="H14"/>
          <cell r="I14"/>
          <cell r="J14"/>
          <cell r="K14"/>
          <cell r="M14">
            <v>5</v>
          </cell>
        </row>
        <row r="15">
          <cell r="H15"/>
          <cell r="I15"/>
          <cell r="J15"/>
          <cell r="K15"/>
          <cell r="M15">
            <v>6</v>
          </cell>
        </row>
        <row r="16">
          <cell r="H16" t="str">
            <v>Dec 2017 Unadjusted Avg Results</v>
          </cell>
          <cell r="I16"/>
          <cell r="J16" t="str">
            <v>Dec 2017 Adjusted Avg Results</v>
          </cell>
          <cell r="K16"/>
          <cell r="M16">
            <v>7</v>
          </cell>
        </row>
        <row r="17">
          <cell r="H17"/>
          <cell r="I17"/>
          <cell r="J17"/>
          <cell r="K17"/>
          <cell r="M17">
            <v>8</v>
          </cell>
        </row>
        <row r="18">
          <cell r="H18"/>
          <cell r="I18"/>
          <cell r="J18"/>
          <cell r="K18"/>
          <cell r="M18">
            <v>9</v>
          </cell>
        </row>
        <row r="19">
          <cell r="H19">
            <v>9.5000000000000001E-2</v>
          </cell>
          <cell r="I19"/>
          <cell r="J19">
            <v>9.5000000000000001E-2</v>
          </cell>
          <cell r="K19"/>
          <cell r="M19">
            <v>10</v>
          </cell>
        </row>
        <row r="20">
          <cell r="H20"/>
          <cell r="I20"/>
          <cell r="J20"/>
          <cell r="K20"/>
          <cell r="M20">
            <v>11</v>
          </cell>
        </row>
        <row r="21">
          <cell r="H21">
            <v>-0.89800000000000002</v>
          </cell>
          <cell r="I21"/>
          <cell r="J21">
            <v>-0.89800000000000002</v>
          </cell>
          <cell r="K21"/>
          <cell r="M21">
            <v>12</v>
          </cell>
        </row>
        <row r="22">
          <cell r="H22">
            <v>2.0388824180169176E-3</v>
          </cell>
          <cell r="I22"/>
          <cell r="J22">
            <v>2.0388824180169176E-3</v>
          </cell>
          <cell r="K22"/>
          <cell r="M22">
            <v>13</v>
          </cell>
        </row>
        <row r="23">
          <cell r="H23"/>
          <cell r="I23"/>
          <cell r="J23"/>
          <cell r="K23"/>
          <cell r="M23">
            <v>14</v>
          </cell>
        </row>
        <row r="24">
          <cell r="H24"/>
          <cell r="I24"/>
          <cell r="J24"/>
          <cell r="K24"/>
          <cell r="M24">
            <v>15</v>
          </cell>
        </row>
        <row r="25">
          <cell r="A25"/>
          <cell r="B25" t="str">
            <v>Adjustments</v>
          </cell>
          <cell r="C25" t="str">
            <v>Go To Adjustment</v>
          </cell>
          <cell r="D25"/>
          <cell r="E25"/>
          <cell r="F25"/>
          <cell r="H25"/>
          <cell r="I25"/>
          <cell r="J25"/>
          <cell r="K25"/>
          <cell r="M25">
            <v>16</v>
          </cell>
        </row>
        <row r="26">
          <cell r="A26"/>
          <cell r="B26"/>
          <cell r="C26"/>
          <cell r="D26"/>
          <cell r="E26"/>
          <cell r="F26"/>
          <cell r="H26"/>
          <cell r="I26"/>
          <cell r="J26"/>
          <cell r="K26"/>
          <cell r="M26">
            <v>17</v>
          </cell>
        </row>
        <row r="27">
          <cell r="A27">
            <v>1</v>
          </cell>
          <cell r="B27" t="str">
            <v>WY RB DEC 2017</v>
          </cell>
          <cell r="C27" t="str">
            <v>RATE BASE</v>
          </cell>
          <cell r="D27"/>
          <cell r="E27" t="str">
            <v>Y</v>
          </cell>
          <cell r="F27" t="str">
            <v>WY RB DEC 2017</v>
          </cell>
          <cell r="H27" t="str">
            <v>WY RB DEC 2017</v>
          </cell>
          <cell r="I27" t="str">
            <v>Y</v>
          </cell>
          <cell r="J27" t="str">
            <v>WY RB DEC 2017</v>
          </cell>
          <cell r="K27" t="str">
            <v>Y</v>
          </cell>
          <cell r="M27">
            <v>18</v>
          </cell>
        </row>
        <row r="28">
          <cell r="A28">
            <v>2</v>
          </cell>
          <cell r="B28" t="str">
            <v>Energy Efficiency Services Adjustment</v>
          </cell>
          <cell r="C28" t="str">
            <v>Energy Efficiency Adj</v>
          </cell>
          <cell r="D28"/>
          <cell r="E28" t="str">
            <v>Y</v>
          </cell>
          <cell r="F28" t="str">
            <v>Energy Efficiency Services Adjustment</v>
          </cell>
          <cell r="H28" t="str">
            <v>Energy Efficiency Services Adjustment</v>
          </cell>
          <cell r="I28" t="str">
            <v>Y</v>
          </cell>
          <cell r="J28" t="str">
            <v>Energy Efficiency Services Adjustment</v>
          </cell>
          <cell r="K28" t="str">
            <v>Y</v>
          </cell>
          <cell r="M28">
            <v>19</v>
          </cell>
        </row>
        <row r="29">
          <cell r="A29">
            <v>3</v>
          </cell>
          <cell r="B29" t="str">
            <v>Underground Storage</v>
          </cell>
          <cell r="C29" t="str">
            <v>Underground Storage</v>
          </cell>
          <cell r="D29"/>
          <cell r="E29" t="str">
            <v>Y</v>
          </cell>
          <cell r="F29" t="str">
            <v>Underground Storage</v>
          </cell>
          <cell r="H29" t="str">
            <v>Underground Storage</v>
          </cell>
          <cell r="I29" t="str">
            <v>Y</v>
          </cell>
          <cell r="J29" t="str">
            <v>Underground Storage</v>
          </cell>
          <cell r="K29" t="str">
            <v>Y</v>
          </cell>
          <cell r="M29">
            <v>20</v>
          </cell>
        </row>
        <row r="30">
          <cell r="A30">
            <v>4</v>
          </cell>
          <cell r="B30" t="str">
            <v>Wexpro</v>
          </cell>
          <cell r="C30" t="str">
            <v>3-Wexpro'!A1</v>
          </cell>
          <cell r="D30"/>
          <cell r="E30" t="str">
            <v>Y</v>
          </cell>
          <cell r="F30" t="str">
            <v>Wexpro</v>
          </cell>
          <cell r="H30" t="str">
            <v>Wexpro</v>
          </cell>
          <cell r="I30" t="str">
            <v>Y</v>
          </cell>
          <cell r="J30" t="str">
            <v>Wexpro</v>
          </cell>
          <cell r="K30" t="str">
            <v>Y</v>
          </cell>
          <cell r="M30">
            <v>21</v>
          </cell>
        </row>
        <row r="31">
          <cell r="A31">
            <v>5</v>
          </cell>
          <cell r="B31" t="str">
            <v>Transition Costs</v>
          </cell>
          <cell r="C31"/>
          <cell r="D31"/>
          <cell r="E31" t="str">
            <v>Y</v>
          </cell>
          <cell r="F31" t="str">
            <v>Transition Costs</v>
          </cell>
          <cell r="H31" t="str">
            <v>Transition Costs</v>
          </cell>
          <cell r="I31" t="str">
            <v>Y</v>
          </cell>
          <cell r="J31" t="str">
            <v>Transition Costs</v>
          </cell>
          <cell r="K31" t="str">
            <v>Y</v>
          </cell>
          <cell r="M31">
            <v>22</v>
          </cell>
        </row>
        <row r="32">
          <cell r="A32">
            <v>6</v>
          </cell>
          <cell r="B32" t="str">
            <v>Corp Overhead Adj</v>
          </cell>
          <cell r="C32" t="str">
            <v>Corp Overhead Adj'!A1</v>
          </cell>
          <cell r="D32"/>
          <cell r="E32" t="str">
            <v>Y</v>
          </cell>
          <cell r="F32" t="str">
            <v>Corp Overhead Adj</v>
          </cell>
          <cell r="H32" t="str">
            <v>Corp Overhead Adj</v>
          </cell>
          <cell r="I32" t="str">
            <v>Y</v>
          </cell>
          <cell r="J32" t="str">
            <v>Corp Overhead Adj</v>
          </cell>
          <cell r="K32" t="str">
            <v>Y</v>
          </cell>
          <cell r="M32">
            <v>23</v>
          </cell>
        </row>
        <row r="33">
          <cell r="A33">
            <v>7</v>
          </cell>
          <cell r="B33" t="str">
            <v>WYO DEPR EXPENSE</v>
          </cell>
          <cell r="C33"/>
          <cell r="D33"/>
          <cell r="E33" t="str">
            <v>Y</v>
          </cell>
          <cell r="F33" t="str">
            <v>WYO DEPR EXPENSE</v>
          </cell>
          <cell r="H33" t="str">
            <v>WYO DEPR EXPENSE</v>
          </cell>
          <cell r="I33" t="str">
            <v>Y</v>
          </cell>
          <cell r="J33" t="str">
            <v>WYO DEPR EXPENSE</v>
          </cell>
          <cell r="K33" t="str">
            <v>Y</v>
          </cell>
          <cell r="M33">
            <v>24</v>
          </cell>
        </row>
        <row r="34">
          <cell r="A34">
            <v>8</v>
          </cell>
          <cell r="B34" t="str">
            <v>Bad Debt</v>
          </cell>
          <cell r="C34" t="str">
            <v>Bad Debt</v>
          </cell>
          <cell r="D34"/>
          <cell r="E34" t="str">
            <v>N</v>
          </cell>
          <cell r="F34" t="str">
            <v>Bad Debt</v>
          </cell>
          <cell r="H34" t="str">
            <v>Bad Debt</v>
          </cell>
          <cell r="I34" t="str">
            <v>N</v>
          </cell>
          <cell r="J34" t="str">
            <v>Bad Debt</v>
          </cell>
          <cell r="K34" t="str">
            <v>N</v>
          </cell>
          <cell r="M34">
            <v>25</v>
          </cell>
        </row>
        <row r="35">
          <cell r="A35">
            <v>9</v>
          </cell>
          <cell r="B35" t="str">
            <v xml:space="preserve"> Incentives</v>
          </cell>
          <cell r="C35" t="str">
            <v>Incentives</v>
          </cell>
          <cell r="D35"/>
          <cell r="E35" t="str">
            <v>N</v>
          </cell>
          <cell r="F35" t="str">
            <v xml:space="preserve"> Incentives</v>
          </cell>
          <cell r="H35" t="str">
            <v xml:space="preserve"> Incentives</v>
          </cell>
          <cell r="I35" t="str">
            <v>N</v>
          </cell>
          <cell r="J35" t="str">
            <v xml:space="preserve"> Incentives</v>
          </cell>
          <cell r="K35" t="str">
            <v>N</v>
          </cell>
          <cell r="M35">
            <v>26</v>
          </cell>
        </row>
        <row r="36">
          <cell r="A36">
            <v>10</v>
          </cell>
          <cell r="B36" t="str">
            <v xml:space="preserve"> Sporting Events </v>
          </cell>
          <cell r="C36" t="str">
            <v>Sporting Events</v>
          </cell>
          <cell r="D36"/>
          <cell r="E36" t="str">
            <v>N</v>
          </cell>
          <cell r="F36" t="str">
            <v xml:space="preserve"> Sporting Events </v>
          </cell>
          <cell r="H36" t="str">
            <v xml:space="preserve"> Sporting Events </v>
          </cell>
          <cell r="I36" t="str">
            <v>N</v>
          </cell>
          <cell r="J36" t="str">
            <v xml:space="preserve"> Sporting Events </v>
          </cell>
          <cell r="K36" t="str">
            <v>N</v>
          </cell>
          <cell r="M36">
            <v>27</v>
          </cell>
        </row>
        <row r="37">
          <cell r="A37">
            <v>11</v>
          </cell>
          <cell r="B37" t="str">
            <v xml:space="preserve"> Advertising </v>
          </cell>
          <cell r="C37" t="str">
            <v>Advertising</v>
          </cell>
          <cell r="D37"/>
          <cell r="E37" t="str">
            <v>N</v>
          </cell>
          <cell r="F37" t="str">
            <v xml:space="preserve"> Advertising </v>
          </cell>
          <cell r="H37" t="str">
            <v xml:space="preserve"> Advertising </v>
          </cell>
          <cell r="I37" t="str">
            <v>N</v>
          </cell>
          <cell r="J37" t="str">
            <v xml:space="preserve"> Advertising </v>
          </cell>
          <cell r="K37" t="str">
            <v>N</v>
          </cell>
          <cell r="M37">
            <v>28</v>
          </cell>
        </row>
        <row r="38">
          <cell r="A38">
            <v>12</v>
          </cell>
          <cell r="B38" t="str">
            <v xml:space="preserve"> Don &amp; Membership </v>
          </cell>
          <cell r="C38" t="str">
            <v>Donations</v>
          </cell>
          <cell r="D38"/>
          <cell r="E38" t="str">
            <v>N</v>
          </cell>
          <cell r="F38" t="str">
            <v xml:space="preserve"> Don &amp; Membership </v>
          </cell>
          <cell r="H38" t="str">
            <v xml:space="preserve"> Don &amp; Membership </v>
          </cell>
          <cell r="I38" t="str">
            <v>N</v>
          </cell>
          <cell r="J38" t="str">
            <v xml:space="preserve"> Don &amp; Membership </v>
          </cell>
          <cell r="K38" t="str">
            <v>N</v>
          </cell>
          <cell r="M38">
            <v>29</v>
          </cell>
        </row>
        <row r="39">
          <cell r="A39">
            <v>13</v>
          </cell>
          <cell r="B39" t="str">
            <v xml:space="preserve"> Reserve accrual </v>
          </cell>
          <cell r="C39" t="str">
            <v>RESERVE ACCRUAL</v>
          </cell>
          <cell r="D39"/>
          <cell r="E39" t="str">
            <v>N</v>
          </cell>
          <cell r="F39" t="str">
            <v xml:space="preserve"> Reserve accrual </v>
          </cell>
          <cell r="H39" t="str">
            <v xml:space="preserve"> Reserve accrual </v>
          </cell>
          <cell r="I39" t="str">
            <v>N</v>
          </cell>
          <cell r="J39" t="str">
            <v xml:space="preserve"> Reserve accrual </v>
          </cell>
          <cell r="K39" t="str">
            <v>N</v>
          </cell>
          <cell r="M39">
            <v>30</v>
          </cell>
        </row>
        <row r="40">
          <cell r="A40">
            <v>14</v>
          </cell>
          <cell r="B40" t="str">
            <v xml:space="preserve"> Labor Adj </v>
          </cell>
          <cell r="C40" t="str">
            <v>Labor Adjustment</v>
          </cell>
          <cell r="D40"/>
          <cell r="E40" t="str">
            <v>Y</v>
          </cell>
          <cell r="F40" t="str">
            <v xml:space="preserve"> Labor Adj </v>
          </cell>
          <cell r="H40" t="str">
            <v xml:space="preserve"> Labor Adj </v>
          </cell>
          <cell r="I40" t="str">
            <v>N</v>
          </cell>
          <cell r="J40" t="str">
            <v xml:space="preserve"> Labor Adj </v>
          </cell>
          <cell r="K40" t="str">
            <v>Y</v>
          </cell>
          <cell r="M40">
            <v>31</v>
          </cell>
        </row>
        <row r="41">
          <cell r="A41">
            <v>15</v>
          </cell>
          <cell r="B41" t="str">
            <v>Distrigas 2017</v>
          </cell>
          <cell r="C41" t="str">
            <v>Distrigas &amp; Pretax</v>
          </cell>
          <cell r="D41"/>
          <cell r="E41"/>
          <cell r="F41" t="str">
            <v>Distrigas 2017</v>
          </cell>
          <cell r="H41" t="str">
            <v>Distrigas 2017</v>
          </cell>
          <cell r="I41"/>
          <cell r="J41" t="str">
            <v>Distrigas 2017</v>
          </cell>
          <cell r="K41"/>
          <cell r="M41">
            <v>32</v>
          </cell>
        </row>
        <row r="42">
          <cell r="A42"/>
          <cell r="B42"/>
          <cell r="C42"/>
          <cell r="D42"/>
          <cell r="E42"/>
          <cell r="F42"/>
          <cell r="H42"/>
          <cell r="I42"/>
          <cell r="J42"/>
          <cell r="K42"/>
          <cell r="M42">
            <v>33</v>
          </cell>
        </row>
        <row r="43">
          <cell r="A43">
            <v>16</v>
          </cell>
          <cell r="B43" t="str">
            <v>ORDERED CAP STR 30010-135-GR-14</v>
          </cell>
          <cell r="C43" t="str">
            <v>Capital Structure</v>
          </cell>
          <cell r="D43"/>
          <cell r="E43"/>
          <cell r="F43" t="str">
            <v>ORDERED CAP STR 30010-135-GR-14</v>
          </cell>
          <cell r="H43" t="str">
            <v>ORDERED CAP STR 30010-135-GR-14</v>
          </cell>
          <cell r="I43"/>
          <cell r="J43" t="str">
            <v>ORDERED CAP STR 30010-135-GR-14</v>
          </cell>
          <cell r="K43"/>
          <cell r="M43">
            <v>34</v>
          </cell>
        </row>
        <row r="47">
          <cell r="C47"/>
          <cell r="H47"/>
          <cell r="J47"/>
        </row>
      </sheetData>
      <sheetData sheetId="1"/>
      <sheetData sheetId="2"/>
      <sheetData sheetId="3"/>
      <sheetData sheetId="4"/>
      <sheetData sheetId="5"/>
      <sheetData sheetId="6">
        <row r="9">
          <cell r="C9" t="str">
            <v>System</v>
          </cell>
          <cell r="D9" t="str">
            <v>Utah</v>
          </cell>
          <cell r="E9" t="str">
            <v>Wyoming</v>
          </cell>
        </row>
        <row r="10">
          <cell r="C10" t="str">
            <v>Total</v>
          </cell>
          <cell r="D10" t="str">
            <v>Jurisdiction</v>
          </cell>
          <cell r="E10" t="str">
            <v>Jurisdiction</v>
          </cell>
        </row>
        <row r="11">
          <cell r="C11"/>
          <cell r="D11"/>
          <cell r="E11"/>
        </row>
        <row r="12">
          <cell r="C12">
            <v>0.35</v>
          </cell>
          <cell r="D12">
            <v>0.35</v>
          </cell>
          <cell r="E12">
            <v>0.35</v>
          </cell>
        </row>
        <row r="13">
          <cell r="C13">
            <v>4.7530099999999999E-2</v>
          </cell>
          <cell r="D13">
            <v>4.7530099999999999E-2</v>
          </cell>
          <cell r="E13">
            <v>4.7530099999999999E-2</v>
          </cell>
        </row>
        <row r="14">
          <cell r="C14">
            <v>0.47313595062128055</v>
          </cell>
          <cell r="D14">
            <v>0.47313595062128055</v>
          </cell>
          <cell r="E14">
            <v>0.47313595062128055</v>
          </cell>
        </row>
        <row r="15">
          <cell r="C15">
            <v>5.2984921363791113E-2</v>
          </cell>
          <cell r="D15">
            <v>5.2984921363791113E-2</v>
          </cell>
          <cell r="E15">
            <v>5.2984921363791113E-2</v>
          </cell>
        </row>
        <row r="16">
          <cell r="C16">
            <v>-0.89800000000000002</v>
          </cell>
          <cell r="D16">
            <v>-0.89800000000000002</v>
          </cell>
          <cell r="E16">
            <v>-0.89800000000000002</v>
          </cell>
        </row>
        <row r="17">
          <cell r="C17">
            <v>919337816.77999997</v>
          </cell>
          <cell r="D17">
            <v>886796817.7207737</v>
          </cell>
          <cell r="E17">
            <v>32364039.059226301</v>
          </cell>
        </row>
        <row r="18">
          <cell r="C18">
            <v>555949684.56595278</v>
          </cell>
          <cell r="D18">
            <v>536464433.88394201</v>
          </cell>
          <cell r="E18">
            <v>19485250.6820109</v>
          </cell>
        </row>
        <row r="19">
          <cell r="C19">
            <v>146439887.32407531</v>
          </cell>
          <cell r="D19">
            <v>139293803.89062071</v>
          </cell>
          <cell r="E19">
            <v>6091948.3934545694</v>
          </cell>
        </row>
        <row r="20">
          <cell r="C20">
            <v>70944060.360000014</v>
          </cell>
          <cell r="D20">
            <v>68813398.821904019</v>
          </cell>
          <cell r="E20">
            <v>2107800.5360384532</v>
          </cell>
        </row>
        <row r="21">
          <cell r="C21">
            <v>17107.560000000001</v>
          </cell>
          <cell r="D21">
            <v>16505.36665036581</v>
          </cell>
          <cell r="E21">
            <v>0</v>
          </cell>
        </row>
        <row r="22">
          <cell r="C22">
            <v>22257842.259999998</v>
          </cell>
          <cell r="D22">
            <v>21360720.923038241</v>
          </cell>
          <cell r="E22">
            <v>897121.33696175762</v>
          </cell>
        </row>
        <row r="23">
          <cell r="C23">
            <v>1455912261.80321</v>
          </cell>
          <cell r="D23">
            <v>1414250866.9947753</v>
          </cell>
          <cell r="E23">
            <v>41544669.120802686</v>
          </cell>
        </row>
        <row r="24">
          <cell r="C24">
            <v>0</v>
          </cell>
          <cell r="D24">
            <v>0</v>
          </cell>
          <cell r="E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</row>
        <row r="26">
          <cell r="C26" t="str">
            <v>CWC is a function of IT, and</v>
          </cell>
          <cell r="D26"/>
          <cell r="E26"/>
        </row>
        <row r="27">
          <cell r="C27" t="str">
            <v>IT is a function of CWC</v>
          </cell>
          <cell r="D27"/>
          <cell r="E27"/>
        </row>
        <row r="28">
          <cell r="C28"/>
          <cell r="D28"/>
          <cell r="E28"/>
        </row>
        <row r="29">
          <cell r="C29">
            <v>-1782831.1723471927</v>
          </cell>
          <cell r="D29">
            <v>-1715103.6298916321</v>
          </cell>
          <cell r="E29">
            <v>-65134.08145304014</v>
          </cell>
        </row>
        <row r="30">
          <cell r="C30">
            <v>33225763.006488238</v>
          </cell>
          <cell r="D30">
            <v>32526110.195225533</v>
          </cell>
          <cell r="E30">
            <v>1043815.5955760494</v>
          </cell>
        </row>
        <row r="31">
          <cell r="C31"/>
          <cell r="D31"/>
          <cell r="E31"/>
        </row>
        <row r="32">
          <cell r="C32">
            <v>-1864619.4565876517</v>
          </cell>
          <cell r="D32">
            <v>-1795168.9449748511</v>
          </cell>
          <cell r="E32">
            <v>-67703.744315193529</v>
          </cell>
        </row>
        <row r="33">
          <cell r="C33">
            <v>4148313.5750676426</v>
          </cell>
          <cell r="D33">
            <v>4060924.3308650288</v>
          </cell>
          <cell r="E33">
            <v>130333.67105584701</v>
          </cell>
        </row>
        <row r="34">
          <cell r="C34">
            <v>29095254.072780449</v>
          </cell>
          <cell r="D34">
            <v>28482327.345499028</v>
          </cell>
          <cell r="E34">
            <v>914128.40543189319</v>
          </cell>
        </row>
        <row r="35">
          <cell r="C35">
            <v>33243567.647848092</v>
          </cell>
          <cell r="D35">
            <v>32543251.676364057</v>
          </cell>
          <cell r="E35">
            <v>1044462.0764877402</v>
          </cell>
        </row>
        <row r="36">
          <cell r="C36"/>
          <cell r="D36"/>
          <cell r="E36"/>
        </row>
        <row r="37">
          <cell r="C37"/>
          <cell r="D37"/>
          <cell r="E37"/>
        </row>
        <row r="38">
          <cell r="C38">
            <v>34616412.346177146</v>
          </cell>
          <cell r="D38"/>
          <cell r="E38"/>
        </row>
        <row r="39">
          <cell r="C39">
            <v>-1372844.6983290538</v>
          </cell>
          <cell r="D39"/>
          <cell r="E39"/>
        </row>
        <row r="40">
          <cell r="C40"/>
          <cell r="D40"/>
          <cell r="E40"/>
        </row>
        <row r="41">
          <cell r="C41">
            <v>1454047642.3466225</v>
          </cell>
          <cell r="D41">
            <v>1412453104.5887978</v>
          </cell>
          <cell r="E41">
            <v>41476965.376487494</v>
          </cell>
        </row>
        <row r="42">
          <cell r="C42">
            <v>6.2230194133180539E-2</v>
          </cell>
          <cell r="D42">
            <v>1.9380863161965471E-3</v>
          </cell>
          <cell r="E42">
            <v>6.5999429066830706E-2</v>
          </cell>
        </row>
        <row r="43">
          <cell r="C43">
            <v>90485667.062123775</v>
          </cell>
          <cell r="D43">
            <v>2737456.0342728794</v>
          </cell>
          <cell r="E43">
            <v>2737456.0342728794</v>
          </cell>
        </row>
        <row r="44">
          <cell r="C44"/>
          <cell r="D44"/>
          <cell r="E44"/>
        </row>
        <row r="45">
          <cell r="C45">
            <v>1454047642.3466225</v>
          </cell>
          <cell r="D45">
            <v>1412453104.5887978</v>
          </cell>
          <cell r="E45">
            <v>41476965.376487494</v>
          </cell>
        </row>
        <row r="46">
          <cell r="C46">
            <v>2.5069071138051104E-2</v>
          </cell>
          <cell r="D46">
            <v>2.5069071138051104E-2</v>
          </cell>
          <cell r="E46">
            <v>2.5069071138051104E-2</v>
          </cell>
        </row>
        <row r="47">
          <cell r="C47">
            <v>36451623.784102969</v>
          </cell>
          <cell r="D47">
            <v>35408887.35809771</v>
          </cell>
          <cell r="E47">
            <v>1039788.9956136475</v>
          </cell>
        </row>
        <row r="48">
          <cell r="C48"/>
          <cell r="D48"/>
          <cell r="E48"/>
        </row>
        <row r="49">
          <cell r="C49">
            <v>54034043.278020807</v>
          </cell>
          <cell r="D49">
            <v>-32671431.32382483</v>
          </cell>
          <cell r="E49">
            <v>1697667.0386592317</v>
          </cell>
        </row>
        <row r="50">
          <cell r="C50">
            <v>0.61523376062754154</v>
          </cell>
          <cell r="D50">
            <v>0.61523376062754154</v>
          </cell>
          <cell r="E50">
            <v>0.61523376062754154</v>
          </cell>
        </row>
        <row r="51">
          <cell r="C51">
            <v>33243567.647848073</v>
          </cell>
          <cell r="D51">
            <v>-20100567.558441207</v>
          </cell>
          <cell r="E51">
            <v>1044462.0764877411</v>
          </cell>
        </row>
        <row r="52">
          <cell r="C52"/>
          <cell r="D52"/>
          <cell r="E52"/>
        </row>
        <row r="53">
          <cell r="C53">
            <v>919337816.77999997</v>
          </cell>
          <cell r="D53">
            <v>886796817.7207737</v>
          </cell>
          <cell r="E53">
            <v>32364039.059226301</v>
          </cell>
        </row>
        <row r="54">
          <cell r="C54">
            <v>555949684.56595278</v>
          </cell>
          <cell r="D54">
            <v>536464433.88394201</v>
          </cell>
          <cell r="E54">
            <v>19485250.6820109</v>
          </cell>
        </row>
        <row r="55">
          <cell r="C55">
            <v>146439887.32407531</v>
          </cell>
          <cell r="D55">
            <v>139293803.89062071</v>
          </cell>
          <cell r="E55">
            <v>6091948.3934545694</v>
          </cell>
        </row>
        <row r="56">
          <cell r="C56">
            <v>70944060.360000014</v>
          </cell>
          <cell r="D56">
            <v>68813398.821904019</v>
          </cell>
          <cell r="E56">
            <v>2107800.5360384532</v>
          </cell>
        </row>
        <row r="57">
          <cell r="C57">
            <v>17107.560000000001</v>
          </cell>
          <cell r="D57">
            <v>16505.36665036581</v>
          </cell>
          <cell r="E57">
            <v>0</v>
          </cell>
        </row>
        <row r="58">
          <cell r="C58">
            <v>22257842.259999998</v>
          </cell>
          <cell r="D58">
            <v>21360720.923038241</v>
          </cell>
          <cell r="E58">
            <v>897121.33696175762</v>
          </cell>
        </row>
        <row r="59">
          <cell r="C59">
            <v>123729234.7099719</v>
          </cell>
          <cell r="D59">
            <v>120847954.83461833</v>
          </cell>
          <cell r="E59">
            <v>3781918.110760618</v>
          </cell>
        </row>
        <row r="60">
          <cell r="C60"/>
          <cell r="D60"/>
          <cell r="E60"/>
        </row>
        <row r="61">
          <cell r="C61">
            <v>1454047642.3466225</v>
          </cell>
          <cell r="D61">
            <v>1412453104.5887978</v>
          </cell>
          <cell r="E61">
            <v>41476965.376487494</v>
          </cell>
        </row>
        <row r="62">
          <cell r="C62">
            <v>2.5069071138051104E-2</v>
          </cell>
          <cell r="D62">
            <v>2.5069071138051104E-2</v>
          </cell>
          <cell r="E62">
            <v>2.5069071138051104E-2</v>
          </cell>
        </row>
        <row r="63">
          <cell r="C63">
            <v>36451623.784102969</v>
          </cell>
          <cell r="D63">
            <v>35408887.35809771</v>
          </cell>
          <cell r="E63">
            <v>1039788.9956136475</v>
          </cell>
        </row>
        <row r="64">
          <cell r="C64"/>
          <cell r="D64"/>
          <cell r="E64"/>
        </row>
        <row r="65">
          <cell r="C65">
            <v>87277610.925868928</v>
          </cell>
          <cell r="D65">
            <v>85439067.476520628</v>
          </cell>
          <cell r="E65">
            <v>2742129.1151469704</v>
          </cell>
        </row>
        <row r="66">
          <cell r="C66">
            <v>4.7530099999999999E-2</v>
          </cell>
          <cell r="D66">
            <v>4.7530099999999999E-2</v>
          </cell>
          <cell r="E66">
            <v>4.7530099999999999E-2</v>
          </cell>
        </row>
        <row r="67">
          <cell r="C67">
            <v>4148313.5750676426</v>
          </cell>
          <cell r="D67">
            <v>4060927.4210657729</v>
          </cell>
          <cell r="E67">
            <v>130333.67105584701</v>
          </cell>
        </row>
        <row r="68">
          <cell r="C68"/>
          <cell r="D68"/>
          <cell r="E68"/>
        </row>
        <row r="69">
          <cell r="C69">
            <v>83129297.350801289</v>
          </cell>
          <cell r="D69">
            <v>81378140.05545485</v>
          </cell>
          <cell r="E69">
            <v>2611795.4440911235</v>
          </cell>
        </row>
        <row r="70">
          <cell r="C70">
            <v>0.35</v>
          </cell>
          <cell r="D70">
            <v>0.35</v>
          </cell>
          <cell r="E70">
            <v>0.35</v>
          </cell>
        </row>
        <row r="71">
          <cell r="C71">
            <v>29095254.072780449</v>
          </cell>
          <cell r="D71">
            <v>28482349.019409195</v>
          </cell>
          <cell r="E71">
            <v>914128.40543189319</v>
          </cell>
        </row>
        <row r="72">
          <cell r="C72"/>
          <cell r="D72"/>
          <cell r="E72"/>
        </row>
        <row r="73">
          <cell r="C73">
            <v>0</v>
          </cell>
          <cell r="D73">
            <v>0</v>
          </cell>
          <cell r="E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</row>
        <row r="75">
          <cell r="C75">
            <v>33243567.647848092</v>
          </cell>
          <cell r="D75">
            <v>32543276.440474968</v>
          </cell>
          <cell r="E75">
            <v>1044462.0764877402</v>
          </cell>
        </row>
      </sheetData>
      <sheetData sheetId="7">
        <row r="8">
          <cell r="Y8" t="str">
            <v>YE RB DEC 2017</v>
          </cell>
          <cell r="Z8" t="str">
            <v>AVG RB DEC 2017</v>
          </cell>
          <cell r="AA8" t="str">
            <v>WY AVG RB DEC 2017</v>
          </cell>
          <cell r="AB8" t="str">
            <v>WY RB DEC 2017</v>
          </cell>
        </row>
        <row r="9">
          <cell r="Y9"/>
          <cell r="Z9"/>
          <cell r="AA9"/>
          <cell r="AB9"/>
        </row>
        <row r="10">
          <cell r="Y10"/>
          <cell r="Z10"/>
          <cell r="AA10"/>
          <cell r="AB10"/>
        </row>
        <row r="11">
          <cell r="Y11"/>
          <cell r="Z11"/>
          <cell r="AA11"/>
          <cell r="AB11"/>
        </row>
        <row r="12">
          <cell r="Y12"/>
          <cell r="Z12"/>
          <cell r="AA12"/>
          <cell r="AB12"/>
        </row>
        <row r="13">
          <cell r="Y13"/>
          <cell r="Z13"/>
          <cell r="AA13"/>
          <cell r="AB13"/>
        </row>
        <row r="14">
          <cell r="Y14"/>
          <cell r="Z14"/>
          <cell r="AA14"/>
          <cell r="AB14"/>
        </row>
        <row r="15">
          <cell r="Y15">
            <v>10883.08</v>
          </cell>
          <cell r="Z15">
            <v>10883.08</v>
          </cell>
          <cell r="AA15">
            <v>10883.08</v>
          </cell>
          <cell r="AB15">
            <v>10883.08</v>
          </cell>
        </row>
        <row r="16">
          <cell r="Y16">
            <v>58742.880000000005</v>
          </cell>
          <cell r="Z16">
            <v>58742.880000000005</v>
          </cell>
          <cell r="AA16">
            <v>58742.880000000005</v>
          </cell>
          <cell r="AB16">
            <v>58742.880000000005</v>
          </cell>
        </row>
        <row r="17">
          <cell r="Y17"/>
          <cell r="Z17"/>
          <cell r="AA17"/>
          <cell r="AB17"/>
        </row>
        <row r="18">
          <cell r="Y18">
            <v>69625.960000000006</v>
          </cell>
          <cell r="Z18">
            <v>69625.960000000006</v>
          </cell>
          <cell r="AA18">
            <v>69625.960000000006</v>
          </cell>
          <cell r="AB18">
            <v>69625.960000000006</v>
          </cell>
        </row>
        <row r="19">
          <cell r="AA19"/>
        </row>
        <row r="20">
          <cell r="AA20"/>
        </row>
        <row r="21">
          <cell r="Y21">
            <v>6266900.6900000004</v>
          </cell>
          <cell r="Z21">
            <v>6266900.6899999985</v>
          </cell>
          <cell r="AA21">
            <v>6266900.6899999985</v>
          </cell>
          <cell r="AB21">
            <v>6266900.6900000004</v>
          </cell>
        </row>
        <row r="22">
          <cell r="Y22">
            <v>1437567.99</v>
          </cell>
          <cell r="Z22">
            <v>1437567.99</v>
          </cell>
          <cell r="AA22">
            <v>1437567.99</v>
          </cell>
          <cell r="AB22">
            <v>1437567.99</v>
          </cell>
        </row>
        <row r="23">
          <cell r="Y23">
            <v>52175293.810000002</v>
          </cell>
          <cell r="Z23">
            <v>52175293.810000002</v>
          </cell>
          <cell r="AA23">
            <v>52175293.810000002</v>
          </cell>
          <cell r="AB23">
            <v>52175293.810000002</v>
          </cell>
        </row>
        <row r="24">
          <cell r="Y24">
            <v>17216356.050000001</v>
          </cell>
          <cell r="Z24">
            <v>17216356.050000004</v>
          </cell>
          <cell r="AA24">
            <v>17216356.050000004</v>
          </cell>
          <cell r="AB24">
            <v>17216356.050000001</v>
          </cell>
        </row>
        <row r="25">
          <cell r="Y25">
            <v>2693816.12</v>
          </cell>
          <cell r="Z25">
            <v>2693816.1200000006</v>
          </cell>
          <cell r="AA25">
            <v>2693816.1200000006</v>
          </cell>
          <cell r="AB25">
            <v>2693816.12</v>
          </cell>
        </row>
        <row r="26">
          <cell r="Y26">
            <v>57014.71</v>
          </cell>
          <cell r="Z26">
            <v>57014.71</v>
          </cell>
          <cell r="AA26">
            <v>57014.71</v>
          </cell>
          <cell r="AB26">
            <v>57014.71</v>
          </cell>
        </row>
        <row r="27">
          <cell r="Y27">
            <v>121186.63</v>
          </cell>
          <cell r="Z27">
            <v>121186.62999999996</v>
          </cell>
          <cell r="AA27">
            <v>121186.62999999996</v>
          </cell>
          <cell r="AB27">
            <v>121186.63</v>
          </cell>
        </row>
        <row r="28">
          <cell r="Y28"/>
          <cell r="Z28"/>
          <cell r="AA28"/>
          <cell r="AB28"/>
        </row>
        <row r="29">
          <cell r="Y29">
            <v>79968136</v>
          </cell>
          <cell r="Z29">
            <v>79968136</v>
          </cell>
          <cell r="AA29">
            <v>79968136</v>
          </cell>
          <cell r="AB29">
            <v>79968136</v>
          </cell>
        </row>
        <row r="30">
          <cell r="AA30"/>
        </row>
        <row r="31">
          <cell r="AA31"/>
        </row>
        <row r="32">
          <cell r="Y32"/>
          <cell r="Z32"/>
          <cell r="AA32"/>
          <cell r="AB32"/>
        </row>
        <row r="33">
          <cell r="Y33">
            <v>434011.18</v>
          </cell>
          <cell r="Z33">
            <v>424477.24749999988</v>
          </cell>
          <cell r="AA33">
            <v>424477.24749999988</v>
          </cell>
          <cell r="AB33">
            <v>434011.18</v>
          </cell>
        </row>
        <row r="34">
          <cell r="Y34">
            <v>20037679.300000001</v>
          </cell>
          <cell r="Z34">
            <v>19649592.249999996</v>
          </cell>
          <cell r="AA34">
            <v>19649592.249999996</v>
          </cell>
          <cell r="AB34">
            <v>20037679.300000001</v>
          </cell>
        </row>
        <row r="35">
          <cell r="Y35">
            <v>20471690.48</v>
          </cell>
          <cell r="Z35">
            <v>20074069.497499995</v>
          </cell>
          <cell r="AA35">
            <v>20074069.497499995</v>
          </cell>
          <cell r="AB35">
            <v>20471690.48</v>
          </cell>
        </row>
        <row r="36">
          <cell r="AA36"/>
        </row>
        <row r="37">
          <cell r="AA37"/>
        </row>
        <row r="38">
          <cell r="Y38">
            <v>1004474.53</v>
          </cell>
          <cell r="Z38">
            <v>1003834.8675000003</v>
          </cell>
          <cell r="AA38">
            <v>1003834.8675000003</v>
          </cell>
          <cell r="AB38">
            <v>1004474.53</v>
          </cell>
        </row>
        <row r="39">
          <cell r="Y39">
            <v>15501057.690000001</v>
          </cell>
          <cell r="Z39">
            <v>15508416.372500001</v>
          </cell>
          <cell r="AA39">
            <v>15508416.372500001</v>
          </cell>
          <cell r="AB39">
            <v>15501057.690000001</v>
          </cell>
        </row>
        <row r="40">
          <cell r="Y40">
            <v>16505532.220000001</v>
          </cell>
          <cell r="Z40">
            <v>16512251.24</v>
          </cell>
          <cell r="AA40">
            <v>16512251.24</v>
          </cell>
          <cell r="AB40">
            <v>16505532.220000001</v>
          </cell>
        </row>
        <row r="41">
          <cell r="AA41"/>
        </row>
        <row r="42">
          <cell r="AA42"/>
        </row>
        <row r="43">
          <cell r="Y43"/>
          <cell r="Z43"/>
          <cell r="AA43"/>
          <cell r="AB43"/>
        </row>
        <row r="44">
          <cell r="Y44"/>
          <cell r="Z44"/>
          <cell r="AA44"/>
          <cell r="AB44"/>
        </row>
        <row r="45">
          <cell r="Y45"/>
          <cell r="Z45"/>
          <cell r="AA45"/>
          <cell r="AB45"/>
        </row>
        <row r="46">
          <cell r="Y46">
            <v>41533025.009999998</v>
          </cell>
          <cell r="Z46">
            <v>39510697.130416662</v>
          </cell>
          <cell r="AA46">
            <v>39510697.130416662</v>
          </cell>
          <cell r="AB46">
            <v>41533025.009999998</v>
          </cell>
        </row>
        <row r="47">
          <cell r="Y47"/>
          <cell r="Z47"/>
          <cell r="AA47"/>
          <cell r="AB47"/>
        </row>
        <row r="48">
          <cell r="Y48"/>
          <cell r="Z48"/>
          <cell r="AA48"/>
          <cell r="AB48"/>
        </row>
        <row r="49">
          <cell r="Y49"/>
          <cell r="Z49"/>
          <cell r="AA49"/>
          <cell r="AB49"/>
        </row>
        <row r="50">
          <cell r="Y50">
            <v>1555365511.3599999</v>
          </cell>
          <cell r="Z50">
            <v>1493001336.4637499</v>
          </cell>
          <cell r="AA50">
            <v>1493001336.4637499</v>
          </cell>
          <cell r="AB50">
            <v>1555365511.3599999</v>
          </cell>
        </row>
        <row r="51">
          <cell r="Y51">
            <v>1596898536.3699999</v>
          </cell>
          <cell r="Z51">
            <v>1532512033.5941665</v>
          </cell>
          <cell r="AA51">
            <v>1532512033.5941665</v>
          </cell>
          <cell r="AB51">
            <v>1596898536.3699999</v>
          </cell>
        </row>
        <row r="52">
          <cell r="Y52"/>
          <cell r="Z52"/>
          <cell r="AA52"/>
          <cell r="AB52"/>
        </row>
        <row r="53">
          <cell r="Y53"/>
          <cell r="Z53"/>
          <cell r="AA53"/>
          <cell r="AB53"/>
        </row>
        <row r="54">
          <cell r="Y54"/>
          <cell r="Z54"/>
          <cell r="AA54"/>
          <cell r="AB54"/>
        </row>
        <row r="55">
          <cell r="Y55">
            <v>14286566.039999999</v>
          </cell>
          <cell r="Z55">
            <v>15122497.60458333</v>
          </cell>
          <cell r="AA55">
            <v>15122497.60458333</v>
          </cell>
          <cell r="AB55">
            <v>14286566.039999999</v>
          </cell>
        </row>
        <row r="56">
          <cell r="Y56">
            <v>14286566.039999999</v>
          </cell>
          <cell r="Z56">
            <v>15122497.60458333</v>
          </cell>
          <cell r="AA56">
            <v>15122497.60458333</v>
          </cell>
          <cell r="AB56">
            <v>14286566.039999999</v>
          </cell>
        </row>
        <row r="57">
          <cell r="AA57"/>
        </row>
        <row r="58">
          <cell r="AA58"/>
        </row>
        <row r="59">
          <cell r="Y59">
            <v>7646803.6600000001</v>
          </cell>
          <cell r="Z59">
            <v>7622374.3054166669</v>
          </cell>
          <cell r="AA59">
            <v>7622374.3054166669</v>
          </cell>
          <cell r="AB59">
            <v>7646803.6600000001</v>
          </cell>
        </row>
        <row r="60">
          <cell r="Y60">
            <v>101237991.53</v>
          </cell>
          <cell r="Z60">
            <v>97012367.48041667</v>
          </cell>
          <cell r="AA60">
            <v>97012367.48041667</v>
          </cell>
          <cell r="AB60">
            <v>101237991.53</v>
          </cell>
        </row>
        <row r="61">
          <cell r="Y61">
            <v>108884795.19</v>
          </cell>
          <cell r="Z61">
            <v>104634741.78583334</v>
          </cell>
          <cell r="AA61">
            <v>104634741.78583334</v>
          </cell>
          <cell r="AB61">
            <v>108884795.19</v>
          </cell>
        </row>
        <row r="62">
          <cell r="AA62"/>
        </row>
        <row r="63">
          <cell r="AA63"/>
        </row>
        <row r="64">
          <cell r="Y64">
            <v>20117572.069999997</v>
          </cell>
          <cell r="Z64">
            <v>19119335.214166664</v>
          </cell>
          <cell r="AA64">
            <v>19119335.214166664</v>
          </cell>
          <cell r="AB64">
            <v>20117572.069999997</v>
          </cell>
        </row>
        <row r="65">
          <cell r="Y65">
            <v>393312976.35000002</v>
          </cell>
          <cell r="Z65">
            <v>383671046.28874999</v>
          </cell>
          <cell r="AA65">
            <v>383671046.28874999</v>
          </cell>
          <cell r="AB65">
            <v>393312976.35000002</v>
          </cell>
        </row>
        <row r="66">
          <cell r="Y66">
            <v>413430548.42000002</v>
          </cell>
          <cell r="Z66">
            <v>402790381.50291663</v>
          </cell>
          <cell r="AA66">
            <v>402790381.50291663</v>
          </cell>
          <cell r="AB66">
            <v>413430548.42000002</v>
          </cell>
        </row>
        <row r="67">
          <cell r="AA67"/>
        </row>
        <row r="68">
          <cell r="AA68"/>
        </row>
        <row r="69">
          <cell r="Y69">
            <v>10480480.653999999</v>
          </cell>
          <cell r="Z69">
            <v>10026638.355833333</v>
          </cell>
          <cell r="AA69">
            <v>10026638.355833333</v>
          </cell>
          <cell r="AB69">
            <v>10480480.653999999</v>
          </cell>
        </row>
        <row r="70">
          <cell r="Y70">
            <v>331969358.31600004</v>
          </cell>
          <cell r="Z70">
            <v>315994114.57708335</v>
          </cell>
          <cell r="AA70">
            <v>315994114.57708335</v>
          </cell>
          <cell r="AB70">
            <v>331969358.31600004</v>
          </cell>
        </row>
        <row r="71">
          <cell r="Y71">
            <v>342449838.97000003</v>
          </cell>
          <cell r="Z71">
            <v>326020752.9329167</v>
          </cell>
          <cell r="AA71">
            <v>326020752.9329167</v>
          </cell>
          <cell r="AB71">
            <v>342449838.97000003</v>
          </cell>
        </row>
        <row r="72">
          <cell r="AA72"/>
        </row>
        <row r="73">
          <cell r="AA73"/>
        </row>
        <row r="74">
          <cell r="Y74">
            <v>759017.98</v>
          </cell>
          <cell r="Z74">
            <v>766600.73666666669</v>
          </cell>
          <cell r="AA74">
            <v>766600.73666666669</v>
          </cell>
          <cell r="AB74">
            <v>759017.98</v>
          </cell>
        </row>
        <row r="75">
          <cell r="Y75">
            <v>13889337.84</v>
          </cell>
          <cell r="Z75">
            <v>13914532.484999998</v>
          </cell>
          <cell r="AA75">
            <v>13914532.484999998</v>
          </cell>
          <cell r="AB75">
            <v>13889337.84</v>
          </cell>
        </row>
        <row r="76">
          <cell r="Y76">
            <v>14648355.82</v>
          </cell>
          <cell r="Z76">
            <v>14681133.221666664</v>
          </cell>
          <cell r="AA76">
            <v>14681133.221666664</v>
          </cell>
          <cell r="AB76">
            <v>14648355.82</v>
          </cell>
        </row>
        <row r="77">
          <cell r="AA77"/>
        </row>
        <row r="78">
          <cell r="AA78"/>
        </row>
        <row r="79">
          <cell r="Y79">
            <v>68977.440000000002</v>
          </cell>
          <cell r="Z79">
            <v>68977.439999999988</v>
          </cell>
          <cell r="AA79">
            <v>68977.439999999988</v>
          </cell>
          <cell r="AB79">
            <v>68977.440000000002</v>
          </cell>
        </row>
        <row r="80">
          <cell r="Y80">
            <v>2237018.35</v>
          </cell>
          <cell r="Z80">
            <v>2236306.1637500003</v>
          </cell>
          <cell r="AA80">
            <v>2236306.1637500003</v>
          </cell>
          <cell r="AB80">
            <v>2237018.35</v>
          </cell>
        </row>
        <row r="81">
          <cell r="Y81">
            <v>2305995.79</v>
          </cell>
          <cell r="Z81">
            <v>2305283.6037500002</v>
          </cell>
          <cell r="AA81">
            <v>2305283.6037500002</v>
          </cell>
          <cell r="AB81">
            <v>2305995.79</v>
          </cell>
        </row>
        <row r="82">
          <cell r="AA82"/>
        </row>
        <row r="83">
          <cell r="Y83">
            <v>2529881859.2999997</v>
          </cell>
          <cell r="Z83">
            <v>2434653144.9833331</v>
          </cell>
          <cell r="AA83">
            <v>2434653144.9833331</v>
          </cell>
          <cell r="AB83">
            <v>2529881859.2999997</v>
          </cell>
        </row>
        <row r="84">
          <cell r="AA84"/>
        </row>
        <row r="85">
          <cell r="Y85"/>
          <cell r="Z85"/>
          <cell r="AA85"/>
          <cell r="AB85"/>
        </row>
        <row r="86">
          <cell r="Y86"/>
          <cell r="Z86"/>
          <cell r="AA86"/>
          <cell r="AB86"/>
        </row>
        <row r="87">
          <cell r="Y87">
            <v>11584.02</v>
          </cell>
          <cell r="Z87">
            <v>11584.020000000004</v>
          </cell>
          <cell r="AA87">
            <v>11584.020000000004</v>
          </cell>
          <cell r="AB87">
            <v>11584.02</v>
          </cell>
        </row>
        <row r="88">
          <cell r="Y88">
            <v>3775953.85</v>
          </cell>
          <cell r="Z88">
            <v>3775953.85</v>
          </cell>
          <cell r="AA88">
            <v>3775953.85</v>
          </cell>
          <cell r="AB88">
            <v>3775953.85</v>
          </cell>
        </row>
        <row r="89">
          <cell r="Y89">
            <v>3787537.87</v>
          </cell>
          <cell r="Z89">
            <v>3787537.87</v>
          </cell>
          <cell r="AA89">
            <v>3787537.87</v>
          </cell>
          <cell r="AB89">
            <v>3787537.87</v>
          </cell>
        </row>
        <row r="90">
          <cell r="AA90"/>
        </row>
        <row r="91">
          <cell r="AA91"/>
        </row>
        <row r="92">
          <cell r="Y92">
            <v>1617860.54</v>
          </cell>
          <cell r="Z92">
            <v>1609659.4224999996</v>
          </cell>
          <cell r="AA92">
            <v>1609659.4224999996</v>
          </cell>
          <cell r="AB92">
            <v>1617860.54</v>
          </cell>
        </row>
        <row r="93">
          <cell r="Y93">
            <v>44053641.369999982</v>
          </cell>
          <cell r="Z93">
            <v>43204255.569999993</v>
          </cell>
          <cell r="AA93">
            <v>43204255.569999993</v>
          </cell>
          <cell r="AB93">
            <v>44053641.369999982</v>
          </cell>
        </row>
        <row r="94">
          <cell r="Y94">
            <v>51076999.940000005</v>
          </cell>
          <cell r="Z94">
            <v>51020559.261249997</v>
          </cell>
          <cell r="AA94">
            <v>51020559.261249997</v>
          </cell>
          <cell r="AB94">
            <v>51076999.940000005</v>
          </cell>
        </row>
        <row r="95">
          <cell r="Y95">
            <v>96748501.849999994</v>
          </cell>
          <cell r="Z95">
            <v>95834474.253749996</v>
          </cell>
          <cell r="AA95">
            <v>95834474.253749996</v>
          </cell>
          <cell r="AB95">
            <v>96748501.849999994</v>
          </cell>
        </row>
        <row r="96">
          <cell r="AA96"/>
        </row>
        <row r="97">
          <cell r="AA97"/>
        </row>
        <row r="98">
          <cell r="Y98">
            <v>147841.16000000003</v>
          </cell>
          <cell r="Z98">
            <v>172676.73749999999</v>
          </cell>
          <cell r="AA98">
            <v>172676.73749999999</v>
          </cell>
          <cell r="AB98">
            <v>147841.16000000003</v>
          </cell>
        </row>
        <row r="99">
          <cell r="Y99">
            <v>12701483.740000002</v>
          </cell>
          <cell r="Z99">
            <v>13687733.504166668</v>
          </cell>
          <cell r="AA99">
            <v>13687733.504166668</v>
          </cell>
          <cell r="AB99">
            <v>12701483.740000002</v>
          </cell>
        </row>
        <row r="100">
          <cell r="Y100">
            <v>39749385.780000001</v>
          </cell>
          <cell r="Z100">
            <v>41963199.870416664</v>
          </cell>
          <cell r="AA100">
            <v>41963199.870416664</v>
          </cell>
          <cell r="AB100">
            <v>39749385.780000001</v>
          </cell>
        </row>
        <row r="101">
          <cell r="Y101">
            <v>52598710.680000007</v>
          </cell>
          <cell r="Z101">
            <v>55823610.112083331</v>
          </cell>
          <cell r="AA101">
            <v>55823610.112083331</v>
          </cell>
          <cell r="AB101">
            <v>52598710.680000007</v>
          </cell>
        </row>
        <row r="102">
          <cell r="AA102"/>
        </row>
        <row r="103">
          <cell r="AA103"/>
        </row>
        <row r="104">
          <cell r="Y104">
            <v>2941469.68</v>
          </cell>
          <cell r="Z104">
            <v>2872688.125833333</v>
          </cell>
          <cell r="AA104">
            <v>2872688.125833333</v>
          </cell>
          <cell r="AB104">
            <v>2941469.68</v>
          </cell>
        </row>
        <row r="105">
          <cell r="Y105">
            <v>49990448.509999998</v>
          </cell>
          <cell r="Z105">
            <v>49792114.355416663</v>
          </cell>
          <cell r="AA105">
            <v>49792114.355416663</v>
          </cell>
          <cell r="AB105">
            <v>49990448.509999998</v>
          </cell>
        </row>
        <row r="106">
          <cell r="Y106">
            <v>0</v>
          </cell>
          <cell r="Z106">
            <v>0</v>
          </cell>
          <cell r="AA106">
            <v>0</v>
          </cell>
          <cell r="AB106">
            <v>0</v>
          </cell>
        </row>
        <row r="107">
          <cell r="Y107">
            <v>52931918.189999998</v>
          </cell>
          <cell r="Z107">
            <v>52664802.481249996</v>
          </cell>
          <cell r="AA107">
            <v>52664802.481249996</v>
          </cell>
          <cell r="AB107">
            <v>52931918.189999998</v>
          </cell>
        </row>
        <row r="108">
          <cell r="AA108"/>
        </row>
        <row r="109">
          <cell r="AA109"/>
        </row>
        <row r="110">
          <cell r="Y110">
            <v>12371.89</v>
          </cell>
          <cell r="Z110">
            <v>12371.89</v>
          </cell>
          <cell r="AA110">
            <v>12371.89</v>
          </cell>
          <cell r="AB110">
            <v>12371.89</v>
          </cell>
        </row>
        <row r="111">
          <cell r="Y111">
            <v>45026.020000000004</v>
          </cell>
          <cell r="Z111">
            <v>45026.020000000011</v>
          </cell>
          <cell r="AA111">
            <v>45026.020000000011</v>
          </cell>
          <cell r="AB111">
            <v>45026.020000000004</v>
          </cell>
        </row>
        <row r="112">
          <cell r="Y112">
            <v>57397.91</v>
          </cell>
          <cell r="Z112">
            <v>57397.910000000011</v>
          </cell>
          <cell r="AA112">
            <v>57397.910000000011</v>
          </cell>
          <cell r="AB112">
            <v>57397.91</v>
          </cell>
        </row>
        <row r="113">
          <cell r="AA113"/>
        </row>
        <row r="114">
          <cell r="AA114"/>
        </row>
        <row r="115">
          <cell r="Y115">
            <v>2395252.1300000004</v>
          </cell>
          <cell r="Z115">
            <v>2477208.9562500003</v>
          </cell>
          <cell r="AA115">
            <v>2477208.9562500003</v>
          </cell>
          <cell r="AB115">
            <v>2395252.1300000004</v>
          </cell>
        </row>
        <row r="116">
          <cell r="Y116">
            <v>29287123.41</v>
          </cell>
          <cell r="Z116">
            <v>29325263.897916663</v>
          </cell>
          <cell r="AA116">
            <v>29325263.897916663</v>
          </cell>
          <cell r="AB116">
            <v>29287123.41</v>
          </cell>
        </row>
        <row r="117">
          <cell r="Y117">
            <v>0</v>
          </cell>
          <cell r="Z117">
            <v>0</v>
          </cell>
          <cell r="AA117">
            <v>0</v>
          </cell>
          <cell r="AB117">
            <v>0</v>
          </cell>
        </row>
        <row r="118">
          <cell r="Y118">
            <v>31682375.539999999</v>
          </cell>
          <cell r="Z118">
            <v>31802472.854166664</v>
          </cell>
          <cell r="AA118">
            <v>31802472.854166664</v>
          </cell>
          <cell r="AB118">
            <v>31682375.539999999</v>
          </cell>
        </row>
        <row r="119">
          <cell r="AA119"/>
        </row>
        <row r="120">
          <cell r="AA120"/>
        </row>
        <row r="121">
          <cell r="Y121">
            <v>0</v>
          </cell>
          <cell r="Z121">
            <v>0</v>
          </cell>
          <cell r="AA121">
            <v>0</v>
          </cell>
          <cell r="AB121">
            <v>0</v>
          </cell>
        </row>
        <row r="122">
          <cell r="Y122">
            <v>61117.83</v>
          </cell>
          <cell r="Z122">
            <v>61117.830000000009</v>
          </cell>
          <cell r="AA122">
            <v>61117.830000000009</v>
          </cell>
          <cell r="AB122">
            <v>61117.83</v>
          </cell>
        </row>
        <row r="123">
          <cell r="Y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Y124">
            <v>61117.83</v>
          </cell>
          <cell r="Z124">
            <v>61117.830000000009</v>
          </cell>
          <cell r="AA124">
            <v>61117.830000000009</v>
          </cell>
          <cell r="AB124">
            <v>61117.83</v>
          </cell>
        </row>
        <row r="125">
          <cell r="AA125"/>
        </row>
        <row r="126">
          <cell r="AA126"/>
        </row>
        <row r="127">
          <cell r="Y127">
            <v>1042453.89</v>
          </cell>
          <cell r="Z127">
            <v>986606.75833333319</v>
          </cell>
          <cell r="AA127">
            <v>986606.75833333319</v>
          </cell>
          <cell r="AB127">
            <v>1042453.89</v>
          </cell>
        </row>
        <row r="128">
          <cell r="Y128">
            <v>11060442.789999999</v>
          </cell>
          <cell r="Z128">
            <v>11144360.78083333</v>
          </cell>
          <cell r="AA128">
            <v>11144360.78083333</v>
          </cell>
          <cell r="AB128">
            <v>11060442.789999999</v>
          </cell>
        </row>
        <row r="129">
          <cell r="Y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Y130">
            <v>12102896.68</v>
          </cell>
          <cell r="Z130">
            <v>12130967.539166663</v>
          </cell>
          <cell r="AA130">
            <v>12130967.539166663</v>
          </cell>
          <cell r="AB130">
            <v>12102896.68</v>
          </cell>
        </row>
        <row r="131">
          <cell r="Y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Y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Y133">
            <v>100471.2800000003</v>
          </cell>
          <cell r="Z133">
            <v>84657.641250000161</v>
          </cell>
          <cell r="AA133">
            <v>84657.641250000161</v>
          </cell>
          <cell r="AB133">
            <v>100471.2800000003</v>
          </cell>
        </row>
        <row r="134">
          <cell r="Y134">
            <v>15148750.27</v>
          </cell>
          <cell r="Z134">
            <v>15108375.695416667</v>
          </cell>
          <cell r="AA134">
            <v>15108375.695416667</v>
          </cell>
          <cell r="AB134">
            <v>15148750.27</v>
          </cell>
        </row>
        <row r="135">
          <cell r="Y135">
            <v>15249221.550000001</v>
          </cell>
          <cell r="Z135">
            <v>15193033.336666666</v>
          </cell>
          <cell r="AA135">
            <v>15193033.336666666</v>
          </cell>
          <cell r="AB135">
            <v>15249221.550000001</v>
          </cell>
        </row>
        <row r="136">
          <cell r="AA136"/>
        </row>
        <row r="137">
          <cell r="AA137"/>
        </row>
        <row r="138">
          <cell r="Y138">
            <v>3863.92</v>
          </cell>
          <cell r="Z138">
            <v>3863.9199999999987</v>
          </cell>
          <cell r="AA138">
            <v>3863.9199999999987</v>
          </cell>
          <cell r="AB138">
            <v>3863.92</v>
          </cell>
        </row>
        <row r="139">
          <cell r="Y139">
            <v>322484.51</v>
          </cell>
          <cell r="Z139">
            <v>325627.54958333331</v>
          </cell>
          <cell r="AA139">
            <v>325627.54958333331</v>
          </cell>
          <cell r="AB139">
            <v>322484.51</v>
          </cell>
        </row>
        <row r="140">
          <cell r="Y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Y141">
            <v>326348.43</v>
          </cell>
          <cell r="Z141">
            <v>329491.4695833333</v>
          </cell>
          <cell r="AA141">
            <v>329491.4695833333</v>
          </cell>
          <cell r="AB141">
            <v>326348.43</v>
          </cell>
        </row>
        <row r="142">
          <cell r="AA142"/>
        </row>
        <row r="143">
          <cell r="Y143">
            <v>265546026.53</v>
          </cell>
          <cell r="Z143">
            <v>267684905.65666667</v>
          </cell>
          <cell r="AA143">
            <v>267684905.65666667</v>
          </cell>
          <cell r="AB143">
            <v>265546026.53</v>
          </cell>
        </row>
        <row r="144">
          <cell r="AA144"/>
        </row>
        <row r="145">
          <cell r="Y145"/>
          <cell r="Z145"/>
          <cell r="AA145"/>
          <cell r="AB145"/>
        </row>
        <row r="146">
          <cell r="Y146">
            <v>79968136</v>
          </cell>
          <cell r="Z146">
            <v>79968136</v>
          </cell>
          <cell r="AA146">
            <v>79968136</v>
          </cell>
          <cell r="AB146">
            <v>79968136</v>
          </cell>
        </row>
        <row r="147">
          <cell r="Y147">
            <v>82055245.603999987</v>
          </cell>
          <cell r="Z147">
            <v>78553818.377499998</v>
          </cell>
          <cell r="AA147">
            <v>78553818.377499998</v>
          </cell>
          <cell r="AB147">
            <v>82055245.603999987</v>
          </cell>
        </row>
        <row r="148">
          <cell r="Y148">
            <v>2447896239.6560001</v>
          </cell>
          <cell r="Z148">
            <v>2356168952.5658336</v>
          </cell>
          <cell r="AA148">
            <v>2356168952.5658336</v>
          </cell>
          <cell r="AB148">
            <v>2447896239.6560001</v>
          </cell>
        </row>
        <row r="149">
          <cell r="Y149">
            <v>265546026.53</v>
          </cell>
          <cell r="Z149">
            <v>267684905.65666667</v>
          </cell>
          <cell r="AA149">
            <v>267684905.65666667</v>
          </cell>
          <cell r="AB149">
            <v>265546026.53</v>
          </cell>
        </row>
        <row r="150">
          <cell r="Y150">
            <v>2875465647.7900004</v>
          </cell>
          <cell r="Z150">
            <v>2782375812.6000004</v>
          </cell>
          <cell r="AA150">
            <v>2782375812.6000004</v>
          </cell>
          <cell r="AB150">
            <v>2875465647.7900004</v>
          </cell>
        </row>
        <row r="151">
          <cell r="AA151"/>
        </row>
        <row r="152">
          <cell r="AA152"/>
        </row>
        <row r="153">
          <cell r="Y153">
            <v>5036.83</v>
          </cell>
          <cell r="Z153">
            <v>5036.8300000000008</v>
          </cell>
          <cell r="AA153">
            <v>5036.8300000000008</v>
          </cell>
          <cell r="AB153">
            <v>5036.83</v>
          </cell>
        </row>
        <row r="154">
          <cell r="Y154">
            <v>5036.83</v>
          </cell>
          <cell r="Z154">
            <v>5036.8300000000008</v>
          </cell>
          <cell r="AA154">
            <v>5036.8300000000008</v>
          </cell>
          <cell r="AB154">
            <v>5036.83</v>
          </cell>
        </row>
        <row r="155">
          <cell r="AA155"/>
        </row>
        <row r="156">
          <cell r="AA156"/>
        </row>
        <row r="157">
          <cell r="Y157">
            <v>0</v>
          </cell>
          <cell r="Z157">
            <v>0</v>
          </cell>
          <cell r="AA157">
            <v>0</v>
          </cell>
          <cell r="AB157">
            <v>0</v>
          </cell>
        </row>
        <row r="158">
          <cell r="Y158">
            <v>710920.69000000006</v>
          </cell>
          <cell r="Z158">
            <v>1133540.8770833334</v>
          </cell>
          <cell r="AA158">
            <v>1133540.8770833334</v>
          </cell>
          <cell r="AB158">
            <v>710920.69000000006</v>
          </cell>
        </row>
        <row r="159">
          <cell r="Y159">
            <v>22418304.782000002</v>
          </cell>
          <cell r="Z159">
            <v>13074567.023916664</v>
          </cell>
          <cell r="AA159">
            <v>13074567.023916664</v>
          </cell>
          <cell r="AB159">
            <v>22418304.782000002</v>
          </cell>
        </row>
        <row r="160">
          <cell r="Y160">
            <v>3618205.25</v>
          </cell>
          <cell r="Z160">
            <v>1353260.8533333333</v>
          </cell>
          <cell r="AA160">
            <v>1353260.8533333333</v>
          </cell>
          <cell r="AB160">
            <v>3618205.25</v>
          </cell>
        </row>
        <row r="161">
          <cell r="Y161">
            <v>26747430.722000003</v>
          </cell>
          <cell r="Z161">
            <v>15561368.754333332</v>
          </cell>
          <cell r="AA161">
            <v>15561368.754333332</v>
          </cell>
          <cell r="AB161">
            <v>26747430.722000003</v>
          </cell>
        </row>
        <row r="162">
          <cell r="AA162"/>
        </row>
        <row r="163">
          <cell r="AA163"/>
        </row>
        <row r="164">
          <cell r="Y164">
            <v>-69576718.010000005</v>
          </cell>
          <cell r="Z164">
            <v>-69258056.713333353</v>
          </cell>
          <cell r="AA164">
            <v>-69258056.713333353</v>
          </cell>
          <cell r="AB164">
            <v>-69576718.010000005</v>
          </cell>
        </row>
        <row r="165">
          <cell r="Y165">
            <v>-27333445.210000001</v>
          </cell>
          <cell r="Z165">
            <v>-21335127.701249998</v>
          </cell>
          <cell r="AA165">
            <v>-21335127.701249998</v>
          </cell>
          <cell r="AB165">
            <v>-27333445.210000001</v>
          </cell>
        </row>
        <row r="166">
          <cell r="Y166">
            <v>-512951843.95999998</v>
          </cell>
          <cell r="Z166">
            <v>-504221078.20208329</v>
          </cell>
          <cell r="AA166">
            <v>-504221078.20208329</v>
          </cell>
          <cell r="AB166">
            <v>-512951843.95999998</v>
          </cell>
        </row>
        <row r="167">
          <cell r="Y167">
            <v>-128844639.09999999</v>
          </cell>
          <cell r="Z167">
            <v>-130511114.04416668</v>
          </cell>
          <cell r="AA167">
            <v>-130511114.04416668</v>
          </cell>
          <cell r="AB167">
            <v>-128844639.09999999</v>
          </cell>
        </row>
        <row r="168">
          <cell r="Y168">
            <v>-738706646.27999997</v>
          </cell>
          <cell r="Z168">
            <v>-725325376.66083336</v>
          </cell>
          <cell r="AA168">
            <v>-725325376.66083336</v>
          </cell>
          <cell r="AB168">
            <v>-738706646.27999997</v>
          </cell>
        </row>
        <row r="169">
          <cell r="AA169"/>
        </row>
        <row r="170">
          <cell r="AA170"/>
        </row>
        <row r="171">
          <cell r="Y171">
            <v>-6150276.6600000001</v>
          </cell>
          <cell r="Z171">
            <v>-6141881.1287500001</v>
          </cell>
          <cell r="AA171">
            <v>-6141881.1287500001</v>
          </cell>
          <cell r="AB171">
            <v>-6150276.6600000001</v>
          </cell>
        </row>
        <row r="172">
          <cell r="Y172">
            <v>-10883.08</v>
          </cell>
          <cell r="Z172">
            <v>-10883.08</v>
          </cell>
          <cell r="AA172">
            <v>-10883.08</v>
          </cell>
          <cell r="AB172">
            <v>-10883.08</v>
          </cell>
        </row>
        <row r="173">
          <cell r="Y173">
            <v>-58742.880000000005</v>
          </cell>
          <cell r="Z173">
            <v>-58742.880000000005</v>
          </cell>
          <cell r="AA173">
            <v>-58742.880000000005</v>
          </cell>
          <cell r="AB173">
            <v>-58742.880000000005</v>
          </cell>
        </row>
        <row r="174">
          <cell r="Y174">
            <v>0</v>
          </cell>
          <cell r="Z174">
            <v>0</v>
          </cell>
          <cell r="AA174">
            <v>0</v>
          </cell>
          <cell r="AB174">
            <v>0</v>
          </cell>
        </row>
        <row r="175">
          <cell r="Y175">
            <v>-6219902.6200000001</v>
          </cell>
          <cell r="Z175">
            <v>-6211507.0887500001</v>
          </cell>
          <cell r="AA175">
            <v>-6211507.0887500001</v>
          </cell>
          <cell r="AB175">
            <v>-6219902.6200000001</v>
          </cell>
        </row>
        <row r="176">
          <cell r="AA176"/>
        </row>
        <row r="177">
          <cell r="Y177"/>
          <cell r="Z177"/>
          <cell r="AA177"/>
        </row>
        <row r="178">
          <cell r="Y178">
            <v>0</v>
          </cell>
          <cell r="Z178">
            <v>0</v>
          </cell>
          <cell r="AA178">
            <v>0</v>
          </cell>
          <cell r="AB178">
            <v>0</v>
          </cell>
        </row>
        <row r="179">
          <cell r="Y179">
            <v>-6315729.0099999998</v>
          </cell>
          <cell r="Z179">
            <v>-6223500.0524999993</v>
          </cell>
          <cell r="AA179">
            <v>-6223500.0524999993</v>
          </cell>
          <cell r="AB179">
            <v>-6315729.0099999998</v>
          </cell>
        </row>
        <row r="180">
          <cell r="Y180">
            <v>-188074206.56999999</v>
          </cell>
          <cell r="Z180">
            <v>-186286707.18000004</v>
          </cell>
          <cell r="AA180">
            <v>-186286707.18000004</v>
          </cell>
          <cell r="AB180">
            <v>-188074206.56999999</v>
          </cell>
        </row>
        <row r="181">
          <cell r="Y181">
            <v>-243070289</v>
          </cell>
          <cell r="Z181">
            <v>-10127928.708333334</v>
          </cell>
          <cell r="AA181">
            <v>-10127928.708333334</v>
          </cell>
          <cell r="AB181">
            <v>-243070289</v>
          </cell>
        </row>
        <row r="182">
          <cell r="Y182">
            <v>-437460224.57999998</v>
          </cell>
          <cell r="Z182">
            <v>-202638135.94083336</v>
          </cell>
          <cell r="AA182">
            <v>-202638135.94083336</v>
          </cell>
          <cell r="AB182">
            <v>-437460224.57999998</v>
          </cell>
        </row>
        <row r="183">
          <cell r="Y183"/>
          <cell r="Z183"/>
          <cell r="AA183"/>
        </row>
        <row r="184">
          <cell r="AA184"/>
        </row>
        <row r="185">
          <cell r="Y185"/>
          <cell r="Z185"/>
          <cell r="AA185"/>
          <cell r="AB185"/>
        </row>
        <row r="186">
          <cell r="Y186">
            <v>4241141.3299999945</v>
          </cell>
          <cell r="Z186">
            <v>4568198.1579166465</v>
          </cell>
          <cell r="AA186">
            <v>4568198.1579166465</v>
          </cell>
          <cell r="AB186">
            <v>4241141.3299999945</v>
          </cell>
        </row>
        <row r="187">
          <cell r="Y187">
            <v>49106108.993999988</v>
          </cell>
          <cell r="Z187">
            <v>52117848.420833327</v>
          </cell>
          <cell r="AA187">
            <v>52117848.420833327</v>
          </cell>
          <cell r="AB187">
            <v>49106108.993999988</v>
          </cell>
        </row>
        <row r="188">
          <cell r="Y188">
            <v>1769234787.858</v>
          </cell>
          <cell r="Z188">
            <v>1678682028.1576662</v>
          </cell>
          <cell r="AA188">
            <v>1678682028.1576662</v>
          </cell>
          <cell r="AB188">
            <v>1769234787.858</v>
          </cell>
        </row>
        <row r="189">
          <cell r="Y189">
            <v>-102750696.32000002</v>
          </cell>
          <cell r="Z189">
            <v>128399123.75749998</v>
          </cell>
          <cell r="AA189">
            <v>128399123.75749998</v>
          </cell>
          <cell r="AB189">
            <v>-102750696.32000002</v>
          </cell>
        </row>
        <row r="190">
          <cell r="Y190"/>
          <cell r="Z190"/>
          <cell r="AA190"/>
          <cell r="AB190"/>
        </row>
        <row r="191">
          <cell r="Y191"/>
          <cell r="Z191"/>
          <cell r="AA191"/>
          <cell r="AB191"/>
        </row>
        <row r="192">
          <cell r="Y192">
            <v>1719831341.862</v>
          </cell>
          <cell r="Z192">
            <v>1863767198.493916</v>
          </cell>
          <cell r="AA192">
            <v>1863767198.493916</v>
          </cell>
          <cell r="AB192">
            <v>1719831341.862</v>
          </cell>
        </row>
        <row r="193">
          <cell r="Y193"/>
          <cell r="Z193"/>
          <cell r="AA193"/>
          <cell r="AB193"/>
        </row>
        <row r="194">
          <cell r="Y194"/>
          <cell r="Z194"/>
          <cell r="AA194"/>
          <cell r="AB194"/>
        </row>
        <row r="195">
          <cell r="Y195"/>
          <cell r="Z195"/>
          <cell r="AA195"/>
          <cell r="AB195"/>
        </row>
        <row r="196">
          <cell r="Y196"/>
          <cell r="Z196"/>
          <cell r="AA196"/>
          <cell r="AB196"/>
        </row>
        <row r="197">
          <cell r="Y197"/>
          <cell r="Z197"/>
          <cell r="AA197"/>
          <cell r="AB197"/>
        </row>
        <row r="198">
          <cell r="Y198">
            <v>818229.16543959454</v>
          </cell>
          <cell r="Z198">
            <v>842231.61007787904</v>
          </cell>
          <cell r="AA198">
            <v>842231.61007787904</v>
          </cell>
          <cell r="AB198">
            <v>842231.61007787904</v>
          </cell>
        </row>
        <row r="199">
          <cell r="Y199">
            <v>24360002.514560405</v>
          </cell>
          <cell r="Z199">
            <v>25074594.020755455</v>
          </cell>
          <cell r="AA199">
            <v>25074594.020755455</v>
          </cell>
          <cell r="AB199">
            <v>25074594.020755455</v>
          </cell>
        </row>
        <row r="200">
          <cell r="Y200">
            <v>25178231.68</v>
          </cell>
          <cell r="Z200">
            <v>25916825.630833335</v>
          </cell>
          <cell r="AA200">
            <v>25916825.630833331</v>
          </cell>
          <cell r="AB200">
            <v>25916825.630833331</v>
          </cell>
        </row>
        <row r="201">
          <cell r="AA201"/>
        </row>
        <row r="202">
          <cell r="AA202"/>
        </row>
        <row r="203">
          <cell r="Y203">
            <v>52891066.75</v>
          </cell>
          <cell r="Z203">
            <v>52891066.75</v>
          </cell>
          <cell r="AA203">
            <v>52891066.75</v>
          </cell>
          <cell r="AB203">
            <v>52891066.75</v>
          </cell>
        </row>
        <row r="204">
          <cell r="Y204">
            <v>52891066.75</v>
          </cell>
          <cell r="Z204">
            <v>52891066.75</v>
          </cell>
          <cell r="AA204">
            <v>52891066.75</v>
          </cell>
          <cell r="AB204">
            <v>52891066.75</v>
          </cell>
        </row>
        <row r="205">
          <cell r="AA205"/>
        </row>
        <row r="206">
          <cell r="AA206"/>
        </row>
        <row r="207">
          <cell r="Y207">
            <v>3910153.76</v>
          </cell>
          <cell r="Z207">
            <v>3634150.0549999997</v>
          </cell>
          <cell r="AA207">
            <v>3634150.0549999997</v>
          </cell>
          <cell r="AB207">
            <v>3634150.0549999997</v>
          </cell>
        </row>
        <row r="208">
          <cell r="Y208">
            <v>3910153.76</v>
          </cell>
          <cell r="Z208">
            <v>3634150.0549999997</v>
          </cell>
          <cell r="AA208">
            <v>3634150.0549999997</v>
          </cell>
          <cell r="AB208">
            <v>3634150.0549999997</v>
          </cell>
        </row>
        <row r="209">
          <cell r="AA209"/>
        </row>
        <row r="210">
          <cell r="AA210"/>
        </row>
        <row r="211">
          <cell r="Y211">
            <v>0</v>
          </cell>
          <cell r="Z211">
            <v>0</v>
          </cell>
          <cell r="AA211">
            <v>0</v>
          </cell>
          <cell r="AB211">
            <v>0</v>
          </cell>
        </row>
        <row r="212">
          <cell r="Y212">
            <v>1832178.8287000023</v>
          </cell>
          <cell r="Z212">
            <v>76340.784529166762</v>
          </cell>
          <cell r="AA212">
            <v>76340.784529166762</v>
          </cell>
          <cell r="AB212">
            <v>1832178.8287000023</v>
          </cell>
        </row>
        <row r="213">
          <cell r="Y213">
            <v>55602894.171299994</v>
          </cell>
          <cell r="Z213">
            <v>2316787.2571374997</v>
          </cell>
          <cell r="AA213">
            <v>2316787.2571374997</v>
          </cell>
          <cell r="AB213">
            <v>55602894.171299994</v>
          </cell>
        </row>
        <row r="214">
          <cell r="Y214">
            <v>0</v>
          </cell>
          <cell r="Z214">
            <v>0</v>
          </cell>
          <cell r="AA214">
            <v>0</v>
          </cell>
          <cell r="AB214">
            <v>0</v>
          </cell>
        </row>
        <row r="215">
          <cell r="Y215">
            <v>57435073</v>
          </cell>
          <cell r="Z215">
            <v>2393128.0416666665</v>
          </cell>
          <cell r="AA215">
            <v>2393128.0416666665</v>
          </cell>
          <cell r="AB215">
            <v>57435073</v>
          </cell>
        </row>
        <row r="216">
          <cell r="AA216"/>
        </row>
        <row r="217">
          <cell r="AA217"/>
        </row>
        <row r="218">
          <cell r="Y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Y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Y220">
            <v>13135753</v>
          </cell>
          <cell r="Z220">
            <v>547323.04166666663</v>
          </cell>
          <cell r="AA220">
            <v>547323.04166666663</v>
          </cell>
          <cell r="AB220">
            <v>13135753</v>
          </cell>
        </row>
        <row r="221">
          <cell r="Y221">
            <v>0</v>
          </cell>
          <cell r="Z221">
            <v>0</v>
          </cell>
          <cell r="AA221">
            <v>0</v>
          </cell>
          <cell r="AB221">
            <v>0</v>
          </cell>
        </row>
        <row r="222">
          <cell r="Y222">
            <v>13135753</v>
          </cell>
          <cell r="Z222">
            <v>547323.04166666663</v>
          </cell>
          <cell r="AA222">
            <v>547323.04166666663</v>
          </cell>
          <cell r="AB222">
            <v>13135753</v>
          </cell>
        </row>
        <row r="223">
          <cell r="AA223"/>
        </row>
        <row r="224">
          <cell r="AA224"/>
        </row>
        <row r="225">
          <cell r="Y225">
            <v>-248143.61000000002</v>
          </cell>
          <cell r="Z225">
            <v>-264034.9170833333</v>
          </cell>
          <cell r="AA225">
            <v>-264034.9170833333</v>
          </cell>
          <cell r="AB225">
            <v>-264034.9170833333</v>
          </cell>
        </row>
        <row r="226">
          <cell r="Y226">
            <v>-5457546.1899999995</v>
          </cell>
          <cell r="Z226">
            <v>-6605173.1624999987</v>
          </cell>
          <cell r="AA226">
            <v>-6605173.1624999987</v>
          </cell>
          <cell r="AB226">
            <v>-6605173.1624999987</v>
          </cell>
        </row>
        <row r="227">
          <cell r="Y227">
            <v>-5705689.7999999998</v>
          </cell>
          <cell r="Z227">
            <v>-6869208.0795833347</v>
          </cell>
          <cell r="AA227">
            <v>-6869208.0795833347</v>
          </cell>
          <cell r="AB227">
            <v>-6869208.0795833347</v>
          </cell>
        </row>
        <row r="228">
          <cell r="AA228"/>
        </row>
        <row r="229">
          <cell r="AA229"/>
        </row>
        <row r="230">
          <cell r="Y230">
            <v>-404156.02</v>
          </cell>
          <cell r="Z230">
            <v>-480023.88708333345</v>
          </cell>
          <cell r="AA230">
            <v>-480023.88708333345</v>
          </cell>
          <cell r="AB230">
            <v>-404156.02</v>
          </cell>
        </row>
        <row r="231">
          <cell r="Y231">
            <v>-11724439</v>
          </cell>
          <cell r="Z231">
            <v>-17011733.805000003</v>
          </cell>
          <cell r="AA231">
            <v>-17011733.805000003</v>
          </cell>
          <cell r="AB231">
            <v>-11724439</v>
          </cell>
        </row>
        <row r="232">
          <cell r="Y232">
            <v>-12128595.02</v>
          </cell>
          <cell r="Z232">
            <v>-17491757.692083329</v>
          </cell>
          <cell r="AA232">
            <v>-17491757.692083329</v>
          </cell>
          <cell r="AB232">
            <v>-12128595.02</v>
          </cell>
        </row>
        <row r="233">
          <cell r="AA233"/>
        </row>
        <row r="234">
          <cell r="AA234"/>
        </row>
        <row r="235">
          <cell r="Y235">
            <v>-29018.39</v>
          </cell>
          <cell r="Z235">
            <v>-36439.401249999995</v>
          </cell>
          <cell r="AA235">
            <v>-36439.401249999995</v>
          </cell>
          <cell r="AB235">
            <v>-36439.401249999995</v>
          </cell>
        </row>
        <row r="236">
          <cell r="Y236">
            <v>-29018.39</v>
          </cell>
          <cell r="Z236">
            <v>-36439.401249999995</v>
          </cell>
          <cell r="AA236">
            <v>-36439.401249999995</v>
          </cell>
          <cell r="AB236">
            <v>-36439.401249999995</v>
          </cell>
        </row>
        <row r="237">
          <cell r="AA237"/>
        </row>
        <row r="238">
          <cell r="AA238"/>
        </row>
        <row r="239">
          <cell r="Y239">
            <v>-1310.79</v>
          </cell>
          <cell r="Z239">
            <v>-1217.7900000000002</v>
          </cell>
          <cell r="AA239">
            <v>-1217.7900000000002</v>
          </cell>
          <cell r="AB239">
            <v>-1310.79</v>
          </cell>
        </row>
        <row r="240">
          <cell r="Y240">
            <v>-854.65140200000099</v>
          </cell>
          <cell r="Z240">
            <v>-2013.7558364499425</v>
          </cell>
          <cell r="AA240">
            <v>-2013.7558364499425</v>
          </cell>
          <cell r="AB240">
            <v>-854.65140200000099</v>
          </cell>
        </row>
        <row r="241">
          <cell r="Y241">
            <v>-25936.928597999999</v>
          </cell>
          <cell r="Z241">
            <v>-61177.155413550063</v>
          </cell>
          <cell r="AA241">
            <v>-61177.155413550063</v>
          </cell>
          <cell r="AB241">
            <v>-25936.928597999999</v>
          </cell>
        </row>
        <row r="242">
          <cell r="Y242">
            <v>-527.25</v>
          </cell>
          <cell r="Z242">
            <v>-620.25</v>
          </cell>
          <cell r="AA242">
            <v>-620.25</v>
          </cell>
          <cell r="AB242">
            <v>-527.25</v>
          </cell>
        </row>
        <row r="243">
          <cell r="Y243">
            <v>-28629.62</v>
          </cell>
          <cell r="Z243">
            <v>-65028.951250000006</v>
          </cell>
          <cell r="AA243">
            <v>-65028.951250000006</v>
          </cell>
          <cell r="AB243">
            <v>-28629.62</v>
          </cell>
        </row>
        <row r="244">
          <cell r="AA244"/>
        </row>
        <row r="245">
          <cell r="AA245"/>
        </row>
        <row r="246">
          <cell r="Y246">
            <v>44147.49</v>
          </cell>
          <cell r="Z246">
            <v>-135902.21666666665</v>
          </cell>
          <cell r="AA246">
            <v>-135902.21666666665</v>
          </cell>
          <cell r="AB246">
            <v>44147.49</v>
          </cell>
        </row>
        <row r="247">
          <cell r="Y247">
            <v>-8486889.9906229991</v>
          </cell>
          <cell r="Z247">
            <v>-13353314.063752552</v>
          </cell>
          <cell r="AA247">
            <v>-13353314.063752552</v>
          </cell>
          <cell r="AB247">
            <v>-8486889.9906229991</v>
          </cell>
        </row>
        <row r="248">
          <cell r="Y248">
            <v>-257559818.17937699</v>
          </cell>
          <cell r="Z248">
            <v>-405378854.14791399</v>
          </cell>
          <cell r="AA248">
            <v>-405378854.14791399</v>
          </cell>
          <cell r="AB248">
            <v>-257559818.17937699</v>
          </cell>
        </row>
        <row r="249">
          <cell r="Y249">
            <v>-12817268.039999999</v>
          </cell>
          <cell r="Z249">
            <v>-13087342.585833333</v>
          </cell>
          <cell r="AA249">
            <v>-13087342.585833333</v>
          </cell>
          <cell r="AB249">
            <v>-12817268.039999999</v>
          </cell>
        </row>
        <row r="250">
          <cell r="Y250">
            <v>-278819828.71999997</v>
          </cell>
          <cell r="Z250">
            <v>-431955413.01416653</v>
          </cell>
          <cell r="AA250">
            <v>-431955413.01416653</v>
          </cell>
          <cell r="AB250">
            <v>-278819828.71999997</v>
          </cell>
        </row>
        <row r="251">
          <cell r="Z251">
            <v>0</v>
          </cell>
          <cell r="AA251">
            <v>0</v>
          </cell>
        </row>
        <row r="252">
          <cell r="AA252"/>
        </row>
        <row r="253">
          <cell r="Y253">
            <v>-700755.31</v>
          </cell>
          <cell r="Z253">
            <v>-700755.31000000017</v>
          </cell>
          <cell r="AA253">
            <v>-700755.31000000017</v>
          </cell>
          <cell r="AB253">
            <v>-700755.31</v>
          </cell>
        </row>
        <row r="254">
          <cell r="Y254">
            <v>0</v>
          </cell>
          <cell r="Z254">
            <v>0</v>
          </cell>
          <cell r="AA254">
            <v>0</v>
          </cell>
          <cell r="AB254">
            <v>0</v>
          </cell>
        </row>
        <row r="255">
          <cell r="Y255">
            <v>-64071192.340000004</v>
          </cell>
          <cell r="Z255">
            <v>-61315042.53708332</v>
          </cell>
          <cell r="AA255">
            <v>-61315042.53708332</v>
          </cell>
          <cell r="AB255">
            <v>-64071192.340000004</v>
          </cell>
        </row>
        <row r="256">
          <cell r="Y256">
            <v>-1119041.3500000001</v>
          </cell>
          <cell r="Z256">
            <v>-1119041.3499999999</v>
          </cell>
          <cell r="AA256">
            <v>-1119041.3499999999</v>
          </cell>
          <cell r="AB256">
            <v>-1119041.3500000001</v>
          </cell>
        </row>
        <row r="257">
          <cell r="Y257">
            <v>-65890989.000000007</v>
          </cell>
          <cell r="Z257">
            <v>-63134839.197083324</v>
          </cell>
          <cell r="AA257">
            <v>-63134839.197083324</v>
          </cell>
          <cell r="AB257">
            <v>-65890989.000000007</v>
          </cell>
        </row>
        <row r="258">
          <cell r="AA258"/>
        </row>
        <row r="259">
          <cell r="AA259"/>
        </row>
        <row r="260">
          <cell r="Y260">
            <v>0</v>
          </cell>
          <cell r="Z260">
            <v>0</v>
          </cell>
          <cell r="AA260">
            <v>0</v>
          </cell>
          <cell r="AB260">
            <v>0</v>
          </cell>
        </row>
        <row r="261">
          <cell r="Y261">
            <v>0</v>
          </cell>
          <cell r="Z261">
            <v>0</v>
          </cell>
          <cell r="AA261">
            <v>0</v>
          </cell>
          <cell r="AB261">
            <v>0</v>
          </cell>
        </row>
        <row r="262">
          <cell r="Y262"/>
          <cell r="Z262"/>
          <cell r="AA262"/>
          <cell r="AB262"/>
        </row>
        <row r="263">
          <cell r="Y263"/>
          <cell r="Z263"/>
          <cell r="AA263"/>
          <cell r="AB263"/>
        </row>
        <row r="264">
          <cell r="Y264">
            <v>52233148.140000001</v>
          </cell>
          <cell r="Z264">
            <v>52053191.43333333</v>
          </cell>
          <cell r="AA264">
            <v>52053191.43333333</v>
          </cell>
          <cell r="AB264">
            <v>52233148.140000001</v>
          </cell>
        </row>
        <row r="265">
          <cell r="Y265">
            <v>-6489636.2778854026</v>
          </cell>
          <cell r="Z265">
            <v>-13180814.229148623</v>
          </cell>
          <cell r="AA265">
            <v>-13180814.229148623</v>
          </cell>
          <cell r="AB265">
            <v>-6481525.1403304515</v>
          </cell>
        </row>
        <row r="266">
          <cell r="Y266">
            <v>-245740282.95211461</v>
          </cell>
          <cell r="Z266">
            <v>-462433276.48835123</v>
          </cell>
          <cell r="AA266">
            <v>-462433276.48835123</v>
          </cell>
          <cell r="AB266">
            <v>-246173318.41841954</v>
          </cell>
        </row>
        <row r="267">
          <cell r="Y267">
            <v>-10055701.27</v>
          </cell>
          <cell r="Z267">
            <v>-10609293.532083334</v>
          </cell>
          <cell r="AA267">
            <v>-10609293.532083334</v>
          </cell>
          <cell r="AB267">
            <v>-10339125.98625</v>
          </cell>
        </row>
        <row r="268">
          <cell r="Y268"/>
          <cell r="Z268"/>
          <cell r="AA268"/>
          <cell r="AB268"/>
        </row>
        <row r="269">
          <cell r="Y269"/>
          <cell r="Z269"/>
          <cell r="AA269"/>
          <cell r="AB269"/>
        </row>
        <row r="270">
          <cell r="Y270">
            <v>-210052472.35999995</v>
          </cell>
          <cell r="Z270">
            <v>-434170192.81624979</v>
          </cell>
          <cell r="AA270">
            <v>-434170192.81624979</v>
          </cell>
          <cell r="AB270">
            <v>-210760821.40499997</v>
          </cell>
        </row>
        <row r="271">
          <cell r="Y271"/>
          <cell r="Z271"/>
          <cell r="AA271"/>
          <cell r="AB271"/>
        </row>
        <row r="272">
          <cell r="Y272"/>
          <cell r="Z272"/>
          <cell r="AA272"/>
          <cell r="AB272"/>
        </row>
        <row r="273">
          <cell r="Y273">
            <v>56474289.469999999</v>
          </cell>
          <cell r="Z273">
            <v>56621389.591249973</v>
          </cell>
          <cell r="AA273">
            <v>56621389.591249973</v>
          </cell>
          <cell r="AB273">
            <v>56474289.469999999</v>
          </cell>
        </row>
        <row r="274">
          <cell r="Y274">
            <v>42616472.716114588</v>
          </cell>
          <cell r="Z274">
            <v>38937034.191684708</v>
          </cell>
          <cell r="AA274">
            <v>38937034.191684708</v>
          </cell>
          <cell r="AB274">
            <v>42624583.853669539</v>
          </cell>
        </row>
        <row r="275">
          <cell r="Y275">
            <v>1523494504.9058855</v>
          </cell>
          <cell r="Z275">
            <v>1216248751.6693149</v>
          </cell>
          <cell r="AA275">
            <v>1216248751.6693149</v>
          </cell>
          <cell r="AB275">
            <v>1523061469.4395804</v>
          </cell>
        </row>
        <row r="276">
          <cell r="Y276">
            <v>-112806397.59000002</v>
          </cell>
          <cell r="Z276">
            <v>117789830.22541665</v>
          </cell>
          <cell r="AA276">
            <v>117789830.22541665</v>
          </cell>
          <cell r="AB276">
            <v>-113089822.30625002</v>
          </cell>
        </row>
        <row r="277">
          <cell r="Y277"/>
          <cell r="Z277"/>
          <cell r="AA277"/>
          <cell r="AB277"/>
        </row>
        <row r="278">
          <cell r="Y278"/>
          <cell r="Z278"/>
          <cell r="AA278"/>
          <cell r="AB278"/>
        </row>
        <row r="279">
          <cell r="Y279">
            <v>1509778869.5020001</v>
          </cell>
          <cell r="Z279">
            <v>1429597005.6776662</v>
          </cell>
          <cell r="AA279">
            <v>1429597005.6776662</v>
          </cell>
          <cell r="AB279">
            <v>1509070520.457</v>
          </cell>
        </row>
      </sheetData>
      <sheetData sheetId="8"/>
      <sheetData sheetId="9">
        <row r="6">
          <cell r="F6" t="str">
            <v xml:space="preserve"> Expense Dec 2017</v>
          </cell>
          <cell r="G6"/>
          <cell r="H6"/>
          <cell r="I6" t="str">
            <v xml:space="preserve"> Expense Dec 2017</v>
          </cell>
        </row>
        <row r="7">
          <cell r="F7"/>
          <cell r="G7"/>
          <cell r="I7"/>
        </row>
        <row r="8">
          <cell r="F8"/>
          <cell r="G8"/>
          <cell r="I8"/>
        </row>
        <row r="9">
          <cell r="F9"/>
          <cell r="G9"/>
          <cell r="I9" t="str">
            <v>Adjustment</v>
          </cell>
        </row>
        <row r="10">
          <cell r="F10"/>
          <cell r="G10"/>
          <cell r="I10"/>
        </row>
        <row r="11">
          <cell r="F11">
            <v>0.96787075135437994</v>
          </cell>
          <cell r="G11"/>
          <cell r="I11"/>
        </row>
        <row r="12">
          <cell r="F12">
            <v>3.2129248645620057E-2</v>
          </cell>
          <cell r="G12"/>
          <cell r="I12"/>
        </row>
        <row r="13">
          <cell r="F13"/>
          <cell r="G13"/>
          <cell r="I13"/>
        </row>
        <row r="14">
          <cell r="F14"/>
          <cell r="G14"/>
          <cell r="I14"/>
        </row>
        <row r="15">
          <cell r="F15"/>
          <cell r="G15"/>
          <cell r="I15"/>
        </row>
        <row r="16">
          <cell r="F16">
            <v>20573059.9417121</v>
          </cell>
          <cell r="G16"/>
          <cell r="I16">
            <v>20573059.9417121</v>
          </cell>
        </row>
        <row r="17">
          <cell r="F17">
            <v>751115.9782879008</v>
          </cell>
          <cell r="G17"/>
          <cell r="I17">
            <v>751115.9782879008</v>
          </cell>
        </row>
        <row r="18">
          <cell r="F18">
            <v>21324175.920000002</v>
          </cell>
          <cell r="G18"/>
          <cell r="I18">
            <v>21324175.920000002</v>
          </cell>
        </row>
        <row r="19">
          <cell r="F19"/>
          <cell r="G19"/>
          <cell r="I19">
            <v>0</v>
          </cell>
        </row>
        <row r="20">
          <cell r="F20"/>
          <cell r="G20"/>
          <cell r="I20">
            <v>0</v>
          </cell>
        </row>
        <row r="21">
          <cell r="F21">
            <v>311269.64999999997</v>
          </cell>
          <cell r="G21"/>
          <cell r="I21">
            <v>311269.64999999997</v>
          </cell>
        </row>
        <row r="22">
          <cell r="F22">
            <v>0</v>
          </cell>
          <cell r="G22"/>
          <cell r="I22">
            <v>0</v>
          </cell>
        </row>
        <row r="23">
          <cell r="F23">
            <v>311269.64999999997</v>
          </cell>
          <cell r="G23"/>
          <cell r="I23">
            <v>311269.64999999997</v>
          </cell>
        </row>
        <row r="24">
          <cell r="F24"/>
          <cell r="G24"/>
          <cell r="I24">
            <v>0</v>
          </cell>
        </row>
        <row r="25">
          <cell r="F25"/>
          <cell r="G25"/>
          <cell r="I25">
            <v>0</v>
          </cell>
        </row>
        <row r="26">
          <cell r="F26">
            <v>24917407.16</v>
          </cell>
          <cell r="G26"/>
          <cell r="I26">
            <v>24917407.16</v>
          </cell>
        </row>
        <row r="27">
          <cell r="F27">
            <v>0</v>
          </cell>
          <cell r="G27"/>
          <cell r="I27">
            <v>0</v>
          </cell>
        </row>
        <row r="28">
          <cell r="F28">
            <v>24917407.16</v>
          </cell>
          <cell r="G28"/>
          <cell r="I28">
            <v>24917407.16</v>
          </cell>
        </row>
        <row r="29">
          <cell r="F29"/>
          <cell r="G29"/>
          <cell r="I29">
            <v>0</v>
          </cell>
        </row>
        <row r="30">
          <cell r="F30"/>
          <cell r="G30"/>
          <cell r="I30">
            <v>0</v>
          </cell>
        </row>
        <row r="31">
          <cell r="F31">
            <v>0</v>
          </cell>
          <cell r="G31"/>
          <cell r="I31">
            <v>0</v>
          </cell>
        </row>
        <row r="32">
          <cell r="F32"/>
          <cell r="G32"/>
          <cell r="I32">
            <v>0</v>
          </cell>
        </row>
        <row r="33">
          <cell r="F33"/>
          <cell r="G33"/>
          <cell r="I33">
            <v>0</v>
          </cell>
        </row>
        <row r="34">
          <cell r="F34">
            <v>0</v>
          </cell>
          <cell r="G34"/>
          <cell r="I34">
            <v>0</v>
          </cell>
        </row>
        <row r="35">
          <cell r="F35">
            <v>0</v>
          </cell>
          <cell r="G35"/>
          <cell r="I35">
            <v>0</v>
          </cell>
        </row>
        <row r="36">
          <cell r="F36"/>
          <cell r="G36"/>
          <cell r="I36">
            <v>0</v>
          </cell>
        </row>
        <row r="37">
          <cell r="F37"/>
          <cell r="G37"/>
          <cell r="I37">
            <v>0</v>
          </cell>
        </row>
        <row r="38">
          <cell r="F38">
            <v>501.32868340000005</v>
          </cell>
          <cell r="G38"/>
          <cell r="I38">
            <v>501.32868340000005</v>
          </cell>
        </row>
        <row r="39">
          <cell r="F39">
            <v>16.661316600000021</v>
          </cell>
          <cell r="G39"/>
          <cell r="I39">
            <v>16.661316600000021</v>
          </cell>
        </row>
        <row r="40">
          <cell r="F40">
            <v>517.99</v>
          </cell>
          <cell r="G40"/>
          <cell r="I40">
            <v>517.99</v>
          </cell>
        </row>
        <row r="41">
          <cell r="F41"/>
          <cell r="G41"/>
          <cell r="I41">
            <v>0</v>
          </cell>
        </row>
        <row r="42">
          <cell r="F42"/>
          <cell r="G42"/>
          <cell r="I42">
            <v>0</v>
          </cell>
        </row>
        <row r="43">
          <cell r="F43">
            <v>0</v>
          </cell>
          <cell r="G43"/>
          <cell r="I43">
            <v>0</v>
          </cell>
        </row>
        <row r="44">
          <cell r="F44">
            <v>0</v>
          </cell>
          <cell r="G44"/>
          <cell r="I44">
            <v>0</v>
          </cell>
        </row>
        <row r="45">
          <cell r="F45">
            <v>0</v>
          </cell>
          <cell r="G45"/>
          <cell r="I45">
            <v>0</v>
          </cell>
        </row>
        <row r="46">
          <cell r="F46"/>
          <cell r="G46"/>
          <cell r="I46">
            <v>0</v>
          </cell>
        </row>
        <row r="47">
          <cell r="F47"/>
          <cell r="G47"/>
          <cell r="I47">
            <v>0</v>
          </cell>
        </row>
        <row r="48">
          <cell r="F48">
            <v>0</v>
          </cell>
          <cell r="G48"/>
          <cell r="I48">
            <v>0</v>
          </cell>
        </row>
        <row r="49">
          <cell r="F49">
            <v>0</v>
          </cell>
          <cell r="G49"/>
          <cell r="I49">
            <v>0</v>
          </cell>
        </row>
        <row r="50">
          <cell r="F50">
            <v>0</v>
          </cell>
          <cell r="G50"/>
          <cell r="I50">
            <v>0</v>
          </cell>
        </row>
        <row r="51">
          <cell r="F51"/>
          <cell r="G51"/>
          <cell r="I51">
            <v>0</v>
          </cell>
        </row>
        <row r="52">
          <cell r="F52"/>
          <cell r="G52"/>
          <cell r="I52">
            <v>0</v>
          </cell>
        </row>
        <row r="53">
          <cell r="F53">
            <v>119925534.29720469</v>
          </cell>
          <cell r="G53"/>
          <cell r="I53">
            <v>119925534.29720469</v>
          </cell>
        </row>
        <row r="54">
          <cell r="F54">
            <v>4247459.4927952997</v>
          </cell>
          <cell r="G54"/>
          <cell r="I54">
            <v>4247459.4927952997</v>
          </cell>
        </row>
        <row r="55">
          <cell r="F55">
            <v>124172993.78999999</v>
          </cell>
          <cell r="G55"/>
          <cell r="I55">
            <v>124172993.78999999</v>
          </cell>
        </row>
        <row r="56">
          <cell r="F56"/>
          <cell r="G56"/>
          <cell r="I56">
            <v>0</v>
          </cell>
        </row>
        <row r="57">
          <cell r="F57"/>
          <cell r="G57"/>
          <cell r="I57">
            <v>0</v>
          </cell>
        </row>
        <row r="58">
          <cell r="F58">
            <v>0</v>
          </cell>
          <cell r="G58"/>
          <cell r="I58">
            <v>0</v>
          </cell>
        </row>
        <row r="59">
          <cell r="F59">
            <v>0</v>
          </cell>
          <cell r="G59"/>
          <cell r="I59">
            <v>0</v>
          </cell>
        </row>
        <row r="60">
          <cell r="F60">
            <v>0</v>
          </cell>
          <cell r="G60"/>
          <cell r="I60">
            <v>0</v>
          </cell>
        </row>
        <row r="61">
          <cell r="F61"/>
          <cell r="G61"/>
          <cell r="I61">
            <v>0</v>
          </cell>
        </row>
        <row r="62">
          <cell r="F62"/>
          <cell r="G62"/>
          <cell r="I62">
            <v>0</v>
          </cell>
        </row>
        <row r="63">
          <cell r="F63">
            <v>1280667.5965049998</v>
          </cell>
          <cell r="G63"/>
          <cell r="I63">
            <v>1280667.5965049998</v>
          </cell>
        </row>
        <row r="64">
          <cell r="F64">
            <v>47189.803495000058</v>
          </cell>
          <cell r="G64"/>
          <cell r="I64">
            <v>47189.803495000058</v>
          </cell>
        </row>
        <row r="65">
          <cell r="F65">
            <v>1327857.3999999999</v>
          </cell>
          <cell r="G65"/>
          <cell r="I65">
            <v>1327857.3999999999</v>
          </cell>
        </row>
        <row r="66">
          <cell r="F66"/>
          <cell r="G66"/>
          <cell r="I66">
            <v>0</v>
          </cell>
        </row>
        <row r="67">
          <cell r="F67"/>
          <cell r="G67"/>
          <cell r="I67">
            <v>0</v>
          </cell>
        </row>
        <row r="68">
          <cell r="F68">
            <v>0</v>
          </cell>
          <cell r="G68"/>
          <cell r="I68">
            <v>0</v>
          </cell>
        </row>
        <row r="69">
          <cell r="F69">
            <v>0</v>
          </cell>
          <cell r="G69"/>
          <cell r="I69">
            <v>0</v>
          </cell>
        </row>
        <row r="70">
          <cell r="F70">
            <v>0</v>
          </cell>
          <cell r="G70"/>
          <cell r="I70">
            <v>0</v>
          </cell>
        </row>
        <row r="71">
          <cell r="F71"/>
          <cell r="G71"/>
          <cell r="I71">
            <v>0</v>
          </cell>
        </row>
        <row r="72">
          <cell r="F72"/>
          <cell r="G72"/>
          <cell r="I72">
            <v>0</v>
          </cell>
        </row>
        <row r="73">
          <cell r="F73">
            <v>-6988002.4825362936</v>
          </cell>
          <cell r="G73"/>
          <cell r="I73">
            <v>-6988002.4825362936</v>
          </cell>
        </row>
        <row r="74">
          <cell r="F74">
            <v>-333710.48746370198</v>
          </cell>
          <cell r="G74"/>
          <cell r="I74">
            <v>-333710.48746370198</v>
          </cell>
        </row>
        <row r="75">
          <cell r="F75">
            <v>-7321712.9699999951</v>
          </cell>
          <cell r="G75"/>
          <cell r="I75">
            <v>-7321712.9699999951</v>
          </cell>
        </row>
        <row r="76">
          <cell r="F76"/>
          <cell r="G76"/>
          <cell r="I76">
            <v>0</v>
          </cell>
        </row>
        <row r="77">
          <cell r="F77"/>
          <cell r="G77"/>
          <cell r="I77">
            <v>0</v>
          </cell>
        </row>
        <row r="78">
          <cell r="F78">
            <v>0</v>
          </cell>
          <cell r="G78"/>
          <cell r="I78">
            <v>0</v>
          </cell>
        </row>
        <row r="79">
          <cell r="F79">
            <v>0</v>
          </cell>
          <cell r="G79"/>
          <cell r="I79">
            <v>0</v>
          </cell>
        </row>
        <row r="80">
          <cell r="F80">
            <v>0</v>
          </cell>
          <cell r="G80"/>
          <cell r="I80">
            <v>0</v>
          </cell>
        </row>
        <row r="81">
          <cell r="F81"/>
          <cell r="G81"/>
          <cell r="I81">
            <v>0</v>
          </cell>
        </row>
        <row r="82">
          <cell r="F82"/>
          <cell r="G82"/>
          <cell r="I82">
            <v>0</v>
          </cell>
        </row>
        <row r="83">
          <cell r="F83">
            <v>70911454.520070195</v>
          </cell>
          <cell r="G83"/>
          <cell r="I83">
            <v>70911454.520070195</v>
          </cell>
        </row>
        <row r="84">
          <cell r="F84">
            <v>2569744.0599297993</v>
          </cell>
          <cell r="G84"/>
          <cell r="I84">
            <v>2569744.0599297993</v>
          </cell>
        </row>
        <row r="85">
          <cell r="F85">
            <v>73481198.579999998</v>
          </cell>
          <cell r="G85"/>
          <cell r="I85">
            <v>73481198.579999998</v>
          </cell>
        </row>
        <row r="86">
          <cell r="F86"/>
          <cell r="G86"/>
          <cell r="I86">
            <v>0</v>
          </cell>
        </row>
        <row r="87">
          <cell r="F87"/>
          <cell r="G87"/>
          <cell r="I87">
            <v>0</v>
          </cell>
        </row>
        <row r="88">
          <cell r="F88">
            <v>-74590296.669899002</v>
          </cell>
          <cell r="G88"/>
          <cell r="I88">
            <v>-74590296.669899002</v>
          </cell>
        </row>
        <row r="89">
          <cell r="F89">
            <v>-2447988.1101010013</v>
          </cell>
          <cell r="G89"/>
          <cell r="I89">
            <v>-2447988.1101010013</v>
          </cell>
        </row>
        <row r="90">
          <cell r="F90">
            <v>-77038284.780000001</v>
          </cell>
          <cell r="G90"/>
          <cell r="I90">
            <v>-77038284.780000001</v>
          </cell>
        </row>
        <row r="91">
          <cell r="F91"/>
          <cell r="G91"/>
          <cell r="I91">
            <v>0</v>
          </cell>
        </row>
        <row r="92">
          <cell r="F92"/>
          <cell r="G92"/>
          <cell r="I92">
            <v>0</v>
          </cell>
        </row>
        <row r="93">
          <cell r="F93">
            <v>3829995.61668</v>
          </cell>
          <cell r="G93"/>
          <cell r="I93">
            <v>3829995.61668</v>
          </cell>
        </row>
        <row r="94">
          <cell r="F94">
            <v>138806.38331999991</v>
          </cell>
          <cell r="G94"/>
          <cell r="I94">
            <v>138806.38331999991</v>
          </cell>
        </row>
        <row r="95">
          <cell r="F95">
            <v>3968802</v>
          </cell>
          <cell r="G95"/>
          <cell r="I95">
            <v>3968802</v>
          </cell>
        </row>
        <row r="96">
          <cell r="F96"/>
          <cell r="G96"/>
          <cell r="I96">
            <v>0</v>
          </cell>
        </row>
        <row r="97">
          <cell r="F97"/>
          <cell r="G97"/>
          <cell r="I97">
            <v>0</v>
          </cell>
        </row>
        <row r="98">
          <cell r="F98">
            <v>310247092.58867115</v>
          </cell>
          <cell r="G98"/>
          <cell r="I98">
            <v>310247092.58867115</v>
          </cell>
        </row>
        <row r="99">
          <cell r="F99">
            <v>11198142.051328894</v>
          </cell>
          <cell r="G99"/>
          <cell r="I99">
            <v>11198142.051328894</v>
          </cell>
        </row>
        <row r="100">
          <cell r="F100">
            <v>321445234.64000005</v>
          </cell>
          <cell r="G100"/>
          <cell r="I100">
            <v>321445234.64000005</v>
          </cell>
        </row>
        <row r="101">
          <cell r="F101"/>
          <cell r="G101"/>
          <cell r="I101">
            <v>0</v>
          </cell>
        </row>
        <row r="102">
          <cell r="F102"/>
          <cell r="G102"/>
          <cell r="I102">
            <v>0</v>
          </cell>
        </row>
        <row r="103">
          <cell r="F103">
            <v>0</v>
          </cell>
          <cell r="G103"/>
          <cell r="I103">
            <v>0</v>
          </cell>
        </row>
        <row r="104">
          <cell r="F104">
            <v>0</v>
          </cell>
          <cell r="G104"/>
          <cell r="I104">
            <v>0</v>
          </cell>
        </row>
        <row r="105">
          <cell r="F105">
            <v>0</v>
          </cell>
          <cell r="G105"/>
          <cell r="I105">
            <v>0</v>
          </cell>
        </row>
        <row r="106">
          <cell r="F106"/>
          <cell r="G106"/>
          <cell r="I106">
            <v>0</v>
          </cell>
        </row>
        <row r="107">
          <cell r="F107"/>
          <cell r="G107"/>
          <cell r="I107">
            <v>0</v>
          </cell>
        </row>
        <row r="108">
          <cell r="F108">
            <v>0</v>
          </cell>
          <cell r="G108"/>
          <cell r="I108">
            <v>0</v>
          </cell>
        </row>
        <row r="109">
          <cell r="F109">
            <v>0</v>
          </cell>
          <cell r="G109"/>
          <cell r="I109">
            <v>0</v>
          </cell>
        </row>
        <row r="110">
          <cell r="F110">
            <v>0</v>
          </cell>
          <cell r="G110"/>
          <cell r="I110">
            <v>0</v>
          </cell>
        </row>
        <row r="111">
          <cell r="F111"/>
          <cell r="G111"/>
          <cell r="I111">
            <v>0</v>
          </cell>
        </row>
        <row r="112">
          <cell r="F112"/>
          <cell r="G112"/>
          <cell r="I112">
            <v>0</v>
          </cell>
        </row>
        <row r="113">
          <cell r="F113">
            <v>66406271.801191397</v>
          </cell>
          <cell r="G113"/>
          <cell r="I113">
            <v>66406271.801191397</v>
          </cell>
        </row>
        <row r="114">
          <cell r="F114">
            <v>2404857.5888085989</v>
          </cell>
          <cell r="G114"/>
          <cell r="I114">
            <v>2404857.5888085989</v>
          </cell>
        </row>
        <row r="115">
          <cell r="F115">
            <v>68811129.390000001</v>
          </cell>
          <cell r="G115"/>
          <cell r="I115">
            <v>68811129.390000001</v>
          </cell>
        </row>
        <row r="116">
          <cell r="F116"/>
          <cell r="G116"/>
          <cell r="I116">
            <v>0</v>
          </cell>
        </row>
        <row r="117">
          <cell r="F117"/>
          <cell r="G117"/>
          <cell r="I117">
            <v>0</v>
          </cell>
        </row>
        <row r="118">
          <cell r="F118">
            <v>0</v>
          </cell>
          <cell r="G118"/>
          <cell r="I118">
            <v>0</v>
          </cell>
        </row>
        <row r="119">
          <cell r="F119">
            <v>0</v>
          </cell>
          <cell r="G119"/>
          <cell r="I119">
            <v>0</v>
          </cell>
        </row>
        <row r="120">
          <cell r="F120">
            <v>0</v>
          </cell>
          <cell r="G120"/>
          <cell r="I120">
            <v>0</v>
          </cell>
        </row>
        <row r="121">
          <cell r="F121"/>
          <cell r="G121"/>
          <cell r="I121">
            <v>0</v>
          </cell>
        </row>
        <row r="122">
          <cell r="F122"/>
          <cell r="G122"/>
          <cell r="I122">
            <v>0</v>
          </cell>
        </row>
        <row r="123">
          <cell r="F123">
            <v>0</v>
          </cell>
          <cell r="G123"/>
          <cell r="I123">
            <v>0</v>
          </cell>
        </row>
        <row r="124">
          <cell r="F124">
            <v>536824955.34828264</v>
          </cell>
          <cell r="G124"/>
          <cell r="I124">
            <v>536824955.34828264</v>
          </cell>
        </row>
        <row r="125">
          <cell r="F125">
            <v>0</v>
          </cell>
          <cell r="G125"/>
          <cell r="I125">
            <v>0</v>
          </cell>
        </row>
        <row r="126">
          <cell r="F126">
            <v>18575633.42171739</v>
          </cell>
          <cell r="G126"/>
          <cell r="I126">
            <v>18575633.42171739</v>
          </cell>
        </row>
        <row r="127">
          <cell r="F127">
            <v>-360521.46434062719</v>
          </cell>
          <cell r="G127"/>
          <cell r="I127">
            <v>-360521.46434062719</v>
          </cell>
        </row>
        <row r="128">
          <cell r="F128">
            <v>909617.26029350981</v>
          </cell>
          <cell r="G128"/>
          <cell r="I128">
            <v>909617.26029350981</v>
          </cell>
        </row>
        <row r="129">
          <cell r="F129"/>
          <cell r="G129"/>
          <cell r="I129">
            <v>0</v>
          </cell>
        </row>
        <row r="130">
          <cell r="F130"/>
          <cell r="G130"/>
          <cell r="I130">
            <v>0</v>
          </cell>
        </row>
        <row r="131">
          <cell r="F131">
            <v>555949684.56595278</v>
          </cell>
          <cell r="G131"/>
          <cell r="I131">
            <v>555949684.56595278</v>
          </cell>
        </row>
        <row r="132">
          <cell r="F132">
            <v>555400588.76999998</v>
          </cell>
          <cell r="G132"/>
          <cell r="I132">
            <v>555400588.76999998</v>
          </cell>
        </row>
        <row r="133">
          <cell r="F133"/>
          <cell r="G133"/>
          <cell r="I133"/>
        </row>
        <row r="134">
          <cell r="F134"/>
          <cell r="G134"/>
          <cell r="I134"/>
        </row>
        <row r="135">
          <cell r="F135"/>
          <cell r="G135"/>
          <cell r="I135"/>
        </row>
        <row r="136">
          <cell r="F136"/>
          <cell r="G136"/>
          <cell r="I136"/>
        </row>
        <row r="137">
          <cell r="F137"/>
          <cell r="G137"/>
          <cell r="I137"/>
        </row>
        <row r="138">
          <cell r="F138">
            <v>-14233</v>
          </cell>
          <cell r="G138"/>
          <cell r="I138">
            <v>-14233</v>
          </cell>
        </row>
        <row r="139">
          <cell r="F139">
            <v>-893091.92999999993</v>
          </cell>
          <cell r="G139"/>
          <cell r="I139">
            <v>-893091.92999999993</v>
          </cell>
        </row>
        <row r="140">
          <cell r="F140"/>
          <cell r="G140"/>
          <cell r="I140">
            <v>0</v>
          </cell>
        </row>
        <row r="141">
          <cell r="F141">
            <v>-907324.92999999993</v>
          </cell>
          <cell r="G141"/>
          <cell r="I141">
            <v>-907324.92999999993</v>
          </cell>
        </row>
        <row r="142">
          <cell r="F142"/>
          <cell r="G142"/>
          <cell r="I142"/>
        </row>
        <row r="143">
          <cell r="F143"/>
          <cell r="G143"/>
          <cell r="I143"/>
        </row>
        <row r="144">
          <cell r="F144"/>
          <cell r="G144"/>
          <cell r="I144"/>
        </row>
        <row r="145">
          <cell r="F145"/>
          <cell r="G145"/>
          <cell r="I145"/>
        </row>
        <row r="146">
          <cell r="F146">
            <v>11130355.119999999</v>
          </cell>
          <cell r="G146"/>
          <cell r="I146">
            <v>11130355.119999999</v>
          </cell>
        </row>
        <row r="147">
          <cell r="F147">
            <v>643277.56000000017</v>
          </cell>
          <cell r="G147"/>
          <cell r="I147">
            <v>643277.56000000017</v>
          </cell>
        </row>
        <row r="148">
          <cell r="F148">
            <v>11773632.68</v>
          </cell>
          <cell r="G148"/>
          <cell r="I148">
            <v>11773632.68</v>
          </cell>
        </row>
        <row r="149">
          <cell r="F149"/>
          <cell r="G149"/>
          <cell r="I149"/>
        </row>
        <row r="150">
          <cell r="F150"/>
          <cell r="G150"/>
          <cell r="I150"/>
        </row>
        <row r="151">
          <cell r="F151">
            <v>1879996.2199999997</v>
          </cell>
          <cell r="G151"/>
          <cell r="I151">
            <v>1879996.2199999997</v>
          </cell>
        </row>
        <row r="152">
          <cell r="F152">
            <v>30806.410000000003</v>
          </cell>
          <cell r="G152"/>
          <cell r="I152">
            <v>30806.410000000003</v>
          </cell>
        </row>
        <row r="153">
          <cell r="F153">
            <v>1910802.6299999997</v>
          </cell>
          <cell r="G153"/>
          <cell r="I153">
            <v>1910802.6299999997</v>
          </cell>
        </row>
        <row r="154">
          <cell r="F154"/>
          <cell r="G154"/>
          <cell r="I154"/>
        </row>
        <row r="155">
          <cell r="F155"/>
          <cell r="G155"/>
          <cell r="I155"/>
        </row>
        <row r="156">
          <cell r="F156">
            <v>0</v>
          </cell>
          <cell r="G156"/>
          <cell r="I156">
            <v>0</v>
          </cell>
        </row>
        <row r="157">
          <cell r="F157">
            <v>0</v>
          </cell>
          <cell r="G157"/>
          <cell r="I157">
            <v>0</v>
          </cell>
        </row>
        <row r="158">
          <cell r="F158">
            <v>0</v>
          </cell>
          <cell r="G158"/>
          <cell r="I158">
            <v>0</v>
          </cell>
        </row>
        <row r="159">
          <cell r="F159"/>
          <cell r="G159"/>
          <cell r="I159"/>
        </row>
        <row r="160">
          <cell r="F160"/>
          <cell r="G160"/>
          <cell r="I160"/>
        </row>
        <row r="161">
          <cell r="F161">
            <v>14233</v>
          </cell>
          <cell r="G161"/>
          <cell r="I161">
            <v>14233</v>
          </cell>
        </row>
        <row r="162">
          <cell r="F162">
            <v>0</v>
          </cell>
          <cell r="G162"/>
          <cell r="I162">
            <v>0</v>
          </cell>
        </row>
        <row r="163">
          <cell r="F163">
            <v>14233</v>
          </cell>
          <cell r="G163"/>
          <cell r="I163">
            <v>14233</v>
          </cell>
        </row>
        <row r="164">
          <cell r="F164"/>
          <cell r="G164"/>
          <cell r="I164"/>
        </row>
        <row r="165">
          <cell r="F165"/>
          <cell r="G165"/>
          <cell r="I165"/>
        </row>
        <row r="166">
          <cell r="F166">
            <v>12278206.640000001</v>
          </cell>
          <cell r="G166"/>
          <cell r="I166">
            <v>12278206.640000001</v>
          </cell>
        </row>
        <row r="167">
          <cell r="F167">
            <v>451742.14</v>
          </cell>
          <cell r="G167"/>
          <cell r="I167">
            <v>451742.14</v>
          </cell>
        </row>
        <row r="168">
          <cell r="F168">
            <v>12729948.780000001</v>
          </cell>
          <cell r="G168"/>
          <cell r="I168">
            <v>12729948.780000001</v>
          </cell>
        </row>
        <row r="169">
          <cell r="F169"/>
          <cell r="G169"/>
          <cell r="I169"/>
        </row>
        <row r="170">
          <cell r="F170"/>
          <cell r="G170"/>
          <cell r="I170"/>
        </row>
        <row r="171">
          <cell r="F171">
            <v>2204987.8800000004</v>
          </cell>
          <cell r="G171"/>
          <cell r="I171">
            <v>2204987.8800000004</v>
          </cell>
        </row>
        <row r="172">
          <cell r="F172">
            <v>139069.87000000002</v>
          </cell>
          <cell r="G172"/>
          <cell r="I172">
            <v>139069.87000000002</v>
          </cell>
        </row>
        <row r="173">
          <cell r="F173">
            <v>2344057.7500000005</v>
          </cell>
          <cell r="G173"/>
          <cell r="I173">
            <v>2344057.7500000005</v>
          </cell>
        </row>
        <row r="174">
          <cell r="F174"/>
          <cell r="G174"/>
          <cell r="I174"/>
        </row>
        <row r="175">
          <cell r="F175"/>
          <cell r="G175"/>
          <cell r="I175"/>
        </row>
        <row r="176">
          <cell r="F176">
            <v>2725264.3499999996</v>
          </cell>
          <cell r="G176"/>
          <cell r="I176">
            <v>2725264.3499999996</v>
          </cell>
        </row>
        <row r="177">
          <cell r="F177">
            <v>214421.77</v>
          </cell>
          <cell r="G177"/>
          <cell r="I177">
            <v>214421.77</v>
          </cell>
        </row>
        <row r="178">
          <cell r="F178">
            <v>2939686.1199999996</v>
          </cell>
          <cell r="G178"/>
          <cell r="I178">
            <v>2939686.1199999996</v>
          </cell>
        </row>
        <row r="179">
          <cell r="F179"/>
          <cell r="G179"/>
          <cell r="I179"/>
        </row>
        <row r="180">
          <cell r="F180"/>
          <cell r="G180"/>
          <cell r="I180"/>
        </row>
        <row r="181">
          <cell r="F181">
            <v>2960079.4000000004</v>
          </cell>
          <cell r="G181"/>
          <cell r="I181">
            <v>2960079.4000000004</v>
          </cell>
        </row>
        <row r="182">
          <cell r="F182">
            <v>118847.07999999999</v>
          </cell>
          <cell r="G182"/>
          <cell r="I182">
            <v>118847.07999999999</v>
          </cell>
        </row>
        <row r="183">
          <cell r="F183">
            <v>3078926.4800000004</v>
          </cell>
          <cell r="G183"/>
          <cell r="I183">
            <v>3078926.4800000004</v>
          </cell>
        </row>
        <row r="184">
          <cell r="F184"/>
          <cell r="G184"/>
          <cell r="I184"/>
        </row>
        <row r="185">
          <cell r="F185"/>
          <cell r="G185"/>
          <cell r="I185"/>
        </row>
        <row r="186">
          <cell r="F186">
            <v>7913746.8099999987</v>
          </cell>
          <cell r="G186"/>
          <cell r="I186">
            <v>7913746.8099999987</v>
          </cell>
        </row>
        <row r="187">
          <cell r="F187">
            <v>652900.72000000009</v>
          </cell>
          <cell r="G187"/>
          <cell r="I187">
            <v>652900.72000000009</v>
          </cell>
        </row>
        <row r="188">
          <cell r="F188">
            <v>8566647.5299999993</v>
          </cell>
          <cell r="G188"/>
          <cell r="I188">
            <v>8566647.5299999993</v>
          </cell>
        </row>
        <row r="189">
          <cell r="F189"/>
          <cell r="G189"/>
          <cell r="I189"/>
        </row>
        <row r="190">
          <cell r="F190"/>
          <cell r="G190"/>
          <cell r="I190"/>
        </row>
        <row r="191">
          <cell r="F191">
            <v>42721.05</v>
          </cell>
          <cell r="G191"/>
          <cell r="I191">
            <v>42721.05</v>
          </cell>
        </row>
        <row r="192">
          <cell r="F192">
            <v>1403.7900000000002</v>
          </cell>
          <cell r="G192"/>
          <cell r="I192">
            <v>1403.7900000000002</v>
          </cell>
        </row>
        <row r="193">
          <cell r="F193">
            <v>44124.840000000004</v>
          </cell>
          <cell r="G193"/>
          <cell r="I193">
            <v>44124.840000000004</v>
          </cell>
        </row>
        <row r="194">
          <cell r="F194"/>
          <cell r="G194"/>
          <cell r="I194"/>
        </row>
        <row r="195">
          <cell r="F195"/>
          <cell r="G195"/>
          <cell r="I195"/>
        </row>
        <row r="196">
          <cell r="F196">
            <v>542083.92999999993</v>
          </cell>
          <cell r="G196"/>
          <cell r="I196">
            <v>542083.92999999993</v>
          </cell>
        </row>
        <row r="197">
          <cell r="F197">
            <v>16345.48</v>
          </cell>
          <cell r="G197"/>
          <cell r="I197">
            <v>16345.48</v>
          </cell>
        </row>
        <row r="198">
          <cell r="F198">
            <v>558429.40999999992</v>
          </cell>
          <cell r="G198"/>
          <cell r="I198">
            <v>558429.40999999992</v>
          </cell>
        </row>
        <row r="199">
          <cell r="F199"/>
          <cell r="G199"/>
          <cell r="I199"/>
        </row>
        <row r="200">
          <cell r="F200"/>
          <cell r="G200"/>
          <cell r="I200"/>
        </row>
        <row r="201">
          <cell r="F201">
            <v>88322.179999999978</v>
          </cell>
          <cell r="G201"/>
          <cell r="I201">
            <v>88322.179999999978</v>
          </cell>
        </row>
        <row r="202">
          <cell r="F202">
            <v>2954.09</v>
          </cell>
          <cell r="G202"/>
          <cell r="I202">
            <v>2954.09</v>
          </cell>
        </row>
        <row r="203">
          <cell r="F203">
            <v>91276.269999999975</v>
          </cell>
          <cell r="G203"/>
          <cell r="I203">
            <v>91276.269999999975</v>
          </cell>
        </row>
        <row r="204">
          <cell r="F204"/>
          <cell r="G204"/>
          <cell r="I204"/>
        </row>
        <row r="205">
          <cell r="F205"/>
          <cell r="G205"/>
          <cell r="I205"/>
        </row>
        <row r="206">
          <cell r="F206">
            <v>8401730.8399999999</v>
          </cell>
          <cell r="G206"/>
          <cell r="I206">
            <v>8401730.8399999999</v>
          </cell>
        </row>
        <row r="207">
          <cell r="F207">
            <v>133672.81999999998</v>
          </cell>
          <cell r="G207"/>
          <cell r="I207">
            <v>133672.81999999998</v>
          </cell>
        </row>
        <row r="208">
          <cell r="F208">
            <v>8535403.6600000001</v>
          </cell>
          <cell r="G208"/>
          <cell r="I208">
            <v>8535403.6600000001</v>
          </cell>
        </row>
        <row r="209">
          <cell r="F209"/>
          <cell r="G209"/>
          <cell r="I209"/>
        </row>
        <row r="210">
          <cell r="F210"/>
          <cell r="G210"/>
          <cell r="I210"/>
        </row>
        <row r="211">
          <cell r="F211">
            <v>973056.72</v>
          </cell>
          <cell r="G211"/>
          <cell r="I211">
            <v>973056.72</v>
          </cell>
        </row>
        <row r="212">
          <cell r="F212">
            <v>102474.85</v>
          </cell>
          <cell r="G212"/>
          <cell r="I212">
            <v>102474.85</v>
          </cell>
        </row>
        <row r="213">
          <cell r="F213">
            <v>1075531.57</v>
          </cell>
          <cell r="G213"/>
          <cell r="I213">
            <v>1075531.57</v>
          </cell>
        </row>
        <row r="214">
          <cell r="F214"/>
          <cell r="G214"/>
          <cell r="I214"/>
        </row>
        <row r="215">
          <cell r="F215"/>
          <cell r="G215"/>
          <cell r="I215"/>
        </row>
        <row r="216">
          <cell r="F216">
            <v>89094.399999999994</v>
          </cell>
          <cell r="G216"/>
          <cell r="I216">
            <v>89094.399999999994</v>
          </cell>
        </row>
        <row r="217">
          <cell r="F217">
            <v>81722.52</v>
          </cell>
          <cell r="G217"/>
          <cell r="I217">
            <v>81722.52</v>
          </cell>
        </row>
        <row r="218">
          <cell r="F218">
            <v>170816.91999999998</v>
          </cell>
          <cell r="G218"/>
          <cell r="I218">
            <v>170816.91999999998</v>
          </cell>
        </row>
        <row r="219">
          <cell r="F219"/>
          <cell r="G219"/>
          <cell r="I219"/>
        </row>
        <row r="220">
          <cell r="F220"/>
          <cell r="G220"/>
          <cell r="I220"/>
        </row>
        <row r="221">
          <cell r="F221">
            <v>472098.05</v>
          </cell>
          <cell r="G221"/>
          <cell r="I221">
            <v>472098.05</v>
          </cell>
        </row>
        <row r="222">
          <cell r="F222">
            <v>72587.44</v>
          </cell>
          <cell r="G222"/>
          <cell r="I222">
            <v>72587.44</v>
          </cell>
        </row>
        <row r="223">
          <cell r="F223">
            <v>544685.49</v>
          </cell>
          <cell r="G223"/>
          <cell r="I223">
            <v>544685.49</v>
          </cell>
        </row>
        <row r="224">
          <cell r="F224"/>
          <cell r="G224"/>
          <cell r="I224"/>
        </row>
        <row r="225">
          <cell r="F225"/>
          <cell r="G225"/>
          <cell r="I225"/>
        </row>
        <row r="226">
          <cell r="F226">
            <v>569715.0199999999</v>
          </cell>
          <cell r="G226"/>
          <cell r="I226">
            <v>569715.0199999999</v>
          </cell>
        </row>
        <row r="227">
          <cell r="F227">
            <v>1965.9800000000005</v>
          </cell>
          <cell r="G227"/>
          <cell r="I227">
            <v>1965.9800000000005</v>
          </cell>
        </row>
        <row r="228">
          <cell r="F228">
            <v>571680.99999999988</v>
          </cell>
          <cell r="G228"/>
          <cell r="I228">
            <v>571680.99999999988</v>
          </cell>
        </row>
        <row r="229">
          <cell r="F229"/>
          <cell r="G229"/>
          <cell r="I229"/>
        </row>
        <row r="230">
          <cell r="F230"/>
          <cell r="G230"/>
          <cell r="I230"/>
        </row>
        <row r="231">
          <cell r="F231">
            <v>0</v>
          </cell>
          <cell r="G231"/>
          <cell r="I231">
            <v>0</v>
          </cell>
        </row>
        <row r="232">
          <cell r="F232">
            <v>0</v>
          </cell>
          <cell r="G232"/>
          <cell r="I232">
            <v>0</v>
          </cell>
        </row>
        <row r="233">
          <cell r="F233">
            <v>0</v>
          </cell>
          <cell r="G233"/>
          <cell r="I233">
            <v>0</v>
          </cell>
        </row>
        <row r="234">
          <cell r="F234"/>
          <cell r="G234"/>
          <cell r="I234"/>
        </row>
        <row r="235">
          <cell r="F235"/>
          <cell r="G235"/>
          <cell r="I235"/>
        </row>
        <row r="236">
          <cell r="F236">
            <v>0</v>
          </cell>
          <cell r="G236"/>
          <cell r="I236">
            <v>0</v>
          </cell>
        </row>
        <row r="237">
          <cell r="F237">
            <v>0</v>
          </cell>
          <cell r="G237"/>
          <cell r="I237">
            <v>0</v>
          </cell>
        </row>
        <row r="238">
          <cell r="F238">
            <v>0</v>
          </cell>
          <cell r="G238"/>
          <cell r="I238">
            <v>0</v>
          </cell>
        </row>
        <row r="239">
          <cell r="F239"/>
          <cell r="G239"/>
          <cell r="I239"/>
        </row>
        <row r="240">
          <cell r="F240"/>
          <cell r="G240"/>
          <cell r="I240"/>
        </row>
        <row r="241">
          <cell r="F241">
            <v>52285691.609999999</v>
          </cell>
          <cell r="G241"/>
          <cell r="I241">
            <v>52285691.609999999</v>
          </cell>
        </row>
        <row r="242">
          <cell r="F242">
            <v>2664192.5200000005</v>
          </cell>
          <cell r="G242"/>
          <cell r="I242">
            <v>2664192.5200000005</v>
          </cell>
        </row>
        <row r="243">
          <cell r="F243"/>
          <cell r="G243"/>
          <cell r="I243">
            <v>0</v>
          </cell>
        </row>
        <row r="244">
          <cell r="F244">
            <v>54949884.130000003</v>
          </cell>
          <cell r="G244"/>
          <cell r="I244">
            <v>54949884.130000003</v>
          </cell>
        </row>
        <row r="245">
          <cell r="F245"/>
          <cell r="G245"/>
          <cell r="I245"/>
        </row>
        <row r="246">
          <cell r="F246"/>
          <cell r="G246"/>
          <cell r="I246"/>
        </row>
        <row r="247">
          <cell r="F247"/>
          <cell r="G247"/>
          <cell r="I247"/>
        </row>
        <row r="248">
          <cell r="F248"/>
          <cell r="G248"/>
          <cell r="I248"/>
        </row>
        <row r="249">
          <cell r="F249">
            <v>1123201.22</v>
          </cell>
          <cell r="G249"/>
          <cell r="I249">
            <v>1123201.22</v>
          </cell>
        </row>
        <row r="250">
          <cell r="F250">
            <v>23973.87</v>
          </cell>
          <cell r="G250"/>
          <cell r="I250">
            <v>23973.87</v>
          </cell>
        </row>
        <row r="251">
          <cell r="F251">
            <v>1147175.0900000001</v>
          </cell>
          <cell r="G251"/>
          <cell r="I251">
            <v>1147175.0900000001</v>
          </cell>
        </row>
        <row r="252">
          <cell r="F252"/>
          <cell r="G252"/>
          <cell r="I252">
            <v>0</v>
          </cell>
        </row>
        <row r="253">
          <cell r="F253"/>
          <cell r="G253"/>
          <cell r="I253">
            <v>0</v>
          </cell>
        </row>
        <row r="254">
          <cell r="F254">
            <v>1931571.41</v>
          </cell>
          <cell r="G254"/>
          <cell r="I254">
            <v>1931571.41</v>
          </cell>
        </row>
        <row r="255">
          <cell r="F255">
            <v>66802.97</v>
          </cell>
          <cell r="G255"/>
          <cell r="I255">
            <v>66802.97</v>
          </cell>
        </row>
        <row r="256">
          <cell r="F256">
            <v>1998374.38</v>
          </cell>
          <cell r="G256"/>
          <cell r="I256">
            <v>1998374.38</v>
          </cell>
        </row>
        <row r="257">
          <cell r="F257"/>
          <cell r="G257"/>
          <cell r="I257"/>
        </row>
        <row r="258">
          <cell r="F258"/>
          <cell r="G258"/>
          <cell r="I258"/>
        </row>
        <row r="259">
          <cell r="F259">
            <v>13163140.24</v>
          </cell>
          <cell r="G259"/>
          <cell r="I259">
            <v>13163140.24</v>
          </cell>
        </row>
        <row r="260">
          <cell r="F260">
            <v>550191.44000000006</v>
          </cell>
          <cell r="G260"/>
          <cell r="I260">
            <v>550191.44000000006</v>
          </cell>
        </row>
        <row r="261">
          <cell r="F261">
            <v>13713331.68</v>
          </cell>
          <cell r="G261"/>
          <cell r="I261">
            <v>13713331.68</v>
          </cell>
        </row>
        <row r="262">
          <cell r="F262"/>
          <cell r="G262"/>
          <cell r="I262"/>
        </row>
        <row r="263">
          <cell r="F263"/>
          <cell r="G263"/>
          <cell r="I263"/>
        </row>
        <row r="264">
          <cell r="F264">
            <v>139298.02000000002</v>
          </cell>
          <cell r="G264"/>
          <cell r="I264">
            <v>139298.02000000002</v>
          </cell>
        </row>
        <row r="265">
          <cell r="F265">
            <v>34517.85</v>
          </cell>
          <cell r="G265"/>
          <cell r="I265">
            <v>34517.85</v>
          </cell>
        </row>
        <row r="266">
          <cell r="F266">
            <v>173815.87000000002</v>
          </cell>
          <cell r="G266"/>
          <cell r="I266">
            <v>173815.87000000002</v>
          </cell>
        </row>
        <row r="267">
          <cell r="F267"/>
          <cell r="G267"/>
          <cell r="I267"/>
        </row>
        <row r="268">
          <cell r="F268"/>
          <cell r="G268"/>
          <cell r="I268"/>
        </row>
        <row r="269">
          <cell r="F269">
            <v>273728.07</v>
          </cell>
          <cell r="G269"/>
          <cell r="I269">
            <v>273728.07</v>
          </cell>
        </row>
        <row r="270">
          <cell r="F270">
            <v>5135.1100000000006</v>
          </cell>
          <cell r="G270"/>
          <cell r="I270">
            <v>5135.1100000000006</v>
          </cell>
        </row>
        <row r="271">
          <cell r="F271">
            <v>278863.18</v>
          </cell>
          <cell r="G271"/>
          <cell r="I271">
            <v>278863.18</v>
          </cell>
        </row>
        <row r="272">
          <cell r="F272"/>
          <cell r="G272"/>
          <cell r="I272">
            <v>0</v>
          </cell>
        </row>
        <row r="273">
          <cell r="F273"/>
          <cell r="G273"/>
          <cell r="I273">
            <v>0</v>
          </cell>
        </row>
        <row r="274">
          <cell r="F274">
            <v>656083.52999999991</v>
          </cell>
          <cell r="G274"/>
          <cell r="I274">
            <v>656083.52999999991</v>
          </cell>
        </row>
        <row r="275">
          <cell r="F275">
            <v>63801.19999999999</v>
          </cell>
          <cell r="G275"/>
          <cell r="I275">
            <v>63801.19999999999</v>
          </cell>
        </row>
        <row r="276">
          <cell r="F276">
            <v>719884.72999999986</v>
          </cell>
          <cell r="G276"/>
          <cell r="I276">
            <v>719884.72999999986</v>
          </cell>
        </row>
        <row r="277">
          <cell r="F277"/>
          <cell r="G277"/>
          <cell r="I277"/>
        </row>
        <row r="278">
          <cell r="F278"/>
          <cell r="G278"/>
          <cell r="I278"/>
        </row>
        <row r="279">
          <cell r="F279">
            <v>212317.07000000004</v>
          </cell>
          <cell r="G279"/>
          <cell r="I279">
            <v>212317.07000000004</v>
          </cell>
        </row>
        <row r="280">
          <cell r="F280">
            <v>0</v>
          </cell>
          <cell r="G280"/>
          <cell r="I280">
            <v>0</v>
          </cell>
        </row>
        <row r="281">
          <cell r="F281">
            <v>212317.07000000004</v>
          </cell>
          <cell r="G281"/>
          <cell r="I281">
            <v>212317.07000000004</v>
          </cell>
        </row>
        <row r="282">
          <cell r="F282"/>
          <cell r="G282"/>
          <cell r="I282"/>
        </row>
        <row r="283">
          <cell r="F283"/>
          <cell r="G283"/>
          <cell r="I283"/>
        </row>
        <row r="284">
          <cell r="F284">
            <v>841817.97</v>
          </cell>
          <cell r="G284"/>
          <cell r="I284">
            <v>841817.97</v>
          </cell>
        </row>
        <row r="285">
          <cell r="F285">
            <v>0</v>
          </cell>
          <cell r="G285"/>
          <cell r="I285">
            <v>0</v>
          </cell>
        </row>
        <row r="286">
          <cell r="F286">
            <v>841817.97</v>
          </cell>
          <cell r="G286"/>
          <cell r="I286">
            <v>841817.97</v>
          </cell>
        </row>
        <row r="287">
          <cell r="F287"/>
          <cell r="G287"/>
          <cell r="I287"/>
        </row>
        <row r="288">
          <cell r="F288"/>
          <cell r="G288"/>
          <cell r="I288"/>
        </row>
        <row r="289">
          <cell r="F289"/>
          <cell r="G289"/>
          <cell r="I289"/>
        </row>
        <row r="290">
          <cell r="F290">
            <v>0</v>
          </cell>
          <cell r="G290"/>
          <cell r="I290">
            <v>0</v>
          </cell>
        </row>
        <row r="291">
          <cell r="F291">
            <v>0</v>
          </cell>
          <cell r="G291"/>
          <cell r="I291">
            <v>0</v>
          </cell>
        </row>
        <row r="292">
          <cell r="F292">
            <v>0</v>
          </cell>
          <cell r="G292"/>
          <cell r="I292">
            <v>0</v>
          </cell>
        </row>
        <row r="293">
          <cell r="F293"/>
          <cell r="G293"/>
          <cell r="I293"/>
        </row>
        <row r="294">
          <cell r="F294"/>
          <cell r="G294"/>
          <cell r="I294"/>
        </row>
        <row r="295">
          <cell r="F295">
            <v>18341157.530000001</v>
          </cell>
          <cell r="G295"/>
          <cell r="I295">
            <v>18341157.530000001</v>
          </cell>
        </row>
        <row r="296">
          <cell r="F296">
            <v>744422.44</v>
          </cell>
          <cell r="G296"/>
          <cell r="I296">
            <v>744422.44</v>
          </cell>
        </row>
        <row r="297">
          <cell r="F297"/>
          <cell r="G297"/>
          <cell r="I297"/>
        </row>
        <row r="298">
          <cell r="F298">
            <v>19085579.970000003</v>
          </cell>
          <cell r="G298"/>
          <cell r="I298">
            <v>19085579.970000003</v>
          </cell>
        </row>
        <row r="299">
          <cell r="F299"/>
          <cell r="G299"/>
          <cell r="I299"/>
        </row>
        <row r="300">
          <cell r="F300"/>
          <cell r="G300"/>
          <cell r="I300"/>
        </row>
        <row r="301">
          <cell r="F301"/>
          <cell r="G301"/>
          <cell r="I301"/>
        </row>
        <row r="302">
          <cell r="F302"/>
          <cell r="G302"/>
          <cell r="I302"/>
        </row>
        <row r="303">
          <cell r="F303">
            <v>370305.81000000006</v>
          </cell>
          <cell r="G303"/>
          <cell r="I303">
            <v>370305.81000000006</v>
          </cell>
        </row>
        <row r="304">
          <cell r="F304">
            <v>9679.8300000000017</v>
          </cell>
          <cell r="G304"/>
          <cell r="I304">
            <v>9679.8300000000017</v>
          </cell>
        </row>
        <row r="305">
          <cell r="F305">
            <v>379985.64000000007</v>
          </cell>
          <cell r="G305"/>
          <cell r="I305">
            <v>379985.64000000007</v>
          </cell>
        </row>
        <row r="306">
          <cell r="F306"/>
          <cell r="G306"/>
          <cell r="I306"/>
        </row>
        <row r="307">
          <cell r="F307"/>
          <cell r="G307"/>
          <cell r="I307"/>
        </row>
        <row r="308">
          <cell r="F308">
            <v>23269929.850000001</v>
          </cell>
          <cell r="G308"/>
          <cell r="I308">
            <v>23269929.850000001</v>
          </cell>
        </row>
        <row r="309">
          <cell r="F309">
            <v>237202.52999999997</v>
          </cell>
          <cell r="G309"/>
          <cell r="I309">
            <v>237202.52999999997</v>
          </cell>
        </row>
        <row r="310">
          <cell r="F310">
            <v>23507132.380000003</v>
          </cell>
          <cell r="G310"/>
          <cell r="I310">
            <v>23507132.380000003</v>
          </cell>
        </row>
        <row r="311">
          <cell r="F311"/>
          <cell r="G311"/>
          <cell r="I311"/>
        </row>
        <row r="312">
          <cell r="F312"/>
          <cell r="G312"/>
          <cell r="I312"/>
        </row>
        <row r="313">
          <cell r="F313">
            <v>745487.52</v>
          </cell>
          <cell r="G313"/>
          <cell r="I313">
            <v>745487.52</v>
          </cell>
        </row>
        <row r="314">
          <cell r="F314">
            <v>20519.680000000004</v>
          </cell>
          <cell r="G314"/>
          <cell r="I314">
            <v>20519.680000000004</v>
          </cell>
        </row>
        <row r="315">
          <cell r="F315">
            <v>766007.20000000007</v>
          </cell>
          <cell r="G315"/>
          <cell r="I315">
            <v>766007.20000000007</v>
          </cell>
        </row>
        <row r="316">
          <cell r="F316"/>
          <cell r="G316"/>
          <cell r="I316"/>
        </row>
        <row r="317">
          <cell r="F317"/>
          <cell r="G317"/>
          <cell r="I317"/>
        </row>
        <row r="318">
          <cell r="F318">
            <v>0</v>
          </cell>
          <cell r="G318"/>
          <cell r="I318">
            <v>0</v>
          </cell>
        </row>
        <row r="319">
          <cell r="F319">
            <v>0</v>
          </cell>
          <cell r="G319"/>
          <cell r="I319">
            <v>0</v>
          </cell>
        </row>
        <row r="320">
          <cell r="F320">
            <v>0</v>
          </cell>
          <cell r="G320"/>
          <cell r="I320">
            <v>0</v>
          </cell>
        </row>
        <row r="321">
          <cell r="F321"/>
          <cell r="G321"/>
          <cell r="I321"/>
        </row>
        <row r="322">
          <cell r="F322"/>
          <cell r="G322"/>
          <cell r="I322"/>
        </row>
        <row r="323">
          <cell r="F323">
            <v>24385723.18</v>
          </cell>
          <cell r="G323"/>
          <cell r="I323">
            <v>24385723.18</v>
          </cell>
        </row>
        <row r="324">
          <cell r="F324">
            <v>267402.03999999998</v>
          </cell>
          <cell r="G324"/>
          <cell r="I324">
            <v>267402.03999999998</v>
          </cell>
        </row>
        <row r="325">
          <cell r="F325"/>
          <cell r="G325"/>
          <cell r="I325"/>
        </row>
        <row r="326">
          <cell r="F326">
            <v>24653125.219999999</v>
          </cell>
          <cell r="G326"/>
          <cell r="I326">
            <v>24653125.219999999</v>
          </cell>
        </row>
        <row r="327">
          <cell r="F327"/>
          <cell r="G327"/>
          <cell r="I327"/>
        </row>
        <row r="328">
          <cell r="F328"/>
          <cell r="G328"/>
          <cell r="I328"/>
        </row>
        <row r="329">
          <cell r="F329"/>
          <cell r="G329"/>
          <cell r="I329"/>
        </row>
        <row r="330">
          <cell r="F330"/>
          <cell r="G330"/>
          <cell r="I330"/>
        </row>
        <row r="331">
          <cell r="F331">
            <v>4406724.58</v>
          </cell>
          <cell r="G331"/>
          <cell r="I331">
            <v>4406724.58</v>
          </cell>
        </row>
        <row r="332">
          <cell r="F332">
            <v>116002.97</v>
          </cell>
          <cell r="G332"/>
          <cell r="I332">
            <v>116002.97</v>
          </cell>
        </row>
        <row r="333">
          <cell r="F333">
            <v>4522727.55</v>
          </cell>
          <cell r="G333"/>
          <cell r="I333">
            <v>4522727.55</v>
          </cell>
        </row>
        <row r="334">
          <cell r="F334"/>
          <cell r="G334"/>
          <cell r="I334"/>
        </row>
        <row r="335">
          <cell r="F335">
            <v>32693295.829999998</v>
          </cell>
          <cell r="G335"/>
          <cell r="I335">
            <v>32693295.829999998</v>
          </cell>
        </row>
        <row r="336">
          <cell r="F336">
            <v>1489434.61</v>
          </cell>
          <cell r="G336"/>
          <cell r="I336">
            <v>1489434.61</v>
          </cell>
        </row>
        <row r="337">
          <cell r="F337">
            <v>34182730.439999998</v>
          </cell>
          <cell r="G337"/>
          <cell r="I337">
            <v>34182730.439999998</v>
          </cell>
        </row>
        <row r="338">
          <cell r="F338"/>
          <cell r="G338"/>
          <cell r="I338"/>
        </row>
        <row r="339">
          <cell r="F339">
            <v>-3802906.8900000006</v>
          </cell>
          <cell r="G339"/>
          <cell r="I339">
            <v>-3802906.8900000006</v>
          </cell>
        </row>
        <row r="340">
          <cell r="F340">
            <v>-125232.56</v>
          </cell>
          <cell r="G340"/>
          <cell r="I340">
            <v>-125232.56</v>
          </cell>
        </row>
        <row r="341">
          <cell r="F341">
            <v>-3928139.4500000007</v>
          </cell>
          <cell r="G341"/>
          <cell r="I341">
            <v>-3928139.4500000007</v>
          </cell>
        </row>
        <row r="342">
          <cell r="F342"/>
          <cell r="G342"/>
          <cell r="I342"/>
        </row>
        <row r="343">
          <cell r="F343">
            <v>1318004.83</v>
          </cell>
          <cell r="G343"/>
          <cell r="I343">
            <v>1318004.83</v>
          </cell>
        </row>
        <row r="344">
          <cell r="F344">
            <v>81652.27</v>
          </cell>
          <cell r="G344"/>
          <cell r="I344">
            <v>81652.27</v>
          </cell>
        </row>
        <row r="345">
          <cell r="F345">
            <v>1399657.1</v>
          </cell>
          <cell r="G345"/>
          <cell r="I345">
            <v>1399657.1</v>
          </cell>
        </row>
        <row r="346">
          <cell r="F346"/>
          <cell r="G346"/>
          <cell r="I346"/>
        </row>
        <row r="347">
          <cell r="F347">
            <v>304598</v>
          </cell>
          <cell r="G347"/>
          <cell r="I347">
            <v>304598</v>
          </cell>
        </row>
        <row r="348">
          <cell r="F348">
            <v>10049.430000000004</v>
          </cell>
          <cell r="G348"/>
          <cell r="I348">
            <v>10049.430000000004</v>
          </cell>
        </row>
        <row r="349">
          <cell r="F349">
            <v>314647.43</v>
          </cell>
          <cell r="G349"/>
          <cell r="I349">
            <v>314647.43</v>
          </cell>
        </row>
        <row r="350">
          <cell r="F350"/>
          <cell r="G350"/>
          <cell r="I350"/>
        </row>
        <row r="351">
          <cell r="F351">
            <v>11516.189999999999</v>
          </cell>
          <cell r="G351"/>
          <cell r="I351">
            <v>11516.189999999999</v>
          </cell>
        </row>
        <row r="352">
          <cell r="F352">
            <v>224.67000000000002</v>
          </cell>
          <cell r="G352"/>
          <cell r="I352">
            <v>224.67000000000002</v>
          </cell>
        </row>
        <row r="353">
          <cell r="F353">
            <v>11740.859999999999</v>
          </cell>
          <cell r="G353"/>
          <cell r="I353">
            <v>11740.859999999999</v>
          </cell>
        </row>
        <row r="354">
          <cell r="F354"/>
          <cell r="G354"/>
          <cell r="I354"/>
        </row>
        <row r="355">
          <cell r="F355">
            <v>162902.46000000002</v>
          </cell>
          <cell r="G355"/>
          <cell r="I355">
            <v>162902.46000000002</v>
          </cell>
        </row>
        <row r="356">
          <cell r="F356">
            <v>4488.2200000000021</v>
          </cell>
          <cell r="G356"/>
          <cell r="I356">
            <v>4488.2200000000021</v>
          </cell>
        </row>
        <row r="357">
          <cell r="F357">
            <v>167390.68000000002</v>
          </cell>
          <cell r="G357"/>
          <cell r="I357">
            <v>167390.68000000002</v>
          </cell>
        </row>
        <row r="358">
          <cell r="F358"/>
          <cell r="G358"/>
          <cell r="I358"/>
        </row>
        <row r="359">
          <cell r="F359">
            <v>0</v>
          </cell>
          <cell r="G359"/>
          <cell r="I359">
            <v>0</v>
          </cell>
        </row>
        <row r="360">
          <cell r="F360">
            <v>0</v>
          </cell>
          <cell r="G360"/>
          <cell r="I360">
            <v>0</v>
          </cell>
        </row>
        <row r="361">
          <cell r="F361">
            <v>0</v>
          </cell>
          <cell r="G361"/>
          <cell r="I361">
            <v>0</v>
          </cell>
        </row>
        <row r="362">
          <cell r="F362"/>
          <cell r="G362"/>
          <cell r="I362"/>
        </row>
        <row r="363">
          <cell r="F363">
            <v>0</v>
          </cell>
          <cell r="G363"/>
          <cell r="I363">
            <v>0</v>
          </cell>
        </row>
        <row r="364">
          <cell r="F364">
            <v>0</v>
          </cell>
          <cell r="G364"/>
          <cell r="I364">
            <v>0</v>
          </cell>
        </row>
        <row r="365">
          <cell r="F365">
            <v>0</v>
          </cell>
          <cell r="G365"/>
          <cell r="I365">
            <v>0</v>
          </cell>
        </row>
        <row r="366">
          <cell r="F366"/>
          <cell r="G366"/>
          <cell r="I366"/>
        </row>
        <row r="367">
          <cell r="F367">
            <v>2062151.78</v>
          </cell>
          <cell r="G367"/>
          <cell r="I367">
            <v>2062151.78</v>
          </cell>
        </row>
        <row r="368">
          <cell r="F368">
            <v>42540.13</v>
          </cell>
          <cell r="G368"/>
          <cell r="I368">
            <v>42540.13</v>
          </cell>
        </row>
        <row r="369">
          <cell r="F369">
            <v>2104691.91</v>
          </cell>
          <cell r="G369"/>
          <cell r="I369">
            <v>2104691.91</v>
          </cell>
        </row>
        <row r="370">
          <cell r="F370"/>
          <cell r="G370"/>
          <cell r="I370"/>
        </row>
        <row r="371">
          <cell r="F371">
            <v>849584.07999999984</v>
          </cell>
          <cell r="G371"/>
          <cell r="I371">
            <v>849584.07999999984</v>
          </cell>
        </row>
        <row r="372">
          <cell r="F372">
            <v>27802.480000000003</v>
          </cell>
          <cell r="G372"/>
          <cell r="I372">
            <v>27802.480000000003</v>
          </cell>
        </row>
        <row r="373">
          <cell r="F373">
            <v>877386.55999999982</v>
          </cell>
          <cell r="G373"/>
          <cell r="I373">
            <v>877386.55999999982</v>
          </cell>
        </row>
        <row r="374">
          <cell r="F374"/>
          <cell r="G374"/>
          <cell r="I374"/>
        </row>
        <row r="375">
          <cell r="F375">
            <v>0</v>
          </cell>
          <cell r="G375"/>
          <cell r="I375">
            <v>0</v>
          </cell>
        </row>
        <row r="376">
          <cell r="F376">
            <v>0</v>
          </cell>
          <cell r="G376"/>
          <cell r="I376">
            <v>0</v>
          </cell>
        </row>
        <row r="377">
          <cell r="F377">
            <v>0</v>
          </cell>
          <cell r="G377"/>
          <cell r="I377">
            <v>0</v>
          </cell>
        </row>
        <row r="378">
          <cell r="F378"/>
          <cell r="G378"/>
          <cell r="I378"/>
        </row>
        <row r="379">
          <cell r="F379"/>
          <cell r="G379"/>
          <cell r="I379"/>
        </row>
        <row r="380">
          <cell r="F380">
            <v>38005870.859999999</v>
          </cell>
          <cell r="G380"/>
          <cell r="I380">
            <v>38005870.859999999</v>
          </cell>
        </row>
        <row r="381">
          <cell r="F381">
            <v>1646962.22</v>
          </cell>
          <cell r="G381"/>
          <cell r="I381">
            <v>1646962.22</v>
          </cell>
        </row>
        <row r="382">
          <cell r="F382">
            <v>39652833.079999998</v>
          </cell>
          <cell r="G382"/>
          <cell r="I382">
            <v>39652833.079999998</v>
          </cell>
        </row>
        <row r="383">
          <cell r="F383">
            <v>137434097.47</v>
          </cell>
          <cell r="G383"/>
          <cell r="I383">
            <v>137434097.47</v>
          </cell>
        </row>
        <row r="384">
          <cell r="F384"/>
          <cell r="G384"/>
          <cell r="I384"/>
        </row>
        <row r="385">
          <cell r="F385"/>
          <cell r="G385"/>
          <cell r="I385"/>
        </row>
        <row r="386">
          <cell r="F386"/>
          <cell r="G386"/>
          <cell r="I386"/>
        </row>
        <row r="387">
          <cell r="F387"/>
          <cell r="G387"/>
          <cell r="I387"/>
        </row>
        <row r="388">
          <cell r="F388">
            <v>649452.47999999986</v>
          </cell>
          <cell r="G388"/>
          <cell r="I388">
            <v>649452.47999999986</v>
          </cell>
        </row>
        <row r="389">
          <cell r="F389">
            <v>1756908.57</v>
          </cell>
          <cell r="G389"/>
          <cell r="I389">
            <v>1756908.57</v>
          </cell>
        </row>
        <row r="390">
          <cell r="F390">
            <v>55992912.410000004</v>
          </cell>
          <cell r="G390"/>
          <cell r="I390">
            <v>55992912.410000004</v>
          </cell>
        </row>
        <row r="391">
          <cell r="F391">
            <v>8318552.7500000047</v>
          </cell>
          <cell r="G391"/>
          <cell r="I391">
            <v>8318552.7500000047</v>
          </cell>
        </row>
        <row r="392">
          <cell r="F392">
            <v>66717826.210000008</v>
          </cell>
          <cell r="G392"/>
          <cell r="I392">
            <v>66717826.210000008</v>
          </cell>
        </row>
        <row r="393">
          <cell r="F393"/>
          <cell r="G393"/>
          <cell r="I393"/>
        </row>
        <row r="394">
          <cell r="F394"/>
          <cell r="G394"/>
          <cell r="I394"/>
        </row>
        <row r="395">
          <cell r="F395">
            <v>17107.560000000001</v>
          </cell>
          <cell r="G395"/>
          <cell r="I395">
            <v>17107.560000000001</v>
          </cell>
        </row>
        <row r="396">
          <cell r="F396">
            <v>0</v>
          </cell>
          <cell r="G396"/>
          <cell r="I396">
            <v>0</v>
          </cell>
        </row>
        <row r="397">
          <cell r="F397">
            <v>0</v>
          </cell>
          <cell r="G397"/>
          <cell r="I397">
            <v>0</v>
          </cell>
        </row>
        <row r="398">
          <cell r="F398">
            <v>0</v>
          </cell>
          <cell r="G398"/>
          <cell r="I398">
            <v>0</v>
          </cell>
        </row>
        <row r="399">
          <cell r="F399">
            <v>17107.560000000001</v>
          </cell>
          <cell r="G399"/>
          <cell r="I399">
            <v>17107.560000000001</v>
          </cell>
        </row>
        <row r="400">
          <cell r="F400"/>
          <cell r="G400"/>
          <cell r="I400">
            <v>0</v>
          </cell>
        </row>
        <row r="401">
          <cell r="F401">
            <v>66734933.770000011</v>
          </cell>
          <cell r="G401"/>
          <cell r="I401">
            <v>66734933.770000011</v>
          </cell>
        </row>
        <row r="402">
          <cell r="F402"/>
          <cell r="G402"/>
          <cell r="I402"/>
        </row>
        <row r="403">
          <cell r="F403"/>
          <cell r="G403"/>
          <cell r="I403"/>
        </row>
        <row r="404">
          <cell r="F404"/>
          <cell r="G404"/>
          <cell r="I404"/>
        </row>
        <row r="405">
          <cell r="F405">
            <v>0</v>
          </cell>
          <cell r="G405"/>
          <cell r="I405">
            <v>0</v>
          </cell>
        </row>
        <row r="406">
          <cell r="F406">
            <v>843251.16999999993</v>
          </cell>
          <cell r="G406"/>
          <cell r="I406">
            <v>843251.16999999993</v>
          </cell>
        </row>
        <row r="407">
          <cell r="F407">
            <v>19756919.129999999</v>
          </cell>
          <cell r="G407"/>
          <cell r="I407">
            <v>19756919.129999999</v>
          </cell>
        </row>
        <row r="408">
          <cell r="F408">
            <v>1657671.9599999997</v>
          </cell>
          <cell r="G408"/>
          <cell r="I408">
            <v>1657671.9599999997</v>
          </cell>
        </row>
        <row r="409">
          <cell r="F409">
            <v>22257842.260000002</v>
          </cell>
          <cell r="G409"/>
          <cell r="I409">
            <v>22257842.260000002</v>
          </cell>
        </row>
        <row r="410">
          <cell r="F410"/>
          <cell r="G410"/>
          <cell r="I410"/>
        </row>
        <row r="411">
          <cell r="F411">
            <v>41536613.329999991</v>
          </cell>
          <cell r="G411"/>
          <cell r="I411">
            <v>41536613.329999991</v>
          </cell>
        </row>
        <row r="412">
          <cell r="F412"/>
          <cell r="G412"/>
          <cell r="I412"/>
        </row>
        <row r="413">
          <cell r="F413">
            <v>651828.49000000069</v>
          </cell>
          <cell r="G413"/>
          <cell r="I413">
            <v>651828.49000000069</v>
          </cell>
        </row>
        <row r="414">
          <cell r="F414"/>
          <cell r="G414"/>
          <cell r="I414"/>
        </row>
        <row r="415">
          <cell r="F415">
            <v>5456116.0800000001</v>
          </cell>
          <cell r="G415"/>
          <cell r="I415">
            <v>5456116.0800000001</v>
          </cell>
        </row>
        <row r="416">
          <cell r="F416"/>
          <cell r="G416"/>
          <cell r="I416"/>
        </row>
        <row r="417">
          <cell r="F417">
            <v>0</v>
          </cell>
          <cell r="G417"/>
          <cell r="I417">
            <v>0</v>
          </cell>
        </row>
        <row r="418">
          <cell r="F418"/>
          <cell r="G418"/>
          <cell r="I418"/>
        </row>
        <row r="419">
          <cell r="F419">
            <v>0</v>
          </cell>
          <cell r="G419"/>
          <cell r="I419">
            <v>0</v>
          </cell>
        </row>
        <row r="420">
          <cell r="F420"/>
          <cell r="G420"/>
          <cell r="I420"/>
        </row>
        <row r="421">
          <cell r="F421">
            <v>0</v>
          </cell>
          <cell r="G421"/>
          <cell r="I421">
            <v>0</v>
          </cell>
        </row>
        <row r="422">
          <cell r="F422"/>
          <cell r="G422"/>
          <cell r="I422"/>
        </row>
        <row r="423">
          <cell r="F423">
            <v>0</v>
          </cell>
          <cell r="G423"/>
          <cell r="I423">
            <v>0</v>
          </cell>
        </row>
        <row r="424">
          <cell r="F424"/>
          <cell r="G424"/>
          <cell r="I424"/>
        </row>
        <row r="425">
          <cell r="F425">
            <v>69902400.159999996</v>
          </cell>
          <cell r="G425"/>
          <cell r="I425">
            <v>69902400.159999996</v>
          </cell>
        </row>
        <row r="426">
          <cell r="F426"/>
          <cell r="G426"/>
          <cell r="I426"/>
        </row>
        <row r="427">
          <cell r="F427"/>
          <cell r="G427"/>
          <cell r="I427"/>
        </row>
        <row r="428">
          <cell r="F428">
            <v>136637333.93000001</v>
          </cell>
          <cell r="G428"/>
          <cell r="I428">
            <v>136637333.93000001</v>
          </cell>
        </row>
        <row r="429">
          <cell r="F429"/>
          <cell r="G429"/>
          <cell r="I429"/>
        </row>
        <row r="430">
          <cell r="F430">
            <v>88992776.030000016</v>
          </cell>
          <cell r="G430"/>
          <cell r="I430">
            <v>88992776.030000016</v>
          </cell>
        </row>
        <row r="431">
          <cell r="F431">
            <v>830021115.96595287</v>
          </cell>
          <cell r="G431"/>
          <cell r="H431"/>
          <cell r="I431">
            <v>830021115.96595287</v>
          </cell>
        </row>
        <row r="434">
          <cell r="F434"/>
        </row>
      </sheetData>
      <sheetData sheetId="10"/>
      <sheetData sheetId="11"/>
      <sheetData sheetId="12">
        <row r="22">
          <cell r="H22">
            <v>4383333.2346300008</v>
          </cell>
        </row>
        <row r="23">
          <cell r="H23">
            <v>387467.42958</v>
          </cell>
        </row>
      </sheetData>
      <sheetData sheetId="13">
        <row r="6">
          <cell r="D6" t="str">
            <v xml:space="preserve"> Reserve accrual </v>
          </cell>
        </row>
        <row r="9">
          <cell r="D9"/>
        </row>
        <row r="10">
          <cell r="D10"/>
        </row>
        <row r="11">
          <cell r="D11">
            <v>337092</v>
          </cell>
        </row>
        <row r="12">
          <cell r="D12">
            <v>0</v>
          </cell>
        </row>
        <row r="13">
          <cell r="D13">
            <v>34800</v>
          </cell>
        </row>
        <row r="14">
          <cell r="D14">
            <v>215113</v>
          </cell>
        </row>
        <row r="15">
          <cell r="D15">
            <v>107195</v>
          </cell>
        </row>
        <row r="16">
          <cell r="D16">
            <v>694200</v>
          </cell>
        </row>
        <row r="17">
          <cell r="D17">
            <v>138840</v>
          </cell>
        </row>
        <row r="18">
          <cell r="D18"/>
        </row>
        <row r="19">
          <cell r="D19"/>
        </row>
        <row r="20">
          <cell r="D20">
            <v>143507</v>
          </cell>
        </row>
        <row r="22">
          <cell r="D22">
            <v>-4667</v>
          </cell>
        </row>
        <row r="23">
          <cell r="D23"/>
        </row>
        <row r="24">
          <cell r="D24"/>
        </row>
        <row r="25">
          <cell r="D25">
            <v>-4515.3342450875971</v>
          </cell>
        </row>
        <row r="26">
          <cell r="D26">
            <v>-151.6657549124034</v>
          </cell>
        </row>
        <row r="27">
          <cell r="D27">
            <v>-4667.0000000000009</v>
          </cell>
        </row>
        <row r="29">
          <cell r="D29"/>
        </row>
        <row r="30">
          <cell r="D30"/>
        </row>
        <row r="31">
          <cell r="D31"/>
        </row>
        <row r="32">
          <cell r="D32"/>
        </row>
      </sheetData>
      <sheetData sheetId="14">
        <row r="6">
          <cell r="I6"/>
          <cell r="J6" t="str">
            <v xml:space="preserve"> Don &amp; Membership </v>
          </cell>
          <cell r="K6"/>
        </row>
        <row r="7">
          <cell r="I7"/>
          <cell r="J7"/>
        </row>
        <row r="8">
          <cell r="I8"/>
          <cell r="J8">
            <v>-156846.26848200001</v>
          </cell>
        </row>
        <row r="9">
          <cell r="I9"/>
          <cell r="J9">
            <v>-29569.379999999997</v>
          </cell>
          <cell r="K9"/>
        </row>
        <row r="10">
          <cell r="I10"/>
          <cell r="J10">
            <v>-186415.64848200002</v>
          </cell>
        </row>
        <row r="11">
          <cell r="I11"/>
        </row>
        <row r="12">
          <cell r="I12"/>
        </row>
        <row r="13">
          <cell r="I13"/>
        </row>
        <row r="14">
          <cell r="I14"/>
          <cell r="J14">
            <v>-180357.60904456532</v>
          </cell>
        </row>
        <row r="15">
          <cell r="I15"/>
          <cell r="J15">
            <v>-6058.0394374347034</v>
          </cell>
        </row>
        <row r="16">
          <cell r="I16"/>
          <cell r="J16">
            <v>-186415.64848200002</v>
          </cell>
        </row>
        <row r="17">
          <cell r="I17"/>
        </row>
        <row r="18">
          <cell r="I18"/>
        </row>
        <row r="19">
          <cell r="I19"/>
          <cell r="J19"/>
          <cell r="K19"/>
        </row>
        <row r="20">
          <cell r="I20"/>
          <cell r="J20"/>
          <cell r="K20"/>
        </row>
        <row r="21">
          <cell r="I21"/>
          <cell r="J21"/>
          <cell r="K21"/>
        </row>
        <row r="22">
          <cell r="I22"/>
          <cell r="J22"/>
          <cell r="K22"/>
        </row>
        <row r="23">
          <cell r="I23"/>
          <cell r="J23"/>
          <cell r="K23"/>
        </row>
        <row r="24">
          <cell r="J24"/>
        </row>
      </sheetData>
      <sheetData sheetId="15">
        <row r="10">
          <cell r="D10" t="str">
            <v xml:space="preserve"> Advertising </v>
          </cell>
        </row>
        <row r="11">
          <cell r="D11"/>
        </row>
        <row r="13">
          <cell r="D13"/>
        </row>
        <row r="14">
          <cell r="D14">
            <v>0</v>
          </cell>
        </row>
        <row r="15">
          <cell r="D15">
            <v>3504</v>
          </cell>
        </row>
        <row r="16">
          <cell r="D16">
            <v>943.94749999999999</v>
          </cell>
        </row>
        <row r="17">
          <cell r="D17">
            <v>1448.45</v>
          </cell>
        </row>
        <row r="18">
          <cell r="D18">
            <v>0</v>
          </cell>
        </row>
        <row r="19">
          <cell r="D19"/>
        </row>
        <row r="20">
          <cell r="D20"/>
        </row>
        <row r="21">
          <cell r="D21">
            <v>5896.3975</v>
          </cell>
        </row>
        <row r="22">
          <cell r="D22"/>
        </row>
        <row r="23">
          <cell r="D23"/>
        </row>
        <row r="24">
          <cell r="D24">
            <v>-5896.3975</v>
          </cell>
        </row>
        <row r="25">
          <cell r="D25"/>
        </row>
        <row r="26">
          <cell r="D26">
            <v>-5704.7794202697432</v>
          </cell>
        </row>
        <row r="27">
          <cell r="D27">
            <v>-191.61807973025674</v>
          </cell>
        </row>
        <row r="28">
          <cell r="D28"/>
        </row>
        <row r="29">
          <cell r="D29"/>
        </row>
        <row r="30">
          <cell r="D30"/>
        </row>
        <row r="31">
          <cell r="D31"/>
        </row>
        <row r="32">
          <cell r="D32"/>
        </row>
      </sheetData>
      <sheetData sheetId="16">
        <row r="3">
          <cell r="D3" t="str">
            <v xml:space="preserve"> Incentives</v>
          </cell>
        </row>
        <row r="4">
          <cell r="D4"/>
        </row>
        <row r="11">
          <cell r="D11" t="str">
            <v>B</v>
          </cell>
        </row>
        <row r="12">
          <cell r="D12"/>
          <cell r="AC12"/>
          <cell r="AD12" t="str">
            <v>Actual 2012</v>
          </cell>
          <cell r="AE12" t="str">
            <v>Actual 2013</v>
          </cell>
          <cell r="AF12" t="str">
            <v>Actual 2014</v>
          </cell>
          <cell r="AG12" t="str">
            <v>Actual 2015</v>
          </cell>
          <cell r="AH12" t="str">
            <v>Actual 2016</v>
          </cell>
          <cell r="AI12" t="str">
            <v>3-YR Average</v>
          </cell>
        </row>
        <row r="13">
          <cell r="D13">
            <v>-646298.2323788167</v>
          </cell>
        </row>
        <row r="14">
          <cell r="D14"/>
          <cell r="AC14"/>
          <cell r="AD14">
            <v>2073927.0236799999</v>
          </cell>
          <cell r="AE14">
            <v>2348925.002415</v>
          </cell>
          <cell r="AF14">
            <v>1352896.3397368423</v>
          </cell>
          <cell r="AG14">
            <v>1719865.5124320001</v>
          </cell>
          <cell r="AH14">
            <v>1000962.005</v>
          </cell>
          <cell r="AI14">
            <v>1357907.952389614</v>
          </cell>
        </row>
        <row r="15">
          <cell r="D15">
            <v>-439431.66858556867</v>
          </cell>
          <cell r="AC15"/>
          <cell r="AD15">
            <v>743908.60632000002</v>
          </cell>
          <cell r="AE15">
            <v>1446397.3475850001</v>
          </cell>
          <cell r="AF15">
            <v>2567260.8102631578</v>
          </cell>
          <cell r="AG15">
            <v>1538072.5675679999</v>
          </cell>
          <cell r="AH15">
            <v>1000962.005</v>
          </cell>
          <cell r="AI15">
            <v>1702098.4609437194</v>
          </cell>
        </row>
        <row r="16">
          <cell r="D16"/>
          <cell r="AC16"/>
          <cell r="AD16">
            <v>2817835.63</v>
          </cell>
          <cell r="AE16">
            <v>3795322.35</v>
          </cell>
          <cell r="AF16">
            <v>3920157.1500000004</v>
          </cell>
          <cell r="AG16">
            <v>3257938.08</v>
          </cell>
          <cell r="AH16">
            <v>2001924.01</v>
          </cell>
          <cell r="AI16">
            <v>3060006.4133333331</v>
          </cell>
        </row>
        <row r="17">
          <cell r="D17"/>
          <cell r="AC17"/>
          <cell r="AD17"/>
          <cell r="AE17"/>
          <cell r="AF17"/>
          <cell r="AG17"/>
          <cell r="AH17"/>
          <cell r="AI17"/>
        </row>
        <row r="18">
          <cell r="D18">
            <v>-1085729.9009643854</v>
          </cell>
          <cell r="AC18"/>
          <cell r="AD18">
            <v>0.73599999999999999</v>
          </cell>
          <cell r="AE18">
            <v>0.61890000000000001</v>
          </cell>
          <cell r="AF18">
            <v>0.34511278195488726</v>
          </cell>
          <cell r="AG18">
            <v>0.52790000000000004</v>
          </cell>
          <cell r="AH18">
            <v>0.5</v>
          </cell>
          <cell r="AI18">
            <v>0.44375983869602892</v>
          </cell>
        </row>
        <row r="19">
          <cell r="D19"/>
          <cell r="AC19"/>
          <cell r="AD19">
            <v>0.26400000000000001</v>
          </cell>
          <cell r="AE19">
            <v>0.38109999999999999</v>
          </cell>
          <cell r="AF19">
            <v>0.65488721804511274</v>
          </cell>
          <cell r="AG19">
            <v>0.47209999999999996</v>
          </cell>
          <cell r="AH19">
            <v>0.5</v>
          </cell>
          <cell r="AI19">
            <v>0.55624016130397114</v>
          </cell>
        </row>
        <row r="20">
          <cell r="D20">
            <v>-1050446.4115577575</v>
          </cell>
          <cell r="AC20"/>
          <cell r="AD20">
            <v>1</v>
          </cell>
          <cell r="AE20">
            <v>1</v>
          </cell>
          <cell r="AF20">
            <v>1</v>
          </cell>
          <cell r="AG20">
            <v>1</v>
          </cell>
          <cell r="AH20">
            <v>1</v>
          </cell>
          <cell r="AI20">
            <v>1</v>
          </cell>
        </row>
        <row r="21">
          <cell r="D21">
            <v>-35283.489406627916</v>
          </cell>
          <cell r="AC21"/>
          <cell r="AD21"/>
          <cell r="AE21"/>
          <cell r="AF21"/>
          <cell r="AG21"/>
          <cell r="AH21"/>
          <cell r="AI21"/>
        </row>
        <row r="22">
          <cell r="D22">
            <v>-1085729.9009643854</v>
          </cell>
          <cell r="AC22"/>
          <cell r="AD22">
            <v>1104123.5204848484</v>
          </cell>
          <cell r="AE22">
            <v>1292803.210144605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</row>
        <row r="23">
          <cell r="AC23"/>
          <cell r="AD23">
            <v>365073.09951515152</v>
          </cell>
          <cell r="AE23">
            <v>771548.62985539483</v>
          </cell>
          <cell r="AF23">
            <v>1955703.36</v>
          </cell>
          <cell r="AG23">
            <v>2085795.25</v>
          </cell>
          <cell r="AH23">
            <v>1458120.14</v>
          </cell>
          <cell r="AI23">
            <v>1833206.25</v>
          </cell>
        </row>
        <row r="24">
          <cell r="AC24"/>
          <cell r="AD24">
            <v>1469196.6199999999</v>
          </cell>
          <cell r="AE24">
            <v>2064351.8399999999</v>
          </cell>
          <cell r="AF24">
            <v>1955703.36</v>
          </cell>
          <cell r="AG24">
            <v>2085795.25</v>
          </cell>
          <cell r="AH24">
            <v>1458120.14</v>
          </cell>
          <cell r="AI24">
            <v>1833206.25</v>
          </cell>
        </row>
        <row r="25">
          <cell r="AC25"/>
          <cell r="AD25"/>
          <cell r="AE25"/>
          <cell r="AF25"/>
          <cell r="AG25"/>
          <cell r="AH25"/>
          <cell r="AI25"/>
        </row>
        <row r="26">
          <cell r="D26"/>
          <cell r="AC26"/>
          <cell r="AD26">
            <v>0.75151515151515158</v>
          </cell>
          <cell r="AE26">
            <v>0.62625139043381539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AC27"/>
          <cell r="AD27">
            <v>0.2484848484848485</v>
          </cell>
          <cell r="AE27">
            <v>0.37374860956618466</v>
          </cell>
          <cell r="AF27">
            <v>1</v>
          </cell>
          <cell r="AG27">
            <v>1</v>
          </cell>
          <cell r="AH27">
            <v>1</v>
          </cell>
          <cell r="AI27">
            <v>1</v>
          </cell>
        </row>
        <row r="28">
          <cell r="AC28"/>
          <cell r="AD28">
            <v>1</v>
          </cell>
          <cell r="AE28">
            <v>1</v>
          </cell>
          <cell r="AF28">
            <v>1</v>
          </cell>
          <cell r="AG28">
            <v>1</v>
          </cell>
          <cell r="AH28">
            <v>1</v>
          </cell>
          <cell r="AI28">
            <v>1</v>
          </cell>
        </row>
        <row r="29">
          <cell r="AC29"/>
          <cell r="AD29"/>
          <cell r="AE29"/>
          <cell r="AF29"/>
          <cell r="AG29"/>
          <cell r="AH29"/>
          <cell r="AI29"/>
        </row>
        <row r="30">
          <cell r="AC30"/>
          <cell r="AD30">
            <v>316860.84903000004</v>
          </cell>
          <cell r="AE30">
            <v>583777.333125</v>
          </cell>
          <cell r="AF30">
            <v>575492.83659999992</v>
          </cell>
          <cell r="AG30">
            <v>827738.88841600006</v>
          </cell>
          <cell r="AH30">
            <v>558892.68999999994</v>
          </cell>
          <cell r="AI30">
            <v>654041.47167200001</v>
          </cell>
        </row>
        <row r="31">
          <cell r="AC31"/>
          <cell r="AD31">
            <v>617831.92097000009</v>
          </cell>
          <cell r="AE31">
            <v>922744.81687500002</v>
          </cell>
          <cell r="AF31">
            <v>1117133.1534</v>
          </cell>
          <cell r="AG31">
            <v>656728.27158400009</v>
          </cell>
          <cell r="AH31">
            <v>558892.68999999994</v>
          </cell>
          <cell r="AI31">
            <v>777584.70499466674</v>
          </cell>
        </row>
        <row r="32">
          <cell r="AC32"/>
          <cell r="AD32">
            <v>934692.77000000014</v>
          </cell>
          <cell r="AE32">
            <v>1506522.15</v>
          </cell>
          <cell r="AF32">
            <v>1692625.99</v>
          </cell>
          <cell r="AG32">
            <v>1484467.1600000001</v>
          </cell>
          <cell r="AH32">
            <v>1117785.3799999999</v>
          </cell>
          <cell r="AI32">
            <v>1431626.1766666668</v>
          </cell>
        </row>
        <row r="33">
          <cell r="D33"/>
          <cell r="AC33"/>
          <cell r="AD33"/>
          <cell r="AE33"/>
          <cell r="AF33"/>
          <cell r="AG33"/>
          <cell r="AH33"/>
          <cell r="AI33"/>
        </row>
        <row r="34">
          <cell r="AC34"/>
          <cell r="AD34">
            <v>0.33899999999999997</v>
          </cell>
          <cell r="AE34">
            <v>0.38750000000000001</v>
          </cell>
          <cell r="AF34">
            <v>0.33999999999999997</v>
          </cell>
          <cell r="AG34">
            <v>0.55759999999999998</v>
          </cell>
          <cell r="AH34">
            <v>0.5</v>
          </cell>
          <cell r="AI34">
            <v>0.45685213244342904</v>
          </cell>
        </row>
        <row r="35">
          <cell r="AC35"/>
          <cell r="AD35">
            <v>0.66100000000000003</v>
          </cell>
          <cell r="AE35">
            <v>0.61250000000000004</v>
          </cell>
          <cell r="AF35">
            <v>0.66</v>
          </cell>
          <cell r="AG35">
            <v>0.44240000000000002</v>
          </cell>
          <cell r="AH35">
            <v>0.5</v>
          </cell>
          <cell r="AI35">
            <v>0.54314786755657096</v>
          </cell>
        </row>
        <row r="36">
          <cell r="AC36"/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1</v>
          </cell>
          <cell r="AI36">
            <v>1</v>
          </cell>
        </row>
        <row r="37">
          <cell r="AC37"/>
          <cell r="AD37"/>
          <cell r="AE37"/>
          <cell r="AF37"/>
          <cell r="AG37"/>
          <cell r="AH37"/>
          <cell r="AI37"/>
        </row>
        <row r="39">
          <cell r="AC39"/>
          <cell r="AD39">
            <v>1617281.2789740565</v>
          </cell>
          <cell r="AE39">
            <v>1269222.0418534959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0">
          <cell r="AC40"/>
          <cell r="AD40">
            <v>2969523.151025943</v>
          </cell>
          <cell r="AE40">
            <v>3681293.3681465038</v>
          </cell>
          <cell r="AF40">
            <v>5763248.46</v>
          </cell>
          <cell r="AG40">
            <v>4542817.62</v>
          </cell>
          <cell r="AH40">
            <v>3656777.7600000002</v>
          </cell>
          <cell r="AI40">
            <v>4654281.28</v>
          </cell>
        </row>
        <row r="41">
          <cell r="AC41"/>
          <cell r="AD41">
            <v>4586804.43</v>
          </cell>
          <cell r="AE41">
            <v>4950515.41</v>
          </cell>
          <cell r="AF41">
            <v>5763248.46</v>
          </cell>
          <cell r="AG41">
            <v>4542817.62</v>
          </cell>
          <cell r="AH41">
            <v>3656777.7600000002</v>
          </cell>
          <cell r="AI41">
            <v>4654281.28</v>
          </cell>
        </row>
        <row r="42">
          <cell r="AC42"/>
          <cell r="AD42"/>
          <cell r="AE42"/>
          <cell r="AF42"/>
          <cell r="AG42"/>
          <cell r="AH42"/>
          <cell r="AI42"/>
        </row>
        <row r="43">
          <cell r="AC43"/>
          <cell r="AD43">
            <v>0.35259433962264153</v>
          </cell>
          <cell r="AE43">
            <v>0.25638179800221972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</row>
        <row r="44">
          <cell r="AC44"/>
          <cell r="AD44">
            <v>0.64740566037735847</v>
          </cell>
          <cell r="AE44">
            <v>0.74361820199778017</v>
          </cell>
          <cell r="AF44">
            <v>1</v>
          </cell>
          <cell r="AG44">
            <v>1</v>
          </cell>
          <cell r="AH44">
            <v>1</v>
          </cell>
          <cell r="AI44">
            <v>1</v>
          </cell>
        </row>
        <row r="45">
          <cell r="AC45"/>
          <cell r="AD45">
            <v>1</v>
          </cell>
          <cell r="AE45">
            <v>0.99999999999999989</v>
          </cell>
          <cell r="AF45">
            <v>1</v>
          </cell>
          <cell r="AG45">
            <v>1</v>
          </cell>
          <cell r="AH45">
            <v>1</v>
          </cell>
          <cell r="AI45">
            <v>1</v>
          </cell>
        </row>
        <row r="47">
          <cell r="AC47"/>
          <cell r="AD47"/>
          <cell r="AE47"/>
          <cell r="AF47"/>
          <cell r="AG47"/>
          <cell r="AH47"/>
          <cell r="AI47"/>
        </row>
        <row r="48">
          <cell r="AC48"/>
          <cell r="AD48">
            <v>6.6000000000000003E-2</v>
          </cell>
          <cell r="AE48">
            <v>8.9899999999999994E-2</v>
          </cell>
          <cell r="AF48">
            <v>8.8700000000000001E-2</v>
          </cell>
          <cell r="AG48">
            <v>8.9300000000000004E-2</v>
          </cell>
          <cell r="AH48">
            <v>0.06</v>
          </cell>
          <cell r="AI48"/>
        </row>
        <row r="49">
          <cell r="AC49"/>
          <cell r="AD49">
            <v>1.6400000000000001E-2</v>
          </cell>
          <cell r="AE49">
            <v>3.3599999999999998E-2</v>
          </cell>
          <cell r="AF49">
            <v>8.8700000000000001E-2</v>
          </cell>
          <cell r="AG49">
            <v>8.9300000000000004E-2</v>
          </cell>
          <cell r="AH49">
            <v>0.06</v>
          </cell>
          <cell r="AI49"/>
        </row>
        <row r="50">
          <cell r="AC50"/>
          <cell r="AD50">
            <v>4.9600000000000005E-2</v>
          </cell>
          <cell r="AE50">
            <v>5.6299999999999996E-2</v>
          </cell>
          <cell r="AF50">
            <v>0</v>
          </cell>
          <cell r="AG50">
            <v>0</v>
          </cell>
          <cell r="AH50">
            <v>0</v>
          </cell>
          <cell r="AI50"/>
        </row>
        <row r="52">
          <cell r="AC52"/>
          <cell r="AD52">
            <v>2.9899999999999999E-2</v>
          </cell>
          <cell r="AE52">
            <v>2.3100000000000002E-2</v>
          </cell>
          <cell r="AF52">
            <v>0</v>
          </cell>
          <cell r="AG52">
            <v>0</v>
          </cell>
          <cell r="AH52">
            <v>0</v>
          </cell>
          <cell r="AI52"/>
        </row>
        <row r="53">
          <cell r="AC53"/>
          <cell r="AD53">
            <v>5.4899999999999997E-2</v>
          </cell>
          <cell r="AE53">
            <v>6.7000000000000004E-2</v>
          </cell>
          <cell r="AF53">
            <v>9.98E-2</v>
          </cell>
          <cell r="AG53">
            <v>7.4899999999999994E-2</v>
          </cell>
          <cell r="AH53">
            <v>0.06</v>
          </cell>
          <cell r="AI53"/>
        </row>
        <row r="54">
          <cell r="AC54"/>
          <cell r="AD54">
            <v>8.48E-2</v>
          </cell>
          <cell r="AE54">
            <v>9.0100000000000013E-2</v>
          </cell>
          <cell r="AF54">
            <v>9.98E-2</v>
          </cell>
          <cell r="AG54">
            <v>7.4899999999999994E-2</v>
          </cell>
          <cell r="AH54">
            <v>0.06</v>
          </cell>
          <cell r="AI54"/>
        </row>
        <row r="57">
          <cell r="AH57" t="str">
            <v>Leave this section the same</v>
          </cell>
        </row>
      </sheetData>
      <sheetData sheetId="17">
        <row r="7">
          <cell r="C7" t="str">
            <v xml:space="preserve"> Sporting Events </v>
          </cell>
        </row>
        <row r="10">
          <cell r="C10"/>
        </row>
        <row r="12">
          <cell r="C12">
            <v>0</v>
          </cell>
        </row>
        <row r="13">
          <cell r="C13"/>
        </row>
        <row r="14">
          <cell r="C14">
            <v>0</v>
          </cell>
        </row>
        <row r="15">
          <cell r="C15">
            <v>0</v>
          </cell>
        </row>
        <row r="16">
          <cell r="C16"/>
        </row>
      </sheetData>
      <sheetData sheetId="18">
        <row r="8">
          <cell r="F8" t="str">
            <v>Rev booked Jun 2017</v>
          </cell>
        </row>
        <row r="9">
          <cell r="F9"/>
        </row>
        <row r="10">
          <cell r="F10"/>
        </row>
        <row r="11">
          <cell r="F11">
            <v>536084033.16347772</v>
          </cell>
        </row>
        <row r="12">
          <cell r="F12"/>
        </row>
        <row r="13">
          <cell r="F13"/>
        </row>
        <row r="14">
          <cell r="F14"/>
        </row>
        <row r="15">
          <cell r="F15">
            <v>316199223</v>
          </cell>
        </row>
        <row r="16">
          <cell r="F16"/>
        </row>
        <row r="17">
          <cell r="F17">
            <v>100235379</v>
          </cell>
        </row>
        <row r="18">
          <cell r="F18"/>
        </row>
        <row r="19">
          <cell r="F19">
            <v>393060780</v>
          </cell>
        </row>
        <row r="20">
          <cell r="F20">
            <v>992105.25</v>
          </cell>
        </row>
        <row r="21">
          <cell r="F21"/>
        </row>
        <row r="22">
          <cell r="F22">
            <v>97193727</v>
          </cell>
        </row>
        <row r="23">
          <cell r="F23"/>
        </row>
        <row r="24">
          <cell r="F24">
            <v>0</v>
          </cell>
        </row>
        <row r="25">
          <cell r="F25"/>
        </row>
        <row r="26">
          <cell r="F26">
            <v>0</v>
          </cell>
        </row>
        <row r="27">
          <cell r="F27"/>
        </row>
        <row r="28">
          <cell r="F28">
            <v>0</v>
          </cell>
        </row>
        <row r="29">
          <cell r="F29">
            <v>0</v>
          </cell>
        </row>
        <row r="30">
          <cell r="F30"/>
        </row>
        <row r="31">
          <cell r="F31">
            <v>0</v>
          </cell>
        </row>
        <row r="32">
          <cell r="F32"/>
        </row>
        <row r="33">
          <cell r="F33">
            <v>0</v>
          </cell>
        </row>
        <row r="34">
          <cell r="F34"/>
        </row>
        <row r="35">
          <cell r="F35">
            <v>0</v>
          </cell>
        </row>
        <row r="36">
          <cell r="F36"/>
        </row>
        <row r="37">
          <cell r="F37">
            <v>0</v>
          </cell>
        </row>
        <row r="38">
          <cell r="F38">
            <v>0</v>
          </cell>
        </row>
        <row r="39">
          <cell r="F39"/>
        </row>
        <row r="40">
          <cell r="F40">
            <v>0</v>
          </cell>
        </row>
        <row r="41">
          <cell r="F41"/>
        </row>
        <row r="42">
          <cell r="F42">
            <v>3357867</v>
          </cell>
        </row>
        <row r="43">
          <cell r="F43"/>
        </row>
        <row r="44">
          <cell r="F44">
            <v>3463902</v>
          </cell>
        </row>
        <row r="45">
          <cell r="F45"/>
        </row>
        <row r="46">
          <cell r="F46">
            <v>15794370</v>
          </cell>
        </row>
        <row r="47">
          <cell r="F47">
            <v>22616139</v>
          </cell>
        </row>
        <row r="48">
          <cell r="F48"/>
        </row>
        <row r="49">
          <cell r="F49">
            <v>3917177</v>
          </cell>
        </row>
        <row r="50">
          <cell r="F50"/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4">
          <cell r="F54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/>
        </row>
        <row r="58">
          <cell r="F58">
            <v>0</v>
          </cell>
        </row>
        <row r="59">
          <cell r="F59"/>
        </row>
        <row r="60">
          <cell r="F60">
            <v>1777126.4168316997</v>
          </cell>
        </row>
        <row r="61">
          <cell r="F61"/>
        </row>
        <row r="62">
          <cell r="F62">
            <v>265317.09801070008</v>
          </cell>
        </row>
        <row r="63">
          <cell r="F63"/>
        </row>
        <row r="64">
          <cell r="F64">
            <v>1200610.4451576001</v>
          </cell>
        </row>
        <row r="65">
          <cell r="F65">
            <v>3243053.96</v>
          </cell>
        </row>
        <row r="66">
          <cell r="F66"/>
        </row>
        <row r="67">
          <cell r="F67">
            <v>297834.61000000004</v>
          </cell>
        </row>
        <row r="68">
          <cell r="F68"/>
        </row>
        <row r="69">
          <cell r="F69">
            <v>0</v>
          </cell>
        </row>
        <row r="70">
          <cell r="F70"/>
        </row>
        <row r="71">
          <cell r="F71">
            <v>0</v>
          </cell>
        </row>
        <row r="72">
          <cell r="F72"/>
        </row>
        <row r="73">
          <cell r="F73">
            <v>0</v>
          </cell>
        </row>
        <row r="74">
          <cell r="F74">
            <v>0</v>
          </cell>
        </row>
        <row r="75">
          <cell r="F75"/>
        </row>
        <row r="76">
          <cell r="F76">
            <v>0</v>
          </cell>
        </row>
        <row r="77">
          <cell r="F77"/>
        </row>
        <row r="78">
          <cell r="F78">
            <v>0</v>
          </cell>
        </row>
        <row r="79">
          <cell r="F79"/>
        </row>
        <row r="80">
          <cell r="F80">
            <v>0</v>
          </cell>
        </row>
        <row r="81">
          <cell r="F81"/>
        </row>
        <row r="82">
          <cell r="F82">
            <v>0</v>
          </cell>
        </row>
        <row r="83">
          <cell r="F83">
            <v>0</v>
          </cell>
        </row>
        <row r="84">
          <cell r="F84"/>
        </row>
        <row r="85">
          <cell r="F85">
            <v>0</v>
          </cell>
        </row>
        <row r="86">
          <cell r="F86"/>
        </row>
        <row r="87">
          <cell r="F87">
            <v>0</v>
          </cell>
        </row>
        <row r="88">
          <cell r="F88"/>
        </row>
        <row r="89">
          <cell r="F89">
            <v>0</v>
          </cell>
        </row>
        <row r="90">
          <cell r="F90"/>
        </row>
        <row r="91">
          <cell r="F91">
            <v>0</v>
          </cell>
        </row>
        <row r="92">
          <cell r="F92">
            <v>0</v>
          </cell>
        </row>
        <row r="93">
          <cell r="F93"/>
        </row>
        <row r="94">
          <cell r="F94">
            <v>0</v>
          </cell>
        </row>
        <row r="95">
          <cell r="F95"/>
        </row>
        <row r="96">
          <cell r="F96">
            <v>373983</v>
          </cell>
        </row>
        <row r="97">
          <cell r="F97"/>
        </row>
        <row r="98">
          <cell r="F98">
            <v>111250</v>
          </cell>
        </row>
        <row r="99">
          <cell r="F99"/>
        </row>
        <row r="100">
          <cell r="F100">
            <v>2493346</v>
          </cell>
        </row>
        <row r="101">
          <cell r="F101">
            <v>2978579</v>
          </cell>
        </row>
        <row r="102">
          <cell r="F102"/>
        </row>
        <row r="103">
          <cell r="F103">
            <v>619341</v>
          </cell>
        </row>
        <row r="104">
          <cell r="F104"/>
        </row>
        <row r="105">
          <cell r="F105">
            <v>0</v>
          </cell>
        </row>
        <row r="106">
          <cell r="F106"/>
        </row>
        <row r="107">
          <cell r="F107">
            <v>0</v>
          </cell>
        </row>
        <row r="108">
          <cell r="F108"/>
        </row>
        <row r="109">
          <cell r="F109">
            <v>0</v>
          </cell>
        </row>
        <row r="110">
          <cell r="F110">
            <v>0</v>
          </cell>
        </row>
        <row r="111">
          <cell r="F111"/>
        </row>
        <row r="112">
          <cell r="F112">
            <v>0</v>
          </cell>
        </row>
        <row r="113">
          <cell r="F113"/>
        </row>
        <row r="114">
          <cell r="F114">
            <v>0</v>
          </cell>
        </row>
        <row r="115">
          <cell r="F115"/>
        </row>
        <row r="116">
          <cell r="F116">
            <v>0</v>
          </cell>
        </row>
        <row r="117">
          <cell r="F117"/>
        </row>
        <row r="118">
          <cell r="F118">
            <v>0</v>
          </cell>
        </row>
        <row r="119">
          <cell r="F119">
            <v>0</v>
          </cell>
        </row>
        <row r="120">
          <cell r="F120"/>
        </row>
        <row r="121">
          <cell r="F121">
            <v>0</v>
          </cell>
        </row>
        <row r="122">
          <cell r="F122"/>
        </row>
        <row r="123">
          <cell r="F123">
            <v>5148837</v>
          </cell>
        </row>
        <row r="124">
          <cell r="F124"/>
        </row>
        <row r="125">
          <cell r="F125">
            <v>0</v>
          </cell>
        </row>
        <row r="126">
          <cell r="F126"/>
        </row>
        <row r="127">
          <cell r="F127">
            <v>0</v>
          </cell>
        </row>
        <row r="128">
          <cell r="F128">
            <v>5148837</v>
          </cell>
        </row>
        <row r="129">
          <cell r="F129"/>
        </row>
        <row r="130">
          <cell r="F130">
            <v>31275505</v>
          </cell>
        </row>
        <row r="131">
          <cell r="F131"/>
        </row>
        <row r="132">
          <cell r="F132">
            <v>0</v>
          </cell>
        </row>
        <row r="133">
          <cell r="F133"/>
        </row>
        <row r="134">
          <cell r="F134">
            <v>0</v>
          </cell>
        </row>
        <row r="135">
          <cell r="F135"/>
        </row>
        <row r="136">
          <cell r="F136">
            <v>0</v>
          </cell>
        </row>
        <row r="137">
          <cell r="F137">
            <v>0</v>
          </cell>
        </row>
        <row r="138">
          <cell r="F138"/>
        </row>
        <row r="139">
          <cell r="F139">
            <v>0</v>
          </cell>
        </row>
        <row r="140">
          <cell r="F140"/>
        </row>
        <row r="141">
          <cell r="F141">
            <v>24214</v>
          </cell>
        </row>
        <row r="142">
          <cell r="F142"/>
        </row>
        <row r="143">
          <cell r="F143">
            <v>2090</v>
          </cell>
        </row>
        <row r="144">
          <cell r="F144"/>
        </row>
        <row r="145">
          <cell r="F145">
            <v>0</v>
          </cell>
        </row>
        <row r="146">
          <cell r="F146">
            <v>26304</v>
          </cell>
        </row>
        <row r="147">
          <cell r="F147"/>
        </row>
        <row r="148">
          <cell r="F148">
            <v>21165</v>
          </cell>
        </row>
        <row r="149">
          <cell r="F149"/>
        </row>
        <row r="150">
          <cell r="F150">
            <v>0</v>
          </cell>
        </row>
        <row r="151">
          <cell r="F151"/>
        </row>
        <row r="152">
          <cell r="F152">
            <v>0</v>
          </cell>
        </row>
        <row r="153">
          <cell r="F153"/>
        </row>
        <row r="154">
          <cell r="F154">
            <v>0</v>
          </cell>
        </row>
        <row r="155">
          <cell r="F155">
            <v>0</v>
          </cell>
        </row>
        <row r="156">
          <cell r="F156"/>
        </row>
        <row r="157">
          <cell r="F157">
            <v>0</v>
          </cell>
        </row>
        <row r="158">
          <cell r="F158"/>
        </row>
        <row r="159">
          <cell r="F159">
            <v>20188113</v>
          </cell>
        </row>
        <row r="160">
          <cell r="F160"/>
        </row>
        <row r="161">
          <cell r="F161">
            <v>568888</v>
          </cell>
        </row>
        <row r="162">
          <cell r="F162"/>
        </row>
        <row r="163">
          <cell r="F163">
            <v>96363</v>
          </cell>
        </row>
        <row r="164">
          <cell r="F164">
            <v>20853364</v>
          </cell>
        </row>
        <row r="165">
          <cell r="F165"/>
        </row>
        <row r="166">
          <cell r="F166">
            <v>44783653</v>
          </cell>
        </row>
        <row r="167">
          <cell r="F167"/>
        </row>
        <row r="168">
          <cell r="F168">
            <v>0</v>
          </cell>
        </row>
        <row r="169">
          <cell r="F169"/>
        </row>
        <row r="170">
          <cell r="F170">
            <v>0</v>
          </cell>
        </row>
        <row r="171">
          <cell r="F171"/>
        </row>
        <row r="172">
          <cell r="F172">
            <v>0</v>
          </cell>
        </row>
        <row r="173">
          <cell r="F173">
            <v>0</v>
          </cell>
        </row>
        <row r="174">
          <cell r="F174"/>
        </row>
        <row r="175">
          <cell r="F175">
            <v>0</v>
          </cell>
        </row>
        <row r="176">
          <cell r="F176"/>
        </row>
        <row r="177">
          <cell r="F177">
            <v>0</v>
          </cell>
        </row>
        <row r="178">
          <cell r="F178"/>
        </row>
        <row r="179">
          <cell r="F179">
            <v>0</v>
          </cell>
        </row>
        <row r="180">
          <cell r="F180"/>
        </row>
        <row r="181">
          <cell r="F181">
            <v>0</v>
          </cell>
        </row>
        <row r="182">
          <cell r="F182">
            <v>0</v>
          </cell>
        </row>
        <row r="183">
          <cell r="F183"/>
        </row>
        <row r="184">
          <cell r="F184">
            <v>0</v>
          </cell>
        </row>
        <row r="185">
          <cell r="F185"/>
        </row>
        <row r="186">
          <cell r="F186">
            <v>0</v>
          </cell>
        </row>
        <row r="187">
          <cell r="F187"/>
        </row>
        <row r="188">
          <cell r="F188">
            <v>0</v>
          </cell>
        </row>
        <row r="189">
          <cell r="F189"/>
        </row>
        <row r="190">
          <cell r="F190">
            <v>0</v>
          </cell>
        </row>
        <row r="191">
          <cell r="F191">
            <v>0</v>
          </cell>
        </row>
        <row r="192">
          <cell r="F192"/>
        </row>
        <row r="193">
          <cell r="F193">
            <v>0</v>
          </cell>
        </row>
        <row r="194">
          <cell r="F194"/>
        </row>
        <row r="195">
          <cell r="F195">
            <v>-1433989</v>
          </cell>
        </row>
        <row r="196">
          <cell r="F196">
            <v>20806992</v>
          </cell>
        </row>
        <row r="197">
          <cell r="F197"/>
        </row>
        <row r="198">
          <cell r="F198"/>
        </row>
        <row r="199">
          <cell r="F199">
            <v>366442366.41683167</v>
          </cell>
        </row>
        <row r="200">
          <cell r="F200">
            <v>104646826.0980107</v>
          </cell>
        </row>
        <row r="201">
          <cell r="F201">
            <v>412645469.44515759</v>
          </cell>
        </row>
        <row r="202">
          <cell r="F202">
            <v>75231385.210000008</v>
          </cell>
        </row>
        <row r="203">
          <cell r="F203"/>
        </row>
        <row r="204">
          <cell r="F204">
            <v>102028079.61</v>
          </cell>
        </row>
        <row r="205">
          <cell r="F205">
            <v>76080323</v>
          </cell>
        </row>
        <row r="206">
          <cell r="F206">
            <v>178108402.61000001</v>
          </cell>
        </row>
        <row r="207">
          <cell r="F207"/>
        </row>
        <row r="208">
          <cell r="F208"/>
        </row>
        <row r="209">
          <cell r="F209">
            <v>0</v>
          </cell>
        </row>
        <row r="210">
          <cell r="F210"/>
        </row>
        <row r="211">
          <cell r="F211">
            <v>0</v>
          </cell>
        </row>
        <row r="212">
          <cell r="F212"/>
        </row>
        <row r="213">
          <cell r="F213">
            <v>0</v>
          </cell>
        </row>
        <row r="214">
          <cell r="F214">
            <v>0</v>
          </cell>
        </row>
        <row r="215">
          <cell r="F215"/>
        </row>
        <row r="216">
          <cell r="F216">
            <v>0</v>
          </cell>
        </row>
        <row r="217">
          <cell r="F217"/>
        </row>
        <row r="218">
          <cell r="F218">
            <v>0</v>
          </cell>
        </row>
        <row r="219">
          <cell r="F219"/>
        </row>
        <row r="220">
          <cell r="F220">
            <v>0</v>
          </cell>
        </row>
        <row r="221">
          <cell r="F221"/>
        </row>
        <row r="222">
          <cell r="F222">
            <v>0</v>
          </cell>
        </row>
        <row r="223">
          <cell r="F223">
            <v>0</v>
          </cell>
        </row>
        <row r="224">
          <cell r="F224"/>
        </row>
        <row r="225">
          <cell r="F225">
            <v>0</v>
          </cell>
        </row>
        <row r="226">
          <cell r="F226"/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/>
        </row>
        <row r="233">
          <cell r="F233">
            <v>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/>
        </row>
        <row r="237">
          <cell r="F237"/>
        </row>
        <row r="238">
          <cell r="F238">
            <v>12201566</v>
          </cell>
        </row>
        <row r="239">
          <cell r="F239"/>
        </row>
        <row r="240">
          <cell r="F240"/>
        </row>
        <row r="241">
          <cell r="F241"/>
        </row>
        <row r="242">
          <cell r="F242">
            <v>17122316</v>
          </cell>
        </row>
        <row r="243">
          <cell r="F243">
            <v>29323882</v>
          </cell>
        </row>
        <row r="244">
          <cell r="F244"/>
        </row>
        <row r="245">
          <cell r="F245">
            <v>3395528</v>
          </cell>
        </row>
        <row r="246">
          <cell r="F246"/>
        </row>
        <row r="247">
          <cell r="F247">
            <v>167408</v>
          </cell>
        </row>
        <row r="248">
          <cell r="F248"/>
        </row>
        <row r="249">
          <cell r="F249"/>
        </row>
        <row r="250">
          <cell r="F250"/>
        </row>
        <row r="251">
          <cell r="F251">
            <v>859949</v>
          </cell>
        </row>
        <row r="252">
          <cell r="F252">
            <v>1027357</v>
          </cell>
        </row>
        <row r="253">
          <cell r="F253"/>
        </row>
        <row r="254">
          <cell r="F254">
            <v>171161</v>
          </cell>
        </row>
        <row r="255">
          <cell r="F255"/>
        </row>
        <row r="256">
          <cell r="F256">
            <v>61516.109690600002</v>
          </cell>
        </row>
        <row r="257">
          <cell r="F257"/>
        </row>
        <row r="258">
          <cell r="F258"/>
        </row>
        <row r="259">
          <cell r="F259"/>
        </row>
        <row r="260">
          <cell r="F260">
            <v>34019.620309400001</v>
          </cell>
        </row>
        <row r="261">
          <cell r="F261">
            <v>95535.73000000001</v>
          </cell>
        </row>
        <row r="262">
          <cell r="F262"/>
        </row>
        <row r="263">
          <cell r="F263">
            <v>6776.8700000000008</v>
          </cell>
        </row>
        <row r="264">
          <cell r="F264"/>
        </row>
        <row r="265">
          <cell r="F265">
            <v>0</v>
          </cell>
        </row>
        <row r="266">
          <cell r="F266"/>
        </row>
        <row r="267">
          <cell r="F267"/>
        </row>
        <row r="268">
          <cell r="F268"/>
        </row>
        <row r="269">
          <cell r="F269">
            <v>0</v>
          </cell>
        </row>
        <row r="270">
          <cell r="F270">
            <v>0</v>
          </cell>
        </row>
        <row r="271">
          <cell r="F271"/>
        </row>
        <row r="272">
          <cell r="F272">
            <v>0</v>
          </cell>
        </row>
        <row r="273">
          <cell r="F273"/>
        </row>
        <row r="274">
          <cell r="F274">
            <v>52514</v>
          </cell>
        </row>
        <row r="275">
          <cell r="F275"/>
        </row>
        <row r="276">
          <cell r="F276">
            <v>-36</v>
          </cell>
        </row>
        <row r="277">
          <cell r="F277"/>
        </row>
        <row r="278">
          <cell r="F278">
            <v>775489</v>
          </cell>
        </row>
        <row r="279">
          <cell r="F279">
            <v>827967</v>
          </cell>
        </row>
        <row r="280">
          <cell r="F280"/>
        </row>
        <row r="281">
          <cell r="F281">
            <v>148998</v>
          </cell>
        </row>
        <row r="282">
          <cell r="F282"/>
        </row>
        <row r="283">
          <cell r="F283">
            <v>0</v>
          </cell>
        </row>
        <row r="284">
          <cell r="F284"/>
        </row>
        <row r="285">
          <cell r="F285">
            <v>0</v>
          </cell>
        </row>
        <row r="286">
          <cell r="F286"/>
        </row>
        <row r="287">
          <cell r="F287">
            <v>0</v>
          </cell>
        </row>
        <row r="288">
          <cell r="F288">
            <v>0</v>
          </cell>
        </row>
        <row r="289">
          <cell r="F289"/>
        </row>
        <row r="290">
          <cell r="F290">
            <v>0</v>
          </cell>
        </row>
        <row r="291">
          <cell r="F291"/>
        </row>
        <row r="292">
          <cell r="F292">
            <v>0</v>
          </cell>
        </row>
        <row r="293">
          <cell r="F293"/>
        </row>
        <row r="294">
          <cell r="F294"/>
        </row>
        <row r="295">
          <cell r="F295"/>
        </row>
        <row r="296">
          <cell r="F296">
            <v>0</v>
          </cell>
        </row>
        <row r="297">
          <cell r="F297">
            <v>0</v>
          </cell>
        </row>
        <row r="298">
          <cell r="F298"/>
        </row>
        <row r="299">
          <cell r="F299"/>
        </row>
        <row r="300">
          <cell r="F300"/>
        </row>
        <row r="301">
          <cell r="F301">
            <v>80745</v>
          </cell>
        </row>
        <row r="302">
          <cell r="F302"/>
        </row>
        <row r="303">
          <cell r="F303"/>
        </row>
        <row r="304">
          <cell r="F304"/>
        </row>
        <row r="305">
          <cell r="F305">
            <v>0</v>
          </cell>
        </row>
        <row r="306">
          <cell r="F306">
            <v>80745</v>
          </cell>
        </row>
        <row r="307">
          <cell r="F307"/>
        </row>
        <row r="308">
          <cell r="F308">
            <v>146691</v>
          </cell>
        </row>
        <row r="309">
          <cell r="F309"/>
        </row>
        <row r="310">
          <cell r="F310">
            <v>43701</v>
          </cell>
        </row>
        <row r="311">
          <cell r="F311"/>
        </row>
        <row r="312">
          <cell r="F312"/>
        </row>
        <row r="313">
          <cell r="F313"/>
        </row>
        <row r="314">
          <cell r="F314">
            <v>0</v>
          </cell>
        </row>
        <row r="315">
          <cell r="F315">
            <v>43701</v>
          </cell>
        </row>
        <row r="316">
          <cell r="F316"/>
        </row>
        <row r="317">
          <cell r="F317">
            <v>517921</v>
          </cell>
        </row>
        <row r="318">
          <cell r="F318"/>
        </row>
        <row r="319">
          <cell r="F319">
            <v>340767.31000000006</v>
          </cell>
        </row>
        <row r="320">
          <cell r="F320">
            <v>165057.12000000002</v>
          </cell>
        </row>
        <row r="321">
          <cell r="F321"/>
        </row>
        <row r="322">
          <cell r="F322">
            <v>12988828.539690599</v>
          </cell>
        </row>
        <row r="323">
          <cell r="F323">
            <v>-36</v>
          </cell>
        </row>
        <row r="324">
          <cell r="F324">
            <v>124446</v>
          </cell>
        </row>
        <row r="325">
          <cell r="F325">
            <v>18791773.620309401</v>
          </cell>
        </row>
        <row r="326">
          <cell r="F326">
            <v>31399187.73</v>
          </cell>
        </row>
        <row r="327">
          <cell r="F327"/>
        </row>
        <row r="328">
          <cell r="F328">
            <v>3722463.87</v>
          </cell>
        </row>
        <row r="329">
          <cell r="F329">
            <v>664612</v>
          </cell>
        </row>
        <row r="330">
          <cell r="F330">
            <v>4387075.87</v>
          </cell>
        </row>
        <row r="331">
          <cell r="F331"/>
        </row>
        <row r="332">
          <cell r="F332"/>
        </row>
        <row r="333">
          <cell r="F333">
            <v>0</v>
          </cell>
        </row>
        <row r="334">
          <cell r="F334"/>
        </row>
        <row r="335">
          <cell r="F335"/>
        </row>
        <row r="336">
          <cell r="F336"/>
        </row>
        <row r="337">
          <cell r="F337">
            <v>0</v>
          </cell>
        </row>
        <row r="338">
          <cell r="F338">
            <v>0</v>
          </cell>
        </row>
        <row r="339">
          <cell r="F339"/>
        </row>
        <row r="340">
          <cell r="F340">
            <v>0</v>
          </cell>
        </row>
        <row r="341">
          <cell r="F341"/>
        </row>
        <row r="342">
          <cell r="F342">
            <v>0</v>
          </cell>
        </row>
        <row r="343">
          <cell r="F343"/>
        </row>
        <row r="344">
          <cell r="F344"/>
        </row>
        <row r="345">
          <cell r="F345"/>
        </row>
        <row r="346">
          <cell r="F346">
            <v>0</v>
          </cell>
        </row>
        <row r="347">
          <cell r="F347">
            <v>0</v>
          </cell>
        </row>
        <row r="348">
          <cell r="F348"/>
        </row>
        <row r="349">
          <cell r="F349">
            <v>0</v>
          </cell>
        </row>
        <row r="350">
          <cell r="F350">
            <v>0</v>
          </cell>
        </row>
        <row r="351">
          <cell r="F351"/>
        </row>
        <row r="352">
          <cell r="F352">
            <v>0</v>
          </cell>
        </row>
        <row r="353">
          <cell r="F353">
            <v>0</v>
          </cell>
        </row>
        <row r="354">
          <cell r="F354">
            <v>0</v>
          </cell>
        </row>
        <row r="355">
          <cell r="F355"/>
        </row>
        <row r="356">
          <cell r="F356">
            <v>0</v>
          </cell>
        </row>
        <row r="357">
          <cell r="F357">
            <v>0</v>
          </cell>
        </row>
        <row r="358">
          <cell r="F358">
            <v>0</v>
          </cell>
        </row>
        <row r="359">
          <cell r="F359"/>
        </row>
        <row r="360">
          <cell r="F360"/>
        </row>
        <row r="361">
          <cell r="F361"/>
        </row>
        <row r="362">
          <cell r="F362">
            <v>379431194.95652229</v>
          </cell>
        </row>
        <row r="363">
          <cell r="F363">
            <v>104646790.0980107</v>
          </cell>
        </row>
        <row r="364">
          <cell r="F364">
            <v>124446</v>
          </cell>
        </row>
        <row r="365">
          <cell r="F365">
            <v>431437243.065467</v>
          </cell>
        </row>
        <row r="366">
          <cell r="F366"/>
        </row>
        <row r="367">
          <cell r="F367">
            <v>915639674.12</v>
          </cell>
        </row>
        <row r="368">
          <cell r="F368"/>
        </row>
        <row r="369">
          <cell r="F369">
            <v>105750543.48</v>
          </cell>
        </row>
        <row r="370">
          <cell r="F370">
            <v>76744935</v>
          </cell>
        </row>
        <row r="371">
          <cell r="F371">
            <v>182495478.48000002</v>
          </cell>
        </row>
        <row r="410">
          <cell r="F410"/>
        </row>
        <row r="411">
          <cell r="F411">
            <v>379431194.95652229</v>
          </cell>
        </row>
        <row r="412">
          <cell r="F412">
            <v>124446</v>
          </cell>
        </row>
        <row r="413">
          <cell r="F413">
            <v>379555640.95652229</v>
          </cell>
        </row>
        <row r="414">
          <cell r="F414"/>
        </row>
        <row r="415">
          <cell r="F415">
            <v>104646790.0980107</v>
          </cell>
        </row>
        <row r="416">
          <cell r="F416"/>
        </row>
        <row r="417">
          <cell r="F417">
            <v>104646826.0980107</v>
          </cell>
        </row>
        <row r="418">
          <cell r="F418">
            <v>-36</v>
          </cell>
        </row>
        <row r="419">
          <cell r="F419">
            <v>104646790.0980107</v>
          </cell>
        </row>
        <row r="420">
          <cell r="F420"/>
        </row>
      </sheetData>
      <sheetData sheetId="19"/>
      <sheetData sheetId="20">
        <row r="7">
          <cell r="H7" t="str">
            <v xml:space="preserve"> Other Rev Jun 2017</v>
          </cell>
          <cell r="I7" t="str">
            <v xml:space="preserve"> Other Rev Jun 2017</v>
          </cell>
        </row>
        <row r="8">
          <cell r="H8"/>
          <cell r="I8"/>
        </row>
        <row r="9">
          <cell r="H9"/>
          <cell r="I9"/>
        </row>
        <row r="10">
          <cell r="H10"/>
          <cell r="I10"/>
        </row>
        <row r="11">
          <cell r="H11"/>
          <cell r="I11"/>
        </row>
        <row r="12">
          <cell r="H12"/>
          <cell r="I12"/>
        </row>
        <row r="13">
          <cell r="H13"/>
          <cell r="I13"/>
        </row>
        <row r="14">
          <cell r="H14"/>
          <cell r="I14"/>
        </row>
        <row r="15">
          <cell r="H15">
            <v>1922718.8614775999</v>
          </cell>
          <cell r="I15">
            <v>1922718.8614775999</v>
          </cell>
        </row>
        <row r="16">
          <cell r="H16">
            <v>71559.988522400032</v>
          </cell>
          <cell r="I16">
            <v>71559.988522400032</v>
          </cell>
        </row>
        <row r="17">
          <cell r="H17">
            <v>1994278.85</v>
          </cell>
          <cell r="I17">
            <v>1994278.85</v>
          </cell>
        </row>
        <row r="18">
          <cell r="H18"/>
          <cell r="I18"/>
        </row>
        <row r="19">
          <cell r="H19"/>
          <cell r="I19"/>
        </row>
        <row r="20">
          <cell r="H20">
            <v>2002957.85</v>
          </cell>
          <cell r="I20">
            <v>2002957.85</v>
          </cell>
        </row>
        <row r="21">
          <cell r="H21">
            <v>101544.61</v>
          </cell>
          <cell r="I21">
            <v>101544.61</v>
          </cell>
        </row>
        <row r="22">
          <cell r="H22">
            <v>2104502.46</v>
          </cell>
          <cell r="I22">
            <v>2104502.46</v>
          </cell>
        </row>
        <row r="23">
          <cell r="H23"/>
          <cell r="I23"/>
        </row>
        <row r="24">
          <cell r="H24"/>
          <cell r="I24"/>
        </row>
        <row r="25">
          <cell r="H25">
            <v>0</v>
          </cell>
          <cell r="I25">
            <v>0</v>
          </cell>
        </row>
        <row r="26">
          <cell r="H26">
            <v>0</v>
          </cell>
          <cell r="I26">
            <v>0</v>
          </cell>
        </row>
        <row r="27">
          <cell r="H27">
            <v>0</v>
          </cell>
          <cell r="I27">
            <v>0</v>
          </cell>
        </row>
        <row r="28">
          <cell r="H28"/>
          <cell r="I28"/>
        </row>
        <row r="29">
          <cell r="H29"/>
          <cell r="I29"/>
        </row>
        <row r="30">
          <cell r="H30">
            <v>2201.5</v>
          </cell>
          <cell r="I30">
            <v>2201.5</v>
          </cell>
        </row>
        <row r="31">
          <cell r="H31">
            <v>823.5</v>
          </cell>
          <cell r="I31">
            <v>823.5</v>
          </cell>
        </row>
        <row r="32">
          <cell r="H32">
            <v>3025</v>
          </cell>
          <cell r="I32">
            <v>3025</v>
          </cell>
        </row>
        <row r="33">
          <cell r="H33"/>
          <cell r="I33"/>
        </row>
        <row r="34">
          <cell r="H34"/>
          <cell r="I34"/>
        </row>
        <row r="35">
          <cell r="H35">
            <v>72082.070000000007</v>
          </cell>
          <cell r="I35">
            <v>72082.070000000007</v>
          </cell>
        </row>
        <row r="36">
          <cell r="H36">
            <v>957</v>
          </cell>
          <cell r="I36">
            <v>957</v>
          </cell>
        </row>
        <row r="37">
          <cell r="H37">
            <v>73039.070000000007</v>
          </cell>
          <cell r="I37">
            <v>73039.070000000007</v>
          </cell>
        </row>
        <row r="38">
          <cell r="H38"/>
          <cell r="I38"/>
        </row>
        <row r="39">
          <cell r="H39"/>
          <cell r="I39"/>
        </row>
        <row r="40">
          <cell r="H40">
            <v>2374708</v>
          </cell>
          <cell r="I40">
            <v>2374708</v>
          </cell>
        </row>
        <row r="41">
          <cell r="H41">
            <v>9075</v>
          </cell>
          <cell r="I41">
            <v>9075</v>
          </cell>
        </row>
        <row r="42">
          <cell r="H42">
            <v>2383783</v>
          </cell>
          <cell r="I42">
            <v>2383783</v>
          </cell>
        </row>
        <row r="43">
          <cell r="H43"/>
          <cell r="I43"/>
        </row>
        <row r="44">
          <cell r="H44"/>
          <cell r="I44"/>
        </row>
        <row r="45">
          <cell r="H45">
            <v>0</v>
          </cell>
          <cell r="I45">
            <v>0</v>
          </cell>
        </row>
        <row r="46">
          <cell r="H46">
            <v>0</v>
          </cell>
          <cell r="I46">
            <v>0</v>
          </cell>
        </row>
        <row r="47">
          <cell r="H47">
            <v>0</v>
          </cell>
          <cell r="I47">
            <v>0</v>
          </cell>
        </row>
        <row r="48">
          <cell r="H48"/>
          <cell r="I48"/>
        </row>
        <row r="49">
          <cell r="H49"/>
          <cell r="I49"/>
        </row>
        <row r="50">
          <cell r="H50">
            <v>245060</v>
          </cell>
          <cell r="I50">
            <v>245060</v>
          </cell>
        </row>
        <row r="51">
          <cell r="H51">
            <v>5040</v>
          </cell>
          <cell r="I51">
            <v>5040</v>
          </cell>
        </row>
        <row r="52">
          <cell r="H52">
            <v>250100</v>
          </cell>
          <cell r="I52">
            <v>250100</v>
          </cell>
        </row>
        <row r="53">
          <cell r="H53"/>
          <cell r="I53"/>
        </row>
        <row r="54">
          <cell r="H54"/>
          <cell r="I54"/>
        </row>
        <row r="55">
          <cell r="H55">
            <v>0</v>
          </cell>
          <cell r="I55">
            <v>0</v>
          </cell>
        </row>
        <row r="56">
          <cell r="H56">
            <v>0</v>
          </cell>
          <cell r="I56">
            <v>0</v>
          </cell>
        </row>
        <row r="57">
          <cell r="H57">
            <v>0</v>
          </cell>
          <cell r="I57">
            <v>0</v>
          </cell>
        </row>
        <row r="58">
          <cell r="H58"/>
          <cell r="I58"/>
        </row>
        <row r="59">
          <cell r="H59"/>
          <cell r="I59"/>
        </row>
        <row r="60">
          <cell r="H60">
            <v>0</v>
          </cell>
          <cell r="I60">
            <v>0</v>
          </cell>
        </row>
        <row r="61">
          <cell r="H61">
            <v>0</v>
          </cell>
          <cell r="I61">
            <v>0</v>
          </cell>
        </row>
        <row r="62">
          <cell r="H62">
            <v>0</v>
          </cell>
          <cell r="I62">
            <v>0</v>
          </cell>
        </row>
        <row r="63">
          <cell r="H63"/>
          <cell r="I63"/>
        </row>
        <row r="64">
          <cell r="H64"/>
          <cell r="I64"/>
        </row>
        <row r="65">
          <cell r="H65">
            <v>0</v>
          </cell>
          <cell r="I65">
            <v>0</v>
          </cell>
        </row>
        <row r="66">
          <cell r="H66">
            <v>0</v>
          </cell>
          <cell r="I66">
            <v>0</v>
          </cell>
        </row>
        <row r="67">
          <cell r="H67">
            <v>0</v>
          </cell>
          <cell r="I67">
            <v>0</v>
          </cell>
        </row>
        <row r="68">
          <cell r="H68"/>
          <cell r="I68"/>
        </row>
        <row r="69">
          <cell r="H69"/>
          <cell r="I69"/>
        </row>
        <row r="70">
          <cell r="H70">
            <v>0</v>
          </cell>
          <cell r="I70">
            <v>0</v>
          </cell>
        </row>
        <row r="71">
          <cell r="H71">
            <v>0</v>
          </cell>
          <cell r="I71">
            <v>0</v>
          </cell>
        </row>
        <row r="72">
          <cell r="H72">
            <v>0</v>
          </cell>
          <cell r="I72">
            <v>0</v>
          </cell>
        </row>
        <row r="73">
          <cell r="H73"/>
          <cell r="I73"/>
        </row>
        <row r="74">
          <cell r="H74"/>
          <cell r="I74"/>
        </row>
        <row r="75">
          <cell r="H75">
            <v>0</v>
          </cell>
          <cell r="I75">
            <v>0</v>
          </cell>
        </row>
        <row r="76">
          <cell r="H76">
            <v>0</v>
          </cell>
          <cell r="I76">
            <v>0</v>
          </cell>
        </row>
        <row r="77">
          <cell r="H77">
            <v>0</v>
          </cell>
          <cell r="I77">
            <v>0</v>
          </cell>
        </row>
        <row r="78">
          <cell r="H78"/>
          <cell r="I78"/>
        </row>
        <row r="79">
          <cell r="H79"/>
          <cell r="I79"/>
        </row>
        <row r="80">
          <cell r="H80">
            <v>0</v>
          </cell>
          <cell r="I80">
            <v>0</v>
          </cell>
        </row>
        <row r="81">
          <cell r="H81">
            <v>0</v>
          </cell>
          <cell r="I81">
            <v>0</v>
          </cell>
        </row>
        <row r="82">
          <cell r="H82">
            <v>0</v>
          </cell>
          <cell r="I82">
            <v>0</v>
          </cell>
        </row>
        <row r="83">
          <cell r="H83"/>
          <cell r="I83"/>
        </row>
        <row r="84">
          <cell r="H84"/>
          <cell r="I84"/>
        </row>
        <row r="85">
          <cell r="H85">
            <v>0</v>
          </cell>
          <cell r="I85">
            <v>0</v>
          </cell>
        </row>
        <row r="86">
          <cell r="H86">
            <v>0</v>
          </cell>
          <cell r="I86">
            <v>0</v>
          </cell>
        </row>
        <row r="87">
          <cell r="H87">
            <v>0</v>
          </cell>
          <cell r="I87">
            <v>0</v>
          </cell>
        </row>
        <row r="88">
          <cell r="H88"/>
          <cell r="I88"/>
        </row>
        <row r="89">
          <cell r="H89"/>
          <cell r="I89"/>
        </row>
        <row r="90">
          <cell r="H90">
            <v>0</v>
          </cell>
          <cell r="I90">
            <v>0</v>
          </cell>
        </row>
        <row r="91">
          <cell r="H91">
            <v>0</v>
          </cell>
          <cell r="I91">
            <v>0</v>
          </cell>
        </row>
        <row r="92">
          <cell r="H92">
            <v>0</v>
          </cell>
          <cell r="I92">
            <v>0</v>
          </cell>
        </row>
        <row r="93">
          <cell r="H93"/>
          <cell r="I93"/>
        </row>
        <row r="94">
          <cell r="H94"/>
          <cell r="I94"/>
        </row>
        <row r="95">
          <cell r="H95">
            <v>5277157.1893031001</v>
          </cell>
          <cell r="I95">
            <v>5277157.1893031001</v>
          </cell>
        </row>
        <row r="96">
          <cell r="H96">
            <v>179117.15069690009</v>
          </cell>
          <cell r="I96">
            <v>179117.15069690009</v>
          </cell>
        </row>
        <row r="97">
          <cell r="H97">
            <v>5456274.3400000008</v>
          </cell>
          <cell r="I97">
            <v>5456274.3400000008</v>
          </cell>
        </row>
        <row r="98">
          <cell r="H98"/>
          <cell r="I98"/>
        </row>
        <row r="99">
          <cell r="H99"/>
          <cell r="I99"/>
        </row>
        <row r="100">
          <cell r="H100">
            <v>0</v>
          </cell>
          <cell r="I100">
            <v>0</v>
          </cell>
        </row>
        <row r="101">
          <cell r="H101">
            <v>0</v>
          </cell>
          <cell r="I101">
            <v>0</v>
          </cell>
        </row>
        <row r="102">
          <cell r="H102">
            <v>0</v>
          </cell>
          <cell r="I102">
            <v>0</v>
          </cell>
        </row>
        <row r="103">
          <cell r="H103"/>
          <cell r="I103"/>
        </row>
        <row r="104">
          <cell r="H104"/>
          <cell r="I104"/>
        </row>
        <row r="105">
          <cell r="H105">
            <v>1746447.8848289</v>
          </cell>
          <cell r="I105">
            <v>1746447.8848289</v>
          </cell>
        </row>
        <row r="106">
          <cell r="H106">
            <v>62998.605171099989</v>
          </cell>
          <cell r="I106">
            <v>62998.605171099989</v>
          </cell>
        </row>
        <row r="107">
          <cell r="H107">
            <v>1809446.49</v>
          </cell>
          <cell r="I107">
            <v>1809446.49</v>
          </cell>
        </row>
        <row r="108">
          <cell r="H108"/>
          <cell r="I108"/>
        </row>
        <row r="109">
          <cell r="H109"/>
          <cell r="I109"/>
        </row>
        <row r="110">
          <cell r="H110">
            <v>0</v>
          </cell>
          <cell r="I110">
            <v>0</v>
          </cell>
        </row>
        <row r="111">
          <cell r="H111">
            <v>0</v>
          </cell>
          <cell r="I111">
            <v>0</v>
          </cell>
        </row>
        <row r="112">
          <cell r="H112">
            <v>0</v>
          </cell>
          <cell r="I112">
            <v>0</v>
          </cell>
        </row>
        <row r="113">
          <cell r="H113"/>
          <cell r="I113"/>
        </row>
        <row r="114">
          <cell r="H114"/>
          <cell r="I114"/>
        </row>
        <row r="115">
          <cell r="H115">
            <v>-263367.86752480001</v>
          </cell>
          <cell r="I115">
            <v>-263367.86752480001</v>
          </cell>
        </row>
        <row r="116">
          <cell r="H116">
            <v>-9909.1524752000041</v>
          </cell>
          <cell r="I116">
            <v>-9909.1524752000041</v>
          </cell>
        </row>
        <row r="117">
          <cell r="H117">
            <v>-273277.02</v>
          </cell>
          <cell r="I117">
            <v>-273277.02</v>
          </cell>
        </row>
        <row r="118">
          <cell r="H118"/>
          <cell r="I118"/>
        </row>
        <row r="119">
          <cell r="H119"/>
          <cell r="I119"/>
        </row>
        <row r="120">
          <cell r="H120">
            <v>10370524.584048901</v>
          </cell>
          <cell r="I120">
            <v>10370524.584048901</v>
          </cell>
        </row>
        <row r="121">
          <cell r="H121">
            <v>375650.00595109991</v>
          </cell>
          <cell r="I121">
            <v>375650.00595109991</v>
          </cell>
        </row>
        <row r="122">
          <cell r="H122">
            <v>10746174.590000002</v>
          </cell>
          <cell r="I122">
            <v>10746174.590000002</v>
          </cell>
        </row>
        <row r="123">
          <cell r="H123"/>
          <cell r="I123"/>
        </row>
        <row r="124">
          <cell r="H124"/>
          <cell r="I124"/>
        </row>
        <row r="125">
          <cell r="H125">
            <v>118657.68864000001</v>
          </cell>
          <cell r="I125">
            <v>118657.68864000001</v>
          </cell>
        </row>
        <row r="126">
          <cell r="H126">
            <v>4187.3113599999997</v>
          </cell>
          <cell r="I126">
            <v>4187.3113599999997</v>
          </cell>
        </row>
        <row r="127">
          <cell r="H127">
            <v>122845</v>
          </cell>
          <cell r="I127">
            <v>122845</v>
          </cell>
        </row>
        <row r="128">
          <cell r="H128"/>
          <cell r="I128"/>
        </row>
        <row r="129">
          <cell r="H129"/>
          <cell r="I129"/>
        </row>
        <row r="130">
          <cell r="H130">
            <v>0</v>
          </cell>
          <cell r="I130">
            <v>0</v>
          </cell>
        </row>
        <row r="131">
          <cell r="H131">
            <v>0</v>
          </cell>
          <cell r="I131">
            <v>0</v>
          </cell>
        </row>
        <row r="132">
          <cell r="H132">
            <v>0</v>
          </cell>
          <cell r="I132">
            <v>0</v>
          </cell>
        </row>
        <row r="133">
          <cell r="H133"/>
          <cell r="I133"/>
        </row>
        <row r="134">
          <cell r="H134">
            <v>0</v>
          </cell>
          <cell r="I134">
            <v>0</v>
          </cell>
        </row>
        <row r="135">
          <cell r="H135"/>
          <cell r="I135"/>
        </row>
        <row r="136">
          <cell r="H136">
            <v>19172138.340773702</v>
          </cell>
          <cell r="I136">
            <v>19172138.340773702</v>
          </cell>
        </row>
        <row r="137">
          <cell r="H137">
            <v>4697009.42</v>
          </cell>
          <cell r="I137">
            <v>4697009.42</v>
          </cell>
        </row>
        <row r="138">
          <cell r="H138">
            <v>23869147.760773696</v>
          </cell>
          <cell r="I138">
            <v>23869147.760773696</v>
          </cell>
        </row>
        <row r="139">
          <cell r="H139"/>
          <cell r="I139"/>
        </row>
        <row r="140">
          <cell r="H140">
            <v>693513.06170149997</v>
          </cell>
          <cell r="I140">
            <v>693513.06170149997</v>
          </cell>
        </row>
        <row r="141">
          <cell r="H141">
            <v>107530.9575248</v>
          </cell>
          <cell r="I141">
            <v>107530.9575248</v>
          </cell>
        </row>
        <row r="142">
          <cell r="H142">
            <v>801044.01922630006</v>
          </cell>
          <cell r="I142">
            <v>801044.01922630006</v>
          </cell>
        </row>
        <row r="143">
          <cell r="H143"/>
          <cell r="I143"/>
        </row>
        <row r="144">
          <cell r="H144">
            <v>24670191.780000001</v>
          </cell>
          <cell r="I144">
            <v>24670191.780000001</v>
          </cell>
        </row>
      </sheetData>
      <sheetData sheetId="21"/>
      <sheetData sheetId="22"/>
      <sheetData sheetId="23">
        <row r="5">
          <cell r="D5" t="str">
            <v>Bad Debt</v>
          </cell>
        </row>
        <row r="6">
          <cell r="D6"/>
        </row>
        <row r="8">
          <cell r="D8" t="str">
            <v xml:space="preserve">Bad Debt </v>
          </cell>
        </row>
        <row r="9">
          <cell r="D9" t="str">
            <v>Ratio</v>
          </cell>
        </row>
        <row r="10">
          <cell r="D10" t="str">
            <v>Adjustment</v>
          </cell>
        </row>
        <row r="12">
          <cell r="D12">
            <v>91049.368103791145</v>
          </cell>
        </row>
        <row r="13">
          <cell r="D13">
            <v>-37425.575731088218</v>
          </cell>
        </row>
        <row r="14">
          <cell r="D14">
            <v>53623.792372702927</v>
          </cell>
        </row>
        <row r="17">
          <cell r="D17">
            <v>2.0388824180169176E-3</v>
          </cell>
        </row>
        <row r="20">
          <cell r="D20"/>
        </row>
        <row r="21">
          <cell r="D21"/>
        </row>
        <row r="22">
          <cell r="D22" t="str">
            <v>SNG</v>
          </cell>
        </row>
        <row r="24">
          <cell r="D24">
            <v>-212317.07000000004</v>
          </cell>
        </row>
        <row r="25">
          <cell r="D25">
            <v>0</v>
          </cell>
        </row>
        <row r="26">
          <cell r="D26">
            <v>-212317.07000000004</v>
          </cell>
        </row>
        <row r="28">
          <cell r="D28" t="str">
            <v>Commodity</v>
          </cell>
        </row>
        <row r="29">
          <cell r="D29">
            <v>-841817.97</v>
          </cell>
        </row>
        <row r="30">
          <cell r="D30">
            <v>0</v>
          </cell>
        </row>
        <row r="31">
          <cell r="D31">
            <v>-841817.97</v>
          </cell>
        </row>
        <row r="33">
          <cell r="D33">
            <v>-1000511.2476272971</v>
          </cell>
        </row>
      </sheetData>
      <sheetData sheetId="24"/>
      <sheetData sheetId="25"/>
      <sheetData sheetId="26">
        <row r="6">
          <cell r="B6" t="str">
            <v>Distrigas 2014</v>
          </cell>
          <cell r="C6" t="str">
            <v>Distrigas 2015</v>
          </cell>
          <cell r="D6" t="str">
            <v>Distrigas 2016</v>
          </cell>
          <cell r="E6" t="str">
            <v>Distrigas 2017</v>
          </cell>
        </row>
        <row r="7">
          <cell r="B7"/>
          <cell r="C7"/>
          <cell r="D7"/>
          <cell r="E7"/>
        </row>
        <row r="8">
          <cell r="B8">
            <v>0.44990000000000002</v>
          </cell>
          <cell r="C8">
            <v>0.44719999999999999</v>
          </cell>
          <cell r="D8">
            <v>0.46539999999999998</v>
          </cell>
          <cell r="E8">
            <v>0.49099999999999999</v>
          </cell>
        </row>
        <row r="9">
          <cell r="B9">
            <v>0.27579999999999999</v>
          </cell>
          <cell r="C9">
            <v>0.27610000000000001</v>
          </cell>
          <cell r="D9">
            <v>0.25619999999999998</v>
          </cell>
          <cell r="E9">
            <v>0.26790000000000003</v>
          </cell>
        </row>
        <row r="10">
          <cell r="B10">
            <v>0.26900000000000002</v>
          </cell>
          <cell r="C10">
            <v>0.27110000000000001</v>
          </cell>
          <cell r="D10">
            <v>0.27150000000000002</v>
          </cell>
          <cell r="E10">
            <v>0.24110000000000001</v>
          </cell>
        </row>
        <row r="11">
          <cell r="B11">
            <v>5.3E-3</v>
          </cell>
          <cell r="C11">
            <v>5.5999999999999999E-3</v>
          </cell>
          <cell r="D11">
            <v>6.8999999999999999E-3</v>
          </cell>
          <cell r="E11">
            <v>0</v>
          </cell>
        </row>
        <row r="12">
          <cell r="B12"/>
          <cell r="C12"/>
          <cell r="D12"/>
          <cell r="E12"/>
        </row>
        <row r="13">
          <cell r="B13">
            <v>1</v>
          </cell>
          <cell r="C13">
            <v>1</v>
          </cell>
          <cell r="D13">
            <v>1</v>
          </cell>
          <cell r="E13">
            <v>1</v>
          </cell>
        </row>
        <row r="15">
          <cell r="B15"/>
          <cell r="C15"/>
          <cell r="D15"/>
          <cell r="E15"/>
        </row>
        <row r="17">
          <cell r="B17"/>
          <cell r="C17"/>
          <cell r="D17"/>
          <cell r="E17"/>
        </row>
        <row r="24">
          <cell r="B24"/>
          <cell r="C24"/>
          <cell r="D24"/>
          <cell r="E24"/>
        </row>
        <row r="25">
          <cell r="B25"/>
          <cell r="C25"/>
          <cell r="D25"/>
          <cell r="E25"/>
        </row>
        <row r="26">
          <cell r="B26"/>
          <cell r="C26"/>
          <cell r="D26"/>
          <cell r="E26"/>
        </row>
        <row r="28">
          <cell r="B28"/>
          <cell r="C28"/>
          <cell r="D28"/>
          <cell r="E28"/>
        </row>
      </sheetData>
      <sheetData sheetId="27" refreshError="1"/>
      <sheetData sheetId="28" refreshError="1"/>
      <sheetData sheetId="2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ount List"/>
      <sheetName val="IT Account"/>
      <sheetName val="F Account"/>
      <sheetName val="Multi History"/>
      <sheetName val="History"/>
      <sheetName val="F&amp;I Henery Hub"/>
      <sheetName val="Rates-Meter Categories-Charges"/>
      <sheetName val="Test Sheet"/>
      <sheetName val="Tax Table"/>
      <sheetName val="Rep Information"/>
      <sheetName val="Henry Hub Data"/>
      <sheetName val="Input HH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3">
          <cell r="E53">
            <v>0.21317</v>
          </cell>
        </row>
        <row r="54">
          <cell r="E54">
            <v>0.19833999999999999</v>
          </cell>
        </row>
        <row r="55">
          <cell r="E55">
            <v>0.13486999999999999</v>
          </cell>
        </row>
        <row r="56">
          <cell r="E56">
            <v>3.6769999999999997E-2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Panel"/>
      <sheetName val="Report"/>
      <sheetName val="COS Detail"/>
      <sheetName val="COS Sum"/>
      <sheetName val="Alloc"/>
      <sheetName val="Model"/>
      <sheetName val="Summaries-Wyoming"/>
      <sheetName val="Summaries-Utah"/>
      <sheetName val="Taxes"/>
      <sheetName val="Expenses"/>
      <sheetName val="Adjustments"/>
      <sheetName val="1-Rate Base"/>
      <sheetName val="2-Und Stor"/>
      <sheetName val="3-Wexpro"/>
      <sheetName val="4-Sale of Prop"/>
      <sheetName val="5-OakCity"/>
      <sheetName val="6-Bad Debt"/>
      <sheetName val="7-Other Rev"/>
      <sheetName val="8-Revenue"/>
      <sheetName val="REV_SUMMARY"/>
      <sheetName val="TA Rev Avg OR"/>
      <sheetName val="TA Rev YE"/>
      <sheetName val="Hist Rev"/>
      <sheetName val="2003 REV RUN"/>
      <sheetName val="2004 REV RUN"/>
      <sheetName val="9-Min Bills"/>
      <sheetName val="10-Bank Vac"/>
      <sheetName val="11-Labor Ann"/>
      <sheetName val="12-Incentive"/>
      <sheetName val="13-Phantom"/>
      <sheetName val="14-Tickets"/>
      <sheetName val="15-Affiliate ROR"/>
      <sheetName val="16-QES"/>
      <sheetName val="17-ST TAX"/>
      <sheetName val="18-CO2"/>
      <sheetName val="19-Advertising"/>
      <sheetName val="20-Donations"/>
      <sheetName val="21-GTI"/>
      <sheetName val="22-Reserve Acc"/>
      <sheetName val="23-Postage"/>
      <sheetName val="24-Depreciation"/>
      <sheetName val="25-QPEC Labor"/>
      <sheetName val="27-WYO 282"/>
      <sheetName val="28-Capital Str"/>
      <sheetName val="Utah Allocation"/>
      <sheetName val="Cost of Service"/>
      <sheetName val="ALLOCATIONS&amp;PRETAX"/>
      <sheetName val="TABLE"/>
      <sheetName val="PRINT MACRO"/>
      <sheetName val="Model Chec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372">
          <cell r="G372">
            <v>1785903.15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YPE"/>
      <sheetName val="RATE CLASS"/>
      <sheetName val="PIVOT"/>
      <sheetName val="QUERY_FOR PIVOT"/>
      <sheetName val="NGV RATES"/>
      <sheetName val="NGV Query"/>
      <sheetName val="CRITERIA"/>
      <sheetName val="BOOKED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>
            <v>39447</v>
          </cell>
          <cell r="C3">
            <v>39478</v>
          </cell>
          <cell r="D3">
            <v>39507</v>
          </cell>
          <cell r="E3">
            <v>39538</v>
          </cell>
          <cell r="F3">
            <v>39568</v>
          </cell>
          <cell r="G3">
            <v>39599</v>
          </cell>
          <cell r="H3">
            <v>39629</v>
          </cell>
          <cell r="I3">
            <v>39660</v>
          </cell>
          <cell r="J3">
            <v>39691</v>
          </cell>
          <cell r="K3">
            <v>39721</v>
          </cell>
          <cell r="L3">
            <v>39752</v>
          </cell>
          <cell r="M3">
            <v>39782</v>
          </cell>
          <cell r="N3">
            <v>39813</v>
          </cell>
          <cell r="O3">
            <v>39844</v>
          </cell>
          <cell r="P3">
            <v>39872</v>
          </cell>
          <cell r="Q3">
            <v>39903</v>
          </cell>
          <cell r="R3">
            <v>39933</v>
          </cell>
          <cell r="S3">
            <v>39964</v>
          </cell>
        </row>
        <row r="4">
          <cell r="B4">
            <v>2.5567000000000002</v>
          </cell>
          <cell r="C4">
            <v>2.5567000000000002</v>
          </cell>
          <cell r="D4">
            <v>2.5567000000000002</v>
          </cell>
          <cell r="E4">
            <v>2.5567000000000002</v>
          </cell>
          <cell r="F4">
            <v>2.5567000000000002</v>
          </cell>
          <cell r="G4">
            <v>2.5567000000000002</v>
          </cell>
          <cell r="H4">
            <v>2.5567000000000002</v>
          </cell>
          <cell r="I4">
            <v>2.5567000000000002</v>
          </cell>
          <cell r="J4">
            <v>2.5567000000000002</v>
          </cell>
          <cell r="K4">
            <v>2.5567000000000002</v>
          </cell>
          <cell r="L4">
            <v>2.5567000000000002</v>
          </cell>
          <cell r="M4">
            <v>2.6896300000000002</v>
          </cell>
          <cell r="N4">
            <v>2.6896300000000002</v>
          </cell>
          <cell r="O4">
            <v>2.6896300000000002</v>
          </cell>
          <cell r="P4">
            <v>2.6896300000000002</v>
          </cell>
          <cell r="Q4">
            <v>2.6896300000000002</v>
          </cell>
          <cell r="R4">
            <v>4.9603099999999998</v>
          </cell>
          <cell r="S4">
            <v>4.9603099999999998</v>
          </cell>
        </row>
        <row r="5">
          <cell r="B5">
            <v>0.58655999999999997</v>
          </cell>
          <cell r="C5">
            <v>0.58655999999999997</v>
          </cell>
          <cell r="D5">
            <v>0.58655999999999997</v>
          </cell>
          <cell r="E5">
            <v>0.58655999999999997</v>
          </cell>
          <cell r="F5">
            <v>0.58655999999999997</v>
          </cell>
          <cell r="G5">
            <v>0.58655999999999997</v>
          </cell>
          <cell r="H5">
            <v>0.58655999999999997</v>
          </cell>
          <cell r="I5">
            <v>0.70370999999999995</v>
          </cell>
          <cell r="J5">
            <v>0.70370999999999995</v>
          </cell>
          <cell r="K5">
            <v>0.70370999999999995</v>
          </cell>
          <cell r="L5">
            <v>0.70370999999999995</v>
          </cell>
          <cell r="M5">
            <v>0.91618999999999995</v>
          </cell>
          <cell r="N5">
            <v>0.91618999999999995</v>
          </cell>
          <cell r="O5">
            <v>0.91618999999999995</v>
          </cell>
          <cell r="P5">
            <v>0.91618999999999995</v>
          </cell>
          <cell r="Q5">
            <v>0.83467999999999998</v>
          </cell>
          <cell r="R5">
            <v>0.83467999999999998</v>
          </cell>
          <cell r="S5">
            <v>0.83467999999999998</v>
          </cell>
        </row>
        <row r="6">
          <cell r="B6">
            <v>4.8200799999999999</v>
          </cell>
          <cell r="C6">
            <v>4.8200799999999999</v>
          </cell>
          <cell r="D6">
            <v>4.8200799999999999</v>
          </cell>
          <cell r="E6">
            <v>4.8200799999999999</v>
          </cell>
          <cell r="F6">
            <v>4.8200799999999999</v>
          </cell>
          <cell r="G6">
            <v>4.8200799999999999</v>
          </cell>
          <cell r="H6">
            <v>4.8200799999999999</v>
          </cell>
          <cell r="I6">
            <v>6.5426599999999997</v>
          </cell>
          <cell r="J6">
            <v>6.5426599999999997</v>
          </cell>
          <cell r="K6">
            <v>6.5426599999999997</v>
          </cell>
          <cell r="L6">
            <v>6.5426599999999997</v>
          </cell>
          <cell r="M6">
            <v>5.6968100000000002</v>
          </cell>
          <cell r="N6">
            <v>5.6968100000000002</v>
          </cell>
          <cell r="O6">
            <v>5.6968100000000002</v>
          </cell>
          <cell r="P6">
            <v>5.6968100000000002</v>
          </cell>
          <cell r="Q6">
            <v>4.1927000000000003</v>
          </cell>
          <cell r="R6">
            <v>4.1927000000000003</v>
          </cell>
          <cell r="S6">
            <v>4.1927000000000003</v>
          </cell>
        </row>
        <row r="11">
          <cell r="B11">
            <v>39447</v>
          </cell>
          <cell r="C11">
            <v>39478</v>
          </cell>
          <cell r="D11">
            <v>39507</v>
          </cell>
          <cell r="E11">
            <v>39538</v>
          </cell>
          <cell r="F11">
            <v>39568</v>
          </cell>
          <cell r="G11">
            <v>39599</v>
          </cell>
          <cell r="H11">
            <v>39629</v>
          </cell>
          <cell r="I11">
            <v>39660</v>
          </cell>
          <cell r="J11">
            <v>39691</v>
          </cell>
          <cell r="K11">
            <v>39721</v>
          </cell>
          <cell r="L11">
            <v>39752</v>
          </cell>
          <cell r="M11">
            <v>39782</v>
          </cell>
          <cell r="N11">
            <v>39813</v>
          </cell>
          <cell r="O11">
            <v>39844</v>
          </cell>
          <cell r="P11">
            <v>39872</v>
          </cell>
          <cell r="Q11">
            <v>39903</v>
          </cell>
          <cell r="R11">
            <v>39933</v>
          </cell>
          <cell r="S11">
            <v>39964</v>
          </cell>
        </row>
        <row r="12">
          <cell r="B12">
            <v>3.12737</v>
          </cell>
          <cell r="C12">
            <v>3.12737</v>
          </cell>
          <cell r="D12">
            <v>3.12737</v>
          </cell>
          <cell r="E12">
            <v>3.12737</v>
          </cell>
          <cell r="F12">
            <v>3.12737</v>
          </cell>
          <cell r="G12">
            <v>3.12737</v>
          </cell>
          <cell r="H12">
            <v>3.12737</v>
          </cell>
          <cell r="I12">
            <v>3.0495899999999998</v>
          </cell>
          <cell r="J12">
            <v>3.0495899999999998</v>
          </cell>
          <cell r="K12">
            <v>3.0495899999999998</v>
          </cell>
          <cell r="L12">
            <v>3.0495899999999998</v>
          </cell>
          <cell r="M12">
            <v>3.12737</v>
          </cell>
          <cell r="N12">
            <v>3.12737</v>
          </cell>
          <cell r="O12">
            <v>3.12737</v>
          </cell>
          <cell r="P12">
            <v>3.12737</v>
          </cell>
          <cell r="Q12">
            <v>3.12737</v>
          </cell>
          <cell r="R12">
            <v>3.12737</v>
          </cell>
          <cell r="S12">
            <v>3.12737</v>
          </cell>
        </row>
        <row r="13">
          <cell r="B13">
            <v>5.3518800000000004</v>
          </cell>
          <cell r="C13">
            <v>5.3518800000000004</v>
          </cell>
          <cell r="D13">
            <v>5.3518800000000004</v>
          </cell>
          <cell r="E13">
            <v>5.3518800000000004</v>
          </cell>
          <cell r="F13">
            <v>5.3518800000000004</v>
          </cell>
          <cell r="G13">
            <v>5.3518800000000004</v>
          </cell>
          <cell r="H13">
            <v>5.3518800000000004</v>
          </cell>
          <cell r="I13">
            <v>2.8395000000000001</v>
          </cell>
          <cell r="J13">
            <v>2.8395000000000001</v>
          </cell>
          <cell r="K13">
            <v>2.8395000000000001</v>
          </cell>
          <cell r="L13">
            <v>2.8395000000000001</v>
          </cell>
          <cell r="M13">
            <v>6.2275600000000004</v>
          </cell>
          <cell r="N13">
            <v>6.2275600000000004</v>
          </cell>
          <cell r="O13">
            <v>6.2275600000000004</v>
          </cell>
          <cell r="P13">
            <v>6.2275600000000004</v>
          </cell>
          <cell r="Q13">
            <v>5.1759300000000001</v>
          </cell>
          <cell r="R13">
            <v>5.1759300000000001</v>
          </cell>
          <cell r="S13">
            <v>5.1759300000000001</v>
          </cell>
        </row>
      </sheetData>
      <sheetData sheetId="5" refreshError="1">
        <row r="1">
          <cell r="A1" t="str">
            <v>Account</v>
          </cell>
          <cell r="B1" t="str">
            <v>Oper Unit</v>
          </cell>
          <cell r="C1" t="str">
            <v>Product</v>
          </cell>
          <cell r="D1" t="str">
            <v>Trans</v>
          </cell>
          <cell r="E1" t="str">
            <v>Date</v>
          </cell>
          <cell r="F1" t="str">
            <v>Journal ID</v>
          </cell>
          <cell r="G1" t="str">
            <v>Monetary Amount</v>
          </cell>
          <cell r="H1" t="str">
            <v>Statistic Amount</v>
          </cell>
        </row>
        <row r="2">
          <cell r="A2" t="str">
            <v>481003</v>
          </cell>
          <cell r="B2" t="str">
            <v>01990</v>
          </cell>
          <cell r="D2" t="str">
            <v>200</v>
          </cell>
          <cell r="E2" t="str">
            <v>2008-06-30</v>
          </cell>
          <cell r="F2" t="str">
            <v>470</v>
          </cell>
          <cell r="G2">
            <v>6448.8</v>
          </cell>
          <cell r="H2">
            <v>1212.92</v>
          </cell>
        </row>
        <row r="3">
          <cell r="A3" t="str">
            <v>481003</v>
          </cell>
          <cell r="B3" t="str">
            <v>01953</v>
          </cell>
          <cell r="D3" t="str">
            <v>200</v>
          </cell>
          <cell r="E3" t="str">
            <v>2008-06-30</v>
          </cell>
          <cell r="F3" t="str">
            <v>470</v>
          </cell>
          <cell r="G3">
            <v>16385.740000000002</v>
          </cell>
          <cell r="H3">
            <v>3081.93</v>
          </cell>
        </row>
        <row r="4">
          <cell r="A4" t="str">
            <v>481003</v>
          </cell>
          <cell r="B4" t="str">
            <v>01986</v>
          </cell>
          <cell r="D4" t="str">
            <v>200</v>
          </cell>
          <cell r="E4" t="str">
            <v>2008-06-30</v>
          </cell>
          <cell r="F4" t="str">
            <v>470</v>
          </cell>
          <cell r="G4">
            <v>4661.8900000000003</v>
          </cell>
          <cell r="H4">
            <v>876.82</v>
          </cell>
        </row>
        <row r="5">
          <cell r="A5" t="str">
            <v>481003</v>
          </cell>
          <cell r="B5" t="str">
            <v>01974</v>
          </cell>
          <cell r="D5" t="str">
            <v>200</v>
          </cell>
          <cell r="E5" t="str">
            <v>2008-06-30</v>
          </cell>
          <cell r="F5" t="str">
            <v>470</v>
          </cell>
          <cell r="G5">
            <v>10231.93</v>
          </cell>
          <cell r="H5">
            <v>1924.42</v>
          </cell>
        </row>
        <row r="6">
          <cell r="A6" t="str">
            <v>481003</v>
          </cell>
          <cell r="B6" t="str">
            <v>01988</v>
          </cell>
          <cell r="D6" t="str">
            <v>200</v>
          </cell>
          <cell r="E6" t="str">
            <v>2008-06-30</v>
          </cell>
          <cell r="F6" t="str">
            <v>470</v>
          </cell>
          <cell r="G6">
            <v>4699.5600000000004</v>
          </cell>
          <cell r="H6">
            <v>882.53</v>
          </cell>
        </row>
        <row r="7">
          <cell r="A7" t="str">
            <v>481003</v>
          </cell>
          <cell r="B7" t="str">
            <v>01993</v>
          </cell>
          <cell r="D7" t="str">
            <v>200</v>
          </cell>
          <cell r="E7" t="str">
            <v>2008-06-30</v>
          </cell>
          <cell r="F7" t="str">
            <v>470</v>
          </cell>
          <cell r="G7">
            <v>1751.48</v>
          </cell>
          <cell r="H7">
            <v>279.88</v>
          </cell>
        </row>
        <row r="8">
          <cell r="A8" t="str">
            <v>481003</v>
          </cell>
          <cell r="B8" t="str">
            <v>01943</v>
          </cell>
          <cell r="D8" t="str">
            <v>200</v>
          </cell>
          <cell r="E8" t="str">
            <v>2008-06-30</v>
          </cell>
          <cell r="F8" t="str">
            <v>470</v>
          </cell>
          <cell r="G8">
            <v>741.84</v>
          </cell>
          <cell r="H8">
            <v>115.32</v>
          </cell>
        </row>
        <row r="9">
          <cell r="A9" t="str">
            <v>481003</v>
          </cell>
          <cell r="B9" t="str">
            <v>01943</v>
          </cell>
          <cell r="D9" t="str">
            <v>200</v>
          </cell>
          <cell r="E9" t="str">
            <v>2008-06-30</v>
          </cell>
          <cell r="F9" t="str">
            <v>472B</v>
          </cell>
          <cell r="G9">
            <v>1704.08</v>
          </cell>
          <cell r="H9">
            <v>318.39</v>
          </cell>
        </row>
        <row r="10">
          <cell r="A10" t="str">
            <v>481003</v>
          </cell>
          <cell r="B10" t="str">
            <v>01954</v>
          </cell>
          <cell r="D10" t="str">
            <v>200</v>
          </cell>
          <cell r="E10" t="str">
            <v>2008-06-30</v>
          </cell>
          <cell r="F10" t="str">
            <v>472B</v>
          </cell>
          <cell r="G10">
            <v>30.42</v>
          </cell>
          <cell r="H10">
            <v>5.64</v>
          </cell>
        </row>
        <row r="11">
          <cell r="A11" t="str">
            <v>481003</v>
          </cell>
          <cell r="B11" t="str">
            <v>01953</v>
          </cell>
          <cell r="D11" t="str">
            <v>200</v>
          </cell>
          <cell r="E11" t="str">
            <v>2008-06-30</v>
          </cell>
          <cell r="F11" t="str">
            <v>472B</v>
          </cell>
          <cell r="G11">
            <v>21353</v>
          </cell>
          <cell r="H11">
            <v>3925.9</v>
          </cell>
        </row>
        <row r="12">
          <cell r="A12" t="str">
            <v>481003</v>
          </cell>
          <cell r="B12" t="str">
            <v>01991</v>
          </cell>
          <cell r="D12" t="str">
            <v>200</v>
          </cell>
          <cell r="E12" t="str">
            <v>2008-06-30</v>
          </cell>
          <cell r="F12" t="str">
            <v>472B</v>
          </cell>
          <cell r="G12">
            <v>58.5</v>
          </cell>
          <cell r="H12">
            <v>10.85</v>
          </cell>
        </row>
        <row r="13">
          <cell r="A13" t="str">
            <v>481003</v>
          </cell>
          <cell r="B13" t="str">
            <v>01959</v>
          </cell>
          <cell r="D13" t="str">
            <v>200</v>
          </cell>
          <cell r="E13" t="str">
            <v>2008-06-30</v>
          </cell>
          <cell r="F13" t="str">
            <v>549A</v>
          </cell>
          <cell r="G13">
            <v>0</v>
          </cell>
          <cell r="H13">
            <v>0</v>
          </cell>
        </row>
        <row r="14">
          <cell r="A14" t="str">
            <v>481003</v>
          </cell>
          <cell r="B14" t="str">
            <v>01943</v>
          </cell>
          <cell r="D14" t="str">
            <v>200</v>
          </cell>
          <cell r="E14" t="str">
            <v>2008-06-30</v>
          </cell>
          <cell r="F14" t="str">
            <v>549A</v>
          </cell>
          <cell r="G14">
            <v>-921.05</v>
          </cell>
          <cell r="H14">
            <v>0</v>
          </cell>
        </row>
        <row r="15">
          <cell r="A15" t="str">
            <v>481003</v>
          </cell>
          <cell r="B15" t="str">
            <v>01990</v>
          </cell>
          <cell r="D15" t="str">
            <v>200</v>
          </cell>
          <cell r="E15" t="str">
            <v>2008-06-30</v>
          </cell>
          <cell r="F15" t="str">
            <v>549A</v>
          </cell>
          <cell r="G15">
            <v>-1849.7</v>
          </cell>
          <cell r="H15">
            <v>0</v>
          </cell>
        </row>
        <row r="16">
          <cell r="A16" t="str">
            <v>481003</v>
          </cell>
          <cell r="B16" t="str">
            <v>01991</v>
          </cell>
          <cell r="D16" t="str">
            <v>200</v>
          </cell>
          <cell r="E16" t="str">
            <v>2008-06-30</v>
          </cell>
          <cell r="F16" t="str">
            <v>549A</v>
          </cell>
          <cell r="G16">
            <v>-16.55</v>
          </cell>
          <cell r="H16">
            <v>0</v>
          </cell>
        </row>
        <row r="17">
          <cell r="A17" t="str">
            <v>481003</v>
          </cell>
          <cell r="B17" t="str">
            <v>01993</v>
          </cell>
          <cell r="D17" t="str">
            <v>200</v>
          </cell>
          <cell r="E17" t="str">
            <v>2008-06-30</v>
          </cell>
          <cell r="F17" t="str">
            <v>549A</v>
          </cell>
          <cell r="G17">
            <v>-426.82</v>
          </cell>
          <cell r="H17">
            <v>0</v>
          </cell>
        </row>
        <row r="18">
          <cell r="A18" t="str">
            <v>481003</v>
          </cell>
          <cell r="B18" t="str">
            <v>01954</v>
          </cell>
          <cell r="D18" t="str">
            <v>200</v>
          </cell>
          <cell r="E18" t="str">
            <v>2008-06-30</v>
          </cell>
          <cell r="F18" t="str">
            <v>549A</v>
          </cell>
          <cell r="G18">
            <v>-8.6</v>
          </cell>
          <cell r="H18">
            <v>0</v>
          </cell>
        </row>
        <row r="19">
          <cell r="A19" t="str">
            <v>481003</v>
          </cell>
          <cell r="B19" t="str">
            <v>01953</v>
          </cell>
          <cell r="D19" t="str">
            <v>200</v>
          </cell>
          <cell r="E19" t="str">
            <v>2008-06-30</v>
          </cell>
          <cell r="F19" t="str">
            <v>549A</v>
          </cell>
          <cell r="G19">
            <v>-10686.94</v>
          </cell>
          <cell r="H19">
            <v>0</v>
          </cell>
        </row>
        <row r="20">
          <cell r="A20" t="str">
            <v>481003</v>
          </cell>
          <cell r="B20" t="str">
            <v>01986</v>
          </cell>
          <cell r="D20" t="str">
            <v>200</v>
          </cell>
          <cell r="E20" t="str">
            <v>2008-06-30</v>
          </cell>
          <cell r="F20" t="str">
            <v>549A</v>
          </cell>
          <cell r="G20">
            <v>-1337.15</v>
          </cell>
          <cell r="H20">
            <v>0</v>
          </cell>
        </row>
        <row r="21">
          <cell r="A21" t="str">
            <v>481003</v>
          </cell>
          <cell r="B21" t="str">
            <v>01989</v>
          </cell>
          <cell r="D21" t="str">
            <v>200</v>
          </cell>
          <cell r="E21" t="str">
            <v>2008-06-30</v>
          </cell>
          <cell r="F21" t="str">
            <v>BINGV31330</v>
          </cell>
          <cell r="G21">
            <v>3276.85</v>
          </cell>
          <cell r="H21">
            <v>411.96</v>
          </cell>
        </row>
        <row r="22">
          <cell r="A22" t="str">
            <v>481003</v>
          </cell>
          <cell r="B22" t="str">
            <v>01988</v>
          </cell>
          <cell r="D22" t="str">
            <v>200</v>
          </cell>
          <cell r="E22" t="str">
            <v>2008-06-30</v>
          </cell>
          <cell r="F22" t="str">
            <v>BINGV31330</v>
          </cell>
          <cell r="G22">
            <v>7274.88</v>
          </cell>
          <cell r="H22">
            <v>914.61</v>
          </cell>
        </row>
        <row r="23">
          <cell r="A23" t="str">
            <v>481003</v>
          </cell>
          <cell r="B23" t="str">
            <v>01986</v>
          </cell>
          <cell r="D23" t="str">
            <v>200</v>
          </cell>
          <cell r="E23" t="str">
            <v>2008-06-30</v>
          </cell>
          <cell r="F23" t="str">
            <v>BINGV31330</v>
          </cell>
          <cell r="G23">
            <v>25262.86</v>
          </cell>
          <cell r="H23">
            <v>3176</v>
          </cell>
        </row>
        <row r="24">
          <cell r="A24" t="str">
            <v>481003</v>
          </cell>
          <cell r="B24" t="str">
            <v>01968</v>
          </cell>
          <cell r="D24" t="str">
            <v>200</v>
          </cell>
          <cell r="E24" t="str">
            <v>2008-06-30</v>
          </cell>
          <cell r="F24" t="str">
            <v>BINGV31330</v>
          </cell>
          <cell r="G24">
            <v>3435.3</v>
          </cell>
          <cell r="H24">
            <v>431.88</v>
          </cell>
        </row>
        <row r="25">
          <cell r="A25" t="str">
            <v>481003</v>
          </cell>
          <cell r="B25" t="str">
            <v>01994</v>
          </cell>
          <cell r="D25" t="str">
            <v>200</v>
          </cell>
          <cell r="E25" t="str">
            <v>2008-06-30</v>
          </cell>
          <cell r="F25" t="str">
            <v>BINGV31330</v>
          </cell>
          <cell r="G25">
            <v>15061.94</v>
          </cell>
          <cell r="H25">
            <v>1893.56</v>
          </cell>
        </row>
        <row r="26">
          <cell r="A26" t="str">
            <v>481003</v>
          </cell>
          <cell r="B26" t="str">
            <v>01976</v>
          </cell>
          <cell r="D26" t="str">
            <v>200</v>
          </cell>
          <cell r="E26" t="str">
            <v>2008-06-30</v>
          </cell>
          <cell r="F26" t="str">
            <v>BINGV31330</v>
          </cell>
          <cell r="G26">
            <v>16095.05</v>
          </cell>
          <cell r="H26">
            <v>2023.44</v>
          </cell>
        </row>
        <row r="27">
          <cell r="A27" t="str">
            <v>481003</v>
          </cell>
          <cell r="B27" t="str">
            <v>01980</v>
          </cell>
          <cell r="D27" t="str">
            <v>200</v>
          </cell>
          <cell r="E27" t="str">
            <v>2008-06-30</v>
          </cell>
          <cell r="F27" t="str">
            <v>BINGV31330</v>
          </cell>
          <cell r="G27">
            <v>335.99</v>
          </cell>
          <cell r="H27">
            <v>42.24</v>
          </cell>
        </row>
        <row r="28">
          <cell r="A28" t="str">
            <v>481003</v>
          </cell>
          <cell r="B28" t="str">
            <v>01987</v>
          </cell>
          <cell r="D28" t="str">
            <v>200</v>
          </cell>
          <cell r="E28" t="str">
            <v>2008-06-30</v>
          </cell>
          <cell r="F28" t="str">
            <v>BINGV31330</v>
          </cell>
          <cell r="G28">
            <v>20481.46</v>
          </cell>
          <cell r="H28">
            <v>2574.9499999999998</v>
          </cell>
        </row>
        <row r="29">
          <cell r="A29" t="str">
            <v>481003</v>
          </cell>
          <cell r="B29" t="str">
            <v>01978</v>
          </cell>
          <cell r="D29" t="str">
            <v>200</v>
          </cell>
          <cell r="E29" t="str">
            <v>2008-06-30</v>
          </cell>
          <cell r="F29" t="str">
            <v>BINGV31330</v>
          </cell>
          <cell r="G29">
            <v>8667.7099999999991</v>
          </cell>
          <cell r="H29">
            <v>1089.72</v>
          </cell>
        </row>
        <row r="30">
          <cell r="A30" t="str">
            <v>481003</v>
          </cell>
          <cell r="B30" t="str">
            <v>01970</v>
          </cell>
          <cell r="D30" t="str">
            <v>200</v>
          </cell>
          <cell r="E30" t="str">
            <v>2008-06-30</v>
          </cell>
          <cell r="F30" t="str">
            <v>BINGV31330</v>
          </cell>
          <cell r="G30">
            <v>3578.18</v>
          </cell>
          <cell r="H30">
            <v>449.84</v>
          </cell>
        </row>
        <row r="31">
          <cell r="A31" t="str">
            <v>481003</v>
          </cell>
          <cell r="B31" t="str">
            <v>01971</v>
          </cell>
          <cell r="D31" t="str">
            <v>200</v>
          </cell>
          <cell r="E31" t="str">
            <v>2008-06-30</v>
          </cell>
          <cell r="F31" t="str">
            <v>BINGV31330</v>
          </cell>
          <cell r="G31">
            <v>8177.86</v>
          </cell>
          <cell r="H31">
            <v>1028.1600000000001</v>
          </cell>
        </row>
        <row r="32">
          <cell r="A32" t="str">
            <v>481003</v>
          </cell>
          <cell r="B32" t="str">
            <v>01969</v>
          </cell>
          <cell r="D32" t="str">
            <v>200</v>
          </cell>
          <cell r="E32" t="str">
            <v>2008-06-30</v>
          </cell>
          <cell r="F32" t="str">
            <v>BINGV31330</v>
          </cell>
          <cell r="G32">
            <v>5209.1499999999996</v>
          </cell>
          <cell r="H32">
            <v>654.9</v>
          </cell>
        </row>
        <row r="33">
          <cell r="A33" t="str">
            <v>481003</v>
          </cell>
          <cell r="B33" t="str">
            <v>01977</v>
          </cell>
          <cell r="D33" t="str">
            <v>200</v>
          </cell>
          <cell r="E33" t="str">
            <v>2008-06-30</v>
          </cell>
          <cell r="F33" t="str">
            <v>BINGV31330</v>
          </cell>
          <cell r="G33">
            <v>7312.55</v>
          </cell>
          <cell r="H33">
            <v>919.32</v>
          </cell>
        </row>
        <row r="34">
          <cell r="A34" t="str">
            <v>481003</v>
          </cell>
          <cell r="B34" t="str">
            <v>01992</v>
          </cell>
          <cell r="D34" t="str">
            <v>200</v>
          </cell>
          <cell r="E34" t="str">
            <v>2008-06-30</v>
          </cell>
          <cell r="F34" t="str">
            <v>BINGV31330</v>
          </cell>
          <cell r="G34">
            <v>22618.53</v>
          </cell>
          <cell r="H34">
            <v>2843.56</v>
          </cell>
        </row>
        <row r="35">
          <cell r="A35" t="str">
            <v>481003</v>
          </cell>
          <cell r="B35" t="str">
            <v>01973</v>
          </cell>
          <cell r="D35" t="str">
            <v>200</v>
          </cell>
          <cell r="E35" t="str">
            <v>2008-06-30</v>
          </cell>
          <cell r="F35" t="str">
            <v>BINGV31330</v>
          </cell>
          <cell r="G35">
            <v>13188.54</v>
          </cell>
          <cell r="H35">
            <v>1658.04</v>
          </cell>
        </row>
        <row r="36">
          <cell r="A36" t="str">
            <v>481003</v>
          </cell>
          <cell r="B36" t="str">
            <v>01952</v>
          </cell>
          <cell r="D36" t="str">
            <v>200</v>
          </cell>
          <cell r="E36" t="str">
            <v>2008-06-30</v>
          </cell>
          <cell r="F36" t="str">
            <v>BINGV31330</v>
          </cell>
          <cell r="G36">
            <v>20362.12</v>
          </cell>
          <cell r="H36">
            <v>2559.89</v>
          </cell>
        </row>
        <row r="37">
          <cell r="A37" t="str">
            <v>481003</v>
          </cell>
          <cell r="B37" t="str">
            <v>01953</v>
          </cell>
          <cell r="D37" t="str">
            <v>200</v>
          </cell>
          <cell r="E37" t="str">
            <v>2008-07-31</v>
          </cell>
          <cell r="F37" t="str">
            <v>470</v>
          </cell>
          <cell r="G37">
            <v>26772.09</v>
          </cell>
          <cell r="H37">
            <v>3888.85</v>
          </cell>
        </row>
        <row r="38">
          <cell r="A38" t="str">
            <v>481003</v>
          </cell>
          <cell r="B38" t="str">
            <v>01990</v>
          </cell>
          <cell r="D38" t="str">
            <v>200</v>
          </cell>
          <cell r="E38" t="str">
            <v>2008-07-31</v>
          </cell>
          <cell r="F38" t="str">
            <v>470</v>
          </cell>
          <cell r="G38">
            <v>7014.12</v>
          </cell>
          <cell r="H38">
            <v>1000.07</v>
          </cell>
        </row>
        <row r="39">
          <cell r="A39" t="str">
            <v>481003</v>
          </cell>
          <cell r="B39" t="str">
            <v>01986</v>
          </cell>
          <cell r="D39" t="str">
            <v>200</v>
          </cell>
          <cell r="E39" t="str">
            <v>2008-07-31</v>
          </cell>
          <cell r="F39" t="str">
            <v>470</v>
          </cell>
          <cell r="G39">
            <v>7361</v>
          </cell>
          <cell r="H39">
            <v>1075.6600000000001</v>
          </cell>
        </row>
        <row r="40">
          <cell r="A40" t="str">
            <v>481003</v>
          </cell>
          <cell r="B40" t="str">
            <v>01988</v>
          </cell>
          <cell r="D40" t="str">
            <v>200</v>
          </cell>
          <cell r="E40" t="str">
            <v>2008-07-31</v>
          </cell>
          <cell r="F40" t="str">
            <v>470</v>
          </cell>
          <cell r="G40">
            <v>6166.87</v>
          </cell>
          <cell r="H40">
            <v>901.8</v>
          </cell>
        </row>
        <row r="41">
          <cell r="A41" t="str">
            <v>481003</v>
          </cell>
          <cell r="B41" t="str">
            <v>01974</v>
          </cell>
          <cell r="D41" t="str">
            <v>200</v>
          </cell>
          <cell r="E41" t="str">
            <v>2008-07-31</v>
          </cell>
          <cell r="F41" t="str">
            <v>470</v>
          </cell>
          <cell r="G41">
            <v>16918.509999999998</v>
          </cell>
          <cell r="H41">
            <v>2474.66</v>
          </cell>
        </row>
        <row r="42">
          <cell r="A42" t="str">
            <v>481003</v>
          </cell>
          <cell r="B42" t="str">
            <v>01993</v>
          </cell>
          <cell r="D42" t="str">
            <v>200</v>
          </cell>
          <cell r="E42" t="str">
            <v>2008-07-31</v>
          </cell>
          <cell r="F42" t="str">
            <v>470</v>
          </cell>
          <cell r="G42">
            <v>3791.79</v>
          </cell>
          <cell r="H42">
            <v>390.69</v>
          </cell>
        </row>
        <row r="43">
          <cell r="A43" t="str">
            <v>481003</v>
          </cell>
          <cell r="B43" t="str">
            <v>01943</v>
          </cell>
          <cell r="D43" t="str">
            <v>200</v>
          </cell>
          <cell r="E43" t="str">
            <v>2008-07-31</v>
          </cell>
          <cell r="F43" t="str">
            <v>470</v>
          </cell>
          <cell r="G43">
            <v>1184.71</v>
          </cell>
          <cell r="H43">
            <v>120.2</v>
          </cell>
        </row>
        <row r="44">
          <cell r="A44" t="str">
            <v>481003</v>
          </cell>
          <cell r="B44" t="str">
            <v>01953</v>
          </cell>
          <cell r="D44" t="str">
            <v>200</v>
          </cell>
          <cell r="E44" t="str">
            <v>2008-07-31</v>
          </cell>
          <cell r="F44" t="str">
            <v>472B</v>
          </cell>
          <cell r="G44">
            <v>35324.15</v>
          </cell>
          <cell r="H44">
            <v>4837.5600000000004</v>
          </cell>
        </row>
        <row r="45">
          <cell r="A45" t="str">
            <v>481003</v>
          </cell>
          <cell r="B45" t="str">
            <v>01954</v>
          </cell>
          <cell r="D45" t="str">
            <v>200</v>
          </cell>
          <cell r="E45" t="str">
            <v>2008-07-31</v>
          </cell>
          <cell r="F45" t="str">
            <v>472B</v>
          </cell>
          <cell r="G45">
            <v>14.19</v>
          </cell>
          <cell r="H45">
            <v>1.96</v>
          </cell>
        </row>
        <row r="46">
          <cell r="A46" t="str">
            <v>481003</v>
          </cell>
          <cell r="B46" t="str">
            <v>01943</v>
          </cell>
          <cell r="D46" t="str">
            <v>200</v>
          </cell>
          <cell r="E46" t="str">
            <v>2008-07-31</v>
          </cell>
          <cell r="F46" t="str">
            <v>472B</v>
          </cell>
          <cell r="G46">
            <v>297.92</v>
          </cell>
          <cell r="H46">
            <v>55.68</v>
          </cell>
        </row>
        <row r="47">
          <cell r="A47" t="str">
            <v>481003</v>
          </cell>
          <cell r="B47" t="str">
            <v>01991</v>
          </cell>
          <cell r="D47" t="str">
            <v>200</v>
          </cell>
          <cell r="E47" t="str">
            <v>2008-07-31</v>
          </cell>
          <cell r="F47" t="str">
            <v>472B</v>
          </cell>
          <cell r="G47">
            <v>74.7</v>
          </cell>
          <cell r="H47">
            <v>10.31</v>
          </cell>
        </row>
        <row r="48">
          <cell r="A48" t="str">
            <v>481003</v>
          </cell>
          <cell r="B48" t="str">
            <v>01959</v>
          </cell>
          <cell r="D48" t="str">
            <v>200</v>
          </cell>
          <cell r="E48" t="str">
            <v>2008-07-31</v>
          </cell>
          <cell r="F48" t="str">
            <v>549A</v>
          </cell>
          <cell r="G48">
            <v>0</v>
          </cell>
          <cell r="H48">
            <v>0</v>
          </cell>
        </row>
        <row r="49">
          <cell r="A49" t="str">
            <v>481003</v>
          </cell>
          <cell r="B49" t="str">
            <v>01943</v>
          </cell>
          <cell r="D49" t="str">
            <v>200</v>
          </cell>
          <cell r="E49" t="str">
            <v>2008-07-31</v>
          </cell>
          <cell r="F49" t="str">
            <v>549A</v>
          </cell>
          <cell r="G49">
            <v>-420.15</v>
          </cell>
          <cell r="H49">
            <v>0</v>
          </cell>
        </row>
        <row r="50">
          <cell r="A50" t="str">
            <v>481003</v>
          </cell>
          <cell r="B50" t="str">
            <v>01990</v>
          </cell>
          <cell r="D50" t="str">
            <v>200</v>
          </cell>
          <cell r="E50" t="str">
            <v>2008-07-31</v>
          </cell>
          <cell r="F50" t="str">
            <v>549A</v>
          </cell>
          <cell r="G50">
            <v>-1525.11</v>
          </cell>
          <cell r="H50">
            <v>0</v>
          </cell>
        </row>
        <row r="51">
          <cell r="A51" t="str">
            <v>481003</v>
          </cell>
          <cell r="B51" t="str">
            <v>01991</v>
          </cell>
          <cell r="D51" t="str">
            <v>200</v>
          </cell>
          <cell r="E51" t="str">
            <v>2008-07-31</v>
          </cell>
          <cell r="F51" t="str">
            <v>549A</v>
          </cell>
          <cell r="G51">
            <v>-15.72</v>
          </cell>
          <cell r="H51">
            <v>0</v>
          </cell>
        </row>
        <row r="52">
          <cell r="A52" t="str">
            <v>481003</v>
          </cell>
          <cell r="B52" t="str">
            <v>01993</v>
          </cell>
          <cell r="D52" t="str">
            <v>200</v>
          </cell>
          <cell r="E52" t="str">
            <v>2008-07-31</v>
          </cell>
          <cell r="F52" t="str">
            <v>549A</v>
          </cell>
          <cell r="G52">
            <v>-595.79999999999995</v>
          </cell>
          <cell r="H52">
            <v>0</v>
          </cell>
        </row>
        <row r="53">
          <cell r="A53" t="str">
            <v>481003</v>
          </cell>
          <cell r="B53" t="str">
            <v>01954</v>
          </cell>
          <cell r="D53" t="str">
            <v>200</v>
          </cell>
          <cell r="E53" t="str">
            <v>2008-07-31</v>
          </cell>
          <cell r="F53" t="str">
            <v>549A</v>
          </cell>
          <cell r="G53">
            <v>-2.99</v>
          </cell>
          <cell r="H53">
            <v>0</v>
          </cell>
        </row>
        <row r="54">
          <cell r="A54" t="str">
            <v>481003</v>
          </cell>
          <cell r="B54" t="str">
            <v>01953</v>
          </cell>
          <cell r="D54" t="str">
            <v>200</v>
          </cell>
          <cell r="E54" t="str">
            <v>2008-07-31</v>
          </cell>
          <cell r="F54" t="str">
            <v>549A</v>
          </cell>
          <cell r="G54">
            <v>-13307.78</v>
          </cell>
          <cell r="H54">
            <v>0</v>
          </cell>
        </row>
        <row r="55">
          <cell r="A55" t="str">
            <v>481003</v>
          </cell>
          <cell r="B55" t="str">
            <v>01986</v>
          </cell>
          <cell r="D55" t="str">
            <v>200</v>
          </cell>
          <cell r="E55" t="str">
            <v>2008-07-31</v>
          </cell>
          <cell r="F55" t="str">
            <v>549A</v>
          </cell>
          <cell r="G55">
            <v>-1640.38</v>
          </cell>
          <cell r="H55">
            <v>0</v>
          </cell>
        </row>
        <row r="56">
          <cell r="A56" t="str">
            <v>481003</v>
          </cell>
          <cell r="B56" t="str">
            <v>01976</v>
          </cell>
          <cell r="D56" t="str">
            <v>200</v>
          </cell>
          <cell r="E56" t="str">
            <v>2008-07-31</v>
          </cell>
          <cell r="F56" t="str">
            <v>BINGV31717</v>
          </cell>
          <cell r="G56">
            <v>21999.68</v>
          </cell>
          <cell r="H56">
            <v>2765.76</v>
          </cell>
        </row>
        <row r="57">
          <cell r="A57" t="str">
            <v>481003</v>
          </cell>
          <cell r="B57" t="str">
            <v>01980</v>
          </cell>
          <cell r="D57" t="str">
            <v>200</v>
          </cell>
          <cell r="E57" t="str">
            <v>2008-07-31</v>
          </cell>
          <cell r="F57" t="str">
            <v>BINGV31717</v>
          </cell>
          <cell r="G57">
            <v>36.270000000000003</v>
          </cell>
          <cell r="H57">
            <v>4.5599999999999996</v>
          </cell>
        </row>
        <row r="58">
          <cell r="A58" t="str">
            <v>481003</v>
          </cell>
          <cell r="B58" t="str">
            <v>01987</v>
          </cell>
          <cell r="D58" t="str">
            <v>200</v>
          </cell>
          <cell r="E58" t="str">
            <v>2008-07-31</v>
          </cell>
          <cell r="F58" t="str">
            <v>BINGV31717</v>
          </cell>
          <cell r="G58">
            <v>24596.720000000001</v>
          </cell>
          <cell r="H58">
            <v>3092.34</v>
          </cell>
        </row>
        <row r="59">
          <cell r="A59" t="str">
            <v>481003</v>
          </cell>
          <cell r="B59" t="str">
            <v>01978</v>
          </cell>
          <cell r="D59" t="str">
            <v>200</v>
          </cell>
          <cell r="E59" t="str">
            <v>2008-07-31</v>
          </cell>
          <cell r="F59" t="str">
            <v>BINGV31717</v>
          </cell>
          <cell r="G59">
            <v>10379.4</v>
          </cell>
          <cell r="H59">
            <v>1304.8800000000001</v>
          </cell>
        </row>
        <row r="60">
          <cell r="A60" t="str">
            <v>481003</v>
          </cell>
          <cell r="B60" t="str">
            <v>01970</v>
          </cell>
          <cell r="D60" t="str">
            <v>200</v>
          </cell>
          <cell r="E60" t="str">
            <v>2008-07-31</v>
          </cell>
          <cell r="F60" t="str">
            <v>BINGV31717</v>
          </cell>
          <cell r="G60">
            <v>3896.56</v>
          </cell>
          <cell r="H60">
            <v>489.87</v>
          </cell>
        </row>
        <row r="61">
          <cell r="A61" t="str">
            <v>481003</v>
          </cell>
          <cell r="B61" t="str">
            <v>01971</v>
          </cell>
          <cell r="D61" t="str">
            <v>200</v>
          </cell>
          <cell r="E61" t="str">
            <v>2008-07-31</v>
          </cell>
          <cell r="F61" t="str">
            <v>BINGV31717</v>
          </cell>
          <cell r="G61">
            <v>12760.93</v>
          </cell>
          <cell r="H61">
            <v>1604.28</v>
          </cell>
        </row>
        <row r="62">
          <cell r="A62" t="str">
            <v>481003</v>
          </cell>
          <cell r="B62" t="str">
            <v>01969</v>
          </cell>
          <cell r="D62" t="str">
            <v>200</v>
          </cell>
          <cell r="E62" t="str">
            <v>2008-07-31</v>
          </cell>
          <cell r="F62" t="str">
            <v>BINGV31717</v>
          </cell>
          <cell r="G62">
            <v>3746.93</v>
          </cell>
          <cell r="H62">
            <v>471.06</v>
          </cell>
        </row>
        <row r="63">
          <cell r="A63" t="str">
            <v>481003</v>
          </cell>
          <cell r="B63" t="str">
            <v>01977</v>
          </cell>
          <cell r="D63" t="str">
            <v>200</v>
          </cell>
          <cell r="E63" t="str">
            <v>2008-07-31</v>
          </cell>
          <cell r="F63" t="str">
            <v>BINGV31717</v>
          </cell>
          <cell r="G63">
            <v>9283.6200000000008</v>
          </cell>
          <cell r="H63">
            <v>1167.1199999999999</v>
          </cell>
        </row>
        <row r="64">
          <cell r="A64" t="str">
            <v>481003</v>
          </cell>
          <cell r="B64" t="str">
            <v>01992</v>
          </cell>
          <cell r="D64" t="str">
            <v>200</v>
          </cell>
          <cell r="E64" t="str">
            <v>2008-07-31</v>
          </cell>
          <cell r="F64" t="str">
            <v>BINGV31717</v>
          </cell>
          <cell r="G64">
            <v>23581.59</v>
          </cell>
          <cell r="H64">
            <v>2964.63</v>
          </cell>
        </row>
        <row r="65">
          <cell r="A65" t="str">
            <v>481003</v>
          </cell>
          <cell r="B65" t="str">
            <v>01968</v>
          </cell>
          <cell r="D65" t="str">
            <v>200</v>
          </cell>
          <cell r="E65" t="str">
            <v>2008-07-31</v>
          </cell>
          <cell r="F65" t="str">
            <v>BINGV31717</v>
          </cell>
          <cell r="G65">
            <v>6320.8</v>
          </cell>
          <cell r="H65">
            <v>794.64</v>
          </cell>
        </row>
        <row r="66">
          <cell r="A66" t="str">
            <v>481003</v>
          </cell>
          <cell r="B66" t="str">
            <v>01994</v>
          </cell>
          <cell r="D66" t="str">
            <v>200</v>
          </cell>
          <cell r="E66" t="str">
            <v>2008-07-31</v>
          </cell>
          <cell r="F66" t="str">
            <v>BINGV31717</v>
          </cell>
          <cell r="G66">
            <v>9018.2099999999991</v>
          </cell>
          <cell r="H66">
            <v>1133.75</v>
          </cell>
        </row>
        <row r="67">
          <cell r="A67" t="str">
            <v>481003</v>
          </cell>
          <cell r="B67" t="str">
            <v>01995</v>
          </cell>
          <cell r="D67" t="str">
            <v>200</v>
          </cell>
          <cell r="E67" t="str">
            <v>2008-07-31</v>
          </cell>
          <cell r="F67" t="str">
            <v>BINGV31717</v>
          </cell>
          <cell r="G67">
            <v>25655.83</v>
          </cell>
          <cell r="H67">
            <v>3099.36</v>
          </cell>
        </row>
        <row r="68">
          <cell r="A68" t="str">
            <v>481003</v>
          </cell>
          <cell r="B68" t="str">
            <v>01973</v>
          </cell>
          <cell r="D68" t="str">
            <v>200</v>
          </cell>
          <cell r="E68" t="str">
            <v>2008-07-31</v>
          </cell>
          <cell r="F68" t="str">
            <v>BINGV31717</v>
          </cell>
          <cell r="G68">
            <v>34982.050000000003</v>
          </cell>
          <cell r="H68">
            <v>7398</v>
          </cell>
        </row>
        <row r="69">
          <cell r="A69" t="str">
            <v>481003</v>
          </cell>
          <cell r="B69" t="str">
            <v>01952</v>
          </cell>
          <cell r="D69" t="str">
            <v>200</v>
          </cell>
          <cell r="E69" t="str">
            <v>2008-07-31</v>
          </cell>
          <cell r="F69" t="str">
            <v>BINGV31717</v>
          </cell>
          <cell r="G69">
            <v>27819.94</v>
          </cell>
          <cell r="H69">
            <v>3497.47</v>
          </cell>
        </row>
        <row r="70">
          <cell r="A70" t="str">
            <v>481003</v>
          </cell>
          <cell r="B70" t="str">
            <v>01989</v>
          </cell>
          <cell r="D70" t="str">
            <v>200</v>
          </cell>
          <cell r="E70" t="str">
            <v>2008-07-31</v>
          </cell>
          <cell r="F70" t="str">
            <v>BINGV31717</v>
          </cell>
          <cell r="G70">
            <v>5401.61</v>
          </cell>
          <cell r="H70">
            <v>679.08</v>
          </cell>
        </row>
        <row r="71">
          <cell r="A71" t="str">
            <v>481003</v>
          </cell>
          <cell r="B71" t="str">
            <v>01988</v>
          </cell>
          <cell r="D71" t="str">
            <v>200</v>
          </cell>
          <cell r="E71" t="str">
            <v>2008-07-31</v>
          </cell>
          <cell r="F71" t="str">
            <v>BINGV31717</v>
          </cell>
          <cell r="G71">
            <v>7574.57</v>
          </cell>
          <cell r="H71">
            <v>952.29</v>
          </cell>
        </row>
        <row r="72">
          <cell r="A72" t="str">
            <v>481003</v>
          </cell>
          <cell r="B72" t="str">
            <v>01986</v>
          </cell>
          <cell r="D72" t="str">
            <v>200</v>
          </cell>
          <cell r="E72" t="str">
            <v>2008-07-31</v>
          </cell>
          <cell r="F72" t="str">
            <v>BINGV31717</v>
          </cell>
          <cell r="G72">
            <v>30266.11</v>
          </cell>
          <cell r="H72">
            <v>3805</v>
          </cell>
        </row>
        <row r="73">
          <cell r="A73" t="str">
            <v>481003</v>
          </cell>
          <cell r="B73" t="str">
            <v>01953</v>
          </cell>
          <cell r="D73" t="str">
            <v>200</v>
          </cell>
          <cell r="E73" t="str">
            <v>2008-08-31</v>
          </cell>
          <cell r="F73" t="str">
            <v>470</v>
          </cell>
          <cell r="G73">
            <v>37343.96</v>
          </cell>
          <cell r="H73">
            <v>5195.9399999999996</v>
          </cell>
        </row>
        <row r="74">
          <cell r="A74" t="str">
            <v>481003</v>
          </cell>
          <cell r="B74" t="str">
            <v>01990</v>
          </cell>
          <cell r="D74" t="str">
            <v>200</v>
          </cell>
          <cell r="E74" t="str">
            <v>2008-08-31</v>
          </cell>
          <cell r="F74" t="str">
            <v>470</v>
          </cell>
          <cell r="G74">
            <v>10449.93</v>
          </cell>
          <cell r="H74">
            <v>1453.87</v>
          </cell>
        </row>
        <row r="75">
          <cell r="A75" t="str">
            <v>481003</v>
          </cell>
          <cell r="B75" t="str">
            <v>01986</v>
          </cell>
          <cell r="D75" t="str">
            <v>200</v>
          </cell>
          <cell r="E75" t="str">
            <v>2008-08-31</v>
          </cell>
          <cell r="F75" t="str">
            <v>470</v>
          </cell>
          <cell r="G75">
            <v>10428.790000000001</v>
          </cell>
          <cell r="H75">
            <v>1450.49</v>
          </cell>
        </row>
        <row r="76">
          <cell r="A76" t="str">
            <v>481003</v>
          </cell>
          <cell r="B76" t="str">
            <v>01988</v>
          </cell>
          <cell r="D76" t="str">
            <v>200</v>
          </cell>
          <cell r="E76" t="str">
            <v>2008-08-31</v>
          </cell>
          <cell r="F76" t="str">
            <v>470</v>
          </cell>
          <cell r="G76">
            <v>7431.61</v>
          </cell>
          <cell r="H76">
            <v>1034.3499999999999</v>
          </cell>
        </row>
        <row r="77">
          <cell r="A77" t="str">
            <v>481003</v>
          </cell>
          <cell r="B77" t="str">
            <v>01974</v>
          </cell>
          <cell r="D77" t="str">
            <v>200</v>
          </cell>
          <cell r="E77" t="str">
            <v>2008-08-31</v>
          </cell>
          <cell r="F77" t="str">
            <v>470</v>
          </cell>
          <cell r="G77">
            <v>21153.59</v>
          </cell>
          <cell r="H77">
            <v>2946.86</v>
          </cell>
        </row>
        <row r="78">
          <cell r="A78" t="str">
            <v>481003</v>
          </cell>
          <cell r="B78" t="str">
            <v>01993</v>
          </cell>
          <cell r="D78" t="str">
            <v>200</v>
          </cell>
          <cell r="E78" t="str">
            <v>2008-08-31</v>
          </cell>
          <cell r="F78" t="str">
            <v>470</v>
          </cell>
          <cell r="G78">
            <v>5710.47</v>
          </cell>
          <cell r="H78">
            <v>559.39</v>
          </cell>
        </row>
        <row r="79">
          <cell r="A79" t="str">
            <v>481003</v>
          </cell>
          <cell r="B79" t="str">
            <v>01943</v>
          </cell>
          <cell r="D79" t="str">
            <v>200</v>
          </cell>
          <cell r="E79" t="str">
            <v>2008-08-31</v>
          </cell>
          <cell r="F79" t="str">
            <v>470</v>
          </cell>
          <cell r="G79">
            <v>686.57</v>
          </cell>
          <cell r="H79">
            <v>65.709999999999994</v>
          </cell>
        </row>
        <row r="80">
          <cell r="A80" t="str">
            <v>481003</v>
          </cell>
          <cell r="B80" t="str">
            <v>01943</v>
          </cell>
          <cell r="D80" t="str">
            <v>200</v>
          </cell>
          <cell r="E80" t="str">
            <v>2008-08-31</v>
          </cell>
          <cell r="F80" t="str">
            <v>472B</v>
          </cell>
          <cell r="G80">
            <v>2189.6</v>
          </cell>
          <cell r="H80">
            <v>409.11</v>
          </cell>
        </row>
        <row r="81">
          <cell r="A81" t="str">
            <v>481003</v>
          </cell>
          <cell r="B81" t="str">
            <v>01953</v>
          </cell>
          <cell r="D81" t="str">
            <v>200</v>
          </cell>
          <cell r="E81" t="str">
            <v>2008-08-31</v>
          </cell>
          <cell r="F81" t="str">
            <v>472B</v>
          </cell>
          <cell r="G81">
            <v>40490.79</v>
          </cell>
          <cell r="H81">
            <v>5545.02</v>
          </cell>
        </row>
        <row r="82">
          <cell r="A82" t="str">
            <v>481003</v>
          </cell>
          <cell r="B82" t="str">
            <v>01954</v>
          </cell>
          <cell r="D82" t="str">
            <v>200</v>
          </cell>
          <cell r="E82" t="str">
            <v>2008-08-31</v>
          </cell>
          <cell r="F82" t="str">
            <v>472B</v>
          </cell>
          <cell r="G82">
            <v>31.7</v>
          </cell>
          <cell r="H82">
            <v>4.37</v>
          </cell>
        </row>
        <row r="83">
          <cell r="A83" t="str">
            <v>481003</v>
          </cell>
          <cell r="B83" t="str">
            <v>01991</v>
          </cell>
          <cell r="D83" t="str">
            <v>200</v>
          </cell>
          <cell r="E83" t="str">
            <v>2008-08-31</v>
          </cell>
          <cell r="F83" t="str">
            <v>472B</v>
          </cell>
          <cell r="G83">
            <v>76.62</v>
          </cell>
          <cell r="H83">
            <v>10.58</v>
          </cell>
        </row>
        <row r="84">
          <cell r="A84" t="str">
            <v>481003</v>
          </cell>
          <cell r="B84" t="str">
            <v>01993</v>
          </cell>
          <cell r="D84" t="str">
            <v>200</v>
          </cell>
          <cell r="E84" t="str">
            <v>2008-08-31</v>
          </cell>
          <cell r="F84" t="str">
            <v>549A</v>
          </cell>
          <cell r="G84">
            <v>-853.07</v>
          </cell>
          <cell r="H84">
            <v>0</v>
          </cell>
        </row>
        <row r="85">
          <cell r="A85" t="str">
            <v>481003</v>
          </cell>
          <cell r="B85" t="str">
            <v>01954</v>
          </cell>
          <cell r="D85" t="str">
            <v>200</v>
          </cell>
          <cell r="E85" t="str">
            <v>2008-08-31</v>
          </cell>
          <cell r="F85" t="str">
            <v>549A</v>
          </cell>
          <cell r="G85">
            <v>-6.66</v>
          </cell>
          <cell r="H85">
            <v>0</v>
          </cell>
        </row>
        <row r="86">
          <cell r="A86" t="str">
            <v>481003</v>
          </cell>
          <cell r="B86" t="str">
            <v>01953</v>
          </cell>
          <cell r="D86" t="str">
            <v>200</v>
          </cell>
          <cell r="E86" t="str">
            <v>2008-08-31</v>
          </cell>
          <cell r="F86" t="str">
            <v>549A</v>
          </cell>
          <cell r="G86">
            <v>-16379.96</v>
          </cell>
          <cell r="H86">
            <v>0</v>
          </cell>
        </row>
        <row r="87">
          <cell r="A87" t="str">
            <v>481003</v>
          </cell>
          <cell r="B87" t="str">
            <v>01986</v>
          </cell>
          <cell r="D87" t="str">
            <v>200</v>
          </cell>
          <cell r="E87" t="str">
            <v>2008-08-31</v>
          </cell>
          <cell r="F87" t="str">
            <v>549A</v>
          </cell>
          <cell r="G87">
            <v>-2212</v>
          </cell>
          <cell r="H87">
            <v>0</v>
          </cell>
        </row>
        <row r="88">
          <cell r="A88" t="str">
            <v>481003</v>
          </cell>
          <cell r="B88" t="str">
            <v>01959</v>
          </cell>
          <cell r="D88" t="str">
            <v>200</v>
          </cell>
          <cell r="E88" t="str">
            <v>2008-08-31</v>
          </cell>
          <cell r="F88" t="str">
            <v>549A</v>
          </cell>
          <cell r="G88">
            <v>0</v>
          </cell>
          <cell r="H88">
            <v>0</v>
          </cell>
        </row>
        <row r="89">
          <cell r="A89" t="str">
            <v>481003</v>
          </cell>
          <cell r="B89" t="str">
            <v>01943</v>
          </cell>
          <cell r="D89" t="str">
            <v>200</v>
          </cell>
          <cell r="E89" t="str">
            <v>2008-08-31</v>
          </cell>
          <cell r="F89" t="str">
            <v>549A</v>
          </cell>
          <cell r="G89">
            <v>-1134.26</v>
          </cell>
          <cell r="H89">
            <v>0</v>
          </cell>
        </row>
        <row r="90">
          <cell r="A90" t="str">
            <v>481003</v>
          </cell>
          <cell r="B90" t="str">
            <v>01990</v>
          </cell>
          <cell r="D90" t="str">
            <v>200</v>
          </cell>
          <cell r="E90" t="str">
            <v>2008-08-31</v>
          </cell>
          <cell r="F90" t="str">
            <v>549A</v>
          </cell>
          <cell r="G90">
            <v>-2217.15</v>
          </cell>
          <cell r="H90">
            <v>0</v>
          </cell>
        </row>
        <row r="91">
          <cell r="A91" t="str">
            <v>481003</v>
          </cell>
          <cell r="B91" t="str">
            <v>01991</v>
          </cell>
          <cell r="D91" t="str">
            <v>200</v>
          </cell>
          <cell r="E91" t="str">
            <v>2008-08-31</v>
          </cell>
          <cell r="F91" t="str">
            <v>549A</v>
          </cell>
          <cell r="G91">
            <v>-16.13</v>
          </cell>
          <cell r="H91">
            <v>0</v>
          </cell>
        </row>
        <row r="92">
          <cell r="A92" t="str">
            <v>481003</v>
          </cell>
          <cell r="B92" t="str">
            <v>01979</v>
          </cell>
          <cell r="D92" t="str">
            <v>200</v>
          </cell>
          <cell r="E92" t="str">
            <v>2008-08-31</v>
          </cell>
          <cell r="F92" t="str">
            <v>BINGV32099</v>
          </cell>
          <cell r="G92">
            <v>0.18</v>
          </cell>
          <cell r="H92">
            <v>0.02</v>
          </cell>
        </row>
        <row r="93">
          <cell r="A93" t="str">
            <v>481003</v>
          </cell>
          <cell r="B93" t="str">
            <v>01968</v>
          </cell>
          <cell r="D93" t="str">
            <v>200</v>
          </cell>
          <cell r="E93" t="str">
            <v>2008-08-31</v>
          </cell>
          <cell r="F93" t="str">
            <v>BINGV32099</v>
          </cell>
          <cell r="G93">
            <v>6582.96</v>
          </cell>
          <cell r="H93">
            <v>671.62</v>
          </cell>
        </row>
        <row r="94">
          <cell r="A94" t="str">
            <v>481003</v>
          </cell>
          <cell r="B94" t="str">
            <v>01994</v>
          </cell>
          <cell r="D94" t="str">
            <v>200</v>
          </cell>
          <cell r="E94" t="str">
            <v>2008-08-31</v>
          </cell>
          <cell r="F94" t="str">
            <v>BINGV32099</v>
          </cell>
          <cell r="G94">
            <v>16587.95</v>
          </cell>
          <cell r="H94">
            <v>1692.12</v>
          </cell>
        </row>
        <row r="95">
          <cell r="A95" t="str">
            <v>481003</v>
          </cell>
          <cell r="B95" t="str">
            <v>01995</v>
          </cell>
          <cell r="D95" t="str">
            <v>200</v>
          </cell>
          <cell r="E95" t="str">
            <v>2008-08-31</v>
          </cell>
          <cell r="F95" t="str">
            <v>BINGV32099</v>
          </cell>
          <cell r="G95">
            <v>5608.92</v>
          </cell>
          <cell r="H95">
            <v>572.16</v>
          </cell>
        </row>
        <row r="96">
          <cell r="A96" t="str">
            <v>481003</v>
          </cell>
          <cell r="B96" t="str">
            <v>01980</v>
          </cell>
          <cell r="D96" t="str">
            <v>200</v>
          </cell>
          <cell r="E96" t="str">
            <v>2008-08-31</v>
          </cell>
          <cell r="F96" t="str">
            <v>BINGV32099</v>
          </cell>
          <cell r="G96">
            <v>65.88</v>
          </cell>
          <cell r="H96">
            <v>6.72</v>
          </cell>
        </row>
        <row r="97">
          <cell r="A97" t="str">
            <v>481003</v>
          </cell>
          <cell r="B97" t="str">
            <v>01987</v>
          </cell>
          <cell r="D97" t="str">
            <v>200</v>
          </cell>
          <cell r="E97" t="str">
            <v>2008-08-31</v>
          </cell>
          <cell r="F97" t="str">
            <v>BINGV32099</v>
          </cell>
          <cell r="G97">
            <v>28321.919999999998</v>
          </cell>
          <cell r="H97">
            <v>2889.09</v>
          </cell>
        </row>
        <row r="98">
          <cell r="A98" t="str">
            <v>481003</v>
          </cell>
          <cell r="B98" t="str">
            <v>01976</v>
          </cell>
          <cell r="D98" t="str">
            <v>200</v>
          </cell>
          <cell r="E98" t="str">
            <v>2008-08-31</v>
          </cell>
          <cell r="F98" t="str">
            <v>BINGV32099</v>
          </cell>
          <cell r="G98">
            <v>16593.849999999999</v>
          </cell>
          <cell r="H98">
            <v>1692.72</v>
          </cell>
        </row>
        <row r="99">
          <cell r="A99" t="str">
            <v>481003</v>
          </cell>
          <cell r="B99" t="str">
            <v>01978</v>
          </cell>
          <cell r="D99" t="str">
            <v>200</v>
          </cell>
          <cell r="E99" t="str">
            <v>2008-08-31</v>
          </cell>
          <cell r="F99" t="str">
            <v>BINGV32099</v>
          </cell>
          <cell r="G99">
            <v>12404.8</v>
          </cell>
          <cell r="H99">
            <v>1265.4000000000001</v>
          </cell>
        </row>
        <row r="100">
          <cell r="A100" t="str">
            <v>481003</v>
          </cell>
          <cell r="B100" t="str">
            <v>01970</v>
          </cell>
          <cell r="D100" t="str">
            <v>200</v>
          </cell>
          <cell r="E100" t="str">
            <v>2008-08-31</v>
          </cell>
          <cell r="F100" t="str">
            <v>BINGV32099</v>
          </cell>
          <cell r="G100">
            <v>4519.92</v>
          </cell>
          <cell r="H100">
            <v>461.06</v>
          </cell>
        </row>
        <row r="101">
          <cell r="A101" t="str">
            <v>481003</v>
          </cell>
          <cell r="B101" t="str">
            <v>01971</v>
          </cell>
          <cell r="D101" t="str">
            <v>200</v>
          </cell>
          <cell r="E101" t="str">
            <v>2008-08-31</v>
          </cell>
          <cell r="F101" t="str">
            <v>BINGV32099</v>
          </cell>
          <cell r="G101">
            <v>16870.3</v>
          </cell>
          <cell r="H101">
            <v>1720.92</v>
          </cell>
        </row>
        <row r="102">
          <cell r="A102" t="str">
            <v>481003</v>
          </cell>
          <cell r="B102" t="str">
            <v>01969</v>
          </cell>
          <cell r="D102" t="str">
            <v>200</v>
          </cell>
          <cell r="E102" t="str">
            <v>2008-08-31</v>
          </cell>
          <cell r="F102" t="str">
            <v>BINGV32099</v>
          </cell>
          <cell r="G102">
            <v>7596.99</v>
          </cell>
          <cell r="H102">
            <v>774.96</v>
          </cell>
        </row>
        <row r="103">
          <cell r="A103" t="str">
            <v>481003</v>
          </cell>
          <cell r="B103" t="str">
            <v>01977</v>
          </cell>
          <cell r="D103" t="str">
            <v>200</v>
          </cell>
          <cell r="E103" t="str">
            <v>2008-08-31</v>
          </cell>
          <cell r="F103" t="str">
            <v>BINGV32099</v>
          </cell>
          <cell r="G103">
            <v>13605.88</v>
          </cell>
          <cell r="H103">
            <v>1387.92</v>
          </cell>
        </row>
        <row r="104">
          <cell r="A104" t="str">
            <v>481003</v>
          </cell>
          <cell r="B104" t="str">
            <v>01992</v>
          </cell>
          <cell r="D104" t="str">
            <v>200</v>
          </cell>
          <cell r="E104" t="str">
            <v>2008-08-31</v>
          </cell>
          <cell r="F104" t="str">
            <v>BINGV32099</v>
          </cell>
          <cell r="G104">
            <v>31345.81</v>
          </cell>
          <cell r="H104">
            <v>3197.55</v>
          </cell>
        </row>
        <row r="105">
          <cell r="A105" t="str">
            <v>481003</v>
          </cell>
          <cell r="B105" t="str">
            <v>01952</v>
          </cell>
          <cell r="D105" t="str">
            <v>200</v>
          </cell>
          <cell r="E105" t="str">
            <v>2008-08-31</v>
          </cell>
          <cell r="F105" t="str">
            <v>BINGV32099</v>
          </cell>
          <cell r="G105">
            <v>42326.21</v>
          </cell>
          <cell r="H105">
            <v>4317.6499999999996</v>
          </cell>
        </row>
        <row r="106">
          <cell r="A106" t="str">
            <v>481003</v>
          </cell>
          <cell r="B106" t="str">
            <v>01989</v>
          </cell>
          <cell r="D106" t="str">
            <v>200</v>
          </cell>
          <cell r="E106" t="str">
            <v>2008-08-31</v>
          </cell>
          <cell r="F106" t="str">
            <v>BINGV32099</v>
          </cell>
          <cell r="G106">
            <v>3558.51</v>
          </cell>
          <cell r="H106">
            <v>363</v>
          </cell>
        </row>
        <row r="107">
          <cell r="A107" t="str">
            <v>481003</v>
          </cell>
          <cell r="B107" t="str">
            <v>01973</v>
          </cell>
          <cell r="D107" t="str">
            <v>200</v>
          </cell>
          <cell r="E107" t="str">
            <v>2008-08-31</v>
          </cell>
          <cell r="F107" t="str">
            <v>BINGV32099</v>
          </cell>
          <cell r="G107">
            <v>18330.169999999998</v>
          </cell>
          <cell r="H107">
            <v>1869.84</v>
          </cell>
        </row>
        <row r="108">
          <cell r="A108" t="str">
            <v>481003</v>
          </cell>
          <cell r="B108" t="str">
            <v>01988</v>
          </cell>
          <cell r="D108" t="str">
            <v>200</v>
          </cell>
          <cell r="E108" t="str">
            <v>2008-08-31</v>
          </cell>
          <cell r="F108" t="str">
            <v>BINGV32099</v>
          </cell>
          <cell r="G108">
            <v>9927.75</v>
          </cell>
          <cell r="H108">
            <v>1012.72</v>
          </cell>
        </row>
        <row r="109">
          <cell r="A109" t="str">
            <v>481003</v>
          </cell>
          <cell r="B109" t="str">
            <v>01986</v>
          </cell>
          <cell r="D109" t="str">
            <v>200</v>
          </cell>
          <cell r="E109" t="str">
            <v>2008-08-31</v>
          </cell>
          <cell r="F109" t="str">
            <v>BINGV32099</v>
          </cell>
          <cell r="G109">
            <v>40987.75</v>
          </cell>
          <cell r="H109">
            <v>4181</v>
          </cell>
        </row>
        <row r="110">
          <cell r="A110" t="str">
            <v>481003</v>
          </cell>
          <cell r="B110" t="str">
            <v>01990</v>
          </cell>
          <cell r="D110" t="str">
            <v>200</v>
          </cell>
          <cell r="E110" t="str">
            <v>2008-09-30</v>
          </cell>
          <cell r="F110" t="str">
            <v>470</v>
          </cell>
          <cell r="G110">
            <v>10666.65</v>
          </cell>
          <cell r="H110">
            <v>1463.09</v>
          </cell>
        </row>
        <row r="111">
          <cell r="A111" t="str">
            <v>481003</v>
          </cell>
          <cell r="B111" t="str">
            <v>01953</v>
          </cell>
          <cell r="D111" t="str">
            <v>200</v>
          </cell>
          <cell r="E111" t="str">
            <v>2008-09-30</v>
          </cell>
          <cell r="F111" t="str">
            <v>470</v>
          </cell>
          <cell r="G111">
            <v>29982.49</v>
          </cell>
          <cell r="H111">
            <v>4111.7</v>
          </cell>
        </row>
        <row r="112">
          <cell r="A112" t="str">
            <v>481003</v>
          </cell>
          <cell r="B112" t="str">
            <v>01986</v>
          </cell>
          <cell r="D112" t="str">
            <v>200</v>
          </cell>
          <cell r="E112" t="str">
            <v>2008-09-30</v>
          </cell>
          <cell r="F112" t="str">
            <v>470</v>
          </cell>
          <cell r="G112">
            <v>11677.7</v>
          </cell>
          <cell r="H112">
            <v>1601.5</v>
          </cell>
        </row>
        <row r="113">
          <cell r="A113" t="str">
            <v>481003</v>
          </cell>
          <cell r="B113" t="str">
            <v>01974</v>
          </cell>
          <cell r="D113" t="str">
            <v>200</v>
          </cell>
          <cell r="E113" t="str">
            <v>2008-09-30</v>
          </cell>
          <cell r="F113" t="str">
            <v>470</v>
          </cell>
          <cell r="G113">
            <v>22843.01</v>
          </cell>
          <cell r="H113">
            <v>3132.55</v>
          </cell>
        </row>
        <row r="114">
          <cell r="A114" t="str">
            <v>481003</v>
          </cell>
          <cell r="B114" t="str">
            <v>01988</v>
          </cell>
          <cell r="D114" t="str">
            <v>200</v>
          </cell>
          <cell r="E114" t="str">
            <v>2008-09-30</v>
          </cell>
          <cell r="F114" t="str">
            <v>470</v>
          </cell>
          <cell r="G114">
            <v>6382.86</v>
          </cell>
          <cell r="H114">
            <v>875.21</v>
          </cell>
        </row>
        <row r="115">
          <cell r="A115" t="str">
            <v>481003</v>
          </cell>
          <cell r="B115" t="str">
            <v>01993</v>
          </cell>
          <cell r="D115" t="str">
            <v>200</v>
          </cell>
          <cell r="E115" t="str">
            <v>2008-09-30</v>
          </cell>
          <cell r="F115" t="str">
            <v>470</v>
          </cell>
          <cell r="G115">
            <v>5934.55</v>
          </cell>
          <cell r="H115">
            <v>581.33000000000004</v>
          </cell>
        </row>
        <row r="116">
          <cell r="A116" t="str">
            <v>481003</v>
          </cell>
          <cell r="B116" t="str">
            <v>01943</v>
          </cell>
          <cell r="D116" t="str">
            <v>200</v>
          </cell>
          <cell r="E116" t="str">
            <v>2008-09-30</v>
          </cell>
          <cell r="F116" t="str">
            <v>470</v>
          </cell>
          <cell r="G116">
            <v>549.95000000000005</v>
          </cell>
          <cell r="H116">
            <v>52.62</v>
          </cell>
        </row>
        <row r="117">
          <cell r="A117" t="str">
            <v>481003</v>
          </cell>
          <cell r="B117" t="str">
            <v>01954</v>
          </cell>
          <cell r="D117" t="str">
            <v>200</v>
          </cell>
          <cell r="E117" t="str">
            <v>2008-09-30</v>
          </cell>
          <cell r="F117" t="str">
            <v>472B</v>
          </cell>
          <cell r="G117">
            <v>37.06</v>
          </cell>
          <cell r="H117">
            <v>5.1100000000000003</v>
          </cell>
        </row>
        <row r="118">
          <cell r="A118" t="str">
            <v>481003</v>
          </cell>
          <cell r="B118" t="str">
            <v>01991</v>
          </cell>
          <cell r="D118" t="str">
            <v>200</v>
          </cell>
          <cell r="E118" t="str">
            <v>2008-09-30</v>
          </cell>
          <cell r="F118" t="str">
            <v>472B</v>
          </cell>
          <cell r="G118">
            <v>63.78</v>
          </cell>
          <cell r="H118">
            <v>8.8000000000000007</v>
          </cell>
        </row>
        <row r="119">
          <cell r="A119" t="str">
            <v>481003</v>
          </cell>
          <cell r="B119" t="str">
            <v>01943</v>
          </cell>
          <cell r="D119" t="str">
            <v>200</v>
          </cell>
          <cell r="E119" t="str">
            <v>2008-09-30</v>
          </cell>
          <cell r="F119" t="str">
            <v>472B</v>
          </cell>
          <cell r="G119">
            <v>894.04</v>
          </cell>
          <cell r="H119">
            <v>167.03</v>
          </cell>
        </row>
        <row r="120">
          <cell r="A120" t="str">
            <v>481003</v>
          </cell>
          <cell r="B120" t="str">
            <v>01953</v>
          </cell>
          <cell r="D120" t="str">
            <v>200</v>
          </cell>
          <cell r="E120" t="str">
            <v>2008-09-30</v>
          </cell>
          <cell r="F120" t="str">
            <v>472B</v>
          </cell>
          <cell r="G120">
            <v>32443.46</v>
          </cell>
          <cell r="H120">
            <v>4443.04</v>
          </cell>
        </row>
        <row r="121">
          <cell r="A121" t="str">
            <v>481003</v>
          </cell>
          <cell r="B121" t="str">
            <v>01943</v>
          </cell>
          <cell r="D121" t="str">
            <v>200</v>
          </cell>
          <cell r="E121" t="str">
            <v>2008-09-30</v>
          </cell>
          <cell r="F121" t="str">
            <v>549A</v>
          </cell>
          <cell r="G121">
            <v>-524.70000000000005</v>
          </cell>
          <cell r="H121">
            <v>0</v>
          </cell>
        </row>
        <row r="122">
          <cell r="A122" t="str">
            <v>481003</v>
          </cell>
          <cell r="B122" t="str">
            <v>01990</v>
          </cell>
          <cell r="D122" t="str">
            <v>200</v>
          </cell>
          <cell r="E122" t="str">
            <v>2008-09-30</v>
          </cell>
          <cell r="F122" t="str">
            <v>549A</v>
          </cell>
          <cell r="G122">
            <v>-2231.21</v>
          </cell>
          <cell r="H122">
            <v>0</v>
          </cell>
        </row>
        <row r="123">
          <cell r="A123" t="str">
            <v>481003</v>
          </cell>
          <cell r="B123" t="str">
            <v>01991</v>
          </cell>
          <cell r="D123" t="str">
            <v>200</v>
          </cell>
          <cell r="E123" t="str">
            <v>2008-09-30</v>
          </cell>
          <cell r="F123" t="str">
            <v>549A</v>
          </cell>
          <cell r="G123">
            <v>-13.42</v>
          </cell>
          <cell r="H123">
            <v>0</v>
          </cell>
        </row>
        <row r="124">
          <cell r="A124" t="str">
            <v>481003</v>
          </cell>
          <cell r="B124" t="str">
            <v>01993</v>
          </cell>
          <cell r="D124" t="str">
            <v>200</v>
          </cell>
          <cell r="E124" t="str">
            <v>2008-09-30</v>
          </cell>
          <cell r="F124" t="str">
            <v>549A</v>
          </cell>
          <cell r="G124">
            <v>-886.53</v>
          </cell>
          <cell r="H124">
            <v>0</v>
          </cell>
        </row>
        <row r="125">
          <cell r="A125" t="str">
            <v>481003</v>
          </cell>
          <cell r="B125" t="str">
            <v>01954</v>
          </cell>
          <cell r="D125" t="str">
            <v>200</v>
          </cell>
          <cell r="E125" t="str">
            <v>2008-09-30</v>
          </cell>
          <cell r="F125" t="str">
            <v>549A</v>
          </cell>
          <cell r="G125">
            <v>-7.79</v>
          </cell>
          <cell r="H125">
            <v>0</v>
          </cell>
        </row>
        <row r="126">
          <cell r="A126" t="str">
            <v>481003</v>
          </cell>
          <cell r="B126" t="str">
            <v>01953</v>
          </cell>
          <cell r="D126" t="str">
            <v>200</v>
          </cell>
          <cell r="E126" t="str">
            <v>2008-09-30</v>
          </cell>
          <cell r="F126" t="str">
            <v>549A</v>
          </cell>
          <cell r="G126">
            <v>-13045.98</v>
          </cell>
          <cell r="H126">
            <v>0</v>
          </cell>
        </row>
        <row r="127">
          <cell r="A127" t="str">
            <v>481003</v>
          </cell>
          <cell r="B127" t="str">
            <v>01986</v>
          </cell>
          <cell r="D127" t="str">
            <v>200</v>
          </cell>
          <cell r="E127" t="str">
            <v>2008-09-30</v>
          </cell>
          <cell r="F127" t="str">
            <v>549A</v>
          </cell>
          <cell r="G127">
            <v>-2442.29</v>
          </cell>
          <cell r="H127">
            <v>0</v>
          </cell>
        </row>
        <row r="128">
          <cell r="A128" t="str">
            <v>481003</v>
          </cell>
          <cell r="B128" t="str">
            <v>01959</v>
          </cell>
          <cell r="D128" t="str">
            <v>200</v>
          </cell>
          <cell r="E128" t="str">
            <v>2008-09-30</v>
          </cell>
          <cell r="F128" t="str">
            <v>549A</v>
          </cell>
          <cell r="G128">
            <v>0</v>
          </cell>
          <cell r="H128">
            <v>0</v>
          </cell>
        </row>
        <row r="129">
          <cell r="A129" t="str">
            <v>481003</v>
          </cell>
          <cell r="B129" t="str">
            <v>01952</v>
          </cell>
          <cell r="D129" t="str">
            <v>200</v>
          </cell>
          <cell r="E129" t="str">
            <v>2008-09-30</v>
          </cell>
          <cell r="F129" t="str">
            <v>BINGV32476</v>
          </cell>
          <cell r="G129">
            <v>32484.3</v>
          </cell>
          <cell r="H129">
            <v>3286.26</v>
          </cell>
        </row>
        <row r="130">
          <cell r="A130" t="str">
            <v>481003</v>
          </cell>
          <cell r="B130" t="str">
            <v>01989</v>
          </cell>
          <cell r="D130" t="str">
            <v>200</v>
          </cell>
          <cell r="E130" t="str">
            <v>2008-09-30</v>
          </cell>
          <cell r="F130" t="str">
            <v>BINGV32476</v>
          </cell>
          <cell r="G130">
            <v>3464.1</v>
          </cell>
          <cell r="H130">
            <v>350.76</v>
          </cell>
        </row>
        <row r="131">
          <cell r="A131" t="str">
            <v>481003</v>
          </cell>
          <cell r="B131" t="str">
            <v>01988</v>
          </cell>
          <cell r="D131" t="str">
            <v>200</v>
          </cell>
          <cell r="E131" t="str">
            <v>2008-09-30</v>
          </cell>
          <cell r="F131" t="str">
            <v>BINGV32476</v>
          </cell>
          <cell r="G131">
            <v>11163.07</v>
          </cell>
          <cell r="H131">
            <v>1130.26</v>
          </cell>
        </row>
        <row r="132">
          <cell r="A132" t="str">
            <v>481003</v>
          </cell>
          <cell r="B132" t="str">
            <v>01986</v>
          </cell>
          <cell r="D132" t="str">
            <v>200</v>
          </cell>
          <cell r="E132" t="str">
            <v>2008-09-30</v>
          </cell>
          <cell r="F132" t="str">
            <v>BINGV32476</v>
          </cell>
          <cell r="G132">
            <v>41370.44</v>
          </cell>
          <cell r="H132">
            <v>4181</v>
          </cell>
        </row>
        <row r="133">
          <cell r="A133" t="str">
            <v>481003</v>
          </cell>
          <cell r="B133" t="str">
            <v>01968</v>
          </cell>
          <cell r="D133" t="str">
            <v>200</v>
          </cell>
          <cell r="E133" t="str">
            <v>2008-09-30</v>
          </cell>
          <cell r="F133" t="str">
            <v>BINGV32476</v>
          </cell>
          <cell r="G133">
            <v>7313.35</v>
          </cell>
          <cell r="H133">
            <v>740.52</v>
          </cell>
        </row>
        <row r="134">
          <cell r="A134" t="str">
            <v>481003</v>
          </cell>
          <cell r="B134" t="str">
            <v>01974</v>
          </cell>
          <cell r="D134" t="str">
            <v>200</v>
          </cell>
          <cell r="E134" t="str">
            <v>2008-09-30</v>
          </cell>
          <cell r="F134" t="str">
            <v>BINGV32476</v>
          </cell>
          <cell r="G134">
            <v>22056.2</v>
          </cell>
          <cell r="H134">
            <v>2233.3200000000002</v>
          </cell>
        </row>
        <row r="135">
          <cell r="A135" t="str">
            <v>481003</v>
          </cell>
          <cell r="B135" t="str">
            <v>01992</v>
          </cell>
          <cell r="D135" t="str">
            <v>200</v>
          </cell>
          <cell r="E135" t="str">
            <v>2008-09-30</v>
          </cell>
          <cell r="F135" t="str">
            <v>BINGV32476</v>
          </cell>
          <cell r="G135">
            <v>32270.87</v>
          </cell>
          <cell r="H135">
            <v>3267.62</v>
          </cell>
        </row>
        <row r="136">
          <cell r="A136" t="str">
            <v>481003</v>
          </cell>
          <cell r="B136" t="str">
            <v>01979</v>
          </cell>
          <cell r="D136" t="str">
            <v>200</v>
          </cell>
          <cell r="E136" t="str">
            <v>2008-09-30</v>
          </cell>
          <cell r="F136" t="str">
            <v>BINGV32476</v>
          </cell>
          <cell r="G136">
            <v>17.41</v>
          </cell>
          <cell r="H136">
            <v>0.02</v>
          </cell>
        </row>
        <row r="137">
          <cell r="A137" t="str">
            <v>481003</v>
          </cell>
          <cell r="B137" t="str">
            <v>01994</v>
          </cell>
          <cell r="D137" t="str">
            <v>200</v>
          </cell>
          <cell r="E137" t="str">
            <v>2008-09-30</v>
          </cell>
          <cell r="F137" t="str">
            <v>BINGV32476</v>
          </cell>
          <cell r="G137">
            <v>1733.52</v>
          </cell>
          <cell r="H137">
            <v>175.35</v>
          </cell>
        </row>
        <row r="138">
          <cell r="A138" t="str">
            <v>481003</v>
          </cell>
          <cell r="B138" t="str">
            <v>01995</v>
          </cell>
          <cell r="D138" t="str">
            <v>200</v>
          </cell>
          <cell r="E138" t="str">
            <v>2008-09-30</v>
          </cell>
          <cell r="F138" t="str">
            <v>BINGV32476</v>
          </cell>
          <cell r="G138">
            <v>13709.42</v>
          </cell>
          <cell r="H138">
            <v>1388.16</v>
          </cell>
        </row>
        <row r="139">
          <cell r="A139" t="str">
            <v>481003</v>
          </cell>
          <cell r="B139" t="str">
            <v>01976</v>
          </cell>
          <cell r="D139" t="str">
            <v>200</v>
          </cell>
          <cell r="E139" t="str">
            <v>2008-09-30</v>
          </cell>
          <cell r="F139" t="str">
            <v>BINGV32476</v>
          </cell>
          <cell r="G139">
            <v>24643.31</v>
          </cell>
          <cell r="H139">
            <v>2495.2800000000002</v>
          </cell>
        </row>
        <row r="140">
          <cell r="A140" t="str">
            <v>481003</v>
          </cell>
          <cell r="B140" t="str">
            <v>01980</v>
          </cell>
          <cell r="D140" t="str">
            <v>200</v>
          </cell>
          <cell r="E140" t="str">
            <v>2008-09-30</v>
          </cell>
          <cell r="F140" t="str">
            <v>BINGV32476</v>
          </cell>
          <cell r="G140">
            <v>42.66</v>
          </cell>
          <cell r="H140">
            <v>4.32</v>
          </cell>
        </row>
        <row r="141">
          <cell r="A141" t="str">
            <v>481003</v>
          </cell>
          <cell r="B141" t="str">
            <v>01987</v>
          </cell>
          <cell r="D141" t="str">
            <v>200</v>
          </cell>
          <cell r="E141" t="str">
            <v>2008-09-30</v>
          </cell>
          <cell r="F141" t="str">
            <v>BINGV32476</v>
          </cell>
          <cell r="G141">
            <v>30116.959999999999</v>
          </cell>
          <cell r="H141">
            <v>3049.52</v>
          </cell>
        </row>
        <row r="142">
          <cell r="A142" t="str">
            <v>481003</v>
          </cell>
          <cell r="B142" t="str">
            <v>01978</v>
          </cell>
          <cell r="D142" t="str">
            <v>200</v>
          </cell>
          <cell r="E142" t="str">
            <v>2008-09-30</v>
          </cell>
          <cell r="F142" t="str">
            <v>BINGV32476</v>
          </cell>
          <cell r="G142">
            <v>14137.25</v>
          </cell>
          <cell r="H142">
            <v>1431.48</v>
          </cell>
        </row>
        <row r="143">
          <cell r="A143" t="str">
            <v>481003</v>
          </cell>
          <cell r="B143" t="str">
            <v>01970</v>
          </cell>
          <cell r="D143" t="str">
            <v>200</v>
          </cell>
          <cell r="E143" t="str">
            <v>2008-09-30</v>
          </cell>
          <cell r="F143" t="str">
            <v>BINGV32476</v>
          </cell>
          <cell r="G143">
            <v>3657.88</v>
          </cell>
          <cell r="H143">
            <v>370.37</v>
          </cell>
        </row>
        <row r="144">
          <cell r="A144" t="str">
            <v>481003</v>
          </cell>
          <cell r="B144" t="str">
            <v>01971</v>
          </cell>
          <cell r="D144" t="str">
            <v>200</v>
          </cell>
          <cell r="E144" t="str">
            <v>2008-09-30</v>
          </cell>
          <cell r="F144" t="str">
            <v>BINGV32476</v>
          </cell>
          <cell r="G144">
            <v>18480.09</v>
          </cell>
          <cell r="H144">
            <v>1871.16</v>
          </cell>
        </row>
        <row r="145">
          <cell r="A145" t="str">
            <v>481003</v>
          </cell>
          <cell r="B145" t="str">
            <v>01969</v>
          </cell>
          <cell r="D145" t="str">
            <v>200</v>
          </cell>
          <cell r="E145" t="str">
            <v>2008-09-30</v>
          </cell>
          <cell r="F145" t="str">
            <v>BINGV32476</v>
          </cell>
          <cell r="G145">
            <v>9954.98</v>
          </cell>
          <cell r="H145">
            <v>1008</v>
          </cell>
        </row>
        <row r="146">
          <cell r="A146" t="str">
            <v>481003</v>
          </cell>
          <cell r="B146" t="str">
            <v>01977</v>
          </cell>
          <cell r="D146" t="str">
            <v>200</v>
          </cell>
          <cell r="E146" t="str">
            <v>2008-09-30</v>
          </cell>
          <cell r="F146" t="str">
            <v>BINGV32476</v>
          </cell>
          <cell r="G146">
            <v>12866.81</v>
          </cell>
          <cell r="H146">
            <v>1302.8399999999999</v>
          </cell>
        </row>
        <row r="147">
          <cell r="A147" t="str">
            <v>481003</v>
          </cell>
          <cell r="B147" t="str">
            <v>01953</v>
          </cell>
          <cell r="D147" t="str">
            <v>200</v>
          </cell>
          <cell r="E147" t="str">
            <v>2008-10-31</v>
          </cell>
          <cell r="F147" t="str">
            <v>470</v>
          </cell>
          <cell r="G147">
            <v>21455.45</v>
          </cell>
          <cell r="H147">
            <v>2942.33</v>
          </cell>
        </row>
        <row r="148">
          <cell r="A148" t="str">
            <v>481003</v>
          </cell>
          <cell r="B148" t="str">
            <v>01990</v>
          </cell>
          <cell r="D148" t="str">
            <v>200</v>
          </cell>
          <cell r="E148" t="str">
            <v>2008-10-31</v>
          </cell>
          <cell r="F148" t="str">
            <v>470</v>
          </cell>
          <cell r="G148">
            <v>10195.92</v>
          </cell>
          <cell r="H148">
            <v>1398.29</v>
          </cell>
        </row>
        <row r="149">
          <cell r="A149" t="str">
            <v>481003</v>
          </cell>
          <cell r="B149" t="str">
            <v>01986</v>
          </cell>
          <cell r="D149" t="str">
            <v>200</v>
          </cell>
          <cell r="E149" t="str">
            <v>2008-10-31</v>
          </cell>
          <cell r="F149" t="str">
            <v>470</v>
          </cell>
          <cell r="G149">
            <v>12280.44</v>
          </cell>
          <cell r="H149">
            <v>1684.14</v>
          </cell>
        </row>
        <row r="150">
          <cell r="A150" t="str">
            <v>481003</v>
          </cell>
          <cell r="B150" t="str">
            <v>01974</v>
          </cell>
          <cell r="D150" t="str">
            <v>200</v>
          </cell>
          <cell r="E150" t="str">
            <v>2008-10-31</v>
          </cell>
          <cell r="F150" t="str">
            <v>470</v>
          </cell>
          <cell r="G150">
            <v>25679.43</v>
          </cell>
          <cell r="H150">
            <v>3521.55</v>
          </cell>
        </row>
        <row r="151">
          <cell r="A151" t="str">
            <v>481003</v>
          </cell>
          <cell r="B151" t="str">
            <v>01988</v>
          </cell>
          <cell r="D151" t="str">
            <v>200</v>
          </cell>
          <cell r="E151" t="str">
            <v>2008-10-31</v>
          </cell>
          <cell r="F151" t="str">
            <v>470</v>
          </cell>
          <cell r="G151">
            <v>6481.25</v>
          </cell>
          <cell r="H151">
            <v>888.76</v>
          </cell>
        </row>
        <row r="152">
          <cell r="A152" t="str">
            <v>481003</v>
          </cell>
          <cell r="B152" t="str">
            <v>01993</v>
          </cell>
          <cell r="D152" t="str">
            <v>200</v>
          </cell>
          <cell r="E152" t="str">
            <v>2008-10-31</v>
          </cell>
          <cell r="F152" t="str">
            <v>470</v>
          </cell>
          <cell r="G152">
            <v>4237.76</v>
          </cell>
          <cell r="H152">
            <v>415.13</v>
          </cell>
        </row>
        <row r="153">
          <cell r="A153" t="str">
            <v>481003</v>
          </cell>
          <cell r="B153" t="str">
            <v>01943</v>
          </cell>
          <cell r="D153" t="str">
            <v>200</v>
          </cell>
          <cell r="E153" t="str">
            <v>2008-10-31</v>
          </cell>
          <cell r="F153" t="str">
            <v>470</v>
          </cell>
          <cell r="G153">
            <v>1842.14</v>
          </cell>
          <cell r="H153">
            <v>176.29</v>
          </cell>
        </row>
        <row r="154">
          <cell r="A154" t="str">
            <v>481003</v>
          </cell>
          <cell r="B154" t="str">
            <v>01991</v>
          </cell>
          <cell r="D154" t="str">
            <v>200</v>
          </cell>
          <cell r="E154" t="str">
            <v>2008-10-31</v>
          </cell>
          <cell r="F154" t="str">
            <v>472B</v>
          </cell>
          <cell r="G154">
            <v>13.5</v>
          </cell>
          <cell r="H154">
            <v>1.87</v>
          </cell>
        </row>
        <row r="155">
          <cell r="A155" t="str">
            <v>481003</v>
          </cell>
          <cell r="B155" t="str">
            <v>01943</v>
          </cell>
          <cell r="D155" t="str">
            <v>200</v>
          </cell>
          <cell r="E155" t="str">
            <v>2008-10-31</v>
          </cell>
          <cell r="F155" t="str">
            <v>472B</v>
          </cell>
          <cell r="G155">
            <v>1606.92</v>
          </cell>
          <cell r="H155">
            <v>300.25</v>
          </cell>
        </row>
        <row r="156">
          <cell r="A156" t="str">
            <v>481003</v>
          </cell>
          <cell r="B156" t="str">
            <v>01953</v>
          </cell>
          <cell r="D156" t="str">
            <v>200</v>
          </cell>
          <cell r="E156" t="str">
            <v>2008-10-31</v>
          </cell>
          <cell r="F156" t="str">
            <v>472B</v>
          </cell>
          <cell r="G156">
            <v>28679.83</v>
          </cell>
          <cell r="H156">
            <v>3927.61</v>
          </cell>
        </row>
        <row r="157">
          <cell r="A157" t="str">
            <v>481003</v>
          </cell>
          <cell r="B157" t="str">
            <v>01954</v>
          </cell>
          <cell r="D157" t="str">
            <v>200</v>
          </cell>
          <cell r="E157" t="str">
            <v>2008-10-31</v>
          </cell>
          <cell r="F157" t="str">
            <v>472B</v>
          </cell>
          <cell r="G157">
            <v>36.31</v>
          </cell>
          <cell r="H157">
            <v>5.01</v>
          </cell>
        </row>
        <row r="158">
          <cell r="A158" t="str">
            <v>481003</v>
          </cell>
          <cell r="B158" t="str">
            <v>01959</v>
          </cell>
          <cell r="D158" t="str">
            <v>200</v>
          </cell>
          <cell r="E158" t="str">
            <v>2008-10-31</v>
          </cell>
          <cell r="F158" t="str">
            <v>549A</v>
          </cell>
          <cell r="G158">
            <v>0</v>
          </cell>
          <cell r="H158">
            <v>0</v>
          </cell>
        </row>
        <row r="159">
          <cell r="A159" t="str">
            <v>481003</v>
          </cell>
          <cell r="B159" t="str">
            <v>01943</v>
          </cell>
          <cell r="D159" t="str">
            <v>200</v>
          </cell>
          <cell r="E159" t="str">
            <v>2008-10-31</v>
          </cell>
          <cell r="F159" t="str">
            <v>549A</v>
          </cell>
          <cell r="G159">
            <v>-1138.3599999999999</v>
          </cell>
          <cell r="H159">
            <v>0</v>
          </cell>
        </row>
        <row r="160">
          <cell r="A160" t="str">
            <v>481003</v>
          </cell>
          <cell r="B160" t="str">
            <v>01990</v>
          </cell>
          <cell r="D160" t="str">
            <v>200</v>
          </cell>
          <cell r="E160" t="str">
            <v>2008-10-31</v>
          </cell>
          <cell r="F160" t="str">
            <v>549A</v>
          </cell>
          <cell r="G160">
            <v>-2132.39</v>
          </cell>
          <cell r="H160">
            <v>0</v>
          </cell>
        </row>
        <row r="161">
          <cell r="A161" t="str">
            <v>481003</v>
          </cell>
          <cell r="B161" t="str">
            <v>01991</v>
          </cell>
          <cell r="D161" t="str">
            <v>200</v>
          </cell>
          <cell r="E161" t="str">
            <v>2008-10-31</v>
          </cell>
          <cell r="F161" t="str">
            <v>549A</v>
          </cell>
          <cell r="G161">
            <v>-2.85</v>
          </cell>
          <cell r="H161">
            <v>0</v>
          </cell>
        </row>
        <row r="162">
          <cell r="A162" t="str">
            <v>481003</v>
          </cell>
          <cell r="B162" t="str">
            <v>01993</v>
          </cell>
          <cell r="D162" t="str">
            <v>200</v>
          </cell>
          <cell r="E162" t="str">
            <v>2008-10-31</v>
          </cell>
          <cell r="F162" t="str">
            <v>549A</v>
          </cell>
          <cell r="G162">
            <v>-633.07000000000005</v>
          </cell>
          <cell r="H162">
            <v>0</v>
          </cell>
        </row>
        <row r="163">
          <cell r="A163" t="str">
            <v>481003</v>
          </cell>
          <cell r="B163" t="str">
            <v>01954</v>
          </cell>
          <cell r="D163" t="str">
            <v>200</v>
          </cell>
          <cell r="E163" t="str">
            <v>2008-10-31</v>
          </cell>
          <cell r="F163" t="str">
            <v>549A</v>
          </cell>
          <cell r="G163">
            <v>-7.64</v>
          </cell>
          <cell r="H163">
            <v>0</v>
          </cell>
        </row>
        <row r="164">
          <cell r="A164" t="str">
            <v>481003</v>
          </cell>
          <cell r="B164" t="str">
            <v>01953</v>
          </cell>
          <cell r="D164" t="str">
            <v>200</v>
          </cell>
          <cell r="E164" t="str">
            <v>2008-10-31</v>
          </cell>
          <cell r="F164" t="str">
            <v>549A</v>
          </cell>
          <cell r="G164">
            <v>-10476.66</v>
          </cell>
          <cell r="H164">
            <v>0</v>
          </cell>
        </row>
        <row r="165">
          <cell r="A165" t="str">
            <v>481003</v>
          </cell>
          <cell r="B165" t="str">
            <v>01986</v>
          </cell>
          <cell r="D165" t="str">
            <v>200</v>
          </cell>
          <cell r="E165" t="str">
            <v>2008-10-31</v>
          </cell>
          <cell r="F165" t="str">
            <v>549A</v>
          </cell>
          <cell r="G165">
            <v>-2568.31</v>
          </cell>
          <cell r="H165">
            <v>0</v>
          </cell>
        </row>
        <row r="166">
          <cell r="A166" t="str">
            <v>481003</v>
          </cell>
          <cell r="B166" t="str">
            <v>01968</v>
          </cell>
          <cell r="D166" t="str">
            <v>200</v>
          </cell>
          <cell r="E166" t="str">
            <v>2008-10-31</v>
          </cell>
          <cell r="F166" t="str">
            <v>BINGV32977</v>
          </cell>
          <cell r="G166">
            <v>6366.01</v>
          </cell>
          <cell r="H166">
            <v>640.67999999999995</v>
          </cell>
        </row>
        <row r="167">
          <cell r="A167" t="str">
            <v>481003</v>
          </cell>
          <cell r="B167" t="str">
            <v>01979</v>
          </cell>
          <cell r="D167" t="str">
            <v>200</v>
          </cell>
          <cell r="E167" t="str">
            <v>2008-10-31</v>
          </cell>
          <cell r="F167" t="str">
            <v>BINGV32977</v>
          </cell>
          <cell r="G167">
            <v>446.26</v>
          </cell>
          <cell r="H167">
            <v>44.91</v>
          </cell>
        </row>
        <row r="168">
          <cell r="A168" t="str">
            <v>481003</v>
          </cell>
          <cell r="B168" t="str">
            <v>01994</v>
          </cell>
          <cell r="D168" t="str">
            <v>200</v>
          </cell>
          <cell r="E168" t="str">
            <v>2008-10-31</v>
          </cell>
          <cell r="F168" t="str">
            <v>BINGV32977</v>
          </cell>
          <cell r="G168">
            <v>24102.19</v>
          </cell>
          <cell r="H168">
            <v>2425.66</v>
          </cell>
        </row>
        <row r="169">
          <cell r="A169" t="str">
            <v>481003</v>
          </cell>
          <cell r="B169" t="str">
            <v>01995</v>
          </cell>
          <cell r="D169" t="str">
            <v>200</v>
          </cell>
          <cell r="E169" t="str">
            <v>2008-10-31</v>
          </cell>
          <cell r="F169" t="str">
            <v>BINGV32977</v>
          </cell>
          <cell r="G169">
            <v>12209.67</v>
          </cell>
          <cell r="H169">
            <v>1228.8</v>
          </cell>
        </row>
        <row r="170">
          <cell r="A170" t="str">
            <v>481003</v>
          </cell>
          <cell r="B170" t="str">
            <v>01976</v>
          </cell>
          <cell r="D170" t="str">
            <v>200</v>
          </cell>
          <cell r="E170" t="str">
            <v>2008-10-31</v>
          </cell>
          <cell r="F170" t="str">
            <v>BINGV32977</v>
          </cell>
          <cell r="G170">
            <v>20371.48</v>
          </cell>
          <cell r="H170">
            <v>2050.1999999999998</v>
          </cell>
        </row>
        <row r="171">
          <cell r="A171" t="str">
            <v>481003</v>
          </cell>
          <cell r="B171" t="str">
            <v>01980</v>
          </cell>
          <cell r="D171" t="str">
            <v>200</v>
          </cell>
          <cell r="E171" t="str">
            <v>2008-10-31</v>
          </cell>
          <cell r="F171" t="str">
            <v>BINGV32977</v>
          </cell>
          <cell r="G171">
            <v>72.73</v>
          </cell>
          <cell r="H171">
            <v>7.32</v>
          </cell>
        </row>
        <row r="172">
          <cell r="A172" t="str">
            <v>481003</v>
          </cell>
          <cell r="B172" t="str">
            <v>01987</v>
          </cell>
          <cell r="D172" t="str">
            <v>200</v>
          </cell>
          <cell r="E172" t="str">
            <v>2008-10-31</v>
          </cell>
          <cell r="F172" t="str">
            <v>BINGV32977</v>
          </cell>
          <cell r="G172">
            <v>31198.28</v>
          </cell>
          <cell r="H172">
            <v>3139.81</v>
          </cell>
        </row>
        <row r="173">
          <cell r="A173" t="str">
            <v>481003</v>
          </cell>
          <cell r="B173" t="str">
            <v>01978</v>
          </cell>
          <cell r="D173" t="str">
            <v>200</v>
          </cell>
          <cell r="E173" t="str">
            <v>2008-10-31</v>
          </cell>
          <cell r="F173" t="str">
            <v>BINGV32977</v>
          </cell>
          <cell r="G173">
            <v>12506.67</v>
          </cell>
          <cell r="H173">
            <v>1258.68</v>
          </cell>
        </row>
        <row r="174">
          <cell r="A174" t="str">
            <v>481003</v>
          </cell>
          <cell r="B174" t="str">
            <v>01970</v>
          </cell>
          <cell r="D174" t="str">
            <v>200</v>
          </cell>
          <cell r="E174" t="str">
            <v>2008-10-31</v>
          </cell>
          <cell r="F174" t="str">
            <v>BINGV32977</v>
          </cell>
          <cell r="G174">
            <v>4535.49</v>
          </cell>
          <cell r="H174">
            <v>456.46</v>
          </cell>
        </row>
        <row r="175">
          <cell r="A175" t="str">
            <v>481003</v>
          </cell>
          <cell r="B175" t="str">
            <v>01971</v>
          </cell>
          <cell r="D175" t="str">
            <v>200</v>
          </cell>
          <cell r="E175" t="str">
            <v>2008-10-31</v>
          </cell>
          <cell r="F175" t="str">
            <v>BINGV32977</v>
          </cell>
          <cell r="G175">
            <v>19453.37</v>
          </cell>
          <cell r="H175">
            <v>1957.8</v>
          </cell>
        </row>
        <row r="176">
          <cell r="A176" t="str">
            <v>481003</v>
          </cell>
          <cell r="B176" t="str">
            <v>01969</v>
          </cell>
          <cell r="D176" t="str">
            <v>200</v>
          </cell>
          <cell r="E176" t="str">
            <v>2008-10-31</v>
          </cell>
          <cell r="F176" t="str">
            <v>BINGV32977</v>
          </cell>
          <cell r="G176">
            <v>8602.89</v>
          </cell>
          <cell r="H176">
            <v>865.8</v>
          </cell>
        </row>
        <row r="177">
          <cell r="A177" t="str">
            <v>481003</v>
          </cell>
          <cell r="B177" t="str">
            <v>01974</v>
          </cell>
          <cell r="D177" t="str">
            <v>200</v>
          </cell>
          <cell r="E177" t="str">
            <v>2008-10-31</v>
          </cell>
          <cell r="F177" t="str">
            <v>BINGV32977</v>
          </cell>
          <cell r="G177">
            <v>-22056.2</v>
          </cell>
          <cell r="H177">
            <v>-2233.3200000000002</v>
          </cell>
        </row>
        <row r="178">
          <cell r="A178" t="str">
            <v>481003</v>
          </cell>
          <cell r="B178" t="str">
            <v>01977</v>
          </cell>
          <cell r="D178" t="str">
            <v>200</v>
          </cell>
          <cell r="E178" t="str">
            <v>2008-10-31</v>
          </cell>
          <cell r="F178" t="str">
            <v>BINGV32977</v>
          </cell>
          <cell r="G178">
            <v>14724.47</v>
          </cell>
          <cell r="H178">
            <v>1481.88</v>
          </cell>
        </row>
        <row r="179">
          <cell r="A179" t="str">
            <v>481003</v>
          </cell>
          <cell r="B179" t="str">
            <v>01992</v>
          </cell>
          <cell r="D179" t="str">
            <v>200</v>
          </cell>
          <cell r="E179" t="str">
            <v>2008-10-31</v>
          </cell>
          <cell r="F179" t="str">
            <v>BINGV32977</v>
          </cell>
          <cell r="G179">
            <v>32415.46</v>
          </cell>
          <cell r="H179">
            <v>3262.31</v>
          </cell>
        </row>
        <row r="180">
          <cell r="A180" t="str">
            <v>481003</v>
          </cell>
          <cell r="B180" t="str">
            <v>01973</v>
          </cell>
          <cell r="D180" t="str">
            <v>200</v>
          </cell>
          <cell r="E180" t="str">
            <v>2008-10-31</v>
          </cell>
          <cell r="F180" t="str">
            <v>BINGV32977</v>
          </cell>
          <cell r="G180">
            <v>45246.43</v>
          </cell>
          <cell r="H180">
            <v>4567.2</v>
          </cell>
        </row>
        <row r="181">
          <cell r="A181" t="str">
            <v>481003</v>
          </cell>
          <cell r="B181" t="str">
            <v>01952</v>
          </cell>
          <cell r="D181" t="str">
            <v>200</v>
          </cell>
          <cell r="E181" t="str">
            <v>2008-10-31</v>
          </cell>
          <cell r="F181" t="str">
            <v>BINGV32977</v>
          </cell>
          <cell r="G181">
            <v>42518.53</v>
          </cell>
          <cell r="H181">
            <v>4279.09</v>
          </cell>
        </row>
        <row r="182">
          <cell r="A182" t="str">
            <v>481003</v>
          </cell>
          <cell r="B182" t="str">
            <v>01989</v>
          </cell>
          <cell r="D182" t="str">
            <v>200</v>
          </cell>
          <cell r="E182" t="str">
            <v>2008-10-31</v>
          </cell>
          <cell r="F182" t="str">
            <v>BINGV32977</v>
          </cell>
          <cell r="G182">
            <v>2829.48</v>
          </cell>
          <cell r="H182">
            <v>284.76</v>
          </cell>
        </row>
        <row r="183">
          <cell r="A183" t="str">
            <v>481003</v>
          </cell>
          <cell r="B183" t="str">
            <v>01988</v>
          </cell>
          <cell r="D183" t="str">
            <v>200</v>
          </cell>
          <cell r="E183" t="str">
            <v>2008-10-31</v>
          </cell>
          <cell r="F183" t="str">
            <v>BINGV32977</v>
          </cell>
          <cell r="G183">
            <v>9781.06</v>
          </cell>
          <cell r="H183">
            <v>984.37</v>
          </cell>
        </row>
        <row r="184">
          <cell r="A184" t="str">
            <v>481003</v>
          </cell>
          <cell r="B184" t="str">
            <v>01986</v>
          </cell>
          <cell r="D184" t="str">
            <v>200</v>
          </cell>
          <cell r="E184" t="str">
            <v>2008-10-31</v>
          </cell>
          <cell r="F184" t="str">
            <v>BINGV32977</v>
          </cell>
          <cell r="G184">
            <v>46987.34</v>
          </cell>
          <cell r="H184">
            <v>4729</v>
          </cell>
        </row>
        <row r="185">
          <cell r="A185" t="str">
            <v>481003</v>
          </cell>
          <cell r="B185" t="str">
            <v>01953</v>
          </cell>
          <cell r="D185" t="str">
            <v>200</v>
          </cell>
          <cell r="E185" t="str">
            <v>2008-11-30</v>
          </cell>
          <cell r="F185" t="str">
            <v>470</v>
          </cell>
          <cell r="G185">
            <v>15840.52</v>
          </cell>
          <cell r="H185">
            <v>2304.2800000000002</v>
          </cell>
        </row>
        <row r="186">
          <cell r="A186" t="str">
            <v>481003</v>
          </cell>
          <cell r="B186" t="str">
            <v>01990</v>
          </cell>
          <cell r="D186" t="str">
            <v>200</v>
          </cell>
          <cell r="E186" t="str">
            <v>2008-11-30</v>
          </cell>
          <cell r="F186" t="str">
            <v>470</v>
          </cell>
          <cell r="G186">
            <v>8146.56</v>
          </cell>
          <cell r="H186">
            <v>1189.4000000000001</v>
          </cell>
        </row>
        <row r="187">
          <cell r="A187" t="str">
            <v>481003</v>
          </cell>
          <cell r="B187" t="str">
            <v>01986</v>
          </cell>
          <cell r="D187" t="str">
            <v>200</v>
          </cell>
          <cell r="E187" t="str">
            <v>2008-11-30</v>
          </cell>
          <cell r="F187" t="str">
            <v>470</v>
          </cell>
          <cell r="G187">
            <v>12391.6</v>
          </cell>
          <cell r="H187">
            <v>1809.02</v>
          </cell>
        </row>
        <row r="188">
          <cell r="A188" t="str">
            <v>481003</v>
          </cell>
          <cell r="B188" t="str">
            <v>01974</v>
          </cell>
          <cell r="D188" t="str">
            <v>200</v>
          </cell>
          <cell r="E188" t="str">
            <v>2008-11-30</v>
          </cell>
          <cell r="F188" t="str">
            <v>470</v>
          </cell>
          <cell r="G188">
            <v>23948.7</v>
          </cell>
          <cell r="H188">
            <v>3491.59</v>
          </cell>
        </row>
        <row r="189">
          <cell r="A189" t="str">
            <v>481003</v>
          </cell>
          <cell r="B189" t="str">
            <v>01988</v>
          </cell>
          <cell r="D189" t="str">
            <v>200</v>
          </cell>
          <cell r="E189" t="str">
            <v>2008-11-30</v>
          </cell>
          <cell r="F189" t="str">
            <v>470</v>
          </cell>
          <cell r="G189">
            <v>4416.57</v>
          </cell>
          <cell r="H189">
            <v>634.39</v>
          </cell>
        </row>
        <row r="190">
          <cell r="A190" t="str">
            <v>481003</v>
          </cell>
          <cell r="B190" t="str">
            <v>01993</v>
          </cell>
          <cell r="D190" t="str">
            <v>200</v>
          </cell>
          <cell r="E190" t="str">
            <v>2008-11-30</v>
          </cell>
          <cell r="F190" t="str">
            <v>470</v>
          </cell>
          <cell r="G190">
            <v>3152.47</v>
          </cell>
          <cell r="H190">
            <v>395.79</v>
          </cell>
        </row>
        <row r="191">
          <cell r="A191" t="str">
            <v>481003</v>
          </cell>
          <cell r="B191" t="str">
            <v>01943</v>
          </cell>
          <cell r="D191" t="str">
            <v>200</v>
          </cell>
          <cell r="E191" t="str">
            <v>2008-11-30</v>
          </cell>
          <cell r="F191" t="str">
            <v>470</v>
          </cell>
          <cell r="G191">
            <v>1238.6600000000001</v>
          </cell>
          <cell r="H191">
            <v>143.46</v>
          </cell>
        </row>
        <row r="192">
          <cell r="A192" t="str">
            <v>481003</v>
          </cell>
          <cell r="B192" t="str">
            <v>01943</v>
          </cell>
          <cell r="D192" t="str">
            <v>200</v>
          </cell>
          <cell r="E192" t="str">
            <v>2008-11-30</v>
          </cell>
          <cell r="F192" t="str">
            <v>472B</v>
          </cell>
          <cell r="G192">
            <v>1480.08</v>
          </cell>
          <cell r="H192">
            <v>237.69</v>
          </cell>
        </row>
        <row r="193">
          <cell r="A193" t="str">
            <v>481003</v>
          </cell>
          <cell r="B193" t="str">
            <v>01953</v>
          </cell>
          <cell r="D193" t="str">
            <v>200</v>
          </cell>
          <cell r="E193" t="str">
            <v>2008-11-30</v>
          </cell>
          <cell r="F193" t="str">
            <v>472B</v>
          </cell>
          <cell r="G193">
            <v>21316.32</v>
          </cell>
          <cell r="H193">
            <v>3198.78</v>
          </cell>
        </row>
        <row r="194">
          <cell r="A194" t="str">
            <v>481003</v>
          </cell>
          <cell r="B194" t="str">
            <v>01954</v>
          </cell>
          <cell r="D194" t="str">
            <v>200</v>
          </cell>
          <cell r="E194" t="str">
            <v>2008-11-30</v>
          </cell>
          <cell r="F194" t="str">
            <v>472B</v>
          </cell>
          <cell r="G194">
            <v>29.62</v>
          </cell>
          <cell r="H194">
            <v>4.4800000000000004</v>
          </cell>
        </row>
        <row r="195">
          <cell r="A195" t="str">
            <v>481003</v>
          </cell>
          <cell r="B195" t="str">
            <v>01959</v>
          </cell>
          <cell r="D195" t="str">
            <v>200</v>
          </cell>
          <cell r="E195" t="str">
            <v>2008-11-30</v>
          </cell>
          <cell r="F195" t="str">
            <v>549A</v>
          </cell>
          <cell r="G195">
            <v>0</v>
          </cell>
          <cell r="H195">
            <v>0</v>
          </cell>
        </row>
        <row r="196">
          <cell r="A196" t="str">
            <v>481003</v>
          </cell>
          <cell r="B196" t="str">
            <v>01943</v>
          </cell>
          <cell r="D196" t="str">
            <v>200</v>
          </cell>
          <cell r="E196" t="str">
            <v>2008-11-30</v>
          </cell>
          <cell r="F196" t="str">
            <v>549A</v>
          </cell>
          <cell r="G196">
            <v>-910.49</v>
          </cell>
          <cell r="H196">
            <v>0</v>
          </cell>
        </row>
        <row r="197">
          <cell r="A197" t="str">
            <v>481003</v>
          </cell>
          <cell r="B197" t="str">
            <v>01990</v>
          </cell>
          <cell r="D197" t="str">
            <v>200</v>
          </cell>
          <cell r="E197" t="str">
            <v>2008-11-30</v>
          </cell>
          <cell r="F197" t="str">
            <v>549A</v>
          </cell>
          <cell r="G197">
            <v>-1813.84</v>
          </cell>
          <cell r="H197">
            <v>0</v>
          </cell>
        </row>
        <row r="198">
          <cell r="A198" t="str">
            <v>481003</v>
          </cell>
          <cell r="B198" t="str">
            <v>01991</v>
          </cell>
          <cell r="D198" t="str">
            <v>200</v>
          </cell>
          <cell r="E198" t="str">
            <v>2008-11-30</v>
          </cell>
          <cell r="F198" t="str">
            <v>549A</v>
          </cell>
          <cell r="G198">
            <v>0</v>
          </cell>
          <cell r="H198">
            <v>0</v>
          </cell>
        </row>
        <row r="199">
          <cell r="A199" t="str">
            <v>481003</v>
          </cell>
          <cell r="B199" t="str">
            <v>01993</v>
          </cell>
          <cell r="D199" t="str">
            <v>200</v>
          </cell>
          <cell r="E199" t="str">
            <v>2008-11-30</v>
          </cell>
          <cell r="F199" t="str">
            <v>549A</v>
          </cell>
          <cell r="G199">
            <v>-603.58000000000004</v>
          </cell>
          <cell r="H199">
            <v>0</v>
          </cell>
        </row>
        <row r="200">
          <cell r="A200" t="str">
            <v>481003</v>
          </cell>
          <cell r="B200" t="str">
            <v>01954</v>
          </cell>
          <cell r="D200" t="str">
            <v>200</v>
          </cell>
          <cell r="E200" t="str">
            <v>2008-11-30</v>
          </cell>
          <cell r="F200" t="str">
            <v>549A</v>
          </cell>
          <cell r="G200">
            <v>-6.83</v>
          </cell>
          <cell r="H200">
            <v>0</v>
          </cell>
        </row>
        <row r="201">
          <cell r="A201" t="str">
            <v>481003</v>
          </cell>
          <cell r="B201" t="str">
            <v>01953</v>
          </cell>
          <cell r="D201" t="str">
            <v>200</v>
          </cell>
          <cell r="E201" t="str">
            <v>2008-11-30</v>
          </cell>
          <cell r="F201" t="str">
            <v>549A</v>
          </cell>
          <cell r="G201">
            <v>-8392.17</v>
          </cell>
          <cell r="H201">
            <v>0</v>
          </cell>
        </row>
        <row r="202">
          <cell r="A202" t="str">
            <v>481003</v>
          </cell>
          <cell r="B202" t="str">
            <v>01986</v>
          </cell>
          <cell r="D202" t="str">
            <v>200</v>
          </cell>
          <cell r="E202" t="str">
            <v>2008-11-30</v>
          </cell>
          <cell r="F202" t="str">
            <v>549A</v>
          </cell>
          <cell r="G202">
            <v>-2758.73</v>
          </cell>
          <cell r="H202">
            <v>0</v>
          </cell>
        </row>
        <row r="203">
          <cell r="A203" t="str">
            <v>481003</v>
          </cell>
          <cell r="B203" t="str">
            <v>01973</v>
          </cell>
          <cell r="D203" t="str">
            <v>200</v>
          </cell>
          <cell r="E203" t="str">
            <v>2008-11-30</v>
          </cell>
          <cell r="F203" t="str">
            <v>BINGV33552</v>
          </cell>
          <cell r="G203">
            <v>25059.85</v>
          </cell>
          <cell r="H203">
            <v>2522.04</v>
          </cell>
        </row>
        <row r="204">
          <cell r="A204" t="str">
            <v>481003</v>
          </cell>
          <cell r="B204" t="str">
            <v>01952</v>
          </cell>
          <cell r="D204" t="str">
            <v>200</v>
          </cell>
          <cell r="E204" t="str">
            <v>2008-11-30</v>
          </cell>
          <cell r="F204" t="str">
            <v>BINGV33552</v>
          </cell>
          <cell r="G204">
            <v>36886.75</v>
          </cell>
          <cell r="H204">
            <v>3712.31</v>
          </cell>
        </row>
        <row r="205">
          <cell r="A205" t="str">
            <v>481003</v>
          </cell>
          <cell r="B205" t="str">
            <v>01989</v>
          </cell>
          <cell r="D205" t="str">
            <v>200</v>
          </cell>
          <cell r="E205" t="str">
            <v>2008-11-30</v>
          </cell>
          <cell r="F205" t="str">
            <v>BINGV33552</v>
          </cell>
          <cell r="G205">
            <v>3571.13</v>
          </cell>
          <cell r="H205">
            <v>359.4</v>
          </cell>
        </row>
        <row r="206">
          <cell r="A206" t="str">
            <v>481003</v>
          </cell>
          <cell r="B206" t="str">
            <v>01988</v>
          </cell>
          <cell r="D206" t="str">
            <v>200</v>
          </cell>
          <cell r="E206" t="str">
            <v>2008-11-30</v>
          </cell>
          <cell r="F206" t="str">
            <v>BINGV33552</v>
          </cell>
          <cell r="G206">
            <v>9695.94</v>
          </cell>
          <cell r="H206">
            <v>975.81</v>
          </cell>
        </row>
        <row r="207">
          <cell r="A207" t="str">
            <v>481003</v>
          </cell>
          <cell r="B207" t="str">
            <v>01986</v>
          </cell>
          <cell r="D207" t="str">
            <v>200</v>
          </cell>
          <cell r="E207" t="str">
            <v>2008-11-30</v>
          </cell>
          <cell r="F207" t="str">
            <v>BINGV33552</v>
          </cell>
          <cell r="G207">
            <v>-165631.82999999999</v>
          </cell>
          <cell r="H207">
            <v>-14187.7</v>
          </cell>
        </row>
        <row r="208">
          <cell r="A208" t="str">
            <v>481003</v>
          </cell>
          <cell r="B208" t="str">
            <v>01968</v>
          </cell>
          <cell r="D208" t="str">
            <v>200</v>
          </cell>
          <cell r="E208" t="str">
            <v>2008-11-30</v>
          </cell>
          <cell r="F208" t="str">
            <v>BINGV33552</v>
          </cell>
          <cell r="G208">
            <v>7707.42</v>
          </cell>
          <cell r="H208">
            <v>775.68</v>
          </cell>
        </row>
        <row r="209">
          <cell r="A209" t="str">
            <v>481003</v>
          </cell>
          <cell r="B209" t="str">
            <v>01979</v>
          </cell>
          <cell r="D209" t="str">
            <v>200</v>
          </cell>
          <cell r="E209" t="str">
            <v>2008-11-30</v>
          </cell>
          <cell r="F209" t="str">
            <v>BINGV33552</v>
          </cell>
          <cell r="G209">
            <v>196.83</v>
          </cell>
          <cell r="H209">
            <v>19.809999999999999</v>
          </cell>
        </row>
        <row r="210">
          <cell r="A210" t="str">
            <v>481003</v>
          </cell>
          <cell r="B210" t="str">
            <v>01994</v>
          </cell>
          <cell r="D210" t="str">
            <v>200</v>
          </cell>
          <cell r="E210" t="str">
            <v>2008-11-30</v>
          </cell>
          <cell r="F210" t="str">
            <v>BINGV33552</v>
          </cell>
          <cell r="G210">
            <v>30448.79</v>
          </cell>
          <cell r="H210">
            <v>3064.39</v>
          </cell>
        </row>
        <row r="211">
          <cell r="A211" t="str">
            <v>481003</v>
          </cell>
          <cell r="B211" t="str">
            <v>01995</v>
          </cell>
          <cell r="D211" t="str">
            <v>200</v>
          </cell>
          <cell r="E211" t="str">
            <v>2008-11-30</v>
          </cell>
          <cell r="F211" t="str">
            <v>BINGV33552</v>
          </cell>
          <cell r="G211">
            <v>13968.5</v>
          </cell>
          <cell r="H211">
            <v>1408.8</v>
          </cell>
        </row>
        <row r="212">
          <cell r="A212" t="str">
            <v>481003</v>
          </cell>
          <cell r="B212" t="str">
            <v>01976</v>
          </cell>
          <cell r="D212" t="str">
            <v>200</v>
          </cell>
          <cell r="E212" t="str">
            <v>2008-11-30</v>
          </cell>
          <cell r="F212" t="str">
            <v>BINGV33552</v>
          </cell>
          <cell r="G212">
            <v>22998.27</v>
          </cell>
          <cell r="H212">
            <v>2314.56</v>
          </cell>
        </row>
        <row r="213">
          <cell r="A213" t="str">
            <v>481003</v>
          </cell>
          <cell r="B213" t="str">
            <v>01980</v>
          </cell>
          <cell r="D213" t="str">
            <v>200</v>
          </cell>
          <cell r="E213" t="str">
            <v>2008-11-30</v>
          </cell>
          <cell r="F213" t="str">
            <v>BINGV33552</v>
          </cell>
          <cell r="G213">
            <v>283.77</v>
          </cell>
          <cell r="H213">
            <v>28.56</v>
          </cell>
        </row>
        <row r="214">
          <cell r="A214" t="str">
            <v>481003</v>
          </cell>
          <cell r="B214" t="str">
            <v>01987</v>
          </cell>
          <cell r="D214" t="str">
            <v>200</v>
          </cell>
          <cell r="E214" t="str">
            <v>2008-11-30</v>
          </cell>
          <cell r="F214" t="str">
            <v>BINGV33552</v>
          </cell>
          <cell r="G214">
            <v>32694.94</v>
          </cell>
          <cell r="H214">
            <v>3290.44</v>
          </cell>
        </row>
        <row r="215">
          <cell r="A215" t="str">
            <v>481003</v>
          </cell>
          <cell r="B215" t="str">
            <v>01978</v>
          </cell>
          <cell r="D215" t="str">
            <v>200</v>
          </cell>
          <cell r="E215" t="str">
            <v>2008-11-30</v>
          </cell>
          <cell r="F215" t="str">
            <v>BINGV33552</v>
          </cell>
          <cell r="G215">
            <v>12450.64</v>
          </cell>
          <cell r="H215">
            <v>1253.04</v>
          </cell>
        </row>
        <row r="216">
          <cell r="A216" t="str">
            <v>481003</v>
          </cell>
          <cell r="B216" t="str">
            <v>01970</v>
          </cell>
          <cell r="D216" t="str">
            <v>200</v>
          </cell>
          <cell r="E216" t="str">
            <v>2008-11-30</v>
          </cell>
          <cell r="F216" t="str">
            <v>BINGV33552</v>
          </cell>
          <cell r="G216">
            <v>5669.05</v>
          </cell>
          <cell r="H216">
            <v>570.54</v>
          </cell>
        </row>
        <row r="217">
          <cell r="A217" t="str">
            <v>481003</v>
          </cell>
          <cell r="B217" t="str">
            <v>01971</v>
          </cell>
          <cell r="D217" t="str">
            <v>200</v>
          </cell>
          <cell r="E217" t="str">
            <v>2008-11-30</v>
          </cell>
          <cell r="F217" t="str">
            <v>BINGV33552</v>
          </cell>
          <cell r="G217">
            <v>18743.91</v>
          </cell>
          <cell r="H217">
            <v>1886.4</v>
          </cell>
        </row>
        <row r="218">
          <cell r="A218" t="str">
            <v>481003</v>
          </cell>
          <cell r="B218" t="str">
            <v>01969</v>
          </cell>
          <cell r="D218" t="str">
            <v>200</v>
          </cell>
          <cell r="E218" t="str">
            <v>2008-11-30</v>
          </cell>
          <cell r="F218" t="str">
            <v>BINGV33552</v>
          </cell>
          <cell r="G218">
            <v>10821.88</v>
          </cell>
          <cell r="H218">
            <v>1089.1199999999999</v>
          </cell>
        </row>
        <row r="219">
          <cell r="A219" t="str">
            <v>481003</v>
          </cell>
          <cell r="B219" t="str">
            <v>01977</v>
          </cell>
          <cell r="D219" t="str">
            <v>200</v>
          </cell>
          <cell r="E219" t="str">
            <v>2008-11-30</v>
          </cell>
          <cell r="F219" t="str">
            <v>BINGV33552</v>
          </cell>
          <cell r="G219">
            <v>15634.24</v>
          </cell>
          <cell r="H219">
            <v>1573.44</v>
          </cell>
        </row>
        <row r="220">
          <cell r="A220" t="str">
            <v>481003</v>
          </cell>
          <cell r="B220" t="str">
            <v>01992</v>
          </cell>
          <cell r="D220" t="str">
            <v>200</v>
          </cell>
          <cell r="E220" t="str">
            <v>2008-11-30</v>
          </cell>
          <cell r="F220" t="str">
            <v>BINGV33552</v>
          </cell>
          <cell r="G220">
            <v>34182.26</v>
          </cell>
          <cell r="H220">
            <v>3440.13</v>
          </cell>
        </row>
        <row r="221">
          <cell r="A221" t="str">
            <v>481003</v>
          </cell>
          <cell r="B221" t="str">
            <v>01953</v>
          </cell>
          <cell r="D221" t="str">
            <v>200</v>
          </cell>
          <cell r="E221" t="str">
            <v>2008-12-31</v>
          </cell>
          <cell r="F221" t="str">
            <v>470</v>
          </cell>
          <cell r="G221">
            <v>9110.16</v>
          </cell>
          <cell r="H221">
            <v>1775.05</v>
          </cell>
        </row>
        <row r="222">
          <cell r="A222" t="str">
            <v>481003</v>
          </cell>
          <cell r="B222" t="str">
            <v>01990</v>
          </cell>
          <cell r="D222" t="str">
            <v>200</v>
          </cell>
          <cell r="E222" t="str">
            <v>2008-12-31</v>
          </cell>
          <cell r="F222" t="str">
            <v>470</v>
          </cell>
          <cell r="G222">
            <v>5598.83</v>
          </cell>
          <cell r="H222">
            <v>1090.7</v>
          </cell>
        </row>
        <row r="223">
          <cell r="A223" t="str">
            <v>481003</v>
          </cell>
          <cell r="B223" t="str">
            <v>01986</v>
          </cell>
          <cell r="D223" t="str">
            <v>200</v>
          </cell>
          <cell r="E223" t="str">
            <v>2008-12-31</v>
          </cell>
          <cell r="F223" t="str">
            <v>470</v>
          </cell>
          <cell r="G223">
            <v>8687.32</v>
          </cell>
          <cell r="H223">
            <v>1692.33</v>
          </cell>
        </row>
        <row r="224">
          <cell r="A224" t="str">
            <v>481003</v>
          </cell>
          <cell r="B224" t="str">
            <v>01974</v>
          </cell>
          <cell r="D224" t="str">
            <v>200</v>
          </cell>
          <cell r="E224" t="str">
            <v>2008-12-31</v>
          </cell>
          <cell r="F224" t="str">
            <v>470</v>
          </cell>
          <cell r="G224">
            <v>14373.07</v>
          </cell>
          <cell r="H224">
            <v>2799.89</v>
          </cell>
        </row>
        <row r="225">
          <cell r="A225" t="str">
            <v>481003</v>
          </cell>
          <cell r="B225" t="str">
            <v>01988</v>
          </cell>
          <cell r="D225" t="str">
            <v>200</v>
          </cell>
          <cell r="E225" t="str">
            <v>2008-12-31</v>
          </cell>
          <cell r="F225" t="str">
            <v>470</v>
          </cell>
          <cell r="G225">
            <v>274.77999999999997</v>
          </cell>
          <cell r="H225">
            <v>53.53</v>
          </cell>
        </row>
        <row r="226">
          <cell r="A226" t="str">
            <v>481003</v>
          </cell>
          <cell r="B226" t="str">
            <v>01993</v>
          </cell>
          <cell r="D226" t="str">
            <v>200</v>
          </cell>
          <cell r="E226" t="str">
            <v>2008-12-31</v>
          </cell>
          <cell r="F226" t="str">
            <v>470</v>
          </cell>
          <cell r="G226">
            <v>1487.57</v>
          </cell>
          <cell r="H226">
            <v>262.91000000000003</v>
          </cell>
        </row>
        <row r="227">
          <cell r="A227" t="str">
            <v>481003</v>
          </cell>
          <cell r="B227" t="str">
            <v>01943</v>
          </cell>
          <cell r="D227" t="str">
            <v>200</v>
          </cell>
          <cell r="E227" t="str">
            <v>2008-12-31</v>
          </cell>
          <cell r="F227" t="str">
            <v>470</v>
          </cell>
          <cell r="G227">
            <v>642.74</v>
          </cell>
          <cell r="H227">
            <v>110.03</v>
          </cell>
        </row>
        <row r="228">
          <cell r="A228" t="str">
            <v>481003</v>
          </cell>
          <cell r="B228" t="str">
            <v>01943</v>
          </cell>
          <cell r="D228" t="str">
            <v>200</v>
          </cell>
          <cell r="E228" t="str">
            <v>2008-12-31</v>
          </cell>
          <cell r="F228" t="str">
            <v>470</v>
          </cell>
          <cell r="G228">
            <v>-72.66</v>
          </cell>
          <cell r="H228">
            <v>0</v>
          </cell>
        </row>
        <row r="229">
          <cell r="A229" t="str">
            <v>481003</v>
          </cell>
          <cell r="B229" t="str">
            <v>01953</v>
          </cell>
          <cell r="D229" t="str">
            <v>200</v>
          </cell>
          <cell r="E229" t="str">
            <v>2008-12-31</v>
          </cell>
          <cell r="F229" t="str">
            <v>472B</v>
          </cell>
          <cell r="G229">
            <v>689.32</v>
          </cell>
          <cell r="H229">
            <v>134.25</v>
          </cell>
        </row>
        <row r="230">
          <cell r="A230" t="str">
            <v>481003</v>
          </cell>
          <cell r="B230" t="str">
            <v>01954</v>
          </cell>
          <cell r="D230" t="str">
            <v>200</v>
          </cell>
          <cell r="E230" t="str">
            <v>2008-12-31</v>
          </cell>
          <cell r="F230" t="str">
            <v>472B</v>
          </cell>
          <cell r="G230">
            <v>159.41999999999999</v>
          </cell>
          <cell r="H230">
            <v>31.12</v>
          </cell>
        </row>
        <row r="231">
          <cell r="A231" t="str">
            <v>481003</v>
          </cell>
          <cell r="B231" t="str">
            <v>01943</v>
          </cell>
          <cell r="D231" t="str">
            <v>200</v>
          </cell>
          <cell r="E231" t="str">
            <v>2008-12-31</v>
          </cell>
          <cell r="F231" t="str">
            <v>472B</v>
          </cell>
          <cell r="G231">
            <v>-125.59</v>
          </cell>
          <cell r="H231">
            <v>0</v>
          </cell>
        </row>
        <row r="232">
          <cell r="A232" t="str">
            <v>481003</v>
          </cell>
          <cell r="B232" t="str">
            <v>01943</v>
          </cell>
          <cell r="D232" t="str">
            <v>200</v>
          </cell>
          <cell r="E232" t="str">
            <v>2008-12-31</v>
          </cell>
          <cell r="F232" t="str">
            <v>472B</v>
          </cell>
          <cell r="G232">
            <v>1110.97</v>
          </cell>
          <cell r="H232">
            <v>190.15</v>
          </cell>
        </row>
        <row r="233">
          <cell r="A233" t="str">
            <v>481003</v>
          </cell>
          <cell r="B233" t="str">
            <v>01952</v>
          </cell>
          <cell r="D233" t="str">
            <v>200</v>
          </cell>
          <cell r="E233" t="str">
            <v>2008-12-31</v>
          </cell>
          <cell r="F233" t="str">
            <v>472B</v>
          </cell>
          <cell r="G233">
            <v>58.78</v>
          </cell>
          <cell r="H233">
            <v>11.45</v>
          </cell>
        </row>
        <row r="234">
          <cell r="A234" t="str">
            <v>481003</v>
          </cell>
          <cell r="B234" t="str">
            <v>01979</v>
          </cell>
          <cell r="D234" t="str">
            <v>200</v>
          </cell>
          <cell r="E234" t="str">
            <v>2008-12-31</v>
          </cell>
          <cell r="F234" t="str">
            <v>BINGV33782</v>
          </cell>
          <cell r="G234">
            <v>223.32</v>
          </cell>
          <cell r="H234">
            <v>24.01</v>
          </cell>
        </row>
        <row r="235">
          <cell r="A235" t="str">
            <v>481003</v>
          </cell>
          <cell r="B235" t="str">
            <v>01968</v>
          </cell>
          <cell r="D235" t="str">
            <v>200</v>
          </cell>
          <cell r="E235" t="str">
            <v>2008-12-31</v>
          </cell>
          <cell r="F235" t="str">
            <v>BINGV33782</v>
          </cell>
          <cell r="G235">
            <v>6320.58</v>
          </cell>
          <cell r="H235">
            <v>679.44</v>
          </cell>
        </row>
        <row r="236">
          <cell r="A236" t="str">
            <v>481003</v>
          </cell>
          <cell r="B236" t="str">
            <v>01995</v>
          </cell>
          <cell r="D236" t="str">
            <v>200</v>
          </cell>
          <cell r="E236" t="str">
            <v>2008-12-31</v>
          </cell>
          <cell r="F236" t="str">
            <v>BINGV33782</v>
          </cell>
          <cell r="G236">
            <v>13673.75</v>
          </cell>
          <cell r="H236">
            <v>1469.88</v>
          </cell>
        </row>
        <row r="237">
          <cell r="A237" t="str">
            <v>481003</v>
          </cell>
          <cell r="B237" t="str">
            <v>01994</v>
          </cell>
          <cell r="D237" t="str">
            <v>200</v>
          </cell>
          <cell r="E237" t="str">
            <v>2008-12-31</v>
          </cell>
          <cell r="F237" t="str">
            <v>BINGV33782</v>
          </cell>
          <cell r="G237">
            <v>26029.82</v>
          </cell>
          <cell r="H237">
            <v>2798.11</v>
          </cell>
        </row>
        <row r="238">
          <cell r="A238" t="str">
            <v>481003</v>
          </cell>
          <cell r="B238" t="str">
            <v>01976</v>
          </cell>
          <cell r="D238" t="str">
            <v>200</v>
          </cell>
          <cell r="E238" t="str">
            <v>2008-12-31</v>
          </cell>
          <cell r="F238" t="str">
            <v>BINGV33782</v>
          </cell>
          <cell r="G238">
            <v>18395.77</v>
          </cell>
          <cell r="H238">
            <v>1977.48</v>
          </cell>
        </row>
        <row r="239">
          <cell r="A239" t="str">
            <v>481003</v>
          </cell>
          <cell r="B239" t="str">
            <v>01980</v>
          </cell>
          <cell r="D239" t="str">
            <v>200</v>
          </cell>
          <cell r="E239" t="str">
            <v>2008-12-31</v>
          </cell>
          <cell r="F239" t="str">
            <v>BINGV33782</v>
          </cell>
          <cell r="G239">
            <v>309.22000000000003</v>
          </cell>
          <cell r="H239">
            <v>33.24</v>
          </cell>
        </row>
        <row r="240">
          <cell r="A240" t="str">
            <v>481003</v>
          </cell>
          <cell r="B240" t="str">
            <v>01987</v>
          </cell>
          <cell r="D240" t="str">
            <v>200</v>
          </cell>
          <cell r="E240" t="str">
            <v>2008-12-31</v>
          </cell>
          <cell r="F240" t="str">
            <v>BINGV33782</v>
          </cell>
          <cell r="G240">
            <v>25056.15</v>
          </cell>
          <cell r="H240">
            <v>2693.35</v>
          </cell>
        </row>
        <row r="241">
          <cell r="A241" t="str">
            <v>481003</v>
          </cell>
          <cell r="B241" t="str">
            <v>01978</v>
          </cell>
          <cell r="D241" t="str">
            <v>200</v>
          </cell>
          <cell r="E241" t="str">
            <v>2008-12-31</v>
          </cell>
          <cell r="F241" t="str">
            <v>BINGV33782</v>
          </cell>
          <cell r="G241">
            <v>14622.61</v>
          </cell>
          <cell r="H241">
            <v>1571.88</v>
          </cell>
        </row>
        <row r="242">
          <cell r="A242" t="str">
            <v>481003</v>
          </cell>
          <cell r="B242" t="str">
            <v>01970</v>
          </cell>
          <cell r="D242" t="str">
            <v>200</v>
          </cell>
          <cell r="E242" t="str">
            <v>2008-12-31</v>
          </cell>
          <cell r="F242" t="str">
            <v>BINGV33782</v>
          </cell>
          <cell r="G242">
            <v>4193.84</v>
          </cell>
          <cell r="H242">
            <v>450.82</v>
          </cell>
        </row>
        <row r="243">
          <cell r="A243" t="str">
            <v>481003</v>
          </cell>
          <cell r="B243" t="str">
            <v>01971</v>
          </cell>
          <cell r="D243" t="str">
            <v>200</v>
          </cell>
          <cell r="E243" t="str">
            <v>2008-12-31</v>
          </cell>
          <cell r="F243" t="str">
            <v>BINGV33782</v>
          </cell>
          <cell r="G243">
            <v>13275.23</v>
          </cell>
          <cell r="H243">
            <v>1427.04</v>
          </cell>
        </row>
        <row r="244">
          <cell r="A244" t="str">
            <v>481003</v>
          </cell>
          <cell r="B244" t="str">
            <v>01969</v>
          </cell>
          <cell r="D244" t="str">
            <v>200</v>
          </cell>
          <cell r="E244" t="str">
            <v>2008-12-31</v>
          </cell>
          <cell r="F244" t="str">
            <v>BINGV33782</v>
          </cell>
          <cell r="G244">
            <v>9478.64</v>
          </cell>
          <cell r="H244">
            <v>1018.92</v>
          </cell>
        </row>
        <row r="245">
          <cell r="A245" t="str">
            <v>481003</v>
          </cell>
          <cell r="B245" t="str">
            <v>01977</v>
          </cell>
          <cell r="D245" t="str">
            <v>200</v>
          </cell>
          <cell r="E245" t="str">
            <v>2008-12-31</v>
          </cell>
          <cell r="F245" t="str">
            <v>BINGV33782</v>
          </cell>
          <cell r="G245">
            <v>12526.18</v>
          </cell>
          <cell r="H245">
            <v>1346.52</v>
          </cell>
        </row>
        <row r="246">
          <cell r="A246" t="str">
            <v>481003</v>
          </cell>
          <cell r="B246" t="str">
            <v>01992</v>
          </cell>
          <cell r="D246" t="str">
            <v>200</v>
          </cell>
          <cell r="E246" t="str">
            <v>2008-12-31</v>
          </cell>
          <cell r="F246" t="str">
            <v>BINGV33782</v>
          </cell>
          <cell r="G246">
            <v>27924.03</v>
          </cell>
          <cell r="H246">
            <v>-3001.74</v>
          </cell>
        </row>
        <row r="247">
          <cell r="A247" t="str">
            <v>481003</v>
          </cell>
          <cell r="B247" t="str">
            <v>01973</v>
          </cell>
          <cell r="D247" t="str">
            <v>200</v>
          </cell>
          <cell r="E247" t="str">
            <v>2008-12-31</v>
          </cell>
          <cell r="F247" t="str">
            <v>BINGV33782</v>
          </cell>
          <cell r="G247">
            <v>19077.830000000002</v>
          </cell>
          <cell r="H247">
            <v>2050.8000000000002</v>
          </cell>
        </row>
        <row r="248">
          <cell r="A248" t="str">
            <v>481003</v>
          </cell>
          <cell r="B248" t="str">
            <v>01952</v>
          </cell>
          <cell r="D248" t="str">
            <v>200</v>
          </cell>
          <cell r="E248" t="str">
            <v>2008-12-31</v>
          </cell>
          <cell r="F248" t="str">
            <v>BINGV33782</v>
          </cell>
          <cell r="G248">
            <v>36705.68</v>
          </cell>
          <cell r="H248">
            <v>3945.73</v>
          </cell>
        </row>
        <row r="249">
          <cell r="A249" t="str">
            <v>481003</v>
          </cell>
          <cell r="B249" t="str">
            <v>01989</v>
          </cell>
          <cell r="D249" t="str">
            <v>200</v>
          </cell>
          <cell r="E249" t="str">
            <v>2008-12-31</v>
          </cell>
          <cell r="F249" t="str">
            <v>BINGV33782</v>
          </cell>
          <cell r="G249">
            <v>14198.42</v>
          </cell>
          <cell r="H249">
            <v>1526.28</v>
          </cell>
        </row>
        <row r="250">
          <cell r="A250" t="str">
            <v>481003</v>
          </cell>
          <cell r="B250" t="str">
            <v>01988</v>
          </cell>
          <cell r="D250" t="str">
            <v>200</v>
          </cell>
          <cell r="E250" t="str">
            <v>2008-12-31</v>
          </cell>
          <cell r="F250" t="str">
            <v>BINGV33782</v>
          </cell>
          <cell r="G250">
            <v>9596.0300000000007</v>
          </cell>
          <cell r="H250">
            <v>1031.54</v>
          </cell>
        </row>
        <row r="251">
          <cell r="A251" t="str">
            <v>481003</v>
          </cell>
          <cell r="B251" t="str">
            <v>01986</v>
          </cell>
          <cell r="D251" t="str">
            <v>200</v>
          </cell>
          <cell r="E251" t="str">
            <v>2008-12-31</v>
          </cell>
          <cell r="F251" t="str">
            <v>BINGV33782</v>
          </cell>
          <cell r="G251">
            <v>17944.849999999999</v>
          </cell>
          <cell r="H251">
            <v>1929</v>
          </cell>
        </row>
        <row r="252">
          <cell r="A252" t="str">
            <v>481003</v>
          </cell>
          <cell r="B252" t="str">
            <v>01989</v>
          </cell>
          <cell r="D252" t="str">
            <v>200</v>
          </cell>
          <cell r="E252" t="str">
            <v>2008-12-31</v>
          </cell>
          <cell r="F252" t="str">
            <v>BINGV33921</v>
          </cell>
          <cell r="G252">
            <v>-11163.19</v>
          </cell>
          <cell r="H252">
            <v>-1200</v>
          </cell>
        </row>
        <row r="253">
          <cell r="A253" t="str">
            <v>481003</v>
          </cell>
          <cell r="B253" t="str">
            <v>01953</v>
          </cell>
          <cell r="D253" t="str">
            <v>200</v>
          </cell>
          <cell r="E253" t="str">
            <v>2008-12-31</v>
          </cell>
          <cell r="F253" t="str">
            <v>GLCOR17A</v>
          </cell>
          <cell r="G253">
            <v>2491.8200000000002</v>
          </cell>
          <cell r="H253">
            <v>0</v>
          </cell>
        </row>
        <row r="254">
          <cell r="A254" t="str">
            <v>481003</v>
          </cell>
          <cell r="B254" t="str">
            <v>01954</v>
          </cell>
          <cell r="D254" t="str">
            <v>200</v>
          </cell>
          <cell r="E254" t="str">
            <v>2008-12-31</v>
          </cell>
          <cell r="F254" t="str">
            <v>GLCOR17A</v>
          </cell>
          <cell r="G254">
            <v>424.55</v>
          </cell>
          <cell r="H254">
            <v>0</v>
          </cell>
        </row>
        <row r="255">
          <cell r="A255" t="str">
            <v>481003</v>
          </cell>
          <cell r="B255" t="str">
            <v>01991</v>
          </cell>
          <cell r="D255" t="str">
            <v>200</v>
          </cell>
          <cell r="E255" t="str">
            <v>2008-12-31</v>
          </cell>
          <cell r="F255" t="str">
            <v>GLCOR17A</v>
          </cell>
          <cell r="G255">
            <v>114.97</v>
          </cell>
          <cell r="H255">
            <v>0</v>
          </cell>
        </row>
        <row r="256">
          <cell r="A256" t="str">
            <v>481003</v>
          </cell>
          <cell r="B256" t="str">
            <v>01943</v>
          </cell>
          <cell r="D256" t="str">
            <v>200</v>
          </cell>
          <cell r="E256" t="str">
            <v>2008-12-31</v>
          </cell>
          <cell r="F256" t="str">
            <v>GLCOR17A</v>
          </cell>
          <cell r="G256">
            <v>3769.96</v>
          </cell>
          <cell r="H256">
            <v>0</v>
          </cell>
        </row>
        <row r="257">
          <cell r="A257" t="str">
            <v>481003</v>
          </cell>
          <cell r="B257" t="str">
            <v>01952</v>
          </cell>
          <cell r="D257" t="str">
            <v>200</v>
          </cell>
          <cell r="E257" t="str">
            <v>2008-12-31</v>
          </cell>
          <cell r="F257" t="str">
            <v>GLCOR17A</v>
          </cell>
          <cell r="G257">
            <v>156.91999999999999</v>
          </cell>
          <cell r="H257">
            <v>0</v>
          </cell>
        </row>
        <row r="258">
          <cell r="A258" t="str">
            <v>481003</v>
          </cell>
          <cell r="B258" t="str">
            <v>01974</v>
          </cell>
          <cell r="D258" t="str">
            <v>200</v>
          </cell>
          <cell r="E258" t="str">
            <v>2008-12-31</v>
          </cell>
          <cell r="F258" t="str">
            <v>GLCOR17B</v>
          </cell>
          <cell r="G258">
            <v>-26674.73</v>
          </cell>
          <cell r="H258">
            <v>0</v>
          </cell>
        </row>
        <row r="259">
          <cell r="A259" t="str">
            <v>481003</v>
          </cell>
          <cell r="B259" t="str">
            <v>01988</v>
          </cell>
          <cell r="D259" t="str">
            <v>200</v>
          </cell>
          <cell r="E259" t="str">
            <v>2008-12-31</v>
          </cell>
          <cell r="F259" t="str">
            <v>GLCOR17B</v>
          </cell>
          <cell r="G259">
            <v>-7955.99</v>
          </cell>
          <cell r="H259">
            <v>0</v>
          </cell>
        </row>
        <row r="260">
          <cell r="A260" t="str">
            <v>481003</v>
          </cell>
          <cell r="B260" t="str">
            <v>01943</v>
          </cell>
          <cell r="D260" t="str">
            <v>200</v>
          </cell>
          <cell r="E260" t="str">
            <v>2009-01-31</v>
          </cell>
          <cell r="F260" t="str">
            <v>470</v>
          </cell>
          <cell r="G260">
            <v>-75.739999999999995</v>
          </cell>
          <cell r="H260">
            <v>0</v>
          </cell>
        </row>
        <row r="261">
          <cell r="A261" t="str">
            <v>481003</v>
          </cell>
          <cell r="B261" t="str">
            <v>01990</v>
          </cell>
          <cell r="D261" t="str">
            <v>200</v>
          </cell>
          <cell r="E261" t="str">
            <v>2009-01-31</v>
          </cell>
          <cell r="F261" t="str">
            <v>470</v>
          </cell>
          <cell r="G261">
            <v>6615.91</v>
          </cell>
          <cell r="H261">
            <v>1177.8</v>
          </cell>
        </row>
        <row r="262">
          <cell r="A262" t="str">
            <v>481003</v>
          </cell>
          <cell r="B262" t="str">
            <v>01953</v>
          </cell>
          <cell r="D262" t="str">
            <v>200</v>
          </cell>
          <cell r="E262" t="str">
            <v>2009-01-31</v>
          </cell>
          <cell r="F262" t="str">
            <v>470</v>
          </cell>
          <cell r="G262">
            <v>11932.1</v>
          </cell>
          <cell r="H262">
            <v>2118.7600000000002</v>
          </cell>
        </row>
        <row r="263">
          <cell r="A263" t="str">
            <v>481003</v>
          </cell>
          <cell r="B263" t="str">
            <v>01986</v>
          </cell>
          <cell r="D263" t="str">
            <v>200</v>
          </cell>
          <cell r="E263" t="str">
            <v>2009-01-31</v>
          </cell>
          <cell r="F263" t="str">
            <v>470</v>
          </cell>
          <cell r="G263">
            <v>7910.29</v>
          </cell>
          <cell r="H263">
            <v>1414.99</v>
          </cell>
        </row>
        <row r="264">
          <cell r="A264" t="str">
            <v>481003</v>
          </cell>
          <cell r="B264" t="str">
            <v>01974</v>
          </cell>
          <cell r="D264" t="str">
            <v>200</v>
          </cell>
          <cell r="E264" t="str">
            <v>2009-01-31</v>
          </cell>
          <cell r="F264" t="str">
            <v>470</v>
          </cell>
          <cell r="G264">
            <v>15078.11</v>
          </cell>
          <cell r="H264">
            <v>2692.89</v>
          </cell>
        </row>
        <row r="265">
          <cell r="A265" t="str">
            <v>481003</v>
          </cell>
          <cell r="B265" t="str">
            <v>01988</v>
          </cell>
          <cell r="D265" t="str">
            <v>200</v>
          </cell>
          <cell r="E265" t="str">
            <v>2009-01-31</v>
          </cell>
          <cell r="F265" t="str">
            <v>470</v>
          </cell>
          <cell r="G265">
            <v>3547.22</v>
          </cell>
          <cell r="H265">
            <v>631.48</v>
          </cell>
        </row>
        <row r="266">
          <cell r="A266" t="str">
            <v>481003</v>
          </cell>
          <cell r="B266" t="str">
            <v>01993</v>
          </cell>
          <cell r="D266" t="str">
            <v>200</v>
          </cell>
          <cell r="E266" t="str">
            <v>2009-01-31</v>
          </cell>
          <cell r="F266" t="str">
            <v>470</v>
          </cell>
          <cell r="G266">
            <v>1307.29</v>
          </cell>
          <cell r="H266">
            <v>231.04</v>
          </cell>
        </row>
        <row r="267">
          <cell r="A267" t="str">
            <v>481003</v>
          </cell>
          <cell r="B267" t="str">
            <v>01943</v>
          </cell>
          <cell r="D267" t="str">
            <v>200</v>
          </cell>
          <cell r="E267" t="str">
            <v>2009-01-31</v>
          </cell>
          <cell r="F267" t="str">
            <v>470</v>
          </cell>
          <cell r="G267">
            <v>669.81</v>
          </cell>
          <cell r="H267">
            <v>114.67</v>
          </cell>
        </row>
        <row r="268">
          <cell r="A268" t="str">
            <v>481003</v>
          </cell>
          <cell r="B268" t="str">
            <v>01943</v>
          </cell>
          <cell r="D268" t="str">
            <v>200</v>
          </cell>
          <cell r="E268" t="str">
            <v>2009-01-31</v>
          </cell>
          <cell r="F268" t="str">
            <v>472B</v>
          </cell>
          <cell r="G268">
            <v>1165.72</v>
          </cell>
          <cell r="H268">
            <v>199.54</v>
          </cell>
        </row>
        <row r="269">
          <cell r="A269" t="str">
            <v>481003</v>
          </cell>
          <cell r="B269" t="str">
            <v>01952</v>
          </cell>
          <cell r="D269" t="str">
            <v>200</v>
          </cell>
          <cell r="E269" t="str">
            <v>2009-01-31</v>
          </cell>
          <cell r="F269" t="str">
            <v>472B</v>
          </cell>
          <cell r="G269">
            <v>57.09</v>
          </cell>
          <cell r="H269">
            <v>9.7899999999999991</v>
          </cell>
        </row>
        <row r="270">
          <cell r="A270" t="str">
            <v>481003</v>
          </cell>
          <cell r="B270" t="str">
            <v>01953</v>
          </cell>
          <cell r="D270" t="str">
            <v>200</v>
          </cell>
          <cell r="E270" t="str">
            <v>2009-01-31</v>
          </cell>
          <cell r="F270" t="str">
            <v>472B</v>
          </cell>
          <cell r="G270">
            <v>826.32</v>
          </cell>
          <cell r="H270">
            <v>141.44</v>
          </cell>
        </row>
        <row r="271">
          <cell r="A271" t="str">
            <v>481003</v>
          </cell>
          <cell r="B271" t="str">
            <v>01954</v>
          </cell>
          <cell r="D271" t="str">
            <v>200</v>
          </cell>
          <cell r="E271" t="str">
            <v>2009-01-31</v>
          </cell>
          <cell r="F271" t="str">
            <v>472B</v>
          </cell>
          <cell r="G271">
            <v>131.74</v>
          </cell>
          <cell r="H271">
            <v>22.64</v>
          </cell>
        </row>
        <row r="272">
          <cell r="A272" t="str">
            <v>481003</v>
          </cell>
          <cell r="B272" t="str">
            <v>01943</v>
          </cell>
          <cell r="D272" t="str">
            <v>200</v>
          </cell>
          <cell r="E272" t="str">
            <v>2009-01-31</v>
          </cell>
          <cell r="F272" t="str">
            <v>472B</v>
          </cell>
          <cell r="G272">
            <v>-131.79</v>
          </cell>
          <cell r="H272">
            <v>0</v>
          </cell>
        </row>
        <row r="273">
          <cell r="A273" t="str">
            <v>481003</v>
          </cell>
          <cell r="B273" t="str">
            <v>01968</v>
          </cell>
          <cell r="D273" t="str">
            <v>200</v>
          </cell>
          <cell r="E273" t="str">
            <v>2009-01-31</v>
          </cell>
          <cell r="F273" t="str">
            <v>BINGV34326</v>
          </cell>
          <cell r="G273">
            <v>5630.7</v>
          </cell>
          <cell r="H273">
            <v>605.28</v>
          </cell>
        </row>
        <row r="274">
          <cell r="A274" t="str">
            <v>481003</v>
          </cell>
          <cell r="B274" t="str">
            <v>01979</v>
          </cell>
          <cell r="D274" t="str">
            <v>200</v>
          </cell>
          <cell r="E274" t="str">
            <v>2009-01-31</v>
          </cell>
          <cell r="F274" t="str">
            <v>BINGV34326</v>
          </cell>
          <cell r="G274">
            <v>172.69</v>
          </cell>
          <cell r="H274">
            <v>18.559999999999999</v>
          </cell>
        </row>
        <row r="275">
          <cell r="A275" t="str">
            <v>481003</v>
          </cell>
          <cell r="B275" t="str">
            <v>01994</v>
          </cell>
          <cell r="D275" t="str">
            <v>200</v>
          </cell>
          <cell r="E275" t="str">
            <v>2009-01-31</v>
          </cell>
          <cell r="F275" t="str">
            <v>BINGV34326</v>
          </cell>
          <cell r="G275">
            <v>24835.67</v>
          </cell>
          <cell r="H275">
            <v>2669.73</v>
          </cell>
        </row>
        <row r="276">
          <cell r="A276" t="str">
            <v>481003</v>
          </cell>
          <cell r="B276" t="str">
            <v>01995</v>
          </cell>
          <cell r="D276" t="str">
            <v>200</v>
          </cell>
          <cell r="E276" t="str">
            <v>2009-01-31</v>
          </cell>
          <cell r="F276" t="str">
            <v>BINGV34326</v>
          </cell>
          <cell r="G276">
            <v>9409.43</v>
          </cell>
          <cell r="H276">
            <v>1011.48</v>
          </cell>
        </row>
        <row r="277">
          <cell r="A277" t="str">
            <v>481003</v>
          </cell>
          <cell r="B277" t="str">
            <v>01976</v>
          </cell>
          <cell r="D277" t="str">
            <v>200</v>
          </cell>
          <cell r="E277" t="str">
            <v>2009-01-31</v>
          </cell>
          <cell r="F277" t="str">
            <v>BINGV34326</v>
          </cell>
          <cell r="G277">
            <v>19552.27</v>
          </cell>
          <cell r="H277">
            <v>2101.8000000000002</v>
          </cell>
        </row>
        <row r="278">
          <cell r="A278" t="str">
            <v>481003</v>
          </cell>
          <cell r="B278" t="str">
            <v>01980</v>
          </cell>
          <cell r="D278" t="str">
            <v>200</v>
          </cell>
          <cell r="E278" t="str">
            <v>2009-01-31</v>
          </cell>
          <cell r="F278" t="str">
            <v>BINGV34326</v>
          </cell>
          <cell r="G278">
            <v>247.81</v>
          </cell>
          <cell r="H278">
            <v>26.64</v>
          </cell>
        </row>
        <row r="279">
          <cell r="A279" t="str">
            <v>481003</v>
          </cell>
          <cell r="B279" t="str">
            <v>01987</v>
          </cell>
          <cell r="D279" t="str">
            <v>200</v>
          </cell>
          <cell r="E279" t="str">
            <v>2009-01-31</v>
          </cell>
          <cell r="F279" t="str">
            <v>BINGV34326</v>
          </cell>
          <cell r="G279">
            <v>22735.21</v>
          </cell>
          <cell r="H279">
            <v>2443.81</v>
          </cell>
        </row>
        <row r="280">
          <cell r="A280" t="str">
            <v>481003</v>
          </cell>
          <cell r="B280" t="str">
            <v>01978</v>
          </cell>
          <cell r="D280" t="str">
            <v>200</v>
          </cell>
          <cell r="E280" t="str">
            <v>2009-01-31</v>
          </cell>
          <cell r="F280" t="str">
            <v>BINGV34326</v>
          </cell>
          <cell r="G280">
            <v>15818.2</v>
          </cell>
          <cell r="H280">
            <v>1700.4</v>
          </cell>
        </row>
        <row r="281">
          <cell r="A281" t="str">
            <v>481003</v>
          </cell>
          <cell r="B281" t="str">
            <v>01970</v>
          </cell>
          <cell r="D281" t="str">
            <v>200</v>
          </cell>
          <cell r="E281" t="str">
            <v>2009-01-31</v>
          </cell>
          <cell r="F281" t="str">
            <v>BINGV34326</v>
          </cell>
          <cell r="G281">
            <v>3832.12</v>
          </cell>
          <cell r="H281">
            <v>411.94</v>
          </cell>
        </row>
        <row r="282">
          <cell r="A282" t="str">
            <v>481003</v>
          </cell>
          <cell r="B282" t="str">
            <v>01971</v>
          </cell>
          <cell r="D282" t="str">
            <v>200</v>
          </cell>
          <cell r="E282" t="str">
            <v>2009-01-31</v>
          </cell>
          <cell r="F282" t="str">
            <v>BINGV34326</v>
          </cell>
          <cell r="G282">
            <v>13030.75</v>
          </cell>
          <cell r="H282">
            <v>1400.76</v>
          </cell>
        </row>
        <row r="283">
          <cell r="A283" t="str">
            <v>481003</v>
          </cell>
          <cell r="B283" t="str">
            <v>01969</v>
          </cell>
          <cell r="D283" t="str">
            <v>200</v>
          </cell>
          <cell r="E283" t="str">
            <v>2009-01-31</v>
          </cell>
          <cell r="F283" t="str">
            <v>BINGV34326</v>
          </cell>
          <cell r="G283">
            <v>8605.68</v>
          </cell>
          <cell r="H283">
            <v>925.08</v>
          </cell>
        </row>
        <row r="284">
          <cell r="A284" t="str">
            <v>481003</v>
          </cell>
          <cell r="B284" t="str">
            <v>01977</v>
          </cell>
          <cell r="D284" t="str">
            <v>200</v>
          </cell>
          <cell r="E284" t="str">
            <v>2009-01-31</v>
          </cell>
          <cell r="F284" t="str">
            <v>BINGV34326</v>
          </cell>
          <cell r="G284">
            <v>10855.06</v>
          </cell>
          <cell r="H284">
            <v>1166.8800000000001</v>
          </cell>
        </row>
        <row r="285">
          <cell r="A285" t="str">
            <v>481003</v>
          </cell>
          <cell r="B285" t="str">
            <v>01992</v>
          </cell>
          <cell r="D285" t="str">
            <v>200</v>
          </cell>
          <cell r="E285" t="str">
            <v>2009-01-31</v>
          </cell>
          <cell r="F285" t="str">
            <v>BINGV34326</v>
          </cell>
          <cell r="G285">
            <v>24044.639999999999</v>
          </cell>
          <cell r="H285">
            <v>2584.7199999999998</v>
          </cell>
        </row>
        <row r="286">
          <cell r="A286" t="str">
            <v>481003</v>
          </cell>
          <cell r="B286" t="str">
            <v>01973</v>
          </cell>
          <cell r="D286" t="str">
            <v>200</v>
          </cell>
          <cell r="E286" t="str">
            <v>2009-01-31</v>
          </cell>
          <cell r="F286" t="str">
            <v>BINGV34326</v>
          </cell>
          <cell r="G286">
            <v>14973.14</v>
          </cell>
          <cell r="H286">
            <v>1609.56</v>
          </cell>
        </row>
        <row r="287">
          <cell r="A287" t="str">
            <v>481003</v>
          </cell>
          <cell r="B287" t="str">
            <v>01952</v>
          </cell>
          <cell r="D287" t="str">
            <v>200</v>
          </cell>
          <cell r="E287" t="str">
            <v>2009-01-31</v>
          </cell>
          <cell r="F287" t="str">
            <v>BINGV34326</v>
          </cell>
          <cell r="G287">
            <v>29968.16</v>
          </cell>
          <cell r="H287">
            <v>3221.47</v>
          </cell>
        </row>
        <row r="288">
          <cell r="A288" t="str">
            <v>481003</v>
          </cell>
          <cell r="B288" t="str">
            <v>01989</v>
          </cell>
          <cell r="D288" t="str">
            <v>200</v>
          </cell>
          <cell r="E288" t="str">
            <v>2009-01-31</v>
          </cell>
          <cell r="F288" t="str">
            <v>BINGV34326</v>
          </cell>
          <cell r="G288">
            <v>2689.17</v>
          </cell>
          <cell r="H288">
            <v>289.08</v>
          </cell>
        </row>
        <row r="289">
          <cell r="A289" t="str">
            <v>481003</v>
          </cell>
          <cell r="B289" t="str">
            <v>01988</v>
          </cell>
          <cell r="D289" t="str">
            <v>200</v>
          </cell>
          <cell r="E289" t="str">
            <v>2009-01-31</v>
          </cell>
          <cell r="F289" t="str">
            <v>BINGV34326</v>
          </cell>
          <cell r="G289">
            <v>10560.34</v>
          </cell>
          <cell r="H289">
            <v>1135.19</v>
          </cell>
        </row>
        <row r="290">
          <cell r="A290" t="str">
            <v>481003</v>
          </cell>
          <cell r="B290" t="str">
            <v>01986</v>
          </cell>
          <cell r="D290" t="str">
            <v>200</v>
          </cell>
          <cell r="E290" t="str">
            <v>2009-01-31</v>
          </cell>
          <cell r="F290" t="str">
            <v>BINGV34326</v>
          </cell>
          <cell r="G290">
            <v>26088.41</v>
          </cell>
          <cell r="H290">
            <v>2804.41</v>
          </cell>
        </row>
        <row r="291">
          <cell r="A291" t="str">
            <v>481003</v>
          </cell>
          <cell r="B291" t="str">
            <v>01992</v>
          </cell>
          <cell r="D291" t="str">
            <v>200</v>
          </cell>
          <cell r="E291" t="str">
            <v>2009-01-31</v>
          </cell>
          <cell r="F291" t="str">
            <v>GLCOR15</v>
          </cell>
          <cell r="G291">
            <v>27924.03</v>
          </cell>
          <cell r="H291">
            <v>3001.74</v>
          </cell>
        </row>
        <row r="292">
          <cell r="A292" t="str">
            <v>481003</v>
          </cell>
          <cell r="B292" t="str">
            <v>01992</v>
          </cell>
          <cell r="D292" t="str">
            <v>200</v>
          </cell>
          <cell r="E292" t="str">
            <v>2009-01-31</v>
          </cell>
          <cell r="F292" t="str">
            <v>GLCOR15</v>
          </cell>
          <cell r="G292">
            <v>-27924.03</v>
          </cell>
          <cell r="H292">
            <v>3001.74</v>
          </cell>
        </row>
        <row r="293">
          <cell r="A293" t="str">
            <v>481003</v>
          </cell>
          <cell r="B293" t="str">
            <v>01974</v>
          </cell>
          <cell r="D293" t="str">
            <v>200</v>
          </cell>
          <cell r="E293" t="str">
            <v>2009-02-28</v>
          </cell>
          <cell r="F293" t="str">
            <v>470</v>
          </cell>
          <cell r="G293">
            <v>16707.150000000001</v>
          </cell>
          <cell r="H293">
            <v>2859.92</v>
          </cell>
        </row>
        <row r="294">
          <cell r="A294" t="str">
            <v>481003</v>
          </cell>
          <cell r="B294" t="str">
            <v>01953</v>
          </cell>
          <cell r="D294" t="str">
            <v>200</v>
          </cell>
          <cell r="E294" t="str">
            <v>2009-02-28</v>
          </cell>
          <cell r="F294" t="str">
            <v>470</v>
          </cell>
          <cell r="G294">
            <v>14730.75</v>
          </cell>
          <cell r="H294">
            <v>2521.67</v>
          </cell>
        </row>
        <row r="295">
          <cell r="A295" t="str">
            <v>481003</v>
          </cell>
          <cell r="B295" t="str">
            <v>01990</v>
          </cell>
          <cell r="D295" t="str">
            <v>200</v>
          </cell>
          <cell r="E295" t="str">
            <v>2009-02-28</v>
          </cell>
          <cell r="F295" t="str">
            <v>470</v>
          </cell>
          <cell r="G295">
            <v>6680.4</v>
          </cell>
          <cell r="H295">
            <v>1143.55</v>
          </cell>
        </row>
        <row r="296">
          <cell r="A296" t="str">
            <v>481003</v>
          </cell>
          <cell r="B296" t="str">
            <v>01986</v>
          </cell>
          <cell r="D296" t="str">
            <v>200</v>
          </cell>
          <cell r="E296" t="str">
            <v>2009-02-28</v>
          </cell>
          <cell r="F296" t="str">
            <v>470</v>
          </cell>
          <cell r="G296">
            <v>8754.15</v>
          </cell>
          <cell r="H296">
            <v>1498.79</v>
          </cell>
        </row>
        <row r="297">
          <cell r="A297" t="str">
            <v>481003</v>
          </cell>
          <cell r="B297" t="str">
            <v>01988</v>
          </cell>
          <cell r="D297" t="str">
            <v>200</v>
          </cell>
          <cell r="E297" t="str">
            <v>2009-02-28</v>
          </cell>
          <cell r="F297" t="str">
            <v>470</v>
          </cell>
          <cell r="G297">
            <v>4201.18</v>
          </cell>
          <cell r="H297">
            <v>719.2</v>
          </cell>
        </row>
        <row r="298">
          <cell r="A298" t="str">
            <v>481003</v>
          </cell>
          <cell r="B298" t="str">
            <v>01993</v>
          </cell>
          <cell r="D298" t="str">
            <v>200</v>
          </cell>
          <cell r="E298" t="str">
            <v>2009-02-28</v>
          </cell>
          <cell r="F298" t="str">
            <v>470</v>
          </cell>
          <cell r="G298">
            <v>1186.9100000000001</v>
          </cell>
          <cell r="H298">
            <v>209.76</v>
          </cell>
        </row>
        <row r="299">
          <cell r="A299" t="str">
            <v>481003</v>
          </cell>
          <cell r="B299" t="str">
            <v>01943</v>
          </cell>
          <cell r="D299" t="str">
            <v>200</v>
          </cell>
          <cell r="E299" t="str">
            <v>2009-02-28</v>
          </cell>
          <cell r="F299" t="str">
            <v>470</v>
          </cell>
          <cell r="G299">
            <v>676.89</v>
          </cell>
          <cell r="H299">
            <v>115.88</v>
          </cell>
        </row>
        <row r="300">
          <cell r="A300" t="str">
            <v>481003</v>
          </cell>
          <cell r="B300" t="str">
            <v>01943</v>
          </cell>
          <cell r="D300" t="str">
            <v>200</v>
          </cell>
          <cell r="E300" t="str">
            <v>2009-02-28</v>
          </cell>
          <cell r="F300" t="str">
            <v>470</v>
          </cell>
          <cell r="G300">
            <v>-76.53</v>
          </cell>
          <cell r="H300">
            <v>0</v>
          </cell>
        </row>
        <row r="301">
          <cell r="A301" t="str">
            <v>481003</v>
          </cell>
          <cell r="B301" t="str">
            <v>01943</v>
          </cell>
          <cell r="D301" t="str">
            <v>200</v>
          </cell>
          <cell r="E301" t="str">
            <v>2009-02-28</v>
          </cell>
          <cell r="F301" t="str">
            <v>472B</v>
          </cell>
          <cell r="G301">
            <v>1037.72</v>
          </cell>
          <cell r="H301">
            <v>177.66</v>
          </cell>
        </row>
        <row r="302">
          <cell r="A302" t="str">
            <v>481003</v>
          </cell>
          <cell r="B302" t="str">
            <v>01952</v>
          </cell>
          <cell r="D302" t="str">
            <v>200</v>
          </cell>
          <cell r="E302" t="str">
            <v>2009-02-28</v>
          </cell>
          <cell r="F302" t="str">
            <v>472B</v>
          </cell>
          <cell r="G302">
            <v>60.94</v>
          </cell>
          <cell r="H302">
            <v>10.45</v>
          </cell>
        </row>
        <row r="303">
          <cell r="A303" t="str">
            <v>481003</v>
          </cell>
          <cell r="B303" t="str">
            <v>01953</v>
          </cell>
          <cell r="D303" t="str">
            <v>200</v>
          </cell>
          <cell r="E303" t="str">
            <v>2009-02-28</v>
          </cell>
          <cell r="F303" t="str">
            <v>472B</v>
          </cell>
          <cell r="G303">
            <v>649.77</v>
          </cell>
          <cell r="H303">
            <v>111.21</v>
          </cell>
        </row>
        <row r="304">
          <cell r="A304" t="str">
            <v>481003</v>
          </cell>
          <cell r="B304" t="str">
            <v>01954</v>
          </cell>
          <cell r="D304" t="str">
            <v>200</v>
          </cell>
          <cell r="E304" t="str">
            <v>2009-02-28</v>
          </cell>
          <cell r="F304" t="str">
            <v>472B</v>
          </cell>
          <cell r="G304">
            <v>106.81</v>
          </cell>
          <cell r="H304">
            <v>18.25</v>
          </cell>
        </row>
        <row r="305">
          <cell r="A305" t="str">
            <v>481003</v>
          </cell>
          <cell r="B305" t="str">
            <v>01943</v>
          </cell>
          <cell r="D305" t="str">
            <v>200</v>
          </cell>
          <cell r="E305" t="str">
            <v>2009-02-28</v>
          </cell>
          <cell r="F305" t="str">
            <v>472B</v>
          </cell>
          <cell r="G305">
            <v>-117.33</v>
          </cell>
          <cell r="H305">
            <v>0</v>
          </cell>
        </row>
        <row r="306">
          <cell r="A306" t="str">
            <v>481003</v>
          </cell>
          <cell r="B306" t="str">
            <v>01991</v>
          </cell>
          <cell r="D306" t="str">
            <v>200</v>
          </cell>
          <cell r="E306" t="str">
            <v>2009-02-28</v>
          </cell>
          <cell r="F306" t="str">
            <v>472B</v>
          </cell>
          <cell r="G306">
            <v>56.11</v>
          </cell>
          <cell r="H306">
            <v>9.6</v>
          </cell>
        </row>
        <row r="307">
          <cell r="A307" t="str">
            <v>481003</v>
          </cell>
          <cell r="B307" t="str">
            <v>01979</v>
          </cell>
          <cell r="D307" t="str">
            <v>200</v>
          </cell>
          <cell r="E307" t="str">
            <v>2009-02-28</v>
          </cell>
          <cell r="F307" t="str">
            <v>BINGV34696</v>
          </cell>
          <cell r="G307">
            <v>21561.81</v>
          </cell>
          <cell r="H307">
            <v>2508.85</v>
          </cell>
        </row>
        <row r="308">
          <cell r="A308" t="str">
            <v>481003</v>
          </cell>
          <cell r="B308" t="str">
            <v>01968</v>
          </cell>
          <cell r="D308" t="str">
            <v>200</v>
          </cell>
          <cell r="E308" t="str">
            <v>2009-02-28</v>
          </cell>
          <cell r="F308" t="str">
            <v>BINGV34696</v>
          </cell>
          <cell r="G308">
            <v>5086.8500000000004</v>
          </cell>
          <cell r="H308">
            <v>546.84</v>
          </cell>
        </row>
        <row r="309">
          <cell r="A309" t="str">
            <v>481003</v>
          </cell>
          <cell r="B309" t="str">
            <v>01994</v>
          </cell>
          <cell r="D309" t="str">
            <v>200</v>
          </cell>
          <cell r="E309" t="str">
            <v>2009-02-28</v>
          </cell>
          <cell r="F309" t="str">
            <v>BINGV34696</v>
          </cell>
          <cell r="G309">
            <v>24825.93</v>
          </cell>
          <cell r="H309">
            <v>2668.8</v>
          </cell>
        </row>
        <row r="310">
          <cell r="A310" t="str">
            <v>481003</v>
          </cell>
          <cell r="B310" t="str">
            <v>01995</v>
          </cell>
          <cell r="D310" t="str">
            <v>200</v>
          </cell>
          <cell r="E310" t="str">
            <v>2009-02-28</v>
          </cell>
          <cell r="F310" t="str">
            <v>BINGV34696</v>
          </cell>
          <cell r="G310">
            <v>7941.47</v>
          </cell>
          <cell r="H310">
            <v>853.88</v>
          </cell>
        </row>
        <row r="311">
          <cell r="A311" t="str">
            <v>481003</v>
          </cell>
          <cell r="B311" t="str">
            <v>01976</v>
          </cell>
          <cell r="D311" t="str">
            <v>200</v>
          </cell>
          <cell r="E311" t="str">
            <v>2009-02-28</v>
          </cell>
          <cell r="F311" t="str">
            <v>BINGV34696</v>
          </cell>
          <cell r="G311">
            <v>18676.349999999999</v>
          </cell>
          <cell r="H311">
            <v>2007.72</v>
          </cell>
        </row>
        <row r="312">
          <cell r="A312" t="str">
            <v>481003</v>
          </cell>
          <cell r="B312" t="str">
            <v>01987</v>
          </cell>
          <cell r="D312" t="str">
            <v>200</v>
          </cell>
          <cell r="E312" t="str">
            <v>2009-02-28</v>
          </cell>
          <cell r="F312" t="str">
            <v>BINGV34696</v>
          </cell>
          <cell r="G312">
            <v>18795.72</v>
          </cell>
          <cell r="H312">
            <v>2020.33</v>
          </cell>
        </row>
        <row r="313">
          <cell r="A313" t="str">
            <v>481003</v>
          </cell>
          <cell r="B313" t="str">
            <v>01978</v>
          </cell>
          <cell r="D313" t="str">
            <v>200</v>
          </cell>
          <cell r="E313" t="str">
            <v>2009-02-28</v>
          </cell>
          <cell r="F313" t="str">
            <v>BINGV34696</v>
          </cell>
          <cell r="G313">
            <v>13657</v>
          </cell>
          <cell r="H313">
            <v>1468.08</v>
          </cell>
        </row>
        <row r="314">
          <cell r="A314" t="str">
            <v>481003</v>
          </cell>
          <cell r="B314" t="str">
            <v>01970</v>
          </cell>
          <cell r="D314" t="str">
            <v>200</v>
          </cell>
          <cell r="E314" t="str">
            <v>2009-02-28</v>
          </cell>
          <cell r="F314" t="str">
            <v>BINGV34696</v>
          </cell>
          <cell r="G314">
            <v>3919.06</v>
          </cell>
          <cell r="H314">
            <v>421.28</v>
          </cell>
        </row>
        <row r="315">
          <cell r="A315" t="str">
            <v>481003</v>
          </cell>
          <cell r="B315" t="str">
            <v>01971</v>
          </cell>
          <cell r="D315" t="str">
            <v>200</v>
          </cell>
          <cell r="E315" t="str">
            <v>2009-02-28</v>
          </cell>
          <cell r="F315" t="str">
            <v>BINGV34696</v>
          </cell>
          <cell r="G315">
            <v>13837.29</v>
          </cell>
          <cell r="H315">
            <v>1487.52</v>
          </cell>
        </row>
        <row r="316">
          <cell r="A316" t="str">
            <v>481003</v>
          </cell>
          <cell r="B316" t="str">
            <v>01969</v>
          </cell>
          <cell r="D316" t="str">
            <v>200</v>
          </cell>
          <cell r="E316" t="str">
            <v>2009-02-28</v>
          </cell>
          <cell r="F316" t="str">
            <v>BINGV34696</v>
          </cell>
          <cell r="G316">
            <v>7306.36</v>
          </cell>
          <cell r="H316">
            <v>785.44</v>
          </cell>
        </row>
        <row r="317">
          <cell r="A317" t="str">
            <v>481003</v>
          </cell>
          <cell r="B317" t="str">
            <v>01977</v>
          </cell>
          <cell r="D317" t="str">
            <v>200</v>
          </cell>
          <cell r="E317" t="str">
            <v>2009-02-28</v>
          </cell>
          <cell r="F317" t="str">
            <v>BINGV34696</v>
          </cell>
          <cell r="G317">
            <v>11838.06</v>
          </cell>
          <cell r="H317">
            <v>1272.5999999999999</v>
          </cell>
        </row>
        <row r="318">
          <cell r="A318" t="str">
            <v>481003</v>
          </cell>
          <cell r="B318" t="str">
            <v>01992</v>
          </cell>
          <cell r="D318" t="str">
            <v>200</v>
          </cell>
          <cell r="E318" t="str">
            <v>2009-02-28</v>
          </cell>
          <cell r="F318" t="str">
            <v>BINGV34696</v>
          </cell>
          <cell r="G318">
            <v>23210.91</v>
          </cell>
          <cell r="H318">
            <v>2495.19</v>
          </cell>
        </row>
        <row r="319">
          <cell r="A319" t="str">
            <v>481003</v>
          </cell>
          <cell r="B319" t="str">
            <v>01973</v>
          </cell>
          <cell r="D319" t="str">
            <v>200</v>
          </cell>
          <cell r="E319" t="str">
            <v>2009-02-28</v>
          </cell>
          <cell r="F319" t="str">
            <v>BINGV34696</v>
          </cell>
          <cell r="G319">
            <v>13572.7</v>
          </cell>
          <cell r="H319">
            <v>1459.06</v>
          </cell>
        </row>
        <row r="320">
          <cell r="A320" t="str">
            <v>481003</v>
          </cell>
          <cell r="B320" t="str">
            <v>01989</v>
          </cell>
          <cell r="D320" t="str">
            <v>200</v>
          </cell>
          <cell r="E320" t="str">
            <v>2009-02-28</v>
          </cell>
          <cell r="F320" t="str">
            <v>BINGV34696</v>
          </cell>
          <cell r="G320">
            <v>2385.54</v>
          </cell>
          <cell r="H320">
            <v>256.44</v>
          </cell>
        </row>
        <row r="321">
          <cell r="A321" t="str">
            <v>481003</v>
          </cell>
          <cell r="B321" t="str">
            <v>01952</v>
          </cell>
          <cell r="D321" t="str">
            <v>200</v>
          </cell>
          <cell r="E321" t="str">
            <v>2009-02-28</v>
          </cell>
          <cell r="F321" t="str">
            <v>BINGV34696</v>
          </cell>
          <cell r="G321">
            <v>28540.39</v>
          </cell>
          <cell r="H321">
            <v>3068.11</v>
          </cell>
        </row>
        <row r="322">
          <cell r="A322" t="str">
            <v>481003</v>
          </cell>
          <cell r="B322" t="str">
            <v>01988</v>
          </cell>
          <cell r="D322" t="str">
            <v>200</v>
          </cell>
          <cell r="E322" t="str">
            <v>2009-02-28</v>
          </cell>
          <cell r="F322" t="str">
            <v>BINGV34696</v>
          </cell>
          <cell r="G322">
            <v>6172.98</v>
          </cell>
          <cell r="H322">
            <v>663.57</v>
          </cell>
        </row>
        <row r="323">
          <cell r="A323" t="str">
            <v>481003</v>
          </cell>
          <cell r="B323" t="str">
            <v>01943</v>
          </cell>
          <cell r="D323" t="str">
            <v>200</v>
          </cell>
          <cell r="E323" t="str">
            <v>2009-03-31</v>
          </cell>
          <cell r="F323" t="str">
            <v>470</v>
          </cell>
          <cell r="G323">
            <v>-76.98</v>
          </cell>
          <cell r="H323">
            <v>0</v>
          </cell>
        </row>
        <row r="324">
          <cell r="A324" t="str">
            <v>481003</v>
          </cell>
          <cell r="B324" t="str">
            <v>01990</v>
          </cell>
          <cell r="D324" t="str">
            <v>200</v>
          </cell>
          <cell r="E324" t="str">
            <v>2009-03-31</v>
          </cell>
          <cell r="F324" t="str">
            <v>470</v>
          </cell>
          <cell r="G324">
            <v>3925.57</v>
          </cell>
          <cell r="H324">
            <v>1037.73</v>
          </cell>
        </row>
        <row r="325">
          <cell r="A325" t="str">
            <v>481003</v>
          </cell>
          <cell r="B325" t="str">
            <v>01953</v>
          </cell>
          <cell r="D325" t="str">
            <v>200</v>
          </cell>
          <cell r="E325" t="str">
            <v>2009-03-31</v>
          </cell>
          <cell r="F325" t="str">
            <v>470</v>
          </cell>
          <cell r="G325">
            <v>8987.8799999999992</v>
          </cell>
          <cell r="H325">
            <v>2411.9699999999998</v>
          </cell>
        </row>
        <row r="326">
          <cell r="A326" t="str">
            <v>481003</v>
          </cell>
          <cell r="B326" t="str">
            <v>01986</v>
          </cell>
          <cell r="D326" t="str">
            <v>200</v>
          </cell>
          <cell r="E326" t="str">
            <v>2009-03-31</v>
          </cell>
          <cell r="F326" t="str">
            <v>470</v>
          </cell>
          <cell r="G326">
            <v>5093.6899999999996</v>
          </cell>
          <cell r="H326">
            <v>1357.17</v>
          </cell>
        </row>
        <row r="327">
          <cell r="A327" t="str">
            <v>481003</v>
          </cell>
          <cell r="B327" t="str">
            <v>01974</v>
          </cell>
          <cell r="D327" t="str">
            <v>200</v>
          </cell>
          <cell r="E327" t="str">
            <v>2009-03-31</v>
          </cell>
          <cell r="F327" t="str">
            <v>470</v>
          </cell>
          <cell r="G327">
            <v>9874.7000000000007</v>
          </cell>
          <cell r="H327">
            <v>2634.82</v>
          </cell>
        </row>
        <row r="328">
          <cell r="A328" t="str">
            <v>481003</v>
          </cell>
          <cell r="B328" t="str">
            <v>01988</v>
          </cell>
          <cell r="D328" t="str">
            <v>200</v>
          </cell>
          <cell r="E328" t="str">
            <v>2009-03-31</v>
          </cell>
          <cell r="F328" t="str">
            <v>470</v>
          </cell>
          <cell r="G328">
            <v>2314.27</v>
          </cell>
          <cell r="H328">
            <v>619.44000000000005</v>
          </cell>
        </row>
        <row r="329">
          <cell r="A329" t="str">
            <v>481003</v>
          </cell>
          <cell r="B329" t="str">
            <v>01993</v>
          </cell>
          <cell r="D329" t="str">
            <v>200</v>
          </cell>
          <cell r="E329" t="str">
            <v>2009-03-31</v>
          </cell>
          <cell r="F329" t="str">
            <v>470</v>
          </cell>
          <cell r="G329">
            <v>953.78</v>
          </cell>
          <cell r="H329">
            <v>203.45</v>
          </cell>
        </row>
        <row r="330">
          <cell r="A330" t="str">
            <v>481003</v>
          </cell>
          <cell r="B330" t="str">
            <v>01943</v>
          </cell>
          <cell r="D330" t="str">
            <v>200</v>
          </cell>
          <cell r="E330" t="str">
            <v>2009-03-31</v>
          </cell>
          <cell r="F330" t="str">
            <v>470</v>
          </cell>
          <cell r="G330">
            <v>563.44000000000005</v>
          </cell>
          <cell r="H330">
            <v>116.57</v>
          </cell>
        </row>
        <row r="331">
          <cell r="A331" t="str">
            <v>481003</v>
          </cell>
          <cell r="B331" t="str">
            <v>01952</v>
          </cell>
          <cell r="D331" t="str">
            <v>200</v>
          </cell>
          <cell r="E331" t="str">
            <v>2009-03-31</v>
          </cell>
          <cell r="F331" t="str">
            <v>472B</v>
          </cell>
          <cell r="G331">
            <v>36.93</v>
          </cell>
          <cell r="H331">
            <v>10.4</v>
          </cell>
        </row>
        <row r="332">
          <cell r="A332" t="str">
            <v>481003</v>
          </cell>
          <cell r="B332" t="str">
            <v>01943</v>
          </cell>
          <cell r="D332" t="str">
            <v>200</v>
          </cell>
          <cell r="E332" t="str">
            <v>2009-03-31</v>
          </cell>
          <cell r="F332" t="str">
            <v>472B</v>
          </cell>
          <cell r="G332">
            <v>-146.66</v>
          </cell>
          <cell r="H332">
            <v>0</v>
          </cell>
        </row>
        <row r="333">
          <cell r="A333" t="str">
            <v>481003</v>
          </cell>
          <cell r="B333" t="str">
            <v>01953</v>
          </cell>
          <cell r="D333" t="str">
            <v>200</v>
          </cell>
          <cell r="E333" t="str">
            <v>2009-03-31</v>
          </cell>
          <cell r="F333" t="str">
            <v>472B</v>
          </cell>
          <cell r="G333">
            <v>500.03</v>
          </cell>
          <cell r="H333">
            <v>140.84</v>
          </cell>
        </row>
        <row r="334">
          <cell r="A334" t="str">
            <v>481003</v>
          </cell>
          <cell r="B334" t="str">
            <v>01991</v>
          </cell>
          <cell r="D334" t="str">
            <v>200</v>
          </cell>
          <cell r="E334" t="str">
            <v>2009-03-31</v>
          </cell>
          <cell r="F334" t="str">
            <v>472B</v>
          </cell>
          <cell r="G334">
            <v>29.01</v>
          </cell>
          <cell r="H334">
            <v>8.18</v>
          </cell>
        </row>
        <row r="335">
          <cell r="A335" t="str">
            <v>481003</v>
          </cell>
          <cell r="B335" t="str">
            <v>01954</v>
          </cell>
          <cell r="D335" t="str">
            <v>200</v>
          </cell>
          <cell r="E335" t="str">
            <v>2009-03-31</v>
          </cell>
          <cell r="F335" t="str">
            <v>472B</v>
          </cell>
          <cell r="G335">
            <v>93.92</v>
          </cell>
          <cell r="H335">
            <v>26.45</v>
          </cell>
        </row>
        <row r="336">
          <cell r="A336" t="str">
            <v>481003</v>
          </cell>
          <cell r="B336" t="str">
            <v>01943</v>
          </cell>
          <cell r="D336" t="str">
            <v>200</v>
          </cell>
          <cell r="E336" t="str">
            <v>2009-03-31</v>
          </cell>
          <cell r="F336" t="str">
            <v>472B</v>
          </cell>
          <cell r="G336">
            <v>1047.3900000000001</v>
          </cell>
          <cell r="H336">
            <v>222.06</v>
          </cell>
        </row>
        <row r="337">
          <cell r="A337" t="str">
            <v>481003</v>
          </cell>
          <cell r="B337" t="str">
            <v>01988</v>
          </cell>
          <cell r="D337" t="str">
            <v>200</v>
          </cell>
          <cell r="E337" t="str">
            <v>2009-03-31</v>
          </cell>
          <cell r="F337" t="str">
            <v>BINGV35198</v>
          </cell>
          <cell r="G337">
            <v>5612.69</v>
          </cell>
          <cell r="H337">
            <v>603.32000000000005</v>
          </cell>
        </row>
        <row r="338">
          <cell r="A338" t="str">
            <v>481003</v>
          </cell>
          <cell r="B338" t="str">
            <v>01986</v>
          </cell>
          <cell r="D338" t="str">
            <v>200</v>
          </cell>
          <cell r="E338" t="str">
            <v>2009-03-31</v>
          </cell>
          <cell r="F338" t="str">
            <v>BINGV35198</v>
          </cell>
          <cell r="G338">
            <v>15445.14</v>
          </cell>
          <cell r="H338">
            <v>1797.14</v>
          </cell>
        </row>
        <row r="339">
          <cell r="A339" t="str">
            <v>481003</v>
          </cell>
          <cell r="B339" t="str">
            <v>01968</v>
          </cell>
          <cell r="D339" t="str">
            <v>200</v>
          </cell>
          <cell r="E339" t="str">
            <v>2009-03-31</v>
          </cell>
          <cell r="F339" t="str">
            <v>BINGV35198</v>
          </cell>
          <cell r="G339">
            <v>5328.32</v>
          </cell>
          <cell r="H339">
            <v>572.75</v>
          </cell>
        </row>
        <row r="340">
          <cell r="A340" t="str">
            <v>481003</v>
          </cell>
          <cell r="B340" t="str">
            <v>01979</v>
          </cell>
          <cell r="D340" t="str">
            <v>200</v>
          </cell>
          <cell r="E340" t="str">
            <v>2009-03-31</v>
          </cell>
          <cell r="F340" t="str">
            <v>BINGV35198</v>
          </cell>
          <cell r="G340">
            <v>259.04000000000002</v>
          </cell>
          <cell r="H340">
            <v>30.1</v>
          </cell>
        </row>
        <row r="341">
          <cell r="A341" t="str">
            <v>481003</v>
          </cell>
          <cell r="B341" t="str">
            <v>01994</v>
          </cell>
          <cell r="D341" t="str">
            <v>200</v>
          </cell>
          <cell r="E341" t="str">
            <v>2009-03-31</v>
          </cell>
          <cell r="F341" t="str">
            <v>BINGV35198</v>
          </cell>
          <cell r="G341">
            <v>24025.1</v>
          </cell>
          <cell r="H341">
            <v>2582.5100000000002</v>
          </cell>
        </row>
        <row r="342">
          <cell r="A342" t="str">
            <v>481003</v>
          </cell>
          <cell r="B342" t="str">
            <v>01995</v>
          </cell>
          <cell r="D342" t="str">
            <v>200</v>
          </cell>
          <cell r="E342" t="str">
            <v>2009-03-31</v>
          </cell>
          <cell r="F342" t="str">
            <v>BINGV35198</v>
          </cell>
          <cell r="G342">
            <v>8664.07</v>
          </cell>
          <cell r="H342">
            <v>931.32</v>
          </cell>
        </row>
        <row r="343">
          <cell r="A343" t="str">
            <v>481003</v>
          </cell>
          <cell r="B343" t="str">
            <v>01987</v>
          </cell>
          <cell r="D343" t="str">
            <v>200</v>
          </cell>
          <cell r="E343" t="str">
            <v>2009-03-31</v>
          </cell>
          <cell r="F343" t="str">
            <v>BINGV35198</v>
          </cell>
          <cell r="G343">
            <v>19368.3</v>
          </cell>
          <cell r="H343">
            <v>2081.94</v>
          </cell>
        </row>
        <row r="344">
          <cell r="A344" t="str">
            <v>481003</v>
          </cell>
          <cell r="B344" t="str">
            <v>01978</v>
          </cell>
          <cell r="D344" t="str">
            <v>200</v>
          </cell>
          <cell r="E344" t="str">
            <v>2009-03-31</v>
          </cell>
          <cell r="F344" t="str">
            <v>BINGV35198</v>
          </cell>
          <cell r="G344">
            <v>12914.65</v>
          </cell>
          <cell r="H344">
            <v>1388.28</v>
          </cell>
        </row>
        <row r="345">
          <cell r="A345" t="str">
            <v>481003</v>
          </cell>
          <cell r="B345" t="str">
            <v>01970</v>
          </cell>
          <cell r="D345" t="str">
            <v>200</v>
          </cell>
          <cell r="E345" t="str">
            <v>2009-03-31</v>
          </cell>
          <cell r="F345" t="str">
            <v>BINGV35198</v>
          </cell>
          <cell r="G345">
            <v>3200.83</v>
          </cell>
          <cell r="H345">
            <v>344.08</v>
          </cell>
        </row>
        <row r="346">
          <cell r="A346" t="str">
            <v>481003</v>
          </cell>
          <cell r="B346" t="str">
            <v>01971</v>
          </cell>
          <cell r="D346" t="str">
            <v>200</v>
          </cell>
          <cell r="E346" t="str">
            <v>2009-03-31</v>
          </cell>
          <cell r="F346" t="str">
            <v>BINGV35198</v>
          </cell>
          <cell r="G346">
            <v>10148.84</v>
          </cell>
          <cell r="H346">
            <v>1090.92</v>
          </cell>
        </row>
        <row r="347">
          <cell r="A347" t="str">
            <v>481003</v>
          </cell>
          <cell r="B347" t="str">
            <v>01969</v>
          </cell>
          <cell r="D347" t="str">
            <v>200</v>
          </cell>
          <cell r="E347" t="str">
            <v>2009-03-31</v>
          </cell>
          <cell r="F347" t="str">
            <v>BINGV35198</v>
          </cell>
          <cell r="G347">
            <v>7599.07</v>
          </cell>
          <cell r="H347">
            <v>816.84</v>
          </cell>
        </row>
        <row r="348">
          <cell r="A348" t="str">
            <v>481003</v>
          </cell>
          <cell r="B348" t="str">
            <v>01977</v>
          </cell>
          <cell r="D348" t="str">
            <v>200</v>
          </cell>
          <cell r="E348" t="str">
            <v>2009-03-31</v>
          </cell>
          <cell r="F348" t="str">
            <v>BINGV35198</v>
          </cell>
          <cell r="G348">
            <v>11475.06</v>
          </cell>
          <cell r="H348">
            <v>1233.48</v>
          </cell>
        </row>
        <row r="349">
          <cell r="A349" t="str">
            <v>481003</v>
          </cell>
          <cell r="B349" t="str">
            <v>01992</v>
          </cell>
          <cell r="D349" t="str">
            <v>200</v>
          </cell>
          <cell r="E349" t="str">
            <v>2009-03-31</v>
          </cell>
          <cell r="F349" t="str">
            <v>BINGV35198</v>
          </cell>
          <cell r="G349">
            <v>25104.83</v>
          </cell>
          <cell r="H349">
            <v>2698.57</v>
          </cell>
        </row>
        <row r="350">
          <cell r="A350" t="str">
            <v>481003</v>
          </cell>
          <cell r="B350" t="str">
            <v>01973</v>
          </cell>
          <cell r="D350" t="str">
            <v>200</v>
          </cell>
          <cell r="E350" t="str">
            <v>2009-03-31</v>
          </cell>
          <cell r="F350" t="str">
            <v>BINGV35198</v>
          </cell>
          <cell r="G350">
            <v>13603.96</v>
          </cell>
          <cell r="H350">
            <v>1462.32</v>
          </cell>
        </row>
        <row r="351">
          <cell r="A351" t="str">
            <v>481003</v>
          </cell>
          <cell r="B351" t="str">
            <v>01952</v>
          </cell>
          <cell r="D351" t="str">
            <v>200</v>
          </cell>
          <cell r="E351" t="str">
            <v>2009-03-31</v>
          </cell>
          <cell r="F351" t="str">
            <v>BINGV35198</v>
          </cell>
          <cell r="G351">
            <v>27749.58</v>
          </cell>
          <cell r="H351">
            <v>2982.86</v>
          </cell>
        </row>
        <row r="352">
          <cell r="A352" t="str">
            <v>481003</v>
          </cell>
          <cell r="B352" t="str">
            <v>01989</v>
          </cell>
          <cell r="D352" t="str">
            <v>200</v>
          </cell>
          <cell r="E352" t="str">
            <v>2009-03-31</v>
          </cell>
          <cell r="F352" t="str">
            <v>BINGV35198</v>
          </cell>
          <cell r="G352">
            <v>2552</v>
          </cell>
          <cell r="H352">
            <v>274.32</v>
          </cell>
        </row>
        <row r="353">
          <cell r="A353" t="str">
            <v>481003</v>
          </cell>
          <cell r="B353" t="str">
            <v>01979</v>
          </cell>
          <cell r="D353" t="str">
            <v>200</v>
          </cell>
          <cell r="E353" t="str">
            <v>2009-03-31</v>
          </cell>
          <cell r="F353" t="str">
            <v>GLCOR15</v>
          </cell>
          <cell r="G353">
            <v>-21455.22</v>
          </cell>
          <cell r="H353">
            <v>-2496.4499999999998</v>
          </cell>
        </row>
        <row r="354">
          <cell r="A354" t="str">
            <v>481003</v>
          </cell>
          <cell r="B354" t="str">
            <v>01986</v>
          </cell>
          <cell r="D354" t="str">
            <v>200</v>
          </cell>
          <cell r="E354" t="str">
            <v>2009-03-31</v>
          </cell>
          <cell r="F354" t="str">
            <v>GLCOR15</v>
          </cell>
          <cell r="G354">
            <v>21455.22</v>
          </cell>
          <cell r="H354">
            <v>2496.4499999999998</v>
          </cell>
        </row>
        <row r="355">
          <cell r="A355" t="str">
            <v>481003</v>
          </cell>
          <cell r="B355" t="str">
            <v>01953</v>
          </cell>
          <cell r="D355" t="str">
            <v>200</v>
          </cell>
          <cell r="E355" t="str">
            <v>2009-03-31</v>
          </cell>
          <cell r="F355" t="str">
            <v>GLCOR17</v>
          </cell>
          <cell r="G355">
            <v>-1500.79</v>
          </cell>
          <cell r="H355">
            <v>0</v>
          </cell>
        </row>
        <row r="356">
          <cell r="A356" t="str">
            <v>481003</v>
          </cell>
          <cell r="B356" t="str">
            <v>01990</v>
          </cell>
          <cell r="D356" t="str">
            <v>200</v>
          </cell>
          <cell r="E356" t="str">
            <v>2009-03-31</v>
          </cell>
          <cell r="F356" t="str">
            <v>GLCOR17</v>
          </cell>
          <cell r="G356">
            <v>-834.27</v>
          </cell>
          <cell r="H356">
            <v>0</v>
          </cell>
        </row>
        <row r="357">
          <cell r="A357" t="str">
            <v>481003</v>
          </cell>
          <cell r="B357" t="str">
            <v>01988</v>
          </cell>
          <cell r="D357" t="str">
            <v>200</v>
          </cell>
          <cell r="E357" t="str">
            <v>2009-03-31</v>
          </cell>
          <cell r="F357" t="str">
            <v>GLCOR17</v>
          </cell>
          <cell r="G357">
            <v>-447.3</v>
          </cell>
          <cell r="H357">
            <v>0</v>
          </cell>
        </row>
        <row r="358">
          <cell r="A358" t="str">
            <v>481003</v>
          </cell>
          <cell r="B358" t="str">
            <v>01974</v>
          </cell>
          <cell r="D358" t="str">
            <v>200</v>
          </cell>
          <cell r="E358" t="str">
            <v>2009-03-31</v>
          </cell>
          <cell r="F358" t="str">
            <v>GLCOR17</v>
          </cell>
          <cell r="G358">
            <v>-1907.46</v>
          </cell>
          <cell r="H358">
            <v>0</v>
          </cell>
        </row>
        <row r="359">
          <cell r="A359" t="str">
            <v>481003</v>
          </cell>
          <cell r="B359" t="str">
            <v>01986</v>
          </cell>
          <cell r="D359" t="str">
            <v>200</v>
          </cell>
          <cell r="E359" t="str">
            <v>2009-03-31</v>
          </cell>
          <cell r="F359" t="str">
            <v>GLCOR17</v>
          </cell>
          <cell r="G359">
            <v>-1002.29</v>
          </cell>
          <cell r="H359">
            <v>0</v>
          </cell>
        </row>
        <row r="360">
          <cell r="A360" t="str">
            <v>481003</v>
          </cell>
          <cell r="B360" t="str">
            <v>01974</v>
          </cell>
          <cell r="D360" t="str">
            <v>200</v>
          </cell>
          <cell r="E360" t="str">
            <v>2009-03-31</v>
          </cell>
          <cell r="F360" t="str">
            <v>GLCOR17</v>
          </cell>
          <cell r="G360">
            <v>-2025.77</v>
          </cell>
          <cell r="H360">
            <v>0</v>
          </cell>
        </row>
        <row r="361">
          <cell r="A361" t="str">
            <v>481003</v>
          </cell>
          <cell r="B361" t="str">
            <v>01988</v>
          </cell>
          <cell r="D361" t="str">
            <v>200</v>
          </cell>
          <cell r="E361" t="str">
            <v>2009-03-31</v>
          </cell>
          <cell r="F361" t="str">
            <v>GLCOR17</v>
          </cell>
          <cell r="G361">
            <v>-509.44</v>
          </cell>
          <cell r="H361">
            <v>0</v>
          </cell>
        </row>
        <row r="362">
          <cell r="A362" t="str">
            <v>481003</v>
          </cell>
          <cell r="B362" t="str">
            <v>01986</v>
          </cell>
          <cell r="D362" t="str">
            <v>200</v>
          </cell>
          <cell r="E362" t="str">
            <v>2009-03-31</v>
          </cell>
          <cell r="F362" t="str">
            <v>GLCOR17</v>
          </cell>
          <cell r="G362">
            <v>-1061.6400000000001</v>
          </cell>
          <cell r="H362">
            <v>0</v>
          </cell>
        </row>
        <row r="363">
          <cell r="A363" t="str">
            <v>481003</v>
          </cell>
          <cell r="B363" t="str">
            <v>01990</v>
          </cell>
          <cell r="D363" t="str">
            <v>200</v>
          </cell>
          <cell r="E363" t="str">
            <v>2009-03-31</v>
          </cell>
          <cell r="F363" t="str">
            <v>GLCOR17</v>
          </cell>
          <cell r="G363">
            <v>-810.01</v>
          </cell>
          <cell r="H363">
            <v>0</v>
          </cell>
        </row>
        <row r="364">
          <cell r="A364" t="str">
            <v>481003</v>
          </cell>
          <cell r="B364" t="str">
            <v>01953</v>
          </cell>
          <cell r="D364" t="str">
            <v>200</v>
          </cell>
          <cell r="E364" t="str">
            <v>2009-03-31</v>
          </cell>
          <cell r="F364" t="str">
            <v>GLCOR17</v>
          </cell>
          <cell r="G364">
            <v>-1786.18</v>
          </cell>
          <cell r="H364">
            <v>0</v>
          </cell>
        </row>
        <row r="365">
          <cell r="A365" t="str">
            <v>481003</v>
          </cell>
          <cell r="B365" t="str">
            <v>01953</v>
          </cell>
          <cell r="D365" t="str">
            <v>200</v>
          </cell>
          <cell r="E365" t="str">
            <v>2009-03-31</v>
          </cell>
          <cell r="F365" t="str">
            <v>GLCOR17A</v>
          </cell>
          <cell r="G365">
            <v>-100.19</v>
          </cell>
          <cell r="H365">
            <v>0</v>
          </cell>
        </row>
        <row r="366">
          <cell r="A366" t="str">
            <v>481003</v>
          </cell>
          <cell r="B366" t="str">
            <v>01952</v>
          </cell>
          <cell r="D366" t="str">
            <v>200</v>
          </cell>
          <cell r="E366" t="str">
            <v>2009-03-31</v>
          </cell>
          <cell r="F366" t="str">
            <v>GLCOR17A</v>
          </cell>
          <cell r="G366">
            <v>-6.94</v>
          </cell>
          <cell r="H366">
            <v>0</v>
          </cell>
        </row>
        <row r="367">
          <cell r="A367" t="str">
            <v>481003</v>
          </cell>
          <cell r="B367" t="str">
            <v>01954</v>
          </cell>
          <cell r="D367" t="str">
            <v>200</v>
          </cell>
          <cell r="E367" t="str">
            <v>2009-03-31</v>
          </cell>
          <cell r="F367" t="str">
            <v>GLCOR17A</v>
          </cell>
          <cell r="G367">
            <v>-16.04</v>
          </cell>
          <cell r="H367">
            <v>0</v>
          </cell>
        </row>
        <row r="368">
          <cell r="A368" t="str">
            <v>481003</v>
          </cell>
          <cell r="B368" t="str">
            <v>01953</v>
          </cell>
          <cell r="D368" t="str">
            <v>200</v>
          </cell>
          <cell r="E368" t="str">
            <v>2009-03-31</v>
          </cell>
          <cell r="F368" t="str">
            <v>GLCOR17A</v>
          </cell>
          <cell r="G368">
            <v>-78.78</v>
          </cell>
          <cell r="H368">
            <v>0</v>
          </cell>
        </row>
        <row r="369">
          <cell r="A369" t="str">
            <v>481003</v>
          </cell>
          <cell r="B369" t="str">
            <v>01954</v>
          </cell>
          <cell r="D369" t="str">
            <v>200</v>
          </cell>
          <cell r="E369" t="str">
            <v>2009-03-31</v>
          </cell>
          <cell r="F369" t="str">
            <v>GLCOR17A</v>
          </cell>
          <cell r="G369">
            <v>-12.93</v>
          </cell>
          <cell r="H369">
            <v>0</v>
          </cell>
        </row>
        <row r="370">
          <cell r="A370" t="str">
            <v>481003</v>
          </cell>
          <cell r="B370" t="str">
            <v>01952</v>
          </cell>
          <cell r="D370" t="str">
            <v>200</v>
          </cell>
          <cell r="E370" t="str">
            <v>2009-03-31</v>
          </cell>
          <cell r="F370" t="str">
            <v>GLCOR17A</v>
          </cell>
          <cell r="G370">
            <v>-7.4</v>
          </cell>
          <cell r="H370">
            <v>0</v>
          </cell>
        </row>
        <row r="371">
          <cell r="A371" t="str">
            <v>481003</v>
          </cell>
          <cell r="B371" t="str">
            <v>01991</v>
          </cell>
          <cell r="D371" t="str">
            <v>200</v>
          </cell>
          <cell r="E371" t="str">
            <v>2009-03-31</v>
          </cell>
          <cell r="F371" t="str">
            <v>GLCOR17A</v>
          </cell>
          <cell r="G371">
            <v>-6.8</v>
          </cell>
          <cell r="H371">
            <v>0</v>
          </cell>
        </row>
        <row r="372">
          <cell r="A372" t="str">
            <v>481003</v>
          </cell>
          <cell r="B372" t="str">
            <v>01943</v>
          </cell>
          <cell r="D372" t="str">
            <v>200</v>
          </cell>
          <cell r="E372" t="str">
            <v>2009-04-30</v>
          </cell>
          <cell r="F372" t="str">
            <v>470</v>
          </cell>
          <cell r="G372">
            <v>-90.98</v>
          </cell>
          <cell r="H372">
            <v>0</v>
          </cell>
        </row>
        <row r="373">
          <cell r="A373" t="str">
            <v>481003</v>
          </cell>
          <cell r="B373" t="str">
            <v>01953</v>
          </cell>
          <cell r="D373" t="str">
            <v>200</v>
          </cell>
          <cell r="E373" t="str">
            <v>2009-04-30</v>
          </cell>
          <cell r="F373" t="str">
            <v>470</v>
          </cell>
          <cell r="G373">
            <v>13676.28</v>
          </cell>
          <cell r="H373">
            <v>2553.86</v>
          </cell>
        </row>
        <row r="374">
          <cell r="A374" t="str">
            <v>481003</v>
          </cell>
          <cell r="B374" t="str">
            <v>01990</v>
          </cell>
          <cell r="D374" t="str">
            <v>200</v>
          </cell>
          <cell r="E374" t="str">
            <v>2009-04-30</v>
          </cell>
          <cell r="F374" t="str">
            <v>470</v>
          </cell>
          <cell r="G374">
            <v>5920.9</v>
          </cell>
          <cell r="H374">
            <v>1120.72</v>
          </cell>
        </row>
        <row r="375">
          <cell r="A375" t="str">
            <v>481003</v>
          </cell>
          <cell r="B375" t="str">
            <v>01986</v>
          </cell>
          <cell r="D375" t="str">
            <v>200</v>
          </cell>
          <cell r="E375" t="str">
            <v>2009-04-30</v>
          </cell>
          <cell r="F375" t="str">
            <v>470</v>
          </cell>
          <cell r="G375">
            <v>6090.65</v>
          </cell>
          <cell r="H375">
            <v>1166.81</v>
          </cell>
        </row>
        <row r="376">
          <cell r="A376" t="str">
            <v>481003</v>
          </cell>
          <cell r="B376" t="str">
            <v>01974</v>
          </cell>
          <cell r="D376" t="str">
            <v>200</v>
          </cell>
          <cell r="E376" t="str">
            <v>2009-04-30</v>
          </cell>
          <cell r="F376" t="str">
            <v>470</v>
          </cell>
          <cell r="G376">
            <v>15783.42</v>
          </cell>
          <cell r="H376">
            <v>2936.46</v>
          </cell>
        </row>
        <row r="377">
          <cell r="A377" t="str">
            <v>481003</v>
          </cell>
          <cell r="B377" t="str">
            <v>01988</v>
          </cell>
          <cell r="D377" t="str">
            <v>200</v>
          </cell>
          <cell r="E377" t="str">
            <v>2009-04-30</v>
          </cell>
          <cell r="F377" t="str">
            <v>470</v>
          </cell>
          <cell r="G377">
            <v>3804.69</v>
          </cell>
          <cell r="H377">
            <v>712.33</v>
          </cell>
        </row>
        <row r="378">
          <cell r="A378" t="str">
            <v>481003</v>
          </cell>
          <cell r="B378" t="str">
            <v>01993</v>
          </cell>
          <cell r="D378" t="str">
            <v>200</v>
          </cell>
          <cell r="E378" t="str">
            <v>2009-04-30</v>
          </cell>
          <cell r="F378" t="str">
            <v>470</v>
          </cell>
          <cell r="G378">
            <v>1011.01</v>
          </cell>
          <cell r="H378">
            <v>222.21</v>
          </cell>
        </row>
        <row r="379">
          <cell r="A379" t="str">
            <v>481003</v>
          </cell>
          <cell r="B379" t="str">
            <v>01943</v>
          </cell>
          <cell r="D379" t="str">
            <v>200</v>
          </cell>
          <cell r="E379" t="str">
            <v>2009-04-30</v>
          </cell>
          <cell r="F379" t="str">
            <v>470</v>
          </cell>
          <cell r="G379">
            <v>649.72</v>
          </cell>
          <cell r="H379">
            <v>137.75</v>
          </cell>
        </row>
        <row r="380">
          <cell r="A380" t="str">
            <v>481003</v>
          </cell>
          <cell r="B380" t="str">
            <v>01943</v>
          </cell>
          <cell r="D380" t="str">
            <v>200</v>
          </cell>
          <cell r="E380" t="str">
            <v>2009-04-30</v>
          </cell>
          <cell r="F380" t="str">
            <v>472B</v>
          </cell>
          <cell r="G380">
            <v>1014.88</v>
          </cell>
          <cell r="H380">
            <v>215.19</v>
          </cell>
        </row>
        <row r="381">
          <cell r="A381" t="str">
            <v>481003</v>
          </cell>
          <cell r="B381" t="str">
            <v>01952</v>
          </cell>
          <cell r="D381" t="str">
            <v>200</v>
          </cell>
          <cell r="E381" t="str">
            <v>2009-04-30</v>
          </cell>
          <cell r="F381" t="str">
            <v>472B</v>
          </cell>
          <cell r="G381">
            <v>36.24</v>
          </cell>
          <cell r="H381">
            <v>10.199999999999999</v>
          </cell>
        </row>
        <row r="382">
          <cell r="A382" t="str">
            <v>481003</v>
          </cell>
          <cell r="B382" t="str">
            <v>01953</v>
          </cell>
          <cell r="D382" t="str">
            <v>200</v>
          </cell>
          <cell r="E382" t="str">
            <v>2009-04-30</v>
          </cell>
          <cell r="F382" t="str">
            <v>472B</v>
          </cell>
          <cell r="G382">
            <v>466.98</v>
          </cell>
          <cell r="H382">
            <v>131.53</v>
          </cell>
        </row>
        <row r="383">
          <cell r="A383" t="str">
            <v>481003</v>
          </cell>
          <cell r="B383" t="str">
            <v>01954</v>
          </cell>
          <cell r="D383" t="str">
            <v>200</v>
          </cell>
          <cell r="E383" t="str">
            <v>2009-04-30</v>
          </cell>
          <cell r="F383" t="str">
            <v>472B</v>
          </cell>
          <cell r="G383">
            <v>56.82</v>
          </cell>
          <cell r="H383">
            <v>16.010000000000002</v>
          </cell>
        </row>
        <row r="384">
          <cell r="A384" t="str">
            <v>481003</v>
          </cell>
          <cell r="B384" t="str">
            <v>01943</v>
          </cell>
          <cell r="D384" t="str">
            <v>200</v>
          </cell>
          <cell r="E384" t="str">
            <v>2009-04-30</v>
          </cell>
          <cell r="F384" t="str">
            <v>472B</v>
          </cell>
          <cell r="G384">
            <v>-142.12</v>
          </cell>
          <cell r="H384">
            <v>0</v>
          </cell>
        </row>
        <row r="385">
          <cell r="A385" t="str">
            <v>481003</v>
          </cell>
          <cell r="B385" t="str">
            <v>01991</v>
          </cell>
          <cell r="D385" t="str">
            <v>200</v>
          </cell>
          <cell r="E385" t="str">
            <v>2009-04-30</v>
          </cell>
          <cell r="F385" t="str">
            <v>472B</v>
          </cell>
          <cell r="G385">
            <v>18.03</v>
          </cell>
          <cell r="H385">
            <v>5.07</v>
          </cell>
        </row>
        <row r="386">
          <cell r="A386" t="str">
            <v>481003</v>
          </cell>
          <cell r="B386" t="str">
            <v>01968</v>
          </cell>
          <cell r="D386" t="str">
            <v>200</v>
          </cell>
          <cell r="E386" t="str">
            <v>2009-04-30</v>
          </cell>
          <cell r="F386" t="str">
            <v>BINGV35668</v>
          </cell>
          <cell r="G386">
            <v>4875.71</v>
          </cell>
          <cell r="H386">
            <v>631.79999999999995</v>
          </cell>
        </row>
        <row r="387">
          <cell r="A387" t="str">
            <v>481003</v>
          </cell>
          <cell r="B387" t="str">
            <v>01979</v>
          </cell>
          <cell r="D387" t="str">
            <v>200</v>
          </cell>
          <cell r="E387" t="str">
            <v>2009-04-30</v>
          </cell>
          <cell r="F387" t="str">
            <v>BINGV35668</v>
          </cell>
          <cell r="G387">
            <v>259.24</v>
          </cell>
          <cell r="H387">
            <v>30.16</v>
          </cell>
        </row>
        <row r="388">
          <cell r="A388" t="str">
            <v>481003</v>
          </cell>
          <cell r="B388" t="str">
            <v>01994</v>
          </cell>
          <cell r="D388" t="str">
            <v>200</v>
          </cell>
          <cell r="E388" t="str">
            <v>2009-04-30</v>
          </cell>
          <cell r="F388" t="str">
            <v>BINGV35668</v>
          </cell>
          <cell r="G388">
            <v>24434.74</v>
          </cell>
          <cell r="H388">
            <v>3166.29</v>
          </cell>
        </row>
        <row r="389">
          <cell r="A389" t="str">
            <v>481003</v>
          </cell>
          <cell r="B389" t="str">
            <v>01995</v>
          </cell>
          <cell r="D389" t="str">
            <v>200</v>
          </cell>
          <cell r="E389" t="str">
            <v>2009-04-30</v>
          </cell>
          <cell r="F389" t="str">
            <v>BINGV35668</v>
          </cell>
          <cell r="G389">
            <v>8762.3700000000008</v>
          </cell>
          <cell r="H389">
            <v>1135.44</v>
          </cell>
        </row>
        <row r="390">
          <cell r="A390" t="str">
            <v>481003</v>
          </cell>
          <cell r="B390" t="str">
            <v>01976</v>
          </cell>
          <cell r="D390" t="str">
            <v>200</v>
          </cell>
          <cell r="E390" t="str">
            <v>2009-04-30</v>
          </cell>
          <cell r="F390" t="str">
            <v>BINGV35668</v>
          </cell>
          <cell r="G390">
            <v>28112.25</v>
          </cell>
          <cell r="H390">
            <v>3322.2</v>
          </cell>
        </row>
        <row r="391">
          <cell r="A391" t="str">
            <v>481003</v>
          </cell>
          <cell r="B391" t="str">
            <v>01987</v>
          </cell>
          <cell r="D391" t="str">
            <v>200</v>
          </cell>
          <cell r="E391" t="str">
            <v>2009-04-30</v>
          </cell>
          <cell r="F391" t="str">
            <v>BINGV35668</v>
          </cell>
          <cell r="G391">
            <v>17211.07</v>
          </cell>
          <cell r="H391">
            <v>2230.34</v>
          </cell>
        </row>
        <row r="392">
          <cell r="A392" t="str">
            <v>481003</v>
          </cell>
          <cell r="B392" t="str">
            <v>01978</v>
          </cell>
          <cell r="D392" t="str">
            <v>200</v>
          </cell>
          <cell r="E392" t="str">
            <v>2009-04-30</v>
          </cell>
          <cell r="F392" t="str">
            <v>BINGV35668</v>
          </cell>
          <cell r="G392">
            <v>13181.54</v>
          </cell>
          <cell r="H392">
            <v>1708.08</v>
          </cell>
        </row>
        <row r="393">
          <cell r="A393" t="str">
            <v>481003</v>
          </cell>
          <cell r="B393" t="str">
            <v>01970</v>
          </cell>
          <cell r="D393" t="str">
            <v>200</v>
          </cell>
          <cell r="E393" t="str">
            <v>2009-04-30</v>
          </cell>
          <cell r="F393" t="str">
            <v>BINGV35668</v>
          </cell>
          <cell r="G393">
            <v>3349.76</v>
          </cell>
          <cell r="H393">
            <v>434.07</v>
          </cell>
        </row>
        <row r="394">
          <cell r="A394" t="str">
            <v>481003</v>
          </cell>
          <cell r="B394" t="str">
            <v>01971</v>
          </cell>
          <cell r="D394" t="str">
            <v>200</v>
          </cell>
          <cell r="E394" t="str">
            <v>2009-04-30</v>
          </cell>
          <cell r="F394" t="str">
            <v>BINGV35668</v>
          </cell>
          <cell r="G394">
            <v>10384.84</v>
          </cell>
          <cell r="H394">
            <v>1345.68</v>
          </cell>
        </row>
        <row r="395">
          <cell r="A395" t="str">
            <v>481003</v>
          </cell>
          <cell r="B395" t="str">
            <v>01969</v>
          </cell>
          <cell r="D395" t="str">
            <v>200</v>
          </cell>
          <cell r="E395" t="str">
            <v>2009-04-30</v>
          </cell>
          <cell r="F395" t="str">
            <v>BINGV35668</v>
          </cell>
          <cell r="G395">
            <v>6738</v>
          </cell>
          <cell r="H395">
            <v>873.12</v>
          </cell>
        </row>
        <row r="396">
          <cell r="A396" t="str">
            <v>481003</v>
          </cell>
          <cell r="B396" t="str">
            <v>01977</v>
          </cell>
          <cell r="D396" t="str">
            <v>200</v>
          </cell>
          <cell r="E396" t="str">
            <v>2009-04-30</v>
          </cell>
          <cell r="F396" t="str">
            <v>BINGV35668</v>
          </cell>
          <cell r="G396">
            <v>9560.64</v>
          </cell>
          <cell r="H396">
            <v>1238.8800000000001</v>
          </cell>
        </row>
        <row r="397">
          <cell r="A397" t="str">
            <v>481003</v>
          </cell>
          <cell r="B397" t="str">
            <v>01992</v>
          </cell>
          <cell r="D397" t="str">
            <v>200</v>
          </cell>
          <cell r="E397" t="str">
            <v>2009-04-30</v>
          </cell>
          <cell r="F397" t="str">
            <v>BINGV35668</v>
          </cell>
          <cell r="G397">
            <v>24795.23</v>
          </cell>
          <cell r="H397">
            <v>3047.72</v>
          </cell>
        </row>
        <row r="398">
          <cell r="A398" t="str">
            <v>481003</v>
          </cell>
          <cell r="B398" t="str">
            <v>01973</v>
          </cell>
          <cell r="D398" t="str">
            <v>200</v>
          </cell>
          <cell r="E398" t="str">
            <v>2009-04-30</v>
          </cell>
          <cell r="F398" t="str">
            <v>BINGV35668</v>
          </cell>
          <cell r="G398">
            <v>10132.94</v>
          </cell>
          <cell r="H398">
            <v>1313.04</v>
          </cell>
        </row>
        <row r="399">
          <cell r="A399" t="str">
            <v>481003</v>
          </cell>
          <cell r="B399" t="str">
            <v>01952</v>
          </cell>
          <cell r="D399" t="str">
            <v>200</v>
          </cell>
          <cell r="E399" t="str">
            <v>2009-04-30</v>
          </cell>
          <cell r="F399" t="str">
            <v>BINGV35668</v>
          </cell>
          <cell r="G399">
            <v>27231.41</v>
          </cell>
          <cell r="H399">
            <v>3528.68</v>
          </cell>
        </row>
        <row r="400">
          <cell r="A400" t="str">
            <v>481003</v>
          </cell>
          <cell r="B400" t="str">
            <v>01989</v>
          </cell>
          <cell r="D400" t="str">
            <v>200</v>
          </cell>
          <cell r="E400" t="str">
            <v>2009-04-30</v>
          </cell>
          <cell r="F400" t="str">
            <v>BINGV35668</v>
          </cell>
          <cell r="G400">
            <v>2468.88</v>
          </cell>
          <cell r="H400">
            <v>319.92</v>
          </cell>
        </row>
        <row r="401">
          <cell r="A401" t="str">
            <v>481003</v>
          </cell>
          <cell r="B401" t="str">
            <v>01988</v>
          </cell>
          <cell r="D401" t="str">
            <v>200</v>
          </cell>
          <cell r="E401" t="str">
            <v>2009-04-30</v>
          </cell>
          <cell r="F401" t="str">
            <v>BINGV35668</v>
          </cell>
          <cell r="G401">
            <v>6866.05</v>
          </cell>
          <cell r="H401">
            <v>889.71</v>
          </cell>
        </row>
        <row r="402">
          <cell r="A402" t="str">
            <v>481003</v>
          </cell>
          <cell r="B402" t="str">
            <v>01986</v>
          </cell>
          <cell r="D402" t="str">
            <v>200</v>
          </cell>
          <cell r="E402" t="str">
            <v>2009-04-30</v>
          </cell>
          <cell r="F402" t="str">
            <v>BINGV35668</v>
          </cell>
          <cell r="G402">
            <v>21224.68</v>
          </cell>
          <cell r="H402">
            <v>-2255.08</v>
          </cell>
        </row>
        <row r="403">
          <cell r="A403" t="str">
            <v>481003</v>
          </cell>
          <cell r="B403" t="str">
            <v>01943</v>
          </cell>
          <cell r="D403" t="str">
            <v>200</v>
          </cell>
          <cell r="E403" t="str">
            <v>2009-05-31</v>
          </cell>
          <cell r="F403" t="str">
            <v>470</v>
          </cell>
          <cell r="G403">
            <v>-84.29</v>
          </cell>
          <cell r="H403">
            <v>0</v>
          </cell>
        </row>
        <row r="404">
          <cell r="A404" t="str">
            <v>481003</v>
          </cell>
          <cell r="B404" t="str">
            <v>01953</v>
          </cell>
          <cell r="D404" t="str">
            <v>200</v>
          </cell>
          <cell r="E404" t="str">
            <v>2009-05-31</v>
          </cell>
          <cell r="F404" t="str">
            <v>470</v>
          </cell>
          <cell r="G404">
            <v>13781.72</v>
          </cell>
          <cell r="H404">
            <v>2365.96</v>
          </cell>
        </row>
        <row r="405">
          <cell r="A405" t="str">
            <v>481003</v>
          </cell>
          <cell r="B405" t="str">
            <v>01990</v>
          </cell>
          <cell r="D405" t="str">
            <v>200</v>
          </cell>
          <cell r="E405" t="str">
            <v>2009-05-31</v>
          </cell>
          <cell r="F405" t="str">
            <v>470</v>
          </cell>
          <cell r="G405">
            <v>7488.9</v>
          </cell>
          <cell r="H405">
            <v>1285.6199999999999</v>
          </cell>
        </row>
        <row r="406">
          <cell r="A406" t="str">
            <v>481003</v>
          </cell>
          <cell r="B406" t="str">
            <v>01986</v>
          </cell>
          <cell r="D406" t="str">
            <v>200</v>
          </cell>
          <cell r="E406" t="str">
            <v>2009-05-31</v>
          </cell>
          <cell r="F406" t="str">
            <v>470</v>
          </cell>
          <cell r="G406">
            <v>5715.21</v>
          </cell>
          <cell r="H406">
            <v>981.16</v>
          </cell>
        </row>
        <row r="407">
          <cell r="A407" t="str">
            <v>481003</v>
          </cell>
          <cell r="B407" t="str">
            <v>01988</v>
          </cell>
          <cell r="D407" t="str">
            <v>200</v>
          </cell>
          <cell r="E407" t="str">
            <v>2009-05-31</v>
          </cell>
          <cell r="F407" t="str">
            <v>470</v>
          </cell>
          <cell r="G407">
            <v>3294.02</v>
          </cell>
          <cell r="H407">
            <v>565.55999999999995</v>
          </cell>
        </row>
        <row r="408">
          <cell r="A408" t="str">
            <v>481003</v>
          </cell>
          <cell r="B408" t="str">
            <v>01974</v>
          </cell>
          <cell r="D408" t="str">
            <v>200</v>
          </cell>
          <cell r="E408" t="str">
            <v>2009-05-31</v>
          </cell>
          <cell r="F408" t="str">
            <v>470</v>
          </cell>
          <cell r="G408">
            <v>15228.11</v>
          </cell>
          <cell r="H408">
            <v>2614.2199999999998</v>
          </cell>
        </row>
        <row r="409">
          <cell r="A409" t="str">
            <v>481003</v>
          </cell>
          <cell r="B409" t="str">
            <v>01993</v>
          </cell>
          <cell r="D409" t="str">
            <v>200</v>
          </cell>
          <cell r="E409" t="str">
            <v>2009-05-31</v>
          </cell>
          <cell r="F409" t="str">
            <v>470</v>
          </cell>
          <cell r="G409">
            <v>1188.44</v>
          </cell>
          <cell r="H409">
            <v>261.18</v>
          </cell>
        </row>
        <row r="410">
          <cell r="A410" t="str">
            <v>481003</v>
          </cell>
          <cell r="B410" t="str">
            <v>01943</v>
          </cell>
          <cell r="D410" t="str">
            <v>200</v>
          </cell>
          <cell r="E410" t="str">
            <v>2009-05-31</v>
          </cell>
          <cell r="F410" t="str">
            <v>470</v>
          </cell>
          <cell r="G410">
            <v>601.91</v>
          </cell>
          <cell r="H410">
            <v>127.62</v>
          </cell>
        </row>
        <row r="411">
          <cell r="A411" t="str">
            <v>481003</v>
          </cell>
          <cell r="B411" t="str">
            <v>01991</v>
          </cell>
          <cell r="D411" t="str">
            <v>200</v>
          </cell>
          <cell r="E411" t="str">
            <v>2009-05-31</v>
          </cell>
          <cell r="F411" t="str">
            <v>472B</v>
          </cell>
          <cell r="G411">
            <v>17.059999999999999</v>
          </cell>
          <cell r="H411">
            <v>4.8</v>
          </cell>
        </row>
        <row r="412">
          <cell r="A412" t="str">
            <v>481003</v>
          </cell>
          <cell r="B412" t="str">
            <v>01953</v>
          </cell>
          <cell r="D412" t="str">
            <v>200</v>
          </cell>
          <cell r="E412" t="str">
            <v>2009-05-31</v>
          </cell>
          <cell r="F412" t="str">
            <v>472B</v>
          </cell>
          <cell r="G412">
            <v>500.09</v>
          </cell>
          <cell r="H412">
            <v>140.97</v>
          </cell>
        </row>
        <row r="413">
          <cell r="A413" t="str">
            <v>481003</v>
          </cell>
          <cell r="B413" t="str">
            <v>01943</v>
          </cell>
          <cell r="D413" t="str">
            <v>200</v>
          </cell>
          <cell r="E413" t="str">
            <v>2009-05-31</v>
          </cell>
          <cell r="F413" t="str">
            <v>472B</v>
          </cell>
          <cell r="G413">
            <v>988.47</v>
          </cell>
          <cell r="H413">
            <v>209.55</v>
          </cell>
        </row>
        <row r="414">
          <cell r="A414" t="str">
            <v>481003</v>
          </cell>
          <cell r="B414" t="str">
            <v>01952</v>
          </cell>
          <cell r="D414" t="str">
            <v>200</v>
          </cell>
          <cell r="E414" t="str">
            <v>2009-05-31</v>
          </cell>
          <cell r="F414" t="str">
            <v>472B</v>
          </cell>
          <cell r="G414">
            <v>32.42</v>
          </cell>
          <cell r="H414">
            <v>9.11</v>
          </cell>
        </row>
        <row r="415">
          <cell r="A415" t="str">
            <v>481003</v>
          </cell>
          <cell r="B415" t="str">
            <v>01954</v>
          </cell>
          <cell r="D415" t="str">
            <v>200</v>
          </cell>
          <cell r="E415" t="str">
            <v>2009-05-31</v>
          </cell>
          <cell r="F415" t="str">
            <v>472B</v>
          </cell>
          <cell r="G415">
            <v>87.07</v>
          </cell>
          <cell r="H415">
            <v>24.52</v>
          </cell>
        </row>
        <row r="416">
          <cell r="A416" t="str">
            <v>481003</v>
          </cell>
          <cell r="B416" t="str">
            <v>01943</v>
          </cell>
          <cell r="D416" t="str">
            <v>200</v>
          </cell>
          <cell r="E416" t="str">
            <v>2009-05-31</v>
          </cell>
          <cell r="F416" t="str">
            <v>472B</v>
          </cell>
          <cell r="G416">
            <v>-138.4</v>
          </cell>
          <cell r="H416">
            <v>0</v>
          </cell>
        </row>
        <row r="417">
          <cell r="A417" t="str">
            <v>481003</v>
          </cell>
          <cell r="B417" t="str">
            <v>01968</v>
          </cell>
          <cell r="D417" t="str">
            <v>200</v>
          </cell>
          <cell r="E417" t="str">
            <v>2009-05-31</v>
          </cell>
          <cell r="F417" t="str">
            <v>BINGV35964</v>
          </cell>
          <cell r="G417">
            <v>5874.44</v>
          </cell>
          <cell r="H417">
            <v>588.16999999999996</v>
          </cell>
        </row>
        <row r="418">
          <cell r="A418" t="str">
            <v>481003</v>
          </cell>
          <cell r="B418" t="str">
            <v>01979</v>
          </cell>
          <cell r="D418" t="str">
            <v>200</v>
          </cell>
          <cell r="E418" t="str">
            <v>2009-05-31</v>
          </cell>
          <cell r="F418" t="str">
            <v>BINGV35964</v>
          </cell>
          <cell r="G418">
            <v>246.65</v>
          </cell>
          <cell r="H418">
            <v>26.58</v>
          </cell>
        </row>
        <row r="419">
          <cell r="A419" t="str">
            <v>481003</v>
          </cell>
          <cell r="B419" t="str">
            <v>01994</v>
          </cell>
          <cell r="D419" t="str">
            <v>200</v>
          </cell>
          <cell r="E419" t="str">
            <v>2009-05-31</v>
          </cell>
          <cell r="F419" t="str">
            <v>BINGV35964</v>
          </cell>
          <cell r="G419">
            <v>29314.93</v>
          </cell>
          <cell r="H419">
            <v>2935.11</v>
          </cell>
        </row>
        <row r="420">
          <cell r="A420" t="str">
            <v>481003</v>
          </cell>
          <cell r="B420" t="str">
            <v>01995</v>
          </cell>
          <cell r="D420" t="str">
            <v>200</v>
          </cell>
          <cell r="E420" t="str">
            <v>2009-05-31</v>
          </cell>
          <cell r="F420" t="str">
            <v>BINGV35964</v>
          </cell>
          <cell r="G420">
            <v>8918.2000000000007</v>
          </cell>
          <cell r="H420">
            <v>892.92</v>
          </cell>
        </row>
        <row r="421">
          <cell r="A421" t="str">
            <v>481003</v>
          </cell>
          <cell r="B421" t="str">
            <v>01976</v>
          </cell>
          <cell r="D421" t="str">
            <v>200</v>
          </cell>
          <cell r="E421" t="str">
            <v>2009-05-31</v>
          </cell>
          <cell r="F421" t="str">
            <v>BINGV35964</v>
          </cell>
          <cell r="G421">
            <v>19124.830000000002</v>
          </cell>
          <cell r="H421">
            <v>1914.84</v>
          </cell>
        </row>
        <row r="422">
          <cell r="A422" t="str">
            <v>481003</v>
          </cell>
          <cell r="B422" t="str">
            <v>01987</v>
          </cell>
          <cell r="D422" t="str">
            <v>200</v>
          </cell>
          <cell r="E422" t="str">
            <v>2009-05-31</v>
          </cell>
          <cell r="F422" t="str">
            <v>BINGV35964</v>
          </cell>
          <cell r="G422">
            <v>23675.1</v>
          </cell>
          <cell r="H422">
            <v>2370.4299999999998</v>
          </cell>
        </row>
        <row r="423">
          <cell r="A423" t="str">
            <v>481003</v>
          </cell>
          <cell r="B423" t="str">
            <v>01978</v>
          </cell>
          <cell r="D423" t="str">
            <v>200</v>
          </cell>
          <cell r="E423" t="str">
            <v>2009-05-31</v>
          </cell>
          <cell r="F423" t="str">
            <v>BINGV35964</v>
          </cell>
          <cell r="G423">
            <v>16917.150000000001</v>
          </cell>
          <cell r="H423">
            <v>1693.8</v>
          </cell>
        </row>
        <row r="424">
          <cell r="A424" t="str">
            <v>481003</v>
          </cell>
          <cell r="B424" t="str">
            <v>01970</v>
          </cell>
          <cell r="D424" t="str">
            <v>200</v>
          </cell>
          <cell r="E424" t="str">
            <v>2009-05-31</v>
          </cell>
          <cell r="F424" t="str">
            <v>BINGV35964</v>
          </cell>
          <cell r="G424">
            <v>5181.08</v>
          </cell>
          <cell r="H424">
            <v>518.76</v>
          </cell>
        </row>
        <row r="425">
          <cell r="A425" t="str">
            <v>481003</v>
          </cell>
          <cell r="B425" t="str">
            <v>01971</v>
          </cell>
          <cell r="D425" t="str">
            <v>200</v>
          </cell>
          <cell r="E425" t="str">
            <v>2009-05-31</v>
          </cell>
          <cell r="F425" t="str">
            <v>BINGV35964</v>
          </cell>
          <cell r="G425">
            <v>11165.44</v>
          </cell>
          <cell r="H425">
            <v>1117.92</v>
          </cell>
        </row>
        <row r="426">
          <cell r="A426" t="str">
            <v>481003</v>
          </cell>
          <cell r="B426" t="str">
            <v>01969</v>
          </cell>
          <cell r="D426" t="str">
            <v>200</v>
          </cell>
          <cell r="E426" t="str">
            <v>2009-05-31</v>
          </cell>
          <cell r="F426" t="str">
            <v>BINGV35964</v>
          </cell>
          <cell r="G426">
            <v>7777.21</v>
          </cell>
          <cell r="H426">
            <v>778.68</v>
          </cell>
        </row>
        <row r="427">
          <cell r="A427" t="str">
            <v>481003</v>
          </cell>
          <cell r="B427" t="str">
            <v>01977</v>
          </cell>
          <cell r="D427" t="str">
            <v>200</v>
          </cell>
          <cell r="E427" t="str">
            <v>2009-05-31</v>
          </cell>
          <cell r="F427" t="str">
            <v>BINGV35964</v>
          </cell>
          <cell r="G427">
            <v>12549.73</v>
          </cell>
          <cell r="H427">
            <v>1256.52</v>
          </cell>
        </row>
        <row r="428">
          <cell r="A428" t="str">
            <v>481003</v>
          </cell>
          <cell r="B428" t="str">
            <v>01992</v>
          </cell>
          <cell r="D428" t="str">
            <v>200</v>
          </cell>
          <cell r="E428" t="str">
            <v>2009-05-31</v>
          </cell>
          <cell r="F428" t="str">
            <v>BINGV35964</v>
          </cell>
          <cell r="G428">
            <v>30055.1</v>
          </cell>
          <cell r="H428">
            <v>3009.21</v>
          </cell>
        </row>
        <row r="429">
          <cell r="A429" t="str">
            <v>481003</v>
          </cell>
          <cell r="B429" t="str">
            <v>01952</v>
          </cell>
          <cell r="D429" t="str">
            <v>200</v>
          </cell>
          <cell r="E429" t="str">
            <v>2009-05-31</v>
          </cell>
          <cell r="F429" t="str">
            <v>BINGV35964</v>
          </cell>
          <cell r="G429">
            <v>28571.35</v>
          </cell>
          <cell r="H429">
            <v>2860.66</v>
          </cell>
        </row>
        <row r="430">
          <cell r="A430" t="str">
            <v>481003</v>
          </cell>
          <cell r="B430" t="str">
            <v>01989</v>
          </cell>
          <cell r="D430" t="str">
            <v>200</v>
          </cell>
          <cell r="E430" t="str">
            <v>2009-05-31</v>
          </cell>
          <cell r="F430" t="str">
            <v>BINGV35964</v>
          </cell>
          <cell r="G430">
            <v>3608.41</v>
          </cell>
          <cell r="H430">
            <v>361.32</v>
          </cell>
        </row>
        <row r="431">
          <cell r="A431" t="str">
            <v>481003</v>
          </cell>
          <cell r="B431" t="str">
            <v>01988</v>
          </cell>
          <cell r="D431" t="str">
            <v>200</v>
          </cell>
          <cell r="E431" t="str">
            <v>2009-05-31</v>
          </cell>
          <cell r="F431" t="str">
            <v>BINGV35964</v>
          </cell>
          <cell r="G431">
            <v>8813.59</v>
          </cell>
          <cell r="H431">
            <v>882.45</v>
          </cell>
        </row>
        <row r="432">
          <cell r="A432" t="str">
            <v>481003</v>
          </cell>
          <cell r="B432" t="str">
            <v>01986</v>
          </cell>
          <cell r="D432" t="str">
            <v>200</v>
          </cell>
          <cell r="E432" t="str">
            <v>2009-05-31</v>
          </cell>
          <cell r="F432" t="str">
            <v>BINGV35964</v>
          </cell>
          <cell r="G432">
            <v>18932.07</v>
          </cell>
          <cell r="H432">
            <v>2040.24</v>
          </cell>
        </row>
      </sheetData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Panel"/>
      <sheetName val="Bill Factor Data &amp; Summary"/>
      <sheetName val="Criteria"/>
      <sheetName val="Pivot"/>
    </sheetNames>
    <sheetDataSet>
      <sheetData sheetId="0" refreshError="1"/>
      <sheetData sheetId="1" refreshError="1"/>
      <sheetData sheetId="2" refreshError="1">
        <row r="2">
          <cell r="A2" t="str">
            <v>Mo</v>
          </cell>
          <cell r="B2" t="str">
            <v>St</v>
          </cell>
          <cell r="C2" t="str">
            <v>Rate</v>
          </cell>
        </row>
        <row r="3">
          <cell r="A3">
            <v>1</v>
          </cell>
          <cell r="B3" t="str">
            <v>UT</v>
          </cell>
          <cell r="C3" t="str">
            <v xml:space="preserve">GSR </v>
          </cell>
        </row>
        <row r="4">
          <cell r="A4">
            <v>2</v>
          </cell>
          <cell r="B4" t="str">
            <v>UT</v>
          </cell>
          <cell r="C4" t="str">
            <v xml:space="preserve">GSR </v>
          </cell>
        </row>
        <row r="5">
          <cell r="A5">
            <v>3</v>
          </cell>
          <cell r="B5" t="str">
            <v>UT</v>
          </cell>
          <cell r="C5" t="str">
            <v xml:space="preserve">GSR </v>
          </cell>
        </row>
        <row r="6">
          <cell r="A6">
            <v>11</v>
          </cell>
          <cell r="B6" t="str">
            <v>UT</v>
          </cell>
          <cell r="C6" t="str">
            <v xml:space="preserve">GSR </v>
          </cell>
        </row>
        <row r="7">
          <cell r="A7">
            <v>12</v>
          </cell>
          <cell r="B7" t="str">
            <v>UT</v>
          </cell>
          <cell r="C7" t="str">
            <v xml:space="preserve">GSR </v>
          </cell>
        </row>
        <row r="10">
          <cell r="A10" t="str">
            <v>Mo</v>
          </cell>
          <cell r="B10" t="str">
            <v>St</v>
          </cell>
          <cell r="C10" t="str">
            <v>Rate</v>
          </cell>
        </row>
        <row r="11">
          <cell r="A11">
            <v>4</v>
          </cell>
          <cell r="B11" t="str">
            <v>UT</v>
          </cell>
          <cell r="C11" t="str">
            <v xml:space="preserve">GSR </v>
          </cell>
        </row>
        <row r="12">
          <cell r="A12">
            <v>5</v>
          </cell>
          <cell r="B12" t="str">
            <v>UT</v>
          </cell>
          <cell r="C12" t="str">
            <v xml:space="preserve">GSR </v>
          </cell>
        </row>
        <row r="13">
          <cell r="A13">
            <v>6</v>
          </cell>
          <cell r="B13" t="str">
            <v>UT</v>
          </cell>
          <cell r="C13" t="str">
            <v xml:space="preserve">GSR </v>
          </cell>
        </row>
        <row r="14">
          <cell r="A14">
            <v>7</v>
          </cell>
          <cell r="B14" t="str">
            <v>UT</v>
          </cell>
          <cell r="C14" t="str">
            <v xml:space="preserve">GSR </v>
          </cell>
        </row>
        <row r="15">
          <cell r="A15">
            <v>8</v>
          </cell>
          <cell r="B15" t="str">
            <v>UT</v>
          </cell>
          <cell r="C15" t="str">
            <v xml:space="preserve">GSR </v>
          </cell>
        </row>
        <row r="16">
          <cell r="A16">
            <v>9</v>
          </cell>
          <cell r="B16" t="str">
            <v>UT</v>
          </cell>
          <cell r="C16" t="str">
            <v xml:space="preserve">GSR </v>
          </cell>
        </row>
        <row r="17">
          <cell r="A17">
            <v>10</v>
          </cell>
          <cell r="B17" t="str">
            <v>UT</v>
          </cell>
          <cell r="C17" t="str">
            <v xml:space="preserve">GSR </v>
          </cell>
        </row>
        <row r="38">
          <cell r="A38" t="str">
            <v>Mo</v>
          </cell>
          <cell r="B38" t="str">
            <v>St</v>
          </cell>
          <cell r="C38" t="str">
            <v>Rate</v>
          </cell>
          <cell r="E38" t="str">
            <v>Mo</v>
          </cell>
          <cell r="F38" t="str">
            <v>St</v>
          </cell>
          <cell r="G38" t="str">
            <v>Rate</v>
          </cell>
        </row>
        <row r="39">
          <cell r="A39">
            <v>1</v>
          </cell>
          <cell r="B39" t="str">
            <v>UT</v>
          </cell>
          <cell r="C39" t="str">
            <v xml:space="preserve">GSC </v>
          </cell>
          <cell r="E39">
            <v>4</v>
          </cell>
          <cell r="F39" t="str">
            <v>UT</v>
          </cell>
          <cell r="G39" t="str">
            <v xml:space="preserve">GSC </v>
          </cell>
        </row>
        <row r="40">
          <cell r="A40">
            <v>2</v>
          </cell>
          <cell r="B40" t="str">
            <v>UT</v>
          </cell>
          <cell r="C40" t="str">
            <v xml:space="preserve">GSC </v>
          </cell>
          <cell r="E40">
            <v>5</v>
          </cell>
          <cell r="F40" t="str">
            <v>UT</v>
          </cell>
          <cell r="G40" t="str">
            <v xml:space="preserve">GSC </v>
          </cell>
        </row>
        <row r="41">
          <cell r="A41">
            <v>3</v>
          </cell>
          <cell r="B41" t="str">
            <v>UT</v>
          </cell>
          <cell r="C41" t="str">
            <v xml:space="preserve">GSC </v>
          </cell>
          <cell r="E41">
            <v>6</v>
          </cell>
          <cell r="F41" t="str">
            <v>UT</v>
          </cell>
          <cell r="G41" t="str">
            <v xml:space="preserve">GSC </v>
          </cell>
        </row>
        <row r="42">
          <cell r="A42">
            <v>11</v>
          </cell>
          <cell r="B42" t="str">
            <v>UT</v>
          </cell>
          <cell r="C42" t="str">
            <v xml:space="preserve">GSC </v>
          </cell>
          <cell r="E42">
            <v>7</v>
          </cell>
          <cell r="F42" t="str">
            <v>UT</v>
          </cell>
          <cell r="G42" t="str">
            <v xml:space="preserve">GSC </v>
          </cell>
        </row>
        <row r="43">
          <cell r="A43">
            <v>12</v>
          </cell>
          <cell r="B43" t="str">
            <v>UT</v>
          </cell>
          <cell r="C43" t="str">
            <v xml:space="preserve">GSC </v>
          </cell>
          <cell r="E43">
            <v>8</v>
          </cell>
          <cell r="F43" t="str">
            <v>UT</v>
          </cell>
          <cell r="G43" t="str">
            <v xml:space="preserve">GSC </v>
          </cell>
        </row>
        <row r="44">
          <cell r="E44">
            <v>9</v>
          </cell>
          <cell r="F44" t="str">
            <v>UT</v>
          </cell>
          <cell r="G44" t="str">
            <v xml:space="preserve">GSC </v>
          </cell>
        </row>
        <row r="45">
          <cell r="E45">
            <v>10</v>
          </cell>
          <cell r="F45" t="str">
            <v>UT</v>
          </cell>
          <cell r="G45" t="str">
            <v xml:space="preserve">GSC </v>
          </cell>
        </row>
      </sheetData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EXPENSES.XNV"/>
    </sheetNames>
    <sheetDataSet>
      <sheetData sheetId="0"/>
      <sheetData sheetId="1">
        <row r="22">
          <cell r="S22">
            <v>0</v>
          </cell>
        </row>
        <row r="23">
          <cell r="S23">
            <v>0</v>
          </cell>
        </row>
        <row r="385">
          <cell r="R385">
            <v>69316.78</v>
          </cell>
        </row>
        <row r="386">
          <cell r="R386">
            <v>203701.64</v>
          </cell>
        </row>
        <row r="387">
          <cell r="R387">
            <v>6333889.7599999998</v>
          </cell>
        </row>
        <row r="388">
          <cell r="R388">
            <v>613377.12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Panel"/>
      <sheetName val="Report"/>
      <sheetName val="Adjustments"/>
      <sheetName val="ROR-Model"/>
      <sheetName val="Summaries"/>
      <sheetName val="PROJECTED EXPENSES"/>
      <sheetName val="EXPENSES"/>
      <sheetName val="Rate Base"/>
      <sheetName val="RB FORECAST"/>
      <sheetName val="108_111 Projection"/>
      <sheetName val="101_106 PROJECTION"/>
      <sheetName val="PROJECTED ACC 252 (CONTR)"/>
      <sheetName val="190_255_282 FORECAST"/>
      <sheetName val="EDIT Amort Adj"/>
      <sheetName val="LNG O&amp;M"/>
      <sheetName val="Prepayments"/>
      <sheetName val="Labor Forecast"/>
      <sheetName val="ENERGY EFFICIENCY &amp; STEP ADJ"/>
      <sheetName val="PIPELINE INTEGRITY"/>
      <sheetName val="Other Taxes"/>
      <sheetName val="Taxes"/>
      <sheetName val="Und Stor"/>
      <sheetName val="Wexpro"/>
      <sheetName val="RESERVE ACCRUAL"/>
      <sheetName val="Donations"/>
      <sheetName val="Advertising"/>
      <sheetName val="Incentive"/>
      <sheetName val="Sporting Events"/>
      <sheetName val="Revenue"/>
      <sheetName val="Booked DEC 2021 Rev"/>
      <sheetName val="YE Projected Rev 2022"/>
      <sheetName val="Booked JUN 2022 Rev"/>
      <sheetName val="YE Proj Rev 2022 with CET "/>
      <sheetName val="YE Projected Rev 2023"/>
      <sheetName val="AVG Proj Rev 2022"/>
      <sheetName val="AVG Proj Rev 2022 with CET"/>
      <sheetName val="AVG Projected Rev 2023 adj HDD"/>
      <sheetName val="YE Proj Rev 2023 with CET"/>
      <sheetName val="AVG Proj Rev 2023"/>
      <sheetName val="AVG Proj Rev 2023 with CET"/>
      <sheetName val="Other Rev"/>
      <sheetName val="Utah Bad Debt"/>
      <sheetName val="Capital Str"/>
      <sheetName val="Utah Allocation"/>
      <sheetName val="ALLOCATIONS&amp;PRETAX"/>
      <sheetName val="Envision Tomorrow Savings"/>
      <sheetName val="RNGT -NGV Volume"/>
      <sheetName val="Pension"/>
      <sheetName val="Optional Adjustment 1"/>
      <sheetName val="Optional Adjustment 2"/>
      <sheetName val="Optional Adjustment 3"/>
      <sheetName val="Optional Adjustment 4"/>
      <sheetName val="Optional Adjustment 5"/>
      <sheetName val="Optional Adjustment 6"/>
      <sheetName val="Optional Adjustment 7"/>
      <sheetName val="Optional Adjustment 8"/>
      <sheetName val="Optional Adjustment 9"/>
      <sheetName val="Optional Adjustment 10"/>
      <sheetName val="Optional Adjustment 11"/>
      <sheetName val="Optional Adjustment 12"/>
      <sheetName val="Optional Adjustment 13"/>
      <sheetName val="Optional Adjustment 14"/>
      <sheetName val="Optional Adjustment 15"/>
      <sheetName val="Optional Adjustment 16"/>
      <sheetName val="Optional Adjustment 17"/>
      <sheetName val="Optional Adjustment 18"/>
      <sheetName val="Optional Adjustment 19"/>
      <sheetName val="Optional Adjustment 20"/>
      <sheetName val="Optional Adjustment 21"/>
      <sheetName val="Optional Adjustment 22"/>
      <sheetName val="Labor Adjustment ROO"/>
      <sheetName val="COS Input"/>
      <sheetName val="TS Inputs"/>
      <sheetName val="TBF Inputs"/>
      <sheetName val="Dist Plant"/>
      <sheetName val="COS Alloc Factors TS Split"/>
      <sheetName val="COS Alloc Factors TS TTL"/>
      <sheetName val="COS Detail TS Split"/>
      <sheetName val="COS Detail TS TTL"/>
      <sheetName val="Allocator Sum"/>
      <sheetName val=" COS Pie"/>
      <sheetName val="Taxes by Class"/>
      <sheetName val="COS Sum TS Split"/>
      <sheetName val="COS Sum TS TTL"/>
      <sheetName val="Classification"/>
      <sheetName val="Rev Neutral"/>
      <sheetName val="Rules"/>
      <sheetName val="Rate Design"/>
      <sheetName val="Minimum DNG Rates"/>
      <sheetName val="Sum-Win &amp; Demand Charge"/>
      <sheetName val="rates_curr_prop"/>
      <sheetName val="Proposed Block Out"/>
      <sheetName val="Current TS Blockout"/>
      <sheetName val="Typical GS 70 Dths"/>
      <sheetName val="Typical GS 80 Dths"/>
      <sheetName val="Typical TS Small"/>
      <sheetName val="Typical TS Med"/>
      <sheetName val="Typical TS Large"/>
      <sheetName val="CET Calculation"/>
      <sheetName val="AVG Projected Rev 2022 adj HDD"/>
      <sheetName val="2022 Utah Rate Case Model"/>
    </sheetNames>
    <sheetDataSet>
      <sheetData sheetId="0"/>
      <sheetData sheetId="1"/>
      <sheetData sheetId="2">
        <row r="1202">
          <cell r="U1202">
            <v>4164014.3251535925</v>
          </cell>
        </row>
        <row r="1203">
          <cell r="U1203">
            <v>1041530.7380358962</v>
          </cell>
        </row>
        <row r="1204">
          <cell r="U1204">
            <v>31608335.660470445</v>
          </cell>
        </row>
        <row r="1205">
          <cell r="U1205">
            <v>-2360976.6786542088</v>
          </cell>
        </row>
        <row r="1209">
          <cell r="U1209">
            <v>85998.309871679303</v>
          </cell>
        </row>
        <row r="1210">
          <cell r="U1210">
            <v>0</v>
          </cell>
        </row>
        <row r="1211">
          <cell r="U1211">
            <v>7862964.6812141677</v>
          </cell>
        </row>
        <row r="1212">
          <cell r="U1212">
            <v>174939.25282042645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34">
          <cell r="N34">
            <v>4.5499999999999999E-2</v>
          </cell>
          <cell r="O34">
            <v>6.5000000000000002E-2</v>
          </cell>
          <cell r="P34">
            <v>6.7500000000000004E-2</v>
          </cell>
          <cell r="Q34">
            <v>0</v>
          </cell>
          <cell r="R34">
            <v>5.8999999999999997E-2</v>
          </cell>
          <cell r="S34">
            <v>4.8500000000000001E-2</v>
          </cell>
          <cell r="T34">
            <v>0</v>
          </cell>
        </row>
        <row r="36">
          <cell r="N36">
            <v>7.6443185000000006E-5</v>
          </cell>
          <cell r="O36">
            <v>8.7800000000000006E-5</v>
          </cell>
          <cell r="P36">
            <v>9.9999999999999995E-8</v>
          </cell>
          <cell r="Q36">
            <v>0</v>
          </cell>
          <cell r="R36">
            <v>1.1999999999999999E-6</v>
          </cell>
          <cell r="S36">
            <v>4.6082699999999997E-2</v>
          </cell>
          <cell r="T36">
            <v>0</v>
          </cell>
        </row>
        <row r="47">
          <cell r="L47">
            <v>1.3298325040397692</v>
          </cell>
          <cell r="N47">
            <v>1.2683300869976202</v>
          </cell>
        </row>
      </sheetData>
      <sheetData sheetId="21"/>
      <sheetData sheetId="22"/>
      <sheetData sheetId="23"/>
      <sheetData sheetId="24">
        <row r="16">
          <cell r="S16">
            <v>0.56999999999999995</v>
          </cell>
        </row>
        <row r="17">
          <cell r="R17">
            <v>5.0163206921638448E-12</v>
          </cell>
          <cell r="S17">
            <v>0.56999999999999995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22">
          <cell r="P22">
            <v>2926856.31</v>
          </cell>
        </row>
        <row r="23">
          <cell r="P23">
            <v>-1412100.84</v>
          </cell>
        </row>
        <row r="26">
          <cell r="O26">
            <v>837382921.35000002</v>
          </cell>
          <cell r="P26">
            <v>868628076.74000001</v>
          </cell>
          <cell r="Q26">
            <v>912407967.16999996</v>
          </cell>
        </row>
      </sheetData>
      <sheetData sheetId="42">
        <row r="40">
          <cell r="C40">
            <v>0</v>
          </cell>
          <cell r="D40">
            <v>0</v>
          </cell>
        </row>
        <row r="44">
          <cell r="C44">
            <v>0</v>
          </cell>
        </row>
        <row r="50">
          <cell r="C50">
            <v>856520.36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>
        <row r="35">
          <cell r="L35">
            <v>1643807.2799999993</v>
          </cell>
        </row>
        <row r="37">
          <cell r="L37">
            <v>86691646.24999997</v>
          </cell>
        </row>
        <row r="39">
          <cell r="L39">
            <v>41335779.179999977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NV"/>
      <sheetName val="DATA"/>
    </sheetNames>
    <sheetDataSet>
      <sheetData sheetId="0">
        <row r="8">
          <cell r="H8">
            <v>44742</v>
          </cell>
          <cell r="I8">
            <v>44773</v>
          </cell>
          <cell r="J8">
            <v>44804</v>
          </cell>
          <cell r="K8">
            <v>44834</v>
          </cell>
          <cell r="L8">
            <v>44865</v>
          </cell>
          <cell r="M8">
            <v>44895</v>
          </cell>
          <cell r="N8">
            <v>44926</v>
          </cell>
          <cell r="O8">
            <v>44957</v>
          </cell>
          <cell r="P8">
            <v>44985</v>
          </cell>
          <cell r="Q8">
            <v>45016</v>
          </cell>
          <cell r="R8">
            <v>45046</v>
          </cell>
          <cell r="S8">
            <v>45077</v>
          </cell>
          <cell r="T8">
            <v>45107</v>
          </cell>
        </row>
        <row r="15">
          <cell r="H15">
            <v>10883.08</v>
          </cell>
          <cell r="I15">
            <v>10883.08</v>
          </cell>
          <cell r="J15">
            <v>10883.08</v>
          </cell>
          <cell r="K15">
            <v>10883.08</v>
          </cell>
          <cell r="L15">
            <v>10883.08</v>
          </cell>
          <cell r="M15">
            <v>10883.08</v>
          </cell>
          <cell r="N15">
            <v>10883.08</v>
          </cell>
          <cell r="O15">
            <v>10883.08</v>
          </cell>
          <cell r="P15">
            <v>10883.08</v>
          </cell>
          <cell r="Q15">
            <v>10883.08</v>
          </cell>
          <cell r="R15">
            <v>10883.08</v>
          </cell>
          <cell r="S15">
            <v>10883.08</v>
          </cell>
          <cell r="T15">
            <v>10883.08</v>
          </cell>
        </row>
        <row r="16">
          <cell r="H16">
            <v>2213069.2999999998</v>
          </cell>
          <cell r="I16">
            <v>2213069.2999999998</v>
          </cell>
          <cell r="J16">
            <v>2213069.2999999998</v>
          </cell>
          <cell r="K16">
            <v>2213069.2999999998</v>
          </cell>
          <cell r="L16">
            <v>2213069.2999999998</v>
          </cell>
          <cell r="M16">
            <v>2213069.2999999998</v>
          </cell>
          <cell r="N16">
            <v>2213069.2999999998</v>
          </cell>
          <cell r="O16">
            <v>2213069.2999999998</v>
          </cell>
          <cell r="P16">
            <v>2213069.2999999998</v>
          </cell>
          <cell r="Q16">
            <v>2213069.2999999998</v>
          </cell>
          <cell r="R16">
            <v>2213069.3000000003</v>
          </cell>
          <cell r="S16">
            <v>3995351.57</v>
          </cell>
          <cell r="T16">
            <v>5145474.16</v>
          </cell>
        </row>
        <row r="17">
          <cell r="O17">
            <v>0</v>
          </cell>
          <cell r="P17">
            <v>1713847.82</v>
          </cell>
          <cell r="Q17">
            <v>1713847.82</v>
          </cell>
          <cell r="R17">
            <v>2303786.69</v>
          </cell>
          <cell r="S17">
            <v>2304347.89</v>
          </cell>
          <cell r="T17">
            <v>2304347.89</v>
          </cell>
        </row>
        <row r="21">
          <cell r="H21">
            <v>6266764.3399999999</v>
          </cell>
          <cell r="I21">
            <v>6266764.3399999999</v>
          </cell>
          <cell r="J21">
            <v>6266764.3399999999</v>
          </cell>
          <cell r="K21">
            <v>6266764.3399999999</v>
          </cell>
          <cell r="L21">
            <v>6266764.3399999999</v>
          </cell>
          <cell r="M21">
            <v>6266764.3399999999</v>
          </cell>
          <cell r="N21">
            <v>6266764.3399999999</v>
          </cell>
          <cell r="O21">
            <v>6266764.3399999999</v>
          </cell>
          <cell r="P21">
            <v>6266764.3399999999</v>
          </cell>
          <cell r="Q21">
            <v>6266764.3399999999</v>
          </cell>
          <cell r="R21">
            <v>6266764.3399999999</v>
          </cell>
          <cell r="S21">
            <v>6266764.3399999999</v>
          </cell>
          <cell r="T21">
            <v>6266764.3399999999</v>
          </cell>
        </row>
        <row r="22">
          <cell r="H22">
            <v>1437704.3400000003</v>
          </cell>
          <cell r="I22">
            <v>1437704.3400000003</v>
          </cell>
          <cell r="J22">
            <v>1437704.3400000003</v>
          </cell>
          <cell r="K22">
            <v>1437704.3400000003</v>
          </cell>
          <cell r="L22">
            <v>1437704.3400000003</v>
          </cell>
          <cell r="M22">
            <v>1437704.3400000003</v>
          </cell>
          <cell r="N22">
            <v>1437704.3400000003</v>
          </cell>
          <cell r="O22">
            <v>1437704.3400000003</v>
          </cell>
          <cell r="P22">
            <v>1437704.3400000003</v>
          </cell>
          <cell r="Q22">
            <v>1437704.3400000003</v>
          </cell>
          <cell r="R22">
            <v>1437704.3400000003</v>
          </cell>
          <cell r="S22">
            <v>1437704.3400000003</v>
          </cell>
          <cell r="T22">
            <v>1437704.3400000003</v>
          </cell>
        </row>
        <row r="23">
          <cell r="H23">
            <v>52175293.810000002</v>
          </cell>
          <cell r="I23">
            <v>52175293.810000002</v>
          </cell>
          <cell r="J23">
            <v>52175293.810000002</v>
          </cell>
          <cell r="K23">
            <v>52175293.810000002</v>
          </cell>
          <cell r="L23">
            <v>52175293.810000002</v>
          </cell>
          <cell r="M23">
            <v>52175293.810000002</v>
          </cell>
          <cell r="N23">
            <v>52175293.810000002</v>
          </cell>
          <cell r="O23">
            <v>52175293.810000002</v>
          </cell>
          <cell r="P23">
            <v>52175293.810000002</v>
          </cell>
          <cell r="Q23">
            <v>52175293.810000002</v>
          </cell>
          <cell r="R23">
            <v>52175293.810000002</v>
          </cell>
          <cell r="S23">
            <v>52175293.810000002</v>
          </cell>
          <cell r="T23">
            <v>52175293.810000002</v>
          </cell>
        </row>
        <row r="24">
          <cell r="H24">
            <v>17216356.050000001</v>
          </cell>
          <cell r="I24">
            <v>17216356.050000001</v>
          </cell>
          <cell r="J24">
            <v>17216356.050000001</v>
          </cell>
          <cell r="K24">
            <v>17216356.050000001</v>
          </cell>
          <cell r="L24">
            <v>17216356.050000001</v>
          </cell>
          <cell r="M24">
            <v>17216356.050000001</v>
          </cell>
          <cell r="N24">
            <v>17216356.050000001</v>
          </cell>
          <cell r="O24">
            <v>17216356.050000001</v>
          </cell>
          <cell r="P24">
            <v>17216356.050000001</v>
          </cell>
          <cell r="Q24">
            <v>17216356.050000001</v>
          </cell>
          <cell r="R24">
            <v>17216356.050000001</v>
          </cell>
          <cell r="S24">
            <v>17216356.050000001</v>
          </cell>
          <cell r="T24">
            <v>17216356.050000001</v>
          </cell>
        </row>
        <row r="25">
          <cell r="H25">
            <v>2693816.12</v>
          </cell>
          <cell r="I25">
            <v>2693816.12</v>
          </cell>
          <cell r="J25">
            <v>2693816.12</v>
          </cell>
          <cell r="K25">
            <v>2693816.12</v>
          </cell>
          <cell r="L25">
            <v>2693816.12</v>
          </cell>
          <cell r="M25">
            <v>2693816.12</v>
          </cell>
          <cell r="N25">
            <v>2693816.12</v>
          </cell>
          <cell r="O25">
            <v>2693816.12</v>
          </cell>
          <cell r="P25">
            <v>2693816.12</v>
          </cell>
          <cell r="Q25">
            <v>2693816.12</v>
          </cell>
          <cell r="R25">
            <v>2693816.12</v>
          </cell>
          <cell r="S25">
            <v>2693816.12</v>
          </cell>
          <cell r="T25">
            <v>2693816.12</v>
          </cell>
        </row>
        <row r="26">
          <cell r="H26">
            <v>57014.71</v>
          </cell>
          <cell r="I26">
            <v>57014.71</v>
          </cell>
          <cell r="J26">
            <v>57014.71</v>
          </cell>
          <cell r="K26">
            <v>57014.71</v>
          </cell>
          <cell r="L26">
            <v>57014.71</v>
          </cell>
          <cell r="M26">
            <v>57014.71</v>
          </cell>
          <cell r="N26">
            <v>57014.71</v>
          </cell>
          <cell r="O26">
            <v>57014.71</v>
          </cell>
          <cell r="P26">
            <v>57014.71</v>
          </cell>
          <cell r="Q26">
            <v>57014.71</v>
          </cell>
          <cell r="R26">
            <v>57014.71</v>
          </cell>
          <cell r="S26">
            <v>57014.71</v>
          </cell>
          <cell r="T26">
            <v>57014.71</v>
          </cell>
        </row>
        <row r="27">
          <cell r="H27">
            <v>121186.63</v>
          </cell>
          <cell r="I27">
            <v>121186.63</v>
          </cell>
          <cell r="J27">
            <v>121186.63</v>
          </cell>
          <cell r="K27">
            <v>121186.63</v>
          </cell>
          <cell r="L27">
            <v>121186.63</v>
          </cell>
          <cell r="M27">
            <v>121186.63</v>
          </cell>
          <cell r="N27">
            <v>121186.63</v>
          </cell>
          <cell r="O27">
            <v>121186.63</v>
          </cell>
          <cell r="P27">
            <v>121186.63</v>
          </cell>
          <cell r="Q27">
            <v>121186.63</v>
          </cell>
          <cell r="R27">
            <v>121186.63</v>
          </cell>
          <cell r="S27">
            <v>121186.63</v>
          </cell>
          <cell r="T27">
            <v>121186.63</v>
          </cell>
        </row>
        <row r="33">
          <cell r="H33">
            <v>451318.04000000004</v>
          </cell>
          <cell r="I33">
            <v>451318.04000000004</v>
          </cell>
          <cell r="J33">
            <v>451318.04000000004</v>
          </cell>
          <cell r="K33">
            <v>451318.04000000004</v>
          </cell>
          <cell r="L33">
            <v>451318.04000000004</v>
          </cell>
          <cell r="M33">
            <v>451318.04000000004</v>
          </cell>
          <cell r="N33">
            <v>451318.04000000004</v>
          </cell>
          <cell r="O33">
            <v>451318.04000000004</v>
          </cell>
          <cell r="P33">
            <v>451318.04000000004</v>
          </cell>
          <cell r="Q33">
            <v>451318.04000000004</v>
          </cell>
          <cell r="R33">
            <v>451318.04000000004</v>
          </cell>
          <cell r="S33">
            <v>451318.04000000004</v>
          </cell>
          <cell r="T33">
            <v>451318.04000000004</v>
          </cell>
        </row>
        <row r="34">
          <cell r="H34">
            <v>24337772.84</v>
          </cell>
          <cell r="I34">
            <v>24339292.84</v>
          </cell>
          <cell r="J34">
            <v>24340297.84</v>
          </cell>
          <cell r="K34">
            <v>24340297.84</v>
          </cell>
          <cell r="L34">
            <v>24340297.84</v>
          </cell>
          <cell r="M34">
            <v>24343860.93</v>
          </cell>
          <cell r="N34">
            <v>24343860.93</v>
          </cell>
          <cell r="O34">
            <v>24582881.190000001</v>
          </cell>
          <cell r="P34">
            <v>24784179.110000003</v>
          </cell>
          <cell r="Q34">
            <v>24787578.090000004</v>
          </cell>
          <cell r="R34">
            <v>25052279.990000002</v>
          </cell>
          <cell r="S34">
            <v>25055510.130000003</v>
          </cell>
          <cell r="T34">
            <v>25055539.260000002</v>
          </cell>
        </row>
        <row r="38">
          <cell r="H38">
            <v>1730202.8399999999</v>
          </cell>
          <cell r="I38">
            <v>1730202.8399999999</v>
          </cell>
          <cell r="J38">
            <v>1730202.8399999999</v>
          </cell>
          <cell r="K38">
            <v>1730202.8399999999</v>
          </cell>
          <cell r="L38">
            <v>1730202.8399999999</v>
          </cell>
          <cell r="M38">
            <v>1730202.8399999999</v>
          </cell>
          <cell r="N38">
            <v>1730202.8399999999</v>
          </cell>
          <cell r="O38">
            <v>1730202.8399999999</v>
          </cell>
          <cell r="P38">
            <v>1730202.8399999999</v>
          </cell>
          <cell r="Q38">
            <v>1730202.8399999999</v>
          </cell>
          <cell r="R38">
            <v>1730202.8399999999</v>
          </cell>
          <cell r="S38">
            <v>1730202.8399999999</v>
          </cell>
          <cell r="T38">
            <v>1730202.8399999999</v>
          </cell>
        </row>
        <row r="39">
          <cell r="H39">
            <v>18699767.50999999</v>
          </cell>
          <cell r="I39">
            <v>18699767.50999999</v>
          </cell>
          <cell r="J39">
            <v>18699767.50999999</v>
          </cell>
          <cell r="K39">
            <v>18699767.50999999</v>
          </cell>
          <cell r="L39">
            <v>18699767.50999999</v>
          </cell>
          <cell r="M39">
            <v>18699767.50999999</v>
          </cell>
          <cell r="N39">
            <v>18699767.50999999</v>
          </cell>
          <cell r="O39">
            <v>18699767.50999999</v>
          </cell>
          <cell r="P39">
            <v>19123818.859999992</v>
          </cell>
          <cell r="Q39">
            <v>19123924.789999992</v>
          </cell>
          <cell r="R39">
            <v>19123924.789999992</v>
          </cell>
          <cell r="S39">
            <v>19123777.989999991</v>
          </cell>
          <cell r="T39">
            <v>19123777.989999991</v>
          </cell>
        </row>
        <row r="46">
          <cell r="H46">
            <v>60512422.789999999</v>
          </cell>
          <cell r="I46">
            <v>60512422.789999999</v>
          </cell>
          <cell r="J46">
            <v>61273803.969999999</v>
          </cell>
          <cell r="K46">
            <v>61409886.509999998</v>
          </cell>
          <cell r="L46">
            <v>61409886.509999998</v>
          </cell>
          <cell r="M46">
            <v>61399036.899999999</v>
          </cell>
          <cell r="N46">
            <v>61399066.57</v>
          </cell>
          <cell r="O46">
            <v>61399066.57</v>
          </cell>
          <cell r="P46">
            <v>61399066.57</v>
          </cell>
          <cell r="Q46">
            <v>61804099.899999999</v>
          </cell>
          <cell r="R46">
            <v>61804099.899999999</v>
          </cell>
          <cell r="S46">
            <v>62222139.109999999</v>
          </cell>
          <cell r="T46">
            <v>62370692.479999997</v>
          </cell>
        </row>
        <row r="50">
          <cell r="H50">
            <v>2091489875.3199992</v>
          </cell>
          <cell r="I50">
            <v>2115601618.0699992</v>
          </cell>
          <cell r="J50">
            <v>2119541943.4499991</v>
          </cell>
          <cell r="K50">
            <v>2128411059.3199995</v>
          </cell>
          <cell r="L50">
            <v>2129206032.1199996</v>
          </cell>
          <cell r="M50">
            <v>2137066271.6399994</v>
          </cell>
          <cell r="N50">
            <v>2178466918.4599991</v>
          </cell>
          <cell r="O50">
            <v>2180296021.6999989</v>
          </cell>
          <cell r="P50">
            <v>2188735340.5499988</v>
          </cell>
          <cell r="Q50">
            <v>2193611971.019999</v>
          </cell>
          <cell r="R50">
            <v>2196987854.2999992</v>
          </cell>
          <cell r="S50">
            <v>2233482262.079999</v>
          </cell>
          <cell r="T50">
            <v>2237739480.999999</v>
          </cell>
        </row>
        <row r="54">
          <cell r="H54">
            <v>0</v>
          </cell>
          <cell r="I54">
            <v>0</v>
          </cell>
          <cell r="J54">
            <v>99725.57</v>
          </cell>
          <cell r="K54">
            <v>99725.57</v>
          </cell>
          <cell r="L54">
            <v>99725.57</v>
          </cell>
          <cell r="M54">
            <v>99725.57</v>
          </cell>
          <cell r="N54">
            <v>99725.57</v>
          </cell>
          <cell r="O54">
            <v>99725.57</v>
          </cell>
          <cell r="P54">
            <v>99725.57</v>
          </cell>
          <cell r="Q54">
            <v>99725.57</v>
          </cell>
          <cell r="R54">
            <v>99725.57</v>
          </cell>
          <cell r="S54">
            <v>99725.57</v>
          </cell>
          <cell r="T54">
            <v>99725.57</v>
          </cell>
        </row>
        <row r="55">
          <cell r="H55">
            <v>16267682.99</v>
          </cell>
          <cell r="I55">
            <v>16267682.99</v>
          </cell>
          <cell r="J55">
            <v>16267682.99</v>
          </cell>
          <cell r="K55">
            <v>16267682.99</v>
          </cell>
          <cell r="L55">
            <v>16267682.99</v>
          </cell>
          <cell r="M55">
            <v>16267682.99</v>
          </cell>
          <cell r="N55">
            <v>16267682.99</v>
          </cell>
          <cell r="O55">
            <v>16267682.99</v>
          </cell>
          <cell r="P55">
            <v>16297329.370000001</v>
          </cell>
          <cell r="Q55">
            <v>16297329.370000001</v>
          </cell>
          <cell r="R55">
            <v>16297329.370000001</v>
          </cell>
          <cell r="S55">
            <v>16297329.370000001</v>
          </cell>
          <cell r="T55">
            <v>16297329.370000001</v>
          </cell>
        </row>
        <row r="59">
          <cell r="H59">
            <v>8373578.5999999996</v>
          </cell>
          <cell r="I59">
            <v>8373578.5999999996</v>
          </cell>
          <cell r="J59">
            <v>9454921.9299999997</v>
          </cell>
          <cell r="K59">
            <v>9454921.9299999997</v>
          </cell>
          <cell r="L59">
            <v>9455591.6500000004</v>
          </cell>
          <cell r="M59">
            <v>9435237.9499999993</v>
          </cell>
          <cell r="N59">
            <v>9435237.9499999993</v>
          </cell>
          <cell r="O59">
            <v>9440959.9100000001</v>
          </cell>
          <cell r="P59">
            <v>9440959.9100000001</v>
          </cell>
          <cell r="Q59">
            <v>9440959.9100000001</v>
          </cell>
          <cell r="R59">
            <v>9440959.9100000001</v>
          </cell>
          <cell r="S59">
            <v>9440959.9100000001</v>
          </cell>
          <cell r="T59">
            <v>9440989.0399999991</v>
          </cell>
        </row>
        <row r="60">
          <cell r="H60">
            <v>138272843.69999999</v>
          </cell>
          <cell r="I60">
            <v>140447947.42999998</v>
          </cell>
          <cell r="J60">
            <v>139657056.57999995</v>
          </cell>
          <cell r="K60">
            <v>140012828.69999996</v>
          </cell>
          <cell r="L60">
            <v>141220474.54999995</v>
          </cell>
          <cell r="M60">
            <v>142896189.98999998</v>
          </cell>
          <cell r="N60">
            <v>147419557.04999998</v>
          </cell>
          <cell r="O60">
            <v>149201950.89999998</v>
          </cell>
          <cell r="P60">
            <v>152834035.34999996</v>
          </cell>
          <cell r="Q60">
            <v>153857110.79999995</v>
          </cell>
          <cell r="R60">
            <v>155000981.00999996</v>
          </cell>
          <cell r="S60">
            <v>155187321.16999996</v>
          </cell>
          <cell r="T60">
            <v>155535743.92999995</v>
          </cell>
        </row>
        <row r="64">
          <cell r="H64">
            <v>21911421.41</v>
          </cell>
          <cell r="I64">
            <v>21911421.41</v>
          </cell>
          <cell r="J64">
            <v>21911421.41</v>
          </cell>
          <cell r="K64">
            <v>21911421.41</v>
          </cell>
          <cell r="L64">
            <v>22204316.140000001</v>
          </cell>
          <cell r="M64">
            <v>22204316.140000001</v>
          </cell>
          <cell r="N64">
            <v>22190802.800000001</v>
          </cell>
          <cell r="O64">
            <v>22190802.800000001</v>
          </cell>
          <cell r="P64">
            <v>22190802.800000001</v>
          </cell>
          <cell r="Q64">
            <v>22190802.800000001</v>
          </cell>
          <cell r="R64">
            <v>22190802.800000001</v>
          </cell>
          <cell r="S64">
            <v>22190802.800000001</v>
          </cell>
          <cell r="T64">
            <v>22190802.800000001</v>
          </cell>
        </row>
        <row r="65">
          <cell r="H65">
            <v>420219789.01000005</v>
          </cell>
          <cell r="I65">
            <v>420219789.01000005</v>
          </cell>
          <cell r="J65">
            <v>420219789.01000005</v>
          </cell>
          <cell r="K65">
            <v>420217596.93000007</v>
          </cell>
          <cell r="L65">
            <v>420217596.93000013</v>
          </cell>
          <cell r="M65">
            <v>420217596.93000013</v>
          </cell>
          <cell r="N65">
            <v>420031218.00000012</v>
          </cell>
          <cell r="O65">
            <v>420031218.00000012</v>
          </cell>
          <cell r="P65">
            <v>420031076.50000012</v>
          </cell>
          <cell r="Q65">
            <v>420031076.50000012</v>
          </cell>
          <cell r="R65">
            <v>420031076.50000012</v>
          </cell>
          <cell r="S65">
            <v>420031076.50000012</v>
          </cell>
          <cell r="T65">
            <v>420009417.19000012</v>
          </cell>
        </row>
        <row r="69">
          <cell r="H69">
            <v>10375938.16</v>
          </cell>
          <cell r="I69">
            <v>10375938.16</v>
          </cell>
          <cell r="J69">
            <v>10373806.26</v>
          </cell>
          <cell r="K69">
            <v>10373806.26</v>
          </cell>
          <cell r="L69">
            <v>10373749.42</v>
          </cell>
          <cell r="M69">
            <v>10373749.42</v>
          </cell>
          <cell r="N69">
            <v>10373749.42</v>
          </cell>
          <cell r="O69">
            <v>10373749.42</v>
          </cell>
          <cell r="P69">
            <v>10373749.42</v>
          </cell>
          <cell r="Q69">
            <v>10373749.42</v>
          </cell>
          <cell r="R69">
            <v>10373749.42</v>
          </cell>
          <cell r="S69">
            <v>10371781.85</v>
          </cell>
          <cell r="T69">
            <v>10371128.219999999</v>
          </cell>
        </row>
        <row r="70">
          <cell r="H70">
            <v>399776930.60957295</v>
          </cell>
          <cell r="I70">
            <v>400353154.45957291</v>
          </cell>
          <cell r="J70">
            <v>400288745.22957295</v>
          </cell>
          <cell r="K70">
            <v>400288819.67957294</v>
          </cell>
          <cell r="L70">
            <v>400406157.85957295</v>
          </cell>
          <cell r="M70">
            <v>400406157.85957295</v>
          </cell>
          <cell r="N70">
            <v>400378500.85957295</v>
          </cell>
          <cell r="O70">
            <v>400294310.53957295</v>
          </cell>
          <cell r="P70">
            <v>400320565.44957298</v>
          </cell>
          <cell r="Q70">
            <v>400320565.44957298</v>
          </cell>
          <cell r="R70">
            <v>400286319.24957299</v>
          </cell>
          <cell r="S70">
            <v>400236497.76957297</v>
          </cell>
          <cell r="T70">
            <v>400193989.78957307</v>
          </cell>
        </row>
        <row r="74">
          <cell r="H74">
            <v>440052.27</v>
          </cell>
          <cell r="I74">
            <v>440052.27</v>
          </cell>
          <cell r="J74">
            <v>440052.27</v>
          </cell>
          <cell r="K74">
            <v>440052.27</v>
          </cell>
          <cell r="L74">
            <v>440052.27</v>
          </cell>
          <cell r="M74">
            <v>440052.27</v>
          </cell>
          <cell r="N74">
            <v>440052.27</v>
          </cell>
          <cell r="O74">
            <v>440052.27</v>
          </cell>
          <cell r="P74">
            <v>440052.27</v>
          </cell>
          <cell r="Q74">
            <v>440052.27</v>
          </cell>
          <cell r="R74">
            <v>440052.27</v>
          </cell>
          <cell r="S74">
            <v>440052.27</v>
          </cell>
          <cell r="T74">
            <v>440052.27</v>
          </cell>
        </row>
        <row r="75">
          <cell r="H75">
            <v>14227956.720000001</v>
          </cell>
          <cell r="I75">
            <v>14227956.720000001</v>
          </cell>
          <cell r="J75">
            <v>14227956.720000001</v>
          </cell>
          <cell r="K75">
            <v>14227956.720000001</v>
          </cell>
          <cell r="L75">
            <v>14227956.720000001</v>
          </cell>
          <cell r="M75">
            <v>14227956.720000001</v>
          </cell>
          <cell r="N75">
            <v>14227956.720000001</v>
          </cell>
          <cell r="O75">
            <v>14227956.720000001</v>
          </cell>
          <cell r="P75">
            <v>14227956.720000001</v>
          </cell>
          <cell r="Q75">
            <v>14227956.720000001</v>
          </cell>
          <cell r="R75">
            <v>14227956.720000001</v>
          </cell>
          <cell r="S75">
            <v>14227956.720000001</v>
          </cell>
          <cell r="T75">
            <v>14227956.720000001</v>
          </cell>
        </row>
        <row r="79">
          <cell r="H79">
            <v>202488.79</v>
          </cell>
          <cell r="I79">
            <v>202488.79</v>
          </cell>
          <cell r="J79">
            <v>202488.79</v>
          </cell>
          <cell r="K79">
            <v>202488.79</v>
          </cell>
          <cell r="L79">
            <v>202488.79</v>
          </cell>
          <cell r="M79">
            <v>202488.79</v>
          </cell>
          <cell r="N79">
            <v>202488.79</v>
          </cell>
          <cell r="O79">
            <v>202488.79</v>
          </cell>
          <cell r="P79">
            <v>202488.79</v>
          </cell>
          <cell r="Q79">
            <v>810863.27</v>
          </cell>
          <cell r="R79">
            <v>810863.27</v>
          </cell>
          <cell r="S79">
            <v>810863.27</v>
          </cell>
          <cell r="T79">
            <v>810863.27</v>
          </cell>
        </row>
        <row r="80">
          <cell r="H80">
            <v>3428318.4000000004</v>
          </cell>
          <cell r="I80">
            <v>3428318.4000000004</v>
          </cell>
          <cell r="J80">
            <v>3722957.8500000006</v>
          </cell>
          <cell r="K80">
            <v>3722957.8500000006</v>
          </cell>
          <cell r="L80">
            <v>3715486.5100000007</v>
          </cell>
          <cell r="M80">
            <v>3715688.3100000005</v>
          </cell>
          <cell r="N80">
            <v>4039910.8000000007</v>
          </cell>
          <cell r="O80">
            <v>4039910.8000000007</v>
          </cell>
          <cell r="P80">
            <v>5924646.2400000012</v>
          </cell>
          <cell r="Q80">
            <v>5331922.4300000016</v>
          </cell>
          <cell r="R80">
            <v>5331922.4300000016</v>
          </cell>
          <cell r="S80">
            <v>6213139.6800000016</v>
          </cell>
          <cell r="T80">
            <v>6213197.9400000013</v>
          </cell>
        </row>
        <row r="87">
          <cell r="H87">
            <v>11584.02</v>
          </cell>
          <cell r="I87">
            <v>11584.02</v>
          </cell>
          <cell r="J87">
            <v>11584.02</v>
          </cell>
          <cell r="K87">
            <v>11584.02</v>
          </cell>
          <cell r="L87">
            <v>15124.380000000001</v>
          </cell>
          <cell r="M87">
            <v>15216.960000000001</v>
          </cell>
          <cell r="N87">
            <v>15216.960000000001</v>
          </cell>
          <cell r="O87">
            <v>15216.960000000001</v>
          </cell>
          <cell r="P87">
            <v>15216.960000000001</v>
          </cell>
          <cell r="Q87">
            <v>15216.960000000001</v>
          </cell>
          <cell r="R87">
            <v>15216.960000000001</v>
          </cell>
          <cell r="S87">
            <v>15216.960000000001</v>
          </cell>
          <cell r="T87">
            <v>15216.960000000001</v>
          </cell>
        </row>
        <row r="88">
          <cell r="H88">
            <v>9773606.5699999984</v>
          </cell>
          <cell r="I88">
            <v>9773606.5699999984</v>
          </cell>
          <cell r="J88">
            <v>9773606.5699999984</v>
          </cell>
          <cell r="K88">
            <v>9773606.5699999984</v>
          </cell>
          <cell r="L88">
            <v>9774391.6099999975</v>
          </cell>
          <cell r="M88">
            <v>9774629.1099999975</v>
          </cell>
          <cell r="N88">
            <v>9783463.4699999969</v>
          </cell>
          <cell r="O88">
            <v>9799474.5799999963</v>
          </cell>
          <cell r="P88">
            <v>9912468.6699999962</v>
          </cell>
          <cell r="Q88">
            <v>9913832.4199999962</v>
          </cell>
          <cell r="R88">
            <v>9913832.4199999962</v>
          </cell>
          <cell r="S88">
            <v>9913861.6199999955</v>
          </cell>
          <cell r="T88">
            <v>9913956.6199999955</v>
          </cell>
        </row>
        <row r="92">
          <cell r="H92">
            <v>6321488.3300000001</v>
          </cell>
          <cell r="I92">
            <v>6321488.3300000001</v>
          </cell>
          <cell r="J92">
            <v>6321488.3300000001</v>
          </cell>
          <cell r="K92">
            <v>6321488.3300000001</v>
          </cell>
          <cell r="L92">
            <v>6321488.3300000001</v>
          </cell>
          <cell r="M92">
            <v>6343806.3499999996</v>
          </cell>
          <cell r="N92">
            <v>6343806.3499999996</v>
          </cell>
          <cell r="O92">
            <v>6343806.3499999996</v>
          </cell>
          <cell r="P92">
            <v>6343806.3499999996</v>
          </cell>
          <cell r="Q92">
            <v>7121330.1399999997</v>
          </cell>
          <cell r="R92">
            <v>7121330.1399999997</v>
          </cell>
          <cell r="S92">
            <v>7121330.1399999997</v>
          </cell>
          <cell r="T92">
            <v>7121330.1399999997</v>
          </cell>
        </row>
        <row r="93">
          <cell r="H93">
            <v>45029463.009999931</v>
          </cell>
          <cell r="I93">
            <v>45128469.199999914</v>
          </cell>
          <cell r="J93">
            <v>45204988.149999931</v>
          </cell>
          <cell r="K93">
            <v>45194621.079999946</v>
          </cell>
          <cell r="L93">
            <v>45196129.379999936</v>
          </cell>
          <cell r="M93">
            <v>47084815.039999977</v>
          </cell>
          <cell r="N93">
            <v>47143463.309999965</v>
          </cell>
          <cell r="O93">
            <v>47145512.719999924</v>
          </cell>
          <cell r="P93">
            <v>49205942.949999928</v>
          </cell>
          <cell r="Q93">
            <v>48520431.349999927</v>
          </cell>
          <cell r="R93">
            <v>48632505.369999953</v>
          </cell>
          <cell r="S93">
            <v>48633786.889999941</v>
          </cell>
          <cell r="T93">
            <v>48633786.889999963</v>
          </cell>
        </row>
        <row r="94">
          <cell r="H94">
            <v>53849849.990000069</v>
          </cell>
          <cell r="I94">
            <v>53849849.990000084</v>
          </cell>
          <cell r="J94">
            <v>53849849.990000069</v>
          </cell>
          <cell r="K94">
            <v>53849849.990000062</v>
          </cell>
          <cell r="L94">
            <v>53849849.990000069</v>
          </cell>
          <cell r="M94">
            <v>53849849.990000032</v>
          </cell>
          <cell r="N94">
            <v>53849849.990000039</v>
          </cell>
          <cell r="O94">
            <v>53849849.990000077</v>
          </cell>
          <cell r="P94">
            <v>53849849.990000077</v>
          </cell>
          <cell r="Q94">
            <v>53849849.990000077</v>
          </cell>
          <cell r="R94">
            <v>53849849.990000047</v>
          </cell>
          <cell r="S94">
            <v>53849849.990000054</v>
          </cell>
          <cell r="T94">
            <v>53849849.990000032</v>
          </cell>
        </row>
        <row r="98">
          <cell r="H98">
            <v>131774.12</v>
          </cell>
          <cell r="I98">
            <v>131774.12</v>
          </cell>
          <cell r="J98">
            <v>131774.12</v>
          </cell>
          <cell r="K98">
            <v>131774.12</v>
          </cell>
          <cell r="L98">
            <v>131774.12</v>
          </cell>
          <cell r="M98">
            <v>170984.29</v>
          </cell>
          <cell r="N98">
            <v>170984.29</v>
          </cell>
          <cell r="O98">
            <v>170984.29</v>
          </cell>
          <cell r="P98">
            <v>170984.29</v>
          </cell>
          <cell r="Q98">
            <v>170984.29</v>
          </cell>
          <cell r="R98">
            <v>170984.29</v>
          </cell>
          <cell r="S98">
            <v>170984.29</v>
          </cell>
          <cell r="T98">
            <v>170984.29</v>
          </cell>
        </row>
        <row r="99">
          <cell r="H99">
            <v>13969895.099999996</v>
          </cell>
          <cell r="I99">
            <v>13990154.969999993</v>
          </cell>
          <cell r="J99">
            <v>13987587.490000011</v>
          </cell>
          <cell r="K99">
            <v>13971660.370000007</v>
          </cell>
          <cell r="L99">
            <v>13969048.39000001</v>
          </cell>
          <cell r="M99">
            <v>14063733.320000011</v>
          </cell>
          <cell r="N99">
            <v>14101584.700000014</v>
          </cell>
          <cell r="O99">
            <v>14098970.070000008</v>
          </cell>
          <cell r="P99">
            <v>16250486.970000006</v>
          </cell>
          <cell r="Q99">
            <v>16247870.540000007</v>
          </cell>
          <cell r="R99">
            <v>16245246.000000011</v>
          </cell>
          <cell r="S99">
            <v>17003304.540000007</v>
          </cell>
          <cell r="T99">
            <v>17000678.300000004</v>
          </cell>
        </row>
        <row r="100">
          <cell r="H100">
            <v>31476469.139999989</v>
          </cell>
          <cell r="I100">
            <v>31453642.519999992</v>
          </cell>
          <cell r="J100">
            <v>31453642.519999977</v>
          </cell>
          <cell r="K100">
            <v>31453642.519999985</v>
          </cell>
          <cell r="L100">
            <v>31453642.519999985</v>
          </cell>
          <cell r="M100">
            <v>31453642.519999985</v>
          </cell>
          <cell r="N100">
            <v>31453642.519999985</v>
          </cell>
          <cell r="O100">
            <v>31456142.519999988</v>
          </cell>
          <cell r="P100">
            <v>31456142.519999988</v>
          </cell>
          <cell r="Q100">
            <v>31456142.519999988</v>
          </cell>
          <cell r="R100">
            <v>31456142.519999985</v>
          </cell>
          <cell r="S100">
            <v>31456142.519999988</v>
          </cell>
          <cell r="T100">
            <v>31456142.519999988</v>
          </cell>
        </row>
        <row r="104">
          <cell r="H104">
            <v>2596495.7999999998</v>
          </cell>
          <cell r="I104">
            <v>2596495.7999999998</v>
          </cell>
          <cell r="J104">
            <v>2605635.92</v>
          </cell>
          <cell r="K104">
            <v>2605635.92</v>
          </cell>
          <cell r="L104">
            <v>2598164.58</v>
          </cell>
          <cell r="M104">
            <v>2770303.92</v>
          </cell>
          <cell r="N104">
            <v>2782873.8</v>
          </cell>
          <cell r="O104">
            <v>2782873.8</v>
          </cell>
          <cell r="P104">
            <v>2782873.8</v>
          </cell>
          <cell r="Q104">
            <v>2792391.44</v>
          </cell>
          <cell r="R104">
            <v>2826289.69</v>
          </cell>
          <cell r="S104">
            <v>2826289.69</v>
          </cell>
          <cell r="T104">
            <v>2856580.39</v>
          </cell>
        </row>
        <row r="105">
          <cell r="H105">
            <v>50483006.280000016</v>
          </cell>
          <cell r="I105">
            <v>50506644.110000014</v>
          </cell>
          <cell r="J105">
            <v>51076476.330000013</v>
          </cell>
          <cell r="K105">
            <v>51197002.150000013</v>
          </cell>
          <cell r="L105">
            <v>51197342.920000017</v>
          </cell>
          <cell r="M105">
            <v>52605291.860000014</v>
          </cell>
          <cell r="N105">
            <v>54010546.800000019</v>
          </cell>
          <cell r="O105">
            <v>54301991.160000019</v>
          </cell>
          <cell r="P105">
            <v>61921585.180000022</v>
          </cell>
          <cell r="Q105">
            <v>62100604.820000023</v>
          </cell>
          <cell r="R105">
            <v>62348281.160000026</v>
          </cell>
          <cell r="S105">
            <v>62365450.910000026</v>
          </cell>
          <cell r="T105">
            <v>63996788.210000023</v>
          </cell>
        </row>
        <row r="106"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</row>
        <row r="110">
          <cell r="H110">
            <v>12371.89</v>
          </cell>
          <cell r="I110">
            <v>12371.89</v>
          </cell>
          <cell r="J110">
            <v>12371.89</v>
          </cell>
          <cell r="K110">
            <v>12371.89</v>
          </cell>
          <cell r="L110">
            <v>12371.89</v>
          </cell>
          <cell r="M110">
            <v>12371.89</v>
          </cell>
          <cell r="N110">
            <v>12371.89</v>
          </cell>
          <cell r="O110">
            <v>12371.89</v>
          </cell>
          <cell r="P110">
            <v>12371.89</v>
          </cell>
          <cell r="Q110">
            <v>12371.89</v>
          </cell>
          <cell r="R110">
            <v>12371.89</v>
          </cell>
          <cell r="S110">
            <v>12371.89</v>
          </cell>
          <cell r="T110">
            <v>12371.89</v>
          </cell>
        </row>
        <row r="111">
          <cell r="H111">
            <v>52487.310000000005</v>
          </cell>
          <cell r="I111">
            <v>52487.310000000005</v>
          </cell>
          <cell r="J111">
            <v>52487.310000000005</v>
          </cell>
          <cell r="K111">
            <v>52487.310000000005</v>
          </cell>
          <cell r="L111">
            <v>52487.310000000005</v>
          </cell>
          <cell r="M111">
            <v>52487.310000000005</v>
          </cell>
          <cell r="N111">
            <v>52487.310000000005</v>
          </cell>
          <cell r="O111">
            <v>52487.310000000005</v>
          </cell>
          <cell r="P111">
            <v>52487.310000000005</v>
          </cell>
          <cell r="Q111">
            <v>52487.310000000005</v>
          </cell>
          <cell r="R111">
            <v>52487.310000000005</v>
          </cell>
          <cell r="S111">
            <v>52487.310000000005</v>
          </cell>
          <cell r="T111">
            <v>52487.310000000005</v>
          </cell>
        </row>
        <row r="115">
          <cell r="H115">
            <v>2021831.37</v>
          </cell>
          <cell r="I115">
            <v>2021831.37</v>
          </cell>
          <cell r="J115">
            <v>2021831.37</v>
          </cell>
          <cell r="K115">
            <v>2028650.6</v>
          </cell>
          <cell r="L115">
            <v>2028650.6</v>
          </cell>
          <cell r="M115">
            <v>2101916.3199999998</v>
          </cell>
          <cell r="N115">
            <v>2101916.3199999998</v>
          </cell>
          <cell r="O115">
            <v>2101916.3199999998</v>
          </cell>
          <cell r="P115">
            <v>2101916.3199999998</v>
          </cell>
          <cell r="Q115">
            <v>2233524.44</v>
          </cell>
          <cell r="R115">
            <v>2233524.44</v>
          </cell>
          <cell r="S115">
            <v>2238065.4</v>
          </cell>
          <cell r="T115">
            <v>2238065.4</v>
          </cell>
        </row>
        <row r="116">
          <cell r="H116">
            <v>26909488.060000002</v>
          </cell>
          <cell r="I116">
            <v>26953705.200000003</v>
          </cell>
          <cell r="J116">
            <v>27004990.440000001</v>
          </cell>
          <cell r="K116">
            <v>27046421.420000002</v>
          </cell>
          <cell r="L116">
            <v>27100779.040000003</v>
          </cell>
          <cell r="M116">
            <v>29228787.430000003</v>
          </cell>
          <cell r="N116">
            <v>29855735.660000004</v>
          </cell>
          <cell r="O116">
            <v>29968121.630000003</v>
          </cell>
          <cell r="P116">
            <v>30684001.020000003</v>
          </cell>
          <cell r="Q116">
            <v>30602540.550000001</v>
          </cell>
          <cell r="R116">
            <v>30612966.960000001</v>
          </cell>
          <cell r="S116">
            <v>30743169.240000002</v>
          </cell>
          <cell r="T116">
            <v>30743194.490000002</v>
          </cell>
        </row>
        <row r="117"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</row>
        <row r="121"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</row>
        <row r="122">
          <cell r="H122">
            <v>3.637978807091713E-12</v>
          </cell>
          <cell r="I122">
            <v>3.637978807091713E-12</v>
          </cell>
          <cell r="J122">
            <v>3.637978807091713E-12</v>
          </cell>
          <cell r="K122">
            <v>3.637978807091713E-12</v>
          </cell>
          <cell r="L122">
            <v>3.637978807091713E-12</v>
          </cell>
          <cell r="M122">
            <v>3.637978807091713E-12</v>
          </cell>
          <cell r="N122">
            <v>3.637978807091713E-12</v>
          </cell>
          <cell r="O122">
            <v>3.637978807091713E-12</v>
          </cell>
          <cell r="P122">
            <v>3.637978807091713E-12</v>
          </cell>
          <cell r="Q122">
            <v>3.637978807091713E-12</v>
          </cell>
          <cell r="R122">
            <v>3.637978807091713E-12</v>
          </cell>
          <cell r="S122">
            <v>3.637978807091713E-12</v>
          </cell>
          <cell r="T122">
            <v>3.637978807091713E-12</v>
          </cell>
        </row>
        <row r="123"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</row>
        <row r="127">
          <cell r="H127">
            <v>1291370.27</v>
          </cell>
          <cell r="I127">
            <v>1291370.27</v>
          </cell>
          <cell r="J127">
            <v>1291370.27</v>
          </cell>
          <cell r="K127">
            <v>1291370.27</v>
          </cell>
          <cell r="L127">
            <v>1291370.27</v>
          </cell>
          <cell r="M127">
            <v>1291370.27</v>
          </cell>
          <cell r="N127">
            <v>1291370.27</v>
          </cell>
          <cell r="O127">
            <v>1291370.27</v>
          </cell>
          <cell r="P127">
            <v>1291370.27</v>
          </cell>
          <cell r="Q127">
            <v>1291370.27</v>
          </cell>
          <cell r="R127">
            <v>1291370.27</v>
          </cell>
          <cell r="S127">
            <v>1291370.27</v>
          </cell>
          <cell r="T127">
            <v>1276486.77</v>
          </cell>
        </row>
        <row r="128">
          <cell r="H128">
            <v>15178306.790000001</v>
          </cell>
          <cell r="I128">
            <v>15178306.790000001</v>
          </cell>
          <cell r="J128">
            <v>15186011.130000001</v>
          </cell>
          <cell r="K128">
            <v>15186011.130000001</v>
          </cell>
          <cell r="L128">
            <v>15186011.130000001</v>
          </cell>
          <cell r="M128">
            <v>16634519.48</v>
          </cell>
          <cell r="N128">
            <v>16622667.09</v>
          </cell>
          <cell r="O128">
            <v>16456493.84</v>
          </cell>
          <cell r="P128">
            <v>16463629.07</v>
          </cell>
          <cell r="Q128">
            <v>16463629.07</v>
          </cell>
          <cell r="R128">
            <v>16463629.07</v>
          </cell>
          <cell r="S128">
            <v>16463629.07</v>
          </cell>
          <cell r="T128">
            <v>16580901.280000001</v>
          </cell>
        </row>
        <row r="129"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</row>
        <row r="133">
          <cell r="H133">
            <v>3108904.31</v>
          </cell>
          <cell r="I133">
            <v>3108904.31</v>
          </cell>
          <cell r="J133">
            <v>3108904.31</v>
          </cell>
          <cell r="K133">
            <v>3108904.31</v>
          </cell>
          <cell r="L133">
            <v>3108904.31</v>
          </cell>
          <cell r="M133">
            <v>3108904.31</v>
          </cell>
          <cell r="N133">
            <v>3108904.31</v>
          </cell>
          <cell r="O133">
            <v>3108904.31</v>
          </cell>
          <cell r="P133">
            <v>3108904.31</v>
          </cell>
          <cell r="Q133">
            <v>3108904.31</v>
          </cell>
          <cell r="R133">
            <v>3108904.31</v>
          </cell>
          <cell r="S133">
            <v>3108904.31</v>
          </cell>
          <cell r="T133">
            <v>3108904.31</v>
          </cell>
        </row>
        <row r="134">
          <cell r="H134">
            <v>13463709.920000002</v>
          </cell>
          <cell r="I134">
            <v>13463709.920000002</v>
          </cell>
          <cell r="J134">
            <v>13463709.920000002</v>
          </cell>
          <cell r="K134">
            <v>13463709.920000002</v>
          </cell>
          <cell r="L134">
            <v>13463709.920000002</v>
          </cell>
          <cell r="M134">
            <v>13494590.600000001</v>
          </cell>
          <cell r="N134">
            <v>13505291.240000002</v>
          </cell>
          <cell r="O134">
            <v>13533592.060000002</v>
          </cell>
          <cell r="P134">
            <v>13713112.130000001</v>
          </cell>
          <cell r="Q134">
            <v>13788731.92</v>
          </cell>
          <cell r="R134">
            <v>13795795.540000001</v>
          </cell>
          <cell r="S134">
            <v>13795843.529999999</v>
          </cell>
          <cell r="T134">
            <v>13804510.429999998</v>
          </cell>
        </row>
        <row r="138">
          <cell r="H138">
            <v>18705.5</v>
          </cell>
          <cell r="I138">
            <v>18705.5</v>
          </cell>
          <cell r="J138">
            <v>29100.45</v>
          </cell>
          <cell r="K138">
            <v>29100.45</v>
          </cell>
          <cell r="L138">
            <v>29100.45</v>
          </cell>
          <cell r="M138">
            <v>29100.45</v>
          </cell>
          <cell r="N138">
            <v>29100.45</v>
          </cell>
          <cell r="O138">
            <v>693441.18</v>
          </cell>
          <cell r="P138">
            <v>693441.18</v>
          </cell>
          <cell r="Q138">
            <v>693549.91</v>
          </cell>
          <cell r="R138">
            <v>693549.91</v>
          </cell>
          <cell r="S138">
            <v>696465.62</v>
          </cell>
          <cell r="T138">
            <v>700608.93</v>
          </cell>
        </row>
        <row r="139">
          <cell r="H139">
            <v>7886213.4099999992</v>
          </cell>
          <cell r="I139">
            <v>7886213.4099999992</v>
          </cell>
          <cell r="J139">
            <v>7922710.9699999988</v>
          </cell>
          <cell r="K139">
            <v>8333284.9799999986</v>
          </cell>
          <cell r="L139">
            <v>8488266.1399999987</v>
          </cell>
          <cell r="M139">
            <v>8523912.6799999978</v>
          </cell>
          <cell r="N139">
            <v>8724880.5599999987</v>
          </cell>
          <cell r="O139">
            <v>8987701.5299999975</v>
          </cell>
          <cell r="P139">
            <v>9190493.3899999969</v>
          </cell>
          <cell r="Q139">
            <v>9283269.5299999956</v>
          </cell>
          <cell r="R139">
            <v>9402488.5399999954</v>
          </cell>
          <cell r="S139">
            <v>9422788.6599999964</v>
          </cell>
          <cell r="T139">
            <v>9424164.3399999961</v>
          </cell>
        </row>
        <row r="140"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</row>
        <row r="153"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</row>
        <row r="157"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</row>
        <row r="158">
          <cell r="H158">
            <v>3998672.0700000003</v>
          </cell>
          <cell r="I158">
            <v>4346474.74</v>
          </cell>
          <cell r="J158">
            <v>3891877.2500000005</v>
          </cell>
          <cell r="K158">
            <v>4351003.1099999994</v>
          </cell>
          <cell r="L158">
            <v>4295503.1100000003</v>
          </cell>
          <cell r="M158">
            <v>4498773.53</v>
          </cell>
          <cell r="N158">
            <v>4820684.4799999986</v>
          </cell>
          <cell r="O158">
            <v>5046231.93</v>
          </cell>
          <cell r="P158">
            <v>4553052.4499999993</v>
          </cell>
          <cell r="Q158">
            <v>4514078.22</v>
          </cell>
          <cell r="R158">
            <v>4657313.1199999992</v>
          </cell>
          <cell r="S158">
            <v>4467193.3500000006</v>
          </cell>
          <cell r="T158">
            <v>4597441.42</v>
          </cell>
        </row>
        <row r="159">
          <cell r="H159">
            <v>171603655.01000002</v>
          </cell>
          <cell r="I159">
            <v>160220195.93000001</v>
          </cell>
          <cell r="J159">
            <v>170753665.65000001</v>
          </cell>
          <cell r="K159">
            <v>178697305.61000001</v>
          </cell>
          <cell r="L159">
            <v>253702153.80999997</v>
          </cell>
          <cell r="M159">
            <v>264272798.98999998</v>
          </cell>
          <cell r="N159">
            <v>419708103.70999998</v>
          </cell>
          <cell r="O159">
            <v>457033451.43000001</v>
          </cell>
          <cell r="P159">
            <v>456213652.14999998</v>
          </cell>
          <cell r="Q159">
            <v>495270981.40999997</v>
          </cell>
          <cell r="R159">
            <v>500914967.29000002</v>
          </cell>
          <cell r="S159">
            <v>482223590.99000001</v>
          </cell>
          <cell r="T159">
            <v>497248000.40999997</v>
          </cell>
        </row>
        <row r="160">
          <cell r="H160">
            <v>14569062.15</v>
          </cell>
          <cell r="I160">
            <v>15681908.509999998</v>
          </cell>
          <cell r="J160">
            <v>15474032.73</v>
          </cell>
          <cell r="K160">
            <v>15449749.789999999</v>
          </cell>
          <cell r="L160">
            <v>15451274.279999999</v>
          </cell>
          <cell r="M160">
            <v>17471039.940000001</v>
          </cell>
          <cell r="N160">
            <v>22044944.930000003</v>
          </cell>
          <cell r="O160">
            <v>22190566.090000004</v>
          </cell>
          <cell r="P160">
            <v>8415317.7899999991</v>
          </cell>
          <cell r="Q160">
            <v>9469801.3100000005</v>
          </cell>
          <cell r="R160">
            <v>11987122.190000001</v>
          </cell>
          <cell r="S160">
            <v>9717455.5099999998</v>
          </cell>
          <cell r="T160">
            <v>9897094.6699999999</v>
          </cell>
        </row>
        <row r="164">
          <cell r="H164">
            <v>-72335916.260000005</v>
          </cell>
          <cell r="I164">
            <v>-72397633.75</v>
          </cell>
          <cell r="J164">
            <v>-72460658.510000005</v>
          </cell>
          <cell r="K164">
            <v>-72525282.510000005</v>
          </cell>
          <cell r="L164">
            <v>-72589919.739999995</v>
          </cell>
          <cell r="M164">
            <v>-72654580.310000002</v>
          </cell>
          <cell r="N164">
            <v>-72717773.239999995</v>
          </cell>
          <cell r="O164">
            <v>-72779802.680000007</v>
          </cell>
          <cell r="P164">
            <v>-72842559.75</v>
          </cell>
          <cell r="Q164">
            <v>-72885177.739999995</v>
          </cell>
          <cell r="R164">
            <v>-72927865.030000001</v>
          </cell>
          <cell r="S164">
            <v>-72970552.469999999</v>
          </cell>
          <cell r="T164">
            <v>-73013260.939999998</v>
          </cell>
        </row>
        <row r="165">
          <cell r="H165">
            <v>-35819841.82</v>
          </cell>
          <cell r="I165">
            <v>-35964403.729999997</v>
          </cell>
          <cell r="J165">
            <v>-36107625.219999999</v>
          </cell>
          <cell r="K165">
            <v>-36251048.710000001</v>
          </cell>
          <cell r="L165">
            <v>-36396748.979999997</v>
          </cell>
          <cell r="M165">
            <v>-36532830.5</v>
          </cell>
          <cell r="N165">
            <v>-36665842.43</v>
          </cell>
          <cell r="O165">
            <v>-36813982.18</v>
          </cell>
          <cell r="P165">
            <v>-36962257.07</v>
          </cell>
          <cell r="Q165">
            <v>-37111261.619999997</v>
          </cell>
          <cell r="R165">
            <v>-37260242.18</v>
          </cell>
          <cell r="S165">
            <v>-37407053.310000002</v>
          </cell>
          <cell r="T165">
            <v>-37555730.060000002</v>
          </cell>
        </row>
        <row r="166">
          <cell r="H166">
            <v>-689453326.44000006</v>
          </cell>
          <cell r="I166">
            <v>-693992204.08000004</v>
          </cell>
          <cell r="J166">
            <v>-698567131.17999995</v>
          </cell>
          <cell r="K166">
            <v>-703244948.94000006</v>
          </cell>
          <cell r="L166">
            <v>-707927383.92999995</v>
          </cell>
          <cell r="M166">
            <v>-712687233.72000003</v>
          </cell>
          <cell r="N166">
            <v>-717536550.57000005</v>
          </cell>
          <cell r="O166">
            <v>-722622600.94000006</v>
          </cell>
          <cell r="P166">
            <v>-727714394.13</v>
          </cell>
          <cell r="Q166">
            <v>-733338453.26999998</v>
          </cell>
          <cell r="R166">
            <v>-738730300.27999997</v>
          </cell>
          <cell r="S166">
            <v>-744140745.24000001</v>
          </cell>
          <cell r="T166">
            <v>-749140372.40999997</v>
          </cell>
        </row>
        <row r="167">
          <cell r="H167">
            <v>-134590671.06999999</v>
          </cell>
          <cell r="I167">
            <v>-135754652.77000001</v>
          </cell>
          <cell r="J167">
            <v>-136922227.09</v>
          </cell>
          <cell r="K167">
            <v>-138085144.56</v>
          </cell>
          <cell r="L167">
            <v>-139249899.16999999</v>
          </cell>
          <cell r="M167">
            <v>-140363381.41999999</v>
          </cell>
          <cell r="N167">
            <v>-141576794.11000001</v>
          </cell>
          <cell r="O167">
            <v>-142622755.02000001</v>
          </cell>
          <cell r="P167">
            <v>-143820988.56999999</v>
          </cell>
          <cell r="Q167">
            <v>-145034683.03</v>
          </cell>
          <cell r="R167">
            <v>-146237540.13999999</v>
          </cell>
          <cell r="S167">
            <v>-147463478.49000001</v>
          </cell>
          <cell r="T167">
            <v>-148417722.16</v>
          </cell>
        </row>
        <row r="171">
          <cell r="H171">
            <v>-6150276.6600000001</v>
          </cell>
          <cell r="I171">
            <v>-6150276.6600000001</v>
          </cell>
          <cell r="J171">
            <v>-6150276.6600000001</v>
          </cell>
          <cell r="K171">
            <v>-6150276.6600000001</v>
          </cell>
          <cell r="L171">
            <v>-6150276.6600000001</v>
          </cell>
          <cell r="M171">
            <v>-6150276.6600000001</v>
          </cell>
          <cell r="N171">
            <v>-6150276.6600000001</v>
          </cell>
          <cell r="O171">
            <v>-6150276.6600000001</v>
          </cell>
          <cell r="P171">
            <v>-6150276.6600000001</v>
          </cell>
          <cell r="Q171">
            <v>-6150276.6600000001</v>
          </cell>
          <cell r="R171">
            <v>-6150276.6600000001</v>
          </cell>
          <cell r="S171">
            <v>-6150276.6600000001</v>
          </cell>
          <cell r="T171">
            <v>-6150276.6600000001</v>
          </cell>
        </row>
        <row r="172">
          <cell r="H172">
            <v>-10883.08</v>
          </cell>
          <cell r="I172">
            <v>-10883.08</v>
          </cell>
          <cell r="J172">
            <v>-10883.08</v>
          </cell>
          <cell r="K172">
            <v>-10883.08</v>
          </cell>
          <cell r="L172">
            <v>-10883.08</v>
          </cell>
          <cell r="M172">
            <v>-10883.08</v>
          </cell>
          <cell r="N172">
            <v>-10883.08</v>
          </cell>
          <cell r="O172">
            <v>-10883.08</v>
          </cell>
          <cell r="P172">
            <v>-10883.08</v>
          </cell>
          <cell r="Q172">
            <v>-10883.08</v>
          </cell>
          <cell r="R172">
            <v>-10883.08</v>
          </cell>
          <cell r="S172">
            <v>-10883.08</v>
          </cell>
          <cell r="T172">
            <v>-10883.08</v>
          </cell>
        </row>
        <row r="173">
          <cell r="H173">
            <v>-58742.89</v>
          </cell>
          <cell r="I173">
            <v>-58742.89</v>
          </cell>
          <cell r="J173">
            <v>-58742.89</v>
          </cell>
          <cell r="K173">
            <v>-58742.89</v>
          </cell>
          <cell r="L173">
            <v>-58742.89</v>
          </cell>
          <cell r="M173">
            <v>-58742.89</v>
          </cell>
          <cell r="N173">
            <v>-58742.89</v>
          </cell>
          <cell r="O173">
            <v>-58742.89</v>
          </cell>
          <cell r="P173">
            <v>-58742.89</v>
          </cell>
          <cell r="Q173">
            <v>-58742.89</v>
          </cell>
          <cell r="R173">
            <v>-58742.89</v>
          </cell>
          <cell r="S173">
            <v>-58742.89</v>
          </cell>
          <cell r="T173">
            <v>-58742.89</v>
          </cell>
        </row>
        <row r="174">
          <cell r="H174">
            <v>-189896.92</v>
          </cell>
          <cell r="I174">
            <v>-214057.84</v>
          </cell>
          <cell r="J174">
            <v>-238235.4</v>
          </cell>
          <cell r="K174">
            <v>-334750.53999999998</v>
          </cell>
          <cell r="L174">
            <v>-358938.39</v>
          </cell>
          <cell r="M174">
            <v>-383126.24</v>
          </cell>
          <cell r="N174">
            <v>-416180.38</v>
          </cell>
          <cell r="O174">
            <v>-453825.98</v>
          </cell>
          <cell r="P174">
            <v>-491621.09</v>
          </cell>
          <cell r="Q174">
            <v>-529416.19999999995</v>
          </cell>
          <cell r="R174">
            <v>-591823.21</v>
          </cell>
          <cell r="S174">
            <v>-654234.9</v>
          </cell>
          <cell r="T174">
            <v>-719799.43</v>
          </cell>
        </row>
        <row r="178">
          <cell r="H178">
            <v>75348.37</v>
          </cell>
          <cell r="I178">
            <v>106681.97</v>
          </cell>
          <cell r="J178">
            <v>152376.70000000001</v>
          </cell>
          <cell r="K178">
            <v>156683.75</v>
          </cell>
          <cell r="L178">
            <v>164329.35999999999</v>
          </cell>
          <cell r="M178">
            <v>168038.65</v>
          </cell>
          <cell r="N178">
            <v>170196.72</v>
          </cell>
          <cell r="O178">
            <v>166428.64000000001</v>
          </cell>
          <cell r="P178">
            <v>166442.98000000001</v>
          </cell>
          <cell r="Q178">
            <v>171373.08</v>
          </cell>
          <cell r="R178">
            <v>170283.41</v>
          </cell>
          <cell r="S178">
            <v>168864.47</v>
          </cell>
          <cell r="T178">
            <v>170187.76</v>
          </cell>
        </row>
        <row r="179">
          <cell r="H179">
            <v>-6794498.5499999998</v>
          </cell>
          <cell r="I179">
            <v>-6835906.4900000002</v>
          </cell>
          <cell r="J179">
            <v>-6883324.5199999996</v>
          </cell>
          <cell r="K179">
            <v>-6834655.3600000003</v>
          </cell>
          <cell r="L179">
            <v>-6870275</v>
          </cell>
          <cell r="M179">
            <v>-6919596.8099999996</v>
          </cell>
          <cell r="N179">
            <v>-6972733.9800000004</v>
          </cell>
          <cell r="O179">
            <v>-7030844.8499999996</v>
          </cell>
          <cell r="P179">
            <v>-7085712.1600000001</v>
          </cell>
          <cell r="Q179">
            <v>-7146285.0199999996</v>
          </cell>
          <cell r="R179">
            <v>-7206785.5700000003</v>
          </cell>
          <cell r="S179">
            <v>-7265315.4299999997</v>
          </cell>
          <cell r="T179">
            <v>-7311522.3600000003</v>
          </cell>
        </row>
        <row r="180">
          <cell r="H180">
            <v>-177495137.71000001</v>
          </cell>
          <cell r="I180">
            <v>-178698166.81999999</v>
          </cell>
          <cell r="J180">
            <v>-179672850.25999999</v>
          </cell>
          <cell r="K180">
            <v>-176986964.43000001</v>
          </cell>
          <cell r="L180">
            <v>-177684428.16999999</v>
          </cell>
          <cell r="M180">
            <v>-178622822.59999999</v>
          </cell>
          <cell r="N180">
            <v>-178918736.16999999</v>
          </cell>
          <cell r="O180">
            <v>-180342706.63999999</v>
          </cell>
          <cell r="P180">
            <v>-181286534.00999999</v>
          </cell>
          <cell r="Q180">
            <v>-180117448.94999999</v>
          </cell>
          <cell r="R180">
            <v>-181320462.22</v>
          </cell>
          <cell r="S180">
            <v>-182717321.74000001</v>
          </cell>
          <cell r="T180">
            <v>-183219730.84999999</v>
          </cell>
        </row>
        <row r="181">
          <cell r="H181">
            <v>-227170542.60999998</v>
          </cell>
          <cell r="I181">
            <v>-227065406.15000001</v>
          </cell>
          <cell r="J181">
            <v>-226530785.15000001</v>
          </cell>
          <cell r="K181">
            <v>-225974991.53</v>
          </cell>
          <cell r="L181">
            <v>-225389659.90000001</v>
          </cell>
          <cell r="M181">
            <v>-225516131.09</v>
          </cell>
          <cell r="N181">
            <v>-224639108.58000001</v>
          </cell>
          <cell r="O181">
            <v>-224312807.43000001</v>
          </cell>
          <cell r="P181">
            <v>-223930814.64000002</v>
          </cell>
          <cell r="Q181">
            <v>-223097440.55000001</v>
          </cell>
          <cell r="R181">
            <v>-222740576.80000001</v>
          </cell>
          <cell r="S181">
            <v>-222367425</v>
          </cell>
          <cell r="T181">
            <v>-223154902.15000001</v>
          </cell>
        </row>
        <row r="198">
          <cell r="H198">
            <v>671891.60441216081</v>
          </cell>
          <cell r="I198">
            <v>707394.54099547118</v>
          </cell>
          <cell r="J198">
            <v>670231.79109110311</v>
          </cell>
          <cell r="K198">
            <v>671658.08898918331</v>
          </cell>
          <cell r="L198">
            <v>693587.73019993678</v>
          </cell>
          <cell r="M198">
            <v>690398.2687154077</v>
          </cell>
          <cell r="N198">
            <v>705800.97357967868</v>
          </cell>
          <cell r="O198">
            <v>742631.12971977517</v>
          </cell>
          <cell r="P198">
            <v>777951.17889297381</v>
          </cell>
          <cell r="Q198">
            <v>859348.09719967842</v>
          </cell>
          <cell r="R198">
            <v>943230.7099779509</v>
          </cell>
          <cell r="S198">
            <v>944312.88137278333</v>
          </cell>
          <cell r="T198">
            <v>1048658.99678725</v>
          </cell>
        </row>
        <row r="199">
          <cell r="H199">
            <v>23322865.995587837</v>
          </cell>
          <cell r="I199">
            <v>24555252.629004527</v>
          </cell>
          <cell r="J199">
            <v>23265250.148908895</v>
          </cell>
          <cell r="K199">
            <v>23314760.151010815</v>
          </cell>
          <cell r="L199">
            <v>24075987.22980006</v>
          </cell>
          <cell r="M199">
            <v>23965273.861284591</v>
          </cell>
          <cell r="N199">
            <v>24499936.326420322</v>
          </cell>
          <cell r="O199">
            <v>25778393.730280224</v>
          </cell>
          <cell r="P199">
            <v>27004431.931107026</v>
          </cell>
          <cell r="Q199">
            <v>29829901.702800322</v>
          </cell>
          <cell r="R199">
            <v>32741655.510022055</v>
          </cell>
          <cell r="S199">
            <v>32779220.108627219</v>
          </cell>
          <cell r="T199">
            <v>36401308.033212751</v>
          </cell>
        </row>
        <row r="203">
          <cell r="H203">
            <v>9042867.9100000001</v>
          </cell>
          <cell r="I203">
            <v>16864248.25</v>
          </cell>
          <cell r="J203">
            <v>25992902.780000001</v>
          </cell>
          <cell r="K203">
            <v>40957960.210000001</v>
          </cell>
          <cell r="L203">
            <v>53451265.520000003</v>
          </cell>
          <cell r="M203">
            <v>54725203.509999998</v>
          </cell>
          <cell r="N203">
            <v>48124018.939999998</v>
          </cell>
          <cell r="O203">
            <v>38171290.57</v>
          </cell>
          <cell r="P203">
            <v>25855835.190000001</v>
          </cell>
          <cell r="Q203">
            <v>15888860.289999999</v>
          </cell>
          <cell r="R203">
            <v>7968757.0199999996</v>
          </cell>
          <cell r="S203">
            <v>12876983</v>
          </cell>
          <cell r="T203">
            <v>19959087.870000001</v>
          </cell>
        </row>
        <row r="207">
          <cell r="H207">
            <v>7391762.5199999996</v>
          </cell>
          <cell r="I207">
            <v>7622393.2999999998</v>
          </cell>
          <cell r="J207">
            <v>7124196.21</v>
          </cell>
          <cell r="K207">
            <v>8735459.1600000001</v>
          </cell>
          <cell r="L207">
            <v>8321446.0899999999</v>
          </cell>
          <cell r="M207">
            <v>128654.34</v>
          </cell>
          <cell r="N207">
            <v>1512116.55</v>
          </cell>
          <cell r="O207">
            <v>2734947.77</v>
          </cell>
          <cell r="P207">
            <v>2488759.29</v>
          </cell>
          <cell r="Q207">
            <v>2390666.52</v>
          </cell>
          <cell r="R207">
            <v>2523294.88</v>
          </cell>
          <cell r="S207">
            <v>2424454.4300000002</v>
          </cell>
          <cell r="T207">
            <v>2392122.9500000002</v>
          </cell>
        </row>
        <row r="211"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</row>
        <row r="212"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</row>
        <row r="213"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</row>
        <row r="214">
          <cell r="H214">
            <v>44158775.420000002</v>
          </cell>
          <cell r="I214">
            <v>43421216.670000002</v>
          </cell>
          <cell r="J214">
            <v>43037704.009999998</v>
          </cell>
          <cell r="K214">
            <v>42230610.009999998</v>
          </cell>
          <cell r="L214">
            <v>41901058.18</v>
          </cell>
          <cell r="M214">
            <v>41745525.93</v>
          </cell>
          <cell r="N214">
            <v>14248609.73</v>
          </cell>
          <cell r="O214">
            <v>14091342.42</v>
          </cell>
          <cell r="P214">
            <v>12479158.449999999</v>
          </cell>
          <cell r="Q214">
            <v>12494493.17</v>
          </cell>
          <cell r="R214">
            <v>12303250.710000001</v>
          </cell>
          <cell r="S214">
            <v>11724621.710000001</v>
          </cell>
          <cell r="T214">
            <v>11766835.779999999</v>
          </cell>
        </row>
        <row r="218">
          <cell r="H218">
            <v>-5189.3100000000004</v>
          </cell>
          <cell r="I218">
            <v>-5189.3100000000004</v>
          </cell>
          <cell r="J218">
            <v>-5189.3100000000004</v>
          </cell>
          <cell r="K218">
            <v>-5189.3100000000004</v>
          </cell>
          <cell r="L218">
            <v>-5189.3100000000004</v>
          </cell>
          <cell r="M218">
            <v>-5189.3100000000004</v>
          </cell>
          <cell r="N218">
            <v>-5189.3100000000004</v>
          </cell>
          <cell r="O218">
            <v>-5189.3100000000004</v>
          </cell>
          <cell r="P218">
            <v>-5189.3100000000004</v>
          </cell>
          <cell r="Q218">
            <v>-5189.3100000000004</v>
          </cell>
          <cell r="R218">
            <v>-5189.3100000000004</v>
          </cell>
          <cell r="S218">
            <v>-5189.3100000000004</v>
          </cell>
          <cell r="T218">
            <v>-5189.3100000000004</v>
          </cell>
        </row>
        <row r="219"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</row>
        <row r="220"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</row>
        <row r="221">
          <cell r="H221">
            <v>10248277.210000001</v>
          </cell>
          <cell r="I221">
            <v>10077968.369999999</v>
          </cell>
          <cell r="J221">
            <v>9989411.9299999997</v>
          </cell>
          <cell r="K221">
            <v>9802815.9299999997</v>
          </cell>
          <cell r="L221">
            <v>9718994.2599999998</v>
          </cell>
          <cell r="M221">
            <v>9683164.7699999996</v>
          </cell>
          <cell r="N221">
            <v>3287441.32</v>
          </cell>
          <cell r="O221">
            <v>3251214.03</v>
          </cell>
          <cell r="P221">
            <v>2879838.13</v>
          </cell>
          <cell r="Q221">
            <v>2759577.71</v>
          </cell>
          <cell r="R221">
            <v>2717418.69</v>
          </cell>
          <cell r="S221">
            <v>2589862.69</v>
          </cell>
          <cell r="T221">
            <v>2599167.69</v>
          </cell>
        </row>
        <row r="225">
          <cell r="H225">
            <v>-125625.3</v>
          </cell>
          <cell r="I225">
            <v>-125913.55</v>
          </cell>
          <cell r="J225">
            <v>-129338.53</v>
          </cell>
          <cell r="K225">
            <v>-128349.57</v>
          </cell>
          <cell r="L225">
            <v>-112321.53</v>
          </cell>
          <cell r="M225">
            <v>-105791.62</v>
          </cell>
          <cell r="N225">
            <v>-100974.05</v>
          </cell>
          <cell r="O225">
            <v>-100563.02</v>
          </cell>
          <cell r="P225">
            <v>-98322.240000000005</v>
          </cell>
          <cell r="Q225">
            <v>-95979.83</v>
          </cell>
          <cell r="R225">
            <v>-98935.28</v>
          </cell>
          <cell r="S225">
            <v>-91592.29</v>
          </cell>
          <cell r="T225">
            <v>-93636.49</v>
          </cell>
        </row>
        <row r="226">
          <cell r="H226">
            <v>-3382292.37</v>
          </cell>
          <cell r="I226">
            <v>-3319594.78</v>
          </cell>
          <cell r="J226">
            <v>-3216399.45</v>
          </cell>
          <cell r="K226">
            <v>-3093313.13</v>
          </cell>
          <cell r="L226">
            <v>-3017116.91</v>
          </cell>
          <cell r="M226">
            <v>-2901865.22</v>
          </cell>
          <cell r="N226">
            <v>-2754786.84</v>
          </cell>
          <cell r="O226">
            <v>-3990024.25</v>
          </cell>
          <cell r="P226">
            <v>-2602306.9700000002</v>
          </cell>
          <cell r="Q226">
            <v>-2691459.56</v>
          </cell>
          <cell r="R226">
            <v>-2758137.71</v>
          </cell>
          <cell r="S226">
            <v>-3188796.61</v>
          </cell>
          <cell r="T226">
            <v>-3315393.55</v>
          </cell>
        </row>
        <row r="230"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</row>
        <row r="231"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</row>
        <row r="235">
          <cell r="H235">
            <v>-99673.5</v>
          </cell>
          <cell r="I235">
            <v>-93222.15</v>
          </cell>
          <cell r="J235">
            <v>-93934.98</v>
          </cell>
          <cell r="K235">
            <v>-97090.23</v>
          </cell>
          <cell r="L235">
            <v>-99109.24</v>
          </cell>
          <cell r="M235">
            <v>-109100.69</v>
          </cell>
          <cell r="N235">
            <v>-120981.89</v>
          </cell>
          <cell r="O235">
            <v>-124748.42</v>
          </cell>
          <cell r="P235">
            <v>-130385.63</v>
          </cell>
          <cell r="Q235">
            <v>-125531.67</v>
          </cell>
          <cell r="R235">
            <v>-123351.27</v>
          </cell>
          <cell r="S235">
            <v>-123573.07</v>
          </cell>
          <cell r="T235">
            <v>-126945.45</v>
          </cell>
        </row>
        <row r="239"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</row>
        <row r="240"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</row>
        <row r="241"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</row>
        <row r="242"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</row>
        <row r="246">
          <cell r="H246">
            <v>-36065261.259999998</v>
          </cell>
          <cell r="I246">
            <v>-37355769.68</v>
          </cell>
          <cell r="J246">
            <v>-37978269.789999999</v>
          </cell>
          <cell r="K246">
            <v>-38356978.229999997</v>
          </cell>
          <cell r="L246">
            <v>-38767331.490000002</v>
          </cell>
          <cell r="M246">
            <v>-43428098.020000003</v>
          </cell>
          <cell r="N246">
            <v>-44252448.700000003</v>
          </cell>
          <cell r="O246">
            <v>-45123197.700000003</v>
          </cell>
          <cell r="P246">
            <v>-46074013.700000003</v>
          </cell>
          <cell r="Q246">
            <v>-44335336.979999997</v>
          </cell>
          <cell r="R246">
            <v>-45257455.259999998</v>
          </cell>
          <cell r="S246">
            <v>-46173674.259999998</v>
          </cell>
          <cell r="T246">
            <v>-47791328.950000003</v>
          </cell>
        </row>
        <row r="247">
          <cell r="H247">
            <v>-8486889.9900000002</v>
          </cell>
          <cell r="I247">
            <v>-8486889.9900000002</v>
          </cell>
          <cell r="J247">
            <v>-8486889.9900000002</v>
          </cell>
          <cell r="K247">
            <v>-8486889.9900000002</v>
          </cell>
          <cell r="L247">
            <v>-8486889.9900000002</v>
          </cell>
          <cell r="M247">
            <v>-8486889.9900000002</v>
          </cell>
          <cell r="N247">
            <v>-8486889.9900000002</v>
          </cell>
          <cell r="O247">
            <v>-8486889.9900000002</v>
          </cell>
          <cell r="P247">
            <v>-8486889.9900000002</v>
          </cell>
          <cell r="Q247">
            <v>-8486889.9900000002</v>
          </cell>
          <cell r="R247">
            <v>-8486889.9900000002</v>
          </cell>
          <cell r="S247">
            <v>-8486889.9900000002</v>
          </cell>
          <cell r="T247">
            <v>-8486889.9900000002</v>
          </cell>
        </row>
        <row r="248">
          <cell r="H248">
            <v>-257559818.18000001</v>
          </cell>
          <cell r="I248">
            <v>-257559818.18000001</v>
          </cell>
          <cell r="J248">
            <v>-257559818.18000001</v>
          </cell>
          <cell r="K248">
            <v>-257559818.18000001</v>
          </cell>
          <cell r="L248">
            <v>-257559818.18000001</v>
          </cell>
          <cell r="M248">
            <v>-257559818.18000001</v>
          </cell>
          <cell r="N248">
            <v>-257559818.18000001</v>
          </cell>
          <cell r="O248">
            <v>-257559818.18000001</v>
          </cell>
          <cell r="P248">
            <v>-257559818.18000001</v>
          </cell>
          <cell r="Q248">
            <v>-257559818.18000001</v>
          </cell>
          <cell r="R248">
            <v>-257559818.18000001</v>
          </cell>
          <cell r="S248">
            <v>-257559818.18000001</v>
          </cell>
          <cell r="T248">
            <v>-257559818.18000001</v>
          </cell>
        </row>
        <row r="249">
          <cell r="H249">
            <v>18498267.710000001</v>
          </cell>
          <cell r="I249">
            <v>18740603.43</v>
          </cell>
          <cell r="J249">
            <v>18857624.449999999</v>
          </cell>
          <cell r="K249">
            <v>18926183.329999998</v>
          </cell>
          <cell r="L249">
            <v>18785706.600000001</v>
          </cell>
          <cell r="M249">
            <v>19658589.780000001</v>
          </cell>
          <cell r="N249">
            <v>19906632.43</v>
          </cell>
          <cell r="O249">
            <v>20069873.93</v>
          </cell>
          <cell r="P249">
            <v>20248106.5</v>
          </cell>
          <cell r="Q249">
            <v>17564839.280000001</v>
          </cell>
          <cell r="R249">
            <v>17731615.129999999</v>
          </cell>
          <cell r="S249">
            <v>17897326.129999999</v>
          </cell>
          <cell r="T249">
            <v>18189687.82</v>
          </cell>
        </row>
        <row r="253">
          <cell r="H253">
            <v>-700755.31</v>
          </cell>
          <cell r="I253">
            <v>-700755.31</v>
          </cell>
          <cell r="J253">
            <v>-700755.31</v>
          </cell>
          <cell r="K253">
            <v>-700755.31</v>
          </cell>
          <cell r="L253">
            <v>-700755.31</v>
          </cell>
          <cell r="M253">
            <v>-700755.31</v>
          </cell>
          <cell r="N253">
            <v>-700755.31</v>
          </cell>
          <cell r="O253">
            <v>-700755.31</v>
          </cell>
          <cell r="P253">
            <v>-700755.31</v>
          </cell>
          <cell r="Q253">
            <v>-700755.31</v>
          </cell>
          <cell r="R253">
            <v>-700755.31</v>
          </cell>
          <cell r="S253">
            <v>-700755.31</v>
          </cell>
          <cell r="T253">
            <v>-700755.31</v>
          </cell>
        </row>
        <row r="254"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</row>
        <row r="255">
          <cell r="H255">
            <v>-64071192.340000004</v>
          </cell>
          <cell r="I255">
            <v>-64071192.340000004</v>
          </cell>
          <cell r="J255">
            <v>-64071192.340000004</v>
          </cell>
          <cell r="K255">
            <v>-64071192.340000004</v>
          </cell>
          <cell r="L255">
            <v>-64071192.340000004</v>
          </cell>
          <cell r="M255">
            <v>-64071192.340000004</v>
          </cell>
          <cell r="N255">
            <v>-64071192.340000004</v>
          </cell>
          <cell r="O255">
            <v>-64071192.340000004</v>
          </cell>
          <cell r="P255">
            <v>-64071192.340000004</v>
          </cell>
          <cell r="Q255">
            <v>-64071192.340000004</v>
          </cell>
          <cell r="R255">
            <v>-64071192.340000004</v>
          </cell>
          <cell r="S255">
            <v>-64071192.340000004</v>
          </cell>
          <cell r="T255">
            <v>-64071192.340000004</v>
          </cell>
        </row>
        <row r="256">
          <cell r="H256">
            <v>-685390.5</v>
          </cell>
          <cell r="I256">
            <v>-927726.23</v>
          </cell>
          <cell r="J256">
            <v>-1044747.25</v>
          </cell>
          <cell r="K256">
            <v>-1113305.25</v>
          </cell>
          <cell r="L256">
            <v>-972828.6</v>
          </cell>
          <cell r="M256">
            <v>-1845711.78</v>
          </cell>
          <cell r="N256">
            <v>-2093755.35</v>
          </cell>
          <cell r="O256">
            <v>-2256996.4</v>
          </cell>
          <cell r="P256">
            <v>-2435228.15</v>
          </cell>
          <cell r="Q256">
            <v>248039.98</v>
          </cell>
          <cell r="R256">
            <v>81264.13</v>
          </cell>
          <cell r="S256">
            <v>-84445.87</v>
          </cell>
          <cell r="T256">
            <v>-376805.87</v>
          </cell>
        </row>
        <row r="260">
          <cell r="H260">
            <v>143856701.21000001</v>
          </cell>
          <cell r="I260">
            <v>145063651.12</v>
          </cell>
          <cell r="J260">
            <v>146399670.28</v>
          </cell>
          <cell r="K260">
            <v>147756775.84</v>
          </cell>
          <cell r="L260">
            <v>149096384.34999999</v>
          </cell>
          <cell r="M260">
            <v>156225056.22999999</v>
          </cell>
          <cell r="N260">
            <v>158620260.49000001</v>
          </cell>
          <cell r="O260">
            <v>160938185.88999999</v>
          </cell>
          <cell r="P260">
            <v>163229880.97999999</v>
          </cell>
          <cell r="Q260">
            <v>165137571.50999999</v>
          </cell>
          <cell r="R260">
            <v>167339559.28</v>
          </cell>
          <cell r="S260">
            <v>169549192.13</v>
          </cell>
          <cell r="T260">
            <v>171694786.80000001</v>
          </cell>
        </row>
      </sheetData>
      <sheetData sheetId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EXPENSES.XNV"/>
    </sheetNames>
    <sheetDataSet>
      <sheetData sheetId="0"/>
      <sheetData sheetId="1">
        <row r="17">
          <cell r="S17">
            <v>77597269.268456995</v>
          </cell>
        </row>
        <row r="18">
          <cell r="S18">
            <v>2477385.0915429983</v>
          </cell>
        </row>
        <row r="27">
          <cell r="S27">
            <v>7016802.1791709997</v>
          </cell>
        </row>
        <row r="28">
          <cell r="S28">
            <v>232631.1308289998</v>
          </cell>
        </row>
        <row r="32">
          <cell r="S32">
            <v>0</v>
          </cell>
        </row>
        <row r="35">
          <cell r="S35"/>
        </row>
        <row r="37">
          <cell r="S37">
            <v>0</v>
          </cell>
        </row>
        <row r="38">
          <cell r="S38">
            <v>0</v>
          </cell>
        </row>
        <row r="42">
          <cell r="S42">
            <v>0</v>
          </cell>
        </row>
        <row r="43">
          <cell r="S43">
            <v>0</v>
          </cell>
        </row>
        <row r="47">
          <cell r="S47">
            <v>0</v>
          </cell>
        </row>
        <row r="48">
          <cell r="S48">
            <v>0</v>
          </cell>
        </row>
        <row r="52">
          <cell r="S52">
            <v>981511934.55607605</v>
          </cell>
        </row>
        <row r="53">
          <cell r="S53">
            <v>32255664.833923984</v>
          </cell>
        </row>
        <row r="57">
          <cell r="S57">
            <v>15805820.911920998</v>
          </cell>
        </row>
        <row r="58">
          <cell r="S58">
            <v>526144.7780789996</v>
          </cell>
        </row>
        <row r="62">
          <cell r="S62">
            <v>0</v>
          </cell>
        </row>
        <row r="63">
          <cell r="S63">
            <v>0</v>
          </cell>
        </row>
        <row r="67">
          <cell r="S67">
            <v>0</v>
          </cell>
        </row>
        <row r="68">
          <cell r="S68">
            <v>0</v>
          </cell>
        </row>
        <row r="72">
          <cell r="S72">
            <v>-347806111.51721603</v>
          </cell>
        </row>
        <row r="73">
          <cell r="S73">
            <v>-10877949.372783961</v>
          </cell>
        </row>
        <row r="77">
          <cell r="S77">
            <v>1493809.1367120021</v>
          </cell>
        </row>
        <row r="78">
          <cell r="S78">
            <v>8871.663287998992</v>
          </cell>
        </row>
        <row r="82">
          <cell r="S82">
            <v>82048414.268302992</v>
          </cell>
        </row>
        <row r="83">
          <cell r="S83">
            <v>2749344.6916970019</v>
          </cell>
        </row>
        <row r="87">
          <cell r="S87">
            <v>-92716351.565326005</v>
          </cell>
        </row>
        <row r="88">
          <cell r="S88">
            <v>-2997636.4746739985</v>
          </cell>
        </row>
        <row r="92">
          <cell r="S92">
            <v>2345106.1950559998</v>
          </cell>
        </row>
        <row r="93">
          <cell r="S93">
            <v>77264.574943999993</v>
          </cell>
        </row>
        <row r="97">
          <cell r="S97">
            <v>257215711.09163699</v>
          </cell>
        </row>
        <row r="98">
          <cell r="S98">
            <v>8403829.5183629971</v>
          </cell>
        </row>
        <row r="102">
          <cell r="S102">
            <v>0</v>
          </cell>
        </row>
        <row r="103">
          <cell r="S103">
            <v>0</v>
          </cell>
        </row>
        <row r="107">
          <cell r="S107">
            <v>0</v>
          </cell>
        </row>
        <row r="108">
          <cell r="S108">
            <v>0</v>
          </cell>
        </row>
        <row r="112">
          <cell r="S112">
            <v>69778342.640221998</v>
          </cell>
        </row>
        <row r="113">
          <cell r="S113">
            <v>2304160.0597780002</v>
          </cell>
        </row>
        <row r="117">
          <cell r="S117">
            <v>0</v>
          </cell>
        </row>
        <row r="118">
          <cell r="S118">
            <v>0</v>
          </cell>
        </row>
        <row r="133">
          <cell r="S133">
            <v>-16530.78</v>
          </cell>
        </row>
        <row r="134">
          <cell r="S134">
            <v>-422434.5</v>
          </cell>
        </row>
        <row r="136">
          <cell r="S136">
            <v>-438965.28</v>
          </cell>
        </row>
        <row r="141">
          <cell r="S141">
            <v>8200337.5399999991</v>
          </cell>
        </row>
        <row r="142">
          <cell r="S142">
            <v>643205.74</v>
          </cell>
        </row>
        <row r="146">
          <cell r="S146">
            <v>1513481.8299999996</v>
          </cell>
        </row>
        <row r="147">
          <cell r="S147">
            <v>25103.539999999997</v>
          </cell>
        </row>
        <row r="151">
          <cell r="S151">
            <v>0</v>
          </cell>
        </row>
        <row r="152">
          <cell r="S152">
            <v>0</v>
          </cell>
        </row>
        <row r="156">
          <cell r="S156">
            <v>-33.11</v>
          </cell>
        </row>
        <row r="157">
          <cell r="S157">
            <v>76.63</v>
          </cell>
        </row>
        <row r="161">
          <cell r="S161">
            <v>20299550.5</v>
          </cell>
        </row>
        <row r="162">
          <cell r="S162">
            <v>533220.92000000004</v>
          </cell>
        </row>
        <row r="166">
          <cell r="S166">
            <v>3086355.13</v>
          </cell>
        </row>
        <row r="167">
          <cell r="S167">
            <v>90689.8</v>
          </cell>
        </row>
        <row r="171">
          <cell r="S171">
            <v>3193591.6100000003</v>
          </cell>
        </row>
        <row r="172">
          <cell r="S172">
            <v>220730.87</v>
          </cell>
        </row>
        <row r="176">
          <cell r="S176">
            <v>2123301.7700000005</v>
          </cell>
        </row>
        <row r="177">
          <cell r="S177">
            <v>65178.409999999996</v>
          </cell>
        </row>
        <row r="181">
          <cell r="S181">
            <v>22373020.600000001</v>
          </cell>
        </row>
        <row r="182">
          <cell r="S182">
            <v>1360478.2200000002</v>
          </cell>
        </row>
        <row r="186">
          <cell r="S186">
            <v>182104.36000000002</v>
          </cell>
        </row>
        <row r="187">
          <cell r="S187">
            <v>933.69</v>
          </cell>
        </row>
        <row r="191">
          <cell r="S191">
            <v>0</v>
          </cell>
        </row>
        <row r="192">
          <cell r="S192">
            <v>0</v>
          </cell>
        </row>
        <row r="196">
          <cell r="S196">
            <v>0</v>
          </cell>
        </row>
        <row r="197">
          <cell r="S197">
            <v>0</v>
          </cell>
        </row>
        <row r="201">
          <cell r="S201">
            <v>11276815.949999999</v>
          </cell>
        </row>
        <row r="202">
          <cell r="S202">
            <v>35265.090000000004</v>
          </cell>
        </row>
        <row r="206">
          <cell r="S206">
            <v>3762430.0999999996</v>
          </cell>
        </row>
        <row r="207">
          <cell r="S207">
            <v>44958.710000000006</v>
          </cell>
        </row>
        <row r="211">
          <cell r="S211">
            <v>453506.27999999997</v>
          </cell>
        </row>
        <row r="212">
          <cell r="S212">
            <v>14065.490000000002</v>
          </cell>
        </row>
        <row r="216">
          <cell r="S216">
            <v>1079269.8900000001</v>
          </cell>
        </row>
        <row r="217">
          <cell r="S217">
            <v>46593.689999999995</v>
          </cell>
        </row>
        <row r="221">
          <cell r="S221">
            <v>1039382.45</v>
          </cell>
        </row>
        <row r="222">
          <cell r="S222">
            <v>151712.27000000002</v>
          </cell>
        </row>
        <row r="226">
          <cell r="S226">
            <v>0</v>
          </cell>
        </row>
        <row r="227">
          <cell r="S227">
            <v>0</v>
          </cell>
        </row>
        <row r="231">
          <cell r="S231">
            <v>0</v>
          </cell>
        </row>
        <row r="232">
          <cell r="S232">
            <v>0</v>
          </cell>
        </row>
        <row r="244">
          <cell r="S244">
            <v>729427.38</v>
          </cell>
        </row>
        <row r="245">
          <cell r="S245">
            <v>20445.199999999997</v>
          </cell>
        </row>
        <row r="249">
          <cell r="S249">
            <v>1399332.5599999998</v>
          </cell>
        </row>
        <row r="250">
          <cell r="S250">
            <v>42978.89</v>
          </cell>
        </row>
        <row r="254">
          <cell r="S254">
            <v>8332028.21</v>
          </cell>
        </row>
        <row r="255">
          <cell r="S255">
            <v>233583.46</v>
          </cell>
        </row>
        <row r="259">
          <cell r="S259">
            <v>1027489.8400000001</v>
          </cell>
        </row>
        <row r="260">
          <cell r="S260">
            <v>36093.729999999996</v>
          </cell>
        </row>
        <row r="264">
          <cell r="S264">
            <v>0</v>
          </cell>
        </row>
        <row r="265">
          <cell r="S265">
            <v>0</v>
          </cell>
        </row>
        <row r="269">
          <cell r="S269">
            <v>827138.16999999993</v>
          </cell>
        </row>
        <row r="270">
          <cell r="S270">
            <v>94438.35</v>
          </cell>
        </row>
        <row r="274">
          <cell r="S274">
            <v>201407.35999999999</v>
          </cell>
        </row>
        <row r="275">
          <cell r="S275">
            <v>0</v>
          </cell>
        </row>
        <row r="279">
          <cell r="S279">
            <v>1836475.2000000002</v>
          </cell>
        </row>
        <row r="280">
          <cell r="S280">
            <v>0</v>
          </cell>
        </row>
        <row r="285">
          <cell r="S285">
            <v>0</v>
          </cell>
        </row>
        <row r="286">
          <cell r="S286">
            <v>0</v>
          </cell>
        </row>
        <row r="297">
          <cell r="S297">
            <v>457820.72</v>
          </cell>
        </row>
        <row r="298">
          <cell r="S298">
            <v>12906.7</v>
          </cell>
        </row>
        <row r="302">
          <cell r="S302">
            <v>27750988.700000003</v>
          </cell>
        </row>
        <row r="303">
          <cell r="S303">
            <v>154343.00999999998</v>
          </cell>
        </row>
        <row r="307">
          <cell r="S307">
            <v>651470.22</v>
          </cell>
        </row>
        <row r="308">
          <cell r="S308">
            <v>13910.900000000001</v>
          </cell>
        </row>
        <row r="312">
          <cell r="S312">
            <v>0</v>
          </cell>
        </row>
        <row r="313">
          <cell r="S313">
            <v>0</v>
          </cell>
        </row>
        <row r="325">
          <cell r="S325">
            <v>6983469.5200000005</v>
          </cell>
        </row>
        <row r="326">
          <cell r="S326">
            <v>239637.56000000003</v>
          </cell>
        </row>
        <row r="329">
          <cell r="S329">
            <v>2484245.96</v>
          </cell>
        </row>
        <row r="330">
          <cell r="S330">
            <v>139867.03</v>
          </cell>
        </row>
        <row r="333">
          <cell r="S333">
            <v>-17775013.439999998</v>
          </cell>
        </row>
        <row r="334">
          <cell r="S334">
            <v>-609229.79</v>
          </cell>
        </row>
        <row r="337">
          <cell r="S337">
            <v>37612186.189999998</v>
          </cell>
        </row>
        <row r="338">
          <cell r="S338">
            <v>1391608.25</v>
          </cell>
        </row>
        <row r="341">
          <cell r="S341">
            <v>339927.26</v>
          </cell>
        </row>
        <row r="342">
          <cell r="S342">
            <v>11649.57</v>
          </cell>
        </row>
        <row r="345">
          <cell r="S345">
            <v>1141494.81</v>
          </cell>
        </row>
        <row r="346">
          <cell r="S346">
            <v>42796.619999999995</v>
          </cell>
        </row>
        <row r="349">
          <cell r="S349">
            <v>-2072805.75</v>
          </cell>
        </row>
        <row r="350">
          <cell r="S350">
            <v>-109173.48999999999</v>
          </cell>
        </row>
        <row r="353">
          <cell r="S353">
            <v>0</v>
          </cell>
        </row>
        <row r="354">
          <cell r="S354">
            <v>0</v>
          </cell>
        </row>
        <row r="357">
          <cell r="S357">
            <v>0</v>
          </cell>
        </row>
        <row r="358">
          <cell r="S358">
            <v>0</v>
          </cell>
        </row>
        <row r="361">
          <cell r="S361">
            <v>3423500.74</v>
          </cell>
        </row>
        <row r="362">
          <cell r="S362">
            <v>65294.43</v>
          </cell>
        </row>
        <row r="365">
          <cell r="S365">
            <v>129.09</v>
          </cell>
        </row>
        <row r="366">
          <cell r="S366">
            <v>109075.38</v>
          </cell>
        </row>
        <row r="369">
          <cell r="S369">
            <v>781483.2</v>
          </cell>
        </row>
        <row r="370">
          <cell r="S370">
            <v>26162.489999999998</v>
          </cell>
        </row>
        <row r="385">
          <cell r="S385">
            <v>677344.67999999993</v>
          </cell>
        </row>
        <row r="386">
          <cell r="S386">
            <v>2532942.0300000003</v>
          </cell>
        </row>
        <row r="387">
          <cell r="S387">
            <v>84756223.760000005</v>
          </cell>
        </row>
        <row r="388">
          <cell r="S388">
            <v>7552499.9100000001</v>
          </cell>
        </row>
        <row r="392">
          <cell r="S392">
            <v>0</v>
          </cell>
        </row>
        <row r="393">
          <cell r="S393">
            <v>0</v>
          </cell>
        </row>
        <row r="394">
          <cell r="S394">
            <v>0</v>
          </cell>
        </row>
        <row r="395">
          <cell r="S395">
            <v>0</v>
          </cell>
        </row>
        <row r="402">
          <cell r="S402">
            <v>0</v>
          </cell>
        </row>
        <row r="403">
          <cell r="S403">
            <v>1220129.75</v>
          </cell>
        </row>
        <row r="404">
          <cell r="S404">
            <v>24243239.060000002</v>
          </cell>
        </row>
        <row r="405">
          <cell r="S405">
            <v>1255099.78</v>
          </cell>
        </row>
        <row r="406">
          <cell r="S406">
            <v>26718468.589999996</v>
          </cell>
        </row>
        <row r="408">
          <cell r="S408">
            <v>-49778191.43999999</v>
          </cell>
        </row>
        <row r="410">
          <cell r="S410">
            <v>-11201269.889999997</v>
          </cell>
        </row>
        <row r="412">
          <cell r="S412">
            <v>81953891.75</v>
          </cell>
        </row>
        <row r="414">
          <cell r="S414">
            <v>15614362.33</v>
          </cell>
        </row>
        <row r="416">
          <cell r="S416">
            <v>0</v>
          </cell>
        </row>
        <row r="418">
          <cell r="S418">
            <v>0</v>
          </cell>
        </row>
        <row r="420">
          <cell r="S420">
            <v>0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33">
          <cell r="L33">
            <v>96245.91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33">
          <cell r="L33">
            <v>71957.640000000014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Panel"/>
      <sheetName val="Summaries"/>
      <sheetName val="Report"/>
      <sheetName val="Variance"/>
      <sheetName val="compare JUNE 08 TO JUNE 09"/>
      <sheetName val="compare DEC 08 TO JUNE 09"/>
      <sheetName val="ROR-Model"/>
      <sheetName val="Taxes"/>
      <sheetName val="FILED Adjustments"/>
      <sheetName val="Rate Base"/>
      <sheetName val="DSM ACC ADJUSTMENTS"/>
      <sheetName val="EXPENSES"/>
      <sheetName val="Und Stor"/>
      <sheetName val="Wexpro"/>
      <sheetName val="RESERVE ACCRUAL"/>
      <sheetName val="Donations"/>
      <sheetName val="19-Advertising"/>
      <sheetName val="Incentive"/>
      <sheetName val="Stock Incentives"/>
      <sheetName val="Sporting Events"/>
      <sheetName val="State Tax"/>
      <sheetName val="Other Rev"/>
      <sheetName val="Revenue"/>
      <sheetName val="Revrun Jun 09"/>
      <sheetName val="Booked Jun 09 Rev"/>
      <sheetName val="REV SUMMARY"/>
      <sheetName val="AIRCRAFT"/>
      <sheetName val="OakCity"/>
      <sheetName val="Lab Adj"/>
      <sheetName val="Utah Bad Debt"/>
      <sheetName val="Capital Str"/>
      <sheetName val="Utah Allocation"/>
      <sheetName val="ALLOCATIONS&amp;PRETAX"/>
      <sheetName val="PRINT MACRO"/>
      <sheetName val="COS Input"/>
      <sheetName val="Dist Plant"/>
      <sheetName val="Dist Throughput"/>
      <sheetName val="COS REVRUN"/>
      <sheetName val="COS Alloc Factors"/>
      <sheetName val="COS Detail"/>
      <sheetName val="Taxes by Class"/>
      <sheetName val="COS Sum"/>
      <sheetName val="COS Summary"/>
      <sheetName val="Rate Design"/>
      <sheetName val="Current Rev"/>
      <sheetName val="Rates"/>
      <sheetName val="Blocks"/>
      <sheetName val="Cost Curves"/>
      <sheetName val="Graphs"/>
      <sheetName val="Sum-Wint"/>
      <sheetName val="Rules"/>
      <sheetName val="Bill Factor Input"/>
      <sheetName val="Cur Bill Fctr Inp"/>
      <sheetName val="Criteria"/>
      <sheetName val="Checks"/>
      <sheetName val="Checks-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9">
          <cell r="C9" t="str">
            <v>QGC Advertising Jun 09</v>
          </cell>
          <cell r="E9" t="str">
            <v>QGC Advertising Jun 09</v>
          </cell>
        </row>
        <row r="10">
          <cell r="E10" t="str">
            <v>HOT</v>
          </cell>
        </row>
        <row r="14">
          <cell r="C14">
            <v>0</v>
          </cell>
          <cell r="E14">
            <v>0</v>
          </cell>
        </row>
        <row r="15">
          <cell r="C15">
            <v>0</v>
          </cell>
          <cell r="E15">
            <v>0</v>
          </cell>
        </row>
        <row r="16">
          <cell r="C16">
            <v>0</v>
          </cell>
          <cell r="E16">
            <v>0</v>
          </cell>
        </row>
        <row r="17">
          <cell r="C17">
            <v>0</v>
          </cell>
          <cell r="E17">
            <v>0</v>
          </cell>
        </row>
        <row r="18">
          <cell r="C18">
            <v>17500.46</v>
          </cell>
          <cell r="E18">
            <v>17500.46</v>
          </cell>
        </row>
        <row r="19">
          <cell r="C19">
            <v>0</v>
          </cell>
          <cell r="E19">
            <v>0</v>
          </cell>
        </row>
        <row r="20">
          <cell r="C20">
            <v>0</v>
          </cell>
          <cell r="E20">
            <v>0</v>
          </cell>
        </row>
        <row r="21">
          <cell r="C21">
            <v>82.773242162342584</v>
          </cell>
          <cell r="E21">
            <v>82.773242162342584</v>
          </cell>
        </row>
        <row r="22">
          <cell r="C22">
            <v>938.71938101942214</v>
          </cell>
          <cell r="E22">
            <v>938.71938101942214</v>
          </cell>
        </row>
        <row r="23">
          <cell r="C23">
            <v>0</v>
          </cell>
          <cell r="E23">
            <v>0</v>
          </cell>
        </row>
        <row r="24">
          <cell r="C24">
            <v>13133.748999999996</v>
          </cell>
          <cell r="E24">
            <v>13133.748999999996</v>
          </cell>
        </row>
        <row r="25">
          <cell r="E25">
            <v>0</v>
          </cell>
        </row>
        <row r="26">
          <cell r="E26">
            <v>0</v>
          </cell>
        </row>
        <row r="27">
          <cell r="C27">
            <v>31655.701623181762</v>
          </cell>
          <cell r="E27">
            <v>31655.701623181762</v>
          </cell>
        </row>
        <row r="28">
          <cell r="P28">
            <v>31655.701623181762</v>
          </cell>
        </row>
        <row r="29">
          <cell r="E29">
            <v>0</v>
          </cell>
        </row>
        <row r="30">
          <cell r="C30">
            <v>-31655.701623181762</v>
          </cell>
          <cell r="E30">
            <v>-31655.701623181762</v>
          </cell>
        </row>
        <row r="32">
          <cell r="C32">
            <v>-30620.210604587028</v>
          </cell>
          <cell r="E32">
            <v>-30620.210604587028</v>
          </cell>
        </row>
        <row r="33">
          <cell r="C33">
            <v>-1035.4910185947374</v>
          </cell>
          <cell r="E33">
            <v>-1035.4910185947374</v>
          </cell>
        </row>
        <row r="34"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33">
          <cell r="L33">
            <v>56604.17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33">
          <cell r="L33">
            <v>33428.930000000008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33">
          <cell r="L33">
            <v>21265.929999999997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33">
          <cell r="L33">
            <v>12726.660000000002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36">
          <cell r="L36">
            <v>104684.86999999997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36">
          <cell r="L36">
            <v>74986.8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36">
          <cell r="L36">
            <v>67086.260000000009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36">
          <cell r="L36">
            <v>34264.359999999986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36">
          <cell r="L36">
            <v>24140.670000000002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36">
          <cell r="L36">
            <v>14690.470000000005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YPE"/>
      <sheetName val="CET"/>
      <sheetName val="RATE CLASS"/>
      <sheetName val="Sheet1"/>
      <sheetName val="QUERY_FOR PIVOT"/>
      <sheetName val="NGV REVENUES"/>
      <sheetName val="BOOKED REV"/>
      <sheetName val="Sheet3"/>
    </sheetNames>
    <sheetDataSet>
      <sheetData sheetId="0"/>
      <sheetData sheetId="1" refreshError="1">
        <row r="1">
          <cell r="A1">
            <v>38717</v>
          </cell>
          <cell r="B1">
            <v>0</v>
          </cell>
        </row>
        <row r="2">
          <cell r="A2">
            <v>38748</v>
          </cell>
          <cell r="B2">
            <v>0</v>
          </cell>
        </row>
        <row r="3">
          <cell r="A3">
            <v>38776</v>
          </cell>
          <cell r="B3">
            <v>0</v>
          </cell>
        </row>
        <row r="4">
          <cell r="A4">
            <v>38807</v>
          </cell>
          <cell r="B4">
            <v>0</v>
          </cell>
        </row>
        <row r="5">
          <cell r="A5">
            <v>38837</v>
          </cell>
          <cell r="B5">
            <v>0</v>
          </cell>
        </row>
        <row r="6">
          <cell r="A6">
            <v>38868</v>
          </cell>
          <cell r="B6">
            <v>0</v>
          </cell>
        </row>
        <row r="7">
          <cell r="A7">
            <v>38898</v>
          </cell>
          <cell r="B7">
            <v>0</v>
          </cell>
        </row>
        <row r="8">
          <cell r="A8">
            <v>38929</v>
          </cell>
          <cell r="B8">
            <v>0</v>
          </cell>
        </row>
        <row r="9">
          <cell r="A9">
            <v>38960</v>
          </cell>
          <cell r="B9">
            <v>0</v>
          </cell>
        </row>
        <row r="10">
          <cell r="A10">
            <v>38990</v>
          </cell>
          <cell r="B10">
            <v>-640012.46</v>
          </cell>
        </row>
        <row r="11">
          <cell r="A11">
            <v>39021</v>
          </cell>
          <cell r="B11">
            <v>97509.84</v>
          </cell>
        </row>
        <row r="12">
          <cell r="A12">
            <v>39051</v>
          </cell>
          <cell r="B12">
            <v>-278087.37</v>
          </cell>
        </row>
        <row r="13">
          <cell r="A13">
            <v>39082</v>
          </cell>
          <cell r="B13">
            <v>-928332.14</v>
          </cell>
        </row>
        <row r="14">
          <cell r="A14">
            <v>39113</v>
          </cell>
          <cell r="B14">
            <v>1578025.4</v>
          </cell>
        </row>
        <row r="15">
          <cell r="A15">
            <v>39141</v>
          </cell>
        </row>
        <row r="16">
          <cell r="A16">
            <v>39172</v>
          </cell>
        </row>
        <row r="17">
          <cell r="A17">
            <v>39202</v>
          </cell>
        </row>
        <row r="18">
          <cell r="A18">
            <v>39233</v>
          </cell>
        </row>
        <row r="19">
          <cell r="A19">
            <v>39263</v>
          </cell>
        </row>
        <row r="20">
          <cell r="A20">
            <v>39294</v>
          </cell>
        </row>
        <row r="21">
          <cell r="A21">
            <v>39325</v>
          </cell>
        </row>
        <row r="22">
          <cell r="A22">
            <v>39355</v>
          </cell>
        </row>
        <row r="23">
          <cell r="A23">
            <v>39386</v>
          </cell>
        </row>
        <row r="24">
          <cell r="A24">
            <v>39416</v>
          </cell>
        </row>
        <row r="25">
          <cell r="A25">
            <v>39447</v>
          </cell>
        </row>
        <row r="26">
          <cell r="A26">
            <v>39478</v>
          </cell>
        </row>
        <row r="27">
          <cell r="A27">
            <v>39507</v>
          </cell>
        </row>
        <row r="28">
          <cell r="A28">
            <v>39538</v>
          </cell>
        </row>
        <row r="29">
          <cell r="A29">
            <v>39568</v>
          </cell>
        </row>
        <row r="30">
          <cell r="A30">
            <v>39599</v>
          </cell>
        </row>
        <row r="31">
          <cell r="A31">
            <v>39629</v>
          </cell>
        </row>
        <row r="32">
          <cell r="A32">
            <v>39660</v>
          </cell>
        </row>
        <row r="33">
          <cell r="A33">
            <v>39691</v>
          </cell>
        </row>
        <row r="34">
          <cell r="A34">
            <v>39721</v>
          </cell>
        </row>
        <row r="35">
          <cell r="A35">
            <v>39752</v>
          </cell>
        </row>
        <row r="36">
          <cell r="A36">
            <v>39782</v>
          </cell>
        </row>
        <row r="37">
          <cell r="A37">
            <v>39813</v>
          </cell>
        </row>
        <row r="38">
          <cell r="A38">
            <v>39844</v>
          </cell>
        </row>
        <row r="39">
          <cell r="A39">
            <v>39872</v>
          </cell>
        </row>
        <row r="40">
          <cell r="A40">
            <v>39903</v>
          </cell>
        </row>
        <row r="41">
          <cell r="A41">
            <v>39933</v>
          </cell>
        </row>
        <row r="42">
          <cell r="A42">
            <v>39964</v>
          </cell>
        </row>
        <row r="43">
          <cell r="A43">
            <v>39994</v>
          </cell>
        </row>
        <row r="44">
          <cell r="A44">
            <v>40025</v>
          </cell>
        </row>
        <row r="45">
          <cell r="A45">
            <v>40056</v>
          </cell>
        </row>
        <row r="46">
          <cell r="A46">
            <v>40086</v>
          </cell>
        </row>
        <row r="47">
          <cell r="A47">
            <v>40117</v>
          </cell>
        </row>
        <row r="48">
          <cell r="A48">
            <v>40147</v>
          </cell>
        </row>
        <row r="49">
          <cell r="A49">
            <v>40178</v>
          </cell>
        </row>
        <row r="50">
          <cell r="A50">
            <v>40209</v>
          </cell>
        </row>
        <row r="51">
          <cell r="A51">
            <v>40237</v>
          </cell>
        </row>
        <row r="52">
          <cell r="A52">
            <v>40268</v>
          </cell>
        </row>
        <row r="53">
          <cell r="A53">
            <v>40298</v>
          </cell>
        </row>
        <row r="54">
          <cell r="A54">
            <v>40329</v>
          </cell>
        </row>
        <row r="55">
          <cell r="A55">
            <v>40359</v>
          </cell>
        </row>
        <row r="56">
          <cell r="A56">
            <v>40390</v>
          </cell>
        </row>
        <row r="57">
          <cell r="A57">
            <v>40421</v>
          </cell>
        </row>
        <row r="58">
          <cell r="A58">
            <v>40451</v>
          </cell>
        </row>
        <row r="59">
          <cell r="A59">
            <v>40482</v>
          </cell>
        </row>
        <row r="60">
          <cell r="A60">
            <v>40512</v>
          </cell>
        </row>
        <row r="61">
          <cell r="A61">
            <v>40543</v>
          </cell>
        </row>
        <row r="62">
          <cell r="A62">
            <v>40574</v>
          </cell>
        </row>
        <row r="63">
          <cell r="A63">
            <v>40602</v>
          </cell>
        </row>
        <row r="64">
          <cell r="A64">
            <v>40633</v>
          </cell>
        </row>
        <row r="65">
          <cell r="A65">
            <v>40663</v>
          </cell>
        </row>
        <row r="66">
          <cell r="A66">
            <v>40694</v>
          </cell>
        </row>
        <row r="67">
          <cell r="A67">
            <v>40724</v>
          </cell>
        </row>
        <row r="68">
          <cell r="A68">
            <v>40755</v>
          </cell>
        </row>
        <row r="69">
          <cell r="A69">
            <v>40786</v>
          </cell>
        </row>
        <row r="70">
          <cell r="A70">
            <v>40816</v>
          </cell>
        </row>
        <row r="71">
          <cell r="A71">
            <v>40847</v>
          </cell>
        </row>
        <row r="72">
          <cell r="A72">
            <v>40877</v>
          </cell>
        </row>
        <row r="73">
          <cell r="A73">
            <v>40908</v>
          </cell>
        </row>
        <row r="74">
          <cell r="A74">
            <v>40939</v>
          </cell>
        </row>
        <row r="75">
          <cell r="A75">
            <v>40968</v>
          </cell>
        </row>
        <row r="76">
          <cell r="A76">
            <v>40999</v>
          </cell>
        </row>
        <row r="77">
          <cell r="A77">
            <v>41029</v>
          </cell>
        </row>
        <row r="78">
          <cell r="A78">
            <v>41060</v>
          </cell>
        </row>
        <row r="79">
          <cell r="A79">
            <v>41090</v>
          </cell>
        </row>
        <row r="80">
          <cell r="A80">
            <v>41121</v>
          </cell>
        </row>
        <row r="81">
          <cell r="A81">
            <v>41152</v>
          </cell>
        </row>
        <row r="82">
          <cell r="A82">
            <v>41182</v>
          </cell>
        </row>
        <row r="83">
          <cell r="A83">
            <v>41213</v>
          </cell>
        </row>
        <row r="84">
          <cell r="A84">
            <v>41243</v>
          </cell>
        </row>
        <row r="85">
          <cell r="A85">
            <v>41274</v>
          </cell>
        </row>
        <row r="86">
          <cell r="A86">
            <v>41305</v>
          </cell>
        </row>
        <row r="87">
          <cell r="A87">
            <v>41333</v>
          </cell>
        </row>
        <row r="88">
          <cell r="A88">
            <v>41364</v>
          </cell>
        </row>
        <row r="89">
          <cell r="A89">
            <v>41394</v>
          </cell>
        </row>
        <row r="90">
          <cell r="A90">
            <v>41425</v>
          </cell>
        </row>
        <row r="91">
          <cell r="A91">
            <v>41455</v>
          </cell>
        </row>
        <row r="92">
          <cell r="A92">
            <v>41486</v>
          </cell>
        </row>
        <row r="93">
          <cell r="A93">
            <v>41517</v>
          </cell>
        </row>
        <row r="94">
          <cell r="A94">
            <v>41547</v>
          </cell>
        </row>
        <row r="95">
          <cell r="A95">
            <v>41578</v>
          </cell>
        </row>
        <row r="96">
          <cell r="A96">
            <v>41608</v>
          </cell>
        </row>
        <row r="97">
          <cell r="A97">
            <v>41639</v>
          </cell>
        </row>
        <row r="98">
          <cell r="A98">
            <v>41670</v>
          </cell>
        </row>
        <row r="99">
          <cell r="A99">
            <v>41698</v>
          </cell>
        </row>
        <row r="100">
          <cell r="A100">
            <v>41729</v>
          </cell>
        </row>
        <row r="101">
          <cell r="A101">
            <v>41759</v>
          </cell>
        </row>
        <row r="102">
          <cell r="A102">
            <v>41790</v>
          </cell>
        </row>
        <row r="103">
          <cell r="A103">
            <v>41820</v>
          </cell>
        </row>
        <row r="104">
          <cell r="A104">
            <v>41851</v>
          </cell>
        </row>
        <row r="105">
          <cell r="A105">
            <v>41882</v>
          </cell>
        </row>
        <row r="106">
          <cell r="A106">
            <v>41912</v>
          </cell>
        </row>
        <row r="107">
          <cell r="A107">
            <v>41943</v>
          </cell>
        </row>
        <row r="108">
          <cell r="A108">
            <v>41973</v>
          </cell>
        </row>
        <row r="109">
          <cell r="A109">
            <v>42004</v>
          </cell>
        </row>
        <row r="110">
          <cell r="A110">
            <v>42035</v>
          </cell>
        </row>
        <row r="111">
          <cell r="A111">
            <v>42063</v>
          </cell>
        </row>
        <row r="112">
          <cell r="A112">
            <v>42094</v>
          </cell>
        </row>
        <row r="113">
          <cell r="A113">
            <v>42124</v>
          </cell>
        </row>
        <row r="114">
          <cell r="A114">
            <v>42155</v>
          </cell>
        </row>
        <row r="115">
          <cell r="A115">
            <v>42185</v>
          </cell>
        </row>
        <row r="116">
          <cell r="A116">
            <v>42216</v>
          </cell>
        </row>
        <row r="117">
          <cell r="A117">
            <v>42247</v>
          </cell>
        </row>
        <row r="118">
          <cell r="A118">
            <v>42277</v>
          </cell>
        </row>
        <row r="119">
          <cell r="A119">
            <v>42308</v>
          </cell>
        </row>
        <row r="120">
          <cell r="A120">
            <v>42338</v>
          </cell>
        </row>
        <row r="121">
          <cell r="A121">
            <v>42369</v>
          </cell>
        </row>
        <row r="122">
          <cell r="A122">
            <v>42400</v>
          </cell>
        </row>
        <row r="123">
          <cell r="A123">
            <v>42429</v>
          </cell>
        </row>
        <row r="124">
          <cell r="A124">
            <v>42460</v>
          </cell>
        </row>
        <row r="125">
          <cell r="A125">
            <v>42490</v>
          </cell>
        </row>
        <row r="126">
          <cell r="A126">
            <v>42521</v>
          </cell>
        </row>
        <row r="127">
          <cell r="A127">
            <v>42551</v>
          </cell>
        </row>
        <row r="128">
          <cell r="A128">
            <v>42582</v>
          </cell>
        </row>
        <row r="129">
          <cell r="A129">
            <v>42613</v>
          </cell>
        </row>
        <row r="130">
          <cell r="A130">
            <v>42643</v>
          </cell>
        </row>
        <row r="131">
          <cell r="A131">
            <v>42674</v>
          </cell>
        </row>
        <row r="132">
          <cell r="A132">
            <v>42704</v>
          </cell>
        </row>
        <row r="133">
          <cell r="A133">
            <v>42735</v>
          </cell>
        </row>
        <row r="134">
          <cell r="A134">
            <v>42766</v>
          </cell>
        </row>
        <row r="135">
          <cell r="A135">
            <v>42794</v>
          </cell>
        </row>
        <row r="136">
          <cell r="A136">
            <v>42825</v>
          </cell>
        </row>
        <row r="137">
          <cell r="A137">
            <v>42855</v>
          </cell>
        </row>
        <row r="138">
          <cell r="A138">
            <v>42886</v>
          </cell>
        </row>
        <row r="139">
          <cell r="A139">
            <v>42916</v>
          </cell>
        </row>
        <row r="140">
          <cell r="A140">
            <v>42947</v>
          </cell>
        </row>
        <row r="141">
          <cell r="A141">
            <v>42978</v>
          </cell>
        </row>
        <row r="142">
          <cell r="A142">
            <v>43008</v>
          </cell>
        </row>
        <row r="143">
          <cell r="A143">
            <v>43039</v>
          </cell>
        </row>
        <row r="144">
          <cell r="A144">
            <v>43069</v>
          </cell>
        </row>
        <row r="145">
          <cell r="A145">
            <v>43100</v>
          </cell>
        </row>
        <row r="146">
          <cell r="A146">
            <v>43131</v>
          </cell>
        </row>
        <row r="147">
          <cell r="A147">
            <v>43159</v>
          </cell>
        </row>
        <row r="148">
          <cell r="A148">
            <v>43190</v>
          </cell>
        </row>
        <row r="149">
          <cell r="A149">
            <v>43220</v>
          </cell>
        </row>
        <row r="150">
          <cell r="A150">
            <v>43251</v>
          </cell>
        </row>
        <row r="151">
          <cell r="A151">
            <v>43281</v>
          </cell>
        </row>
        <row r="152">
          <cell r="A152">
            <v>43312</v>
          </cell>
        </row>
        <row r="153">
          <cell r="A153">
            <v>43343</v>
          </cell>
        </row>
        <row r="154">
          <cell r="A154">
            <v>43373</v>
          </cell>
        </row>
        <row r="155">
          <cell r="A155">
            <v>43404</v>
          </cell>
        </row>
        <row r="156">
          <cell r="A156">
            <v>43434</v>
          </cell>
        </row>
        <row r="157">
          <cell r="A157">
            <v>43465</v>
          </cell>
        </row>
        <row r="158">
          <cell r="A158">
            <v>43496</v>
          </cell>
        </row>
        <row r="159">
          <cell r="A159">
            <v>43524</v>
          </cell>
        </row>
        <row r="160">
          <cell r="A160">
            <v>43555</v>
          </cell>
        </row>
        <row r="161">
          <cell r="A161">
            <v>43585</v>
          </cell>
        </row>
        <row r="162">
          <cell r="A162">
            <v>43616</v>
          </cell>
        </row>
        <row r="163">
          <cell r="A163">
            <v>43646</v>
          </cell>
        </row>
        <row r="164">
          <cell r="A164">
            <v>43677</v>
          </cell>
        </row>
        <row r="165">
          <cell r="A165">
            <v>43708</v>
          </cell>
        </row>
        <row r="166">
          <cell r="A166">
            <v>43738</v>
          </cell>
        </row>
        <row r="167">
          <cell r="A167">
            <v>43769</v>
          </cell>
        </row>
        <row r="168">
          <cell r="A168">
            <v>43799</v>
          </cell>
        </row>
        <row r="169">
          <cell r="A169">
            <v>43830</v>
          </cell>
        </row>
        <row r="170">
          <cell r="A170">
            <v>43861</v>
          </cell>
        </row>
        <row r="171">
          <cell r="A171">
            <v>43890</v>
          </cell>
        </row>
        <row r="172">
          <cell r="A172">
            <v>43921</v>
          </cell>
        </row>
        <row r="173">
          <cell r="A173">
            <v>43951</v>
          </cell>
        </row>
        <row r="174">
          <cell r="A174">
            <v>43982</v>
          </cell>
        </row>
        <row r="175">
          <cell r="A175">
            <v>44012</v>
          </cell>
        </row>
        <row r="176">
          <cell r="A176">
            <v>44043</v>
          </cell>
        </row>
        <row r="177">
          <cell r="A177">
            <v>44074</v>
          </cell>
        </row>
        <row r="178">
          <cell r="A178">
            <v>44104</v>
          </cell>
        </row>
        <row r="179">
          <cell r="A179">
            <v>44135</v>
          </cell>
        </row>
      </sheetData>
      <sheetData sheetId="2"/>
      <sheetData sheetId="3"/>
      <sheetData sheetId="4" refreshError="1">
        <row r="1">
          <cell r="A1" t="str">
            <v>Account</v>
          </cell>
          <cell r="B1" t="str">
            <v>Dept</v>
          </cell>
          <cell r="C1" t="str">
            <v>Sum Amount</v>
          </cell>
          <cell r="D1" t="str">
            <v>Trans</v>
          </cell>
          <cell r="E1" t="str">
            <v>Product</v>
          </cell>
          <cell r="F1" t="str">
            <v>Sum Stat Amt</v>
          </cell>
          <cell r="G1" t="str">
            <v>Period</v>
          </cell>
          <cell r="H1" t="str">
            <v>Date</v>
          </cell>
        </row>
        <row r="2">
          <cell r="A2">
            <v>481000</v>
          </cell>
          <cell r="B2">
            <v>1015</v>
          </cell>
          <cell r="C2">
            <v>-4980289.62</v>
          </cell>
          <cell r="D2" t="str">
            <v>210</v>
          </cell>
          <cell r="E2" t="str">
            <v>402</v>
          </cell>
          <cell r="F2">
            <v>-927877</v>
          </cell>
          <cell r="G2">
            <v>1</v>
          </cell>
          <cell r="H2" t="str">
            <v>2006-01-31</v>
          </cell>
        </row>
        <row r="3">
          <cell r="A3">
            <v>481000</v>
          </cell>
          <cell r="B3">
            <v>1015</v>
          </cell>
          <cell r="C3">
            <v>4980289.51</v>
          </cell>
          <cell r="D3" t="str">
            <v>210</v>
          </cell>
          <cell r="E3" t="str">
            <v>402</v>
          </cell>
          <cell r="F3">
            <v>927877</v>
          </cell>
          <cell r="G3">
            <v>1</v>
          </cell>
          <cell r="H3" t="str">
            <v>2006-01-31</v>
          </cell>
        </row>
        <row r="4">
          <cell r="A4">
            <v>481000</v>
          </cell>
          <cell r="B4">
            <v>1015</v>
          </cell>
          <cell r="C4">
            <v>0.11</v>
          </cell>
          <cell r="D4" t="str">
            <v>210</v>
          </cell>
          <cell r="E4" t="str">
            <v>402</v>
          </cell>
          <cell r="F4">
            <v>0</v>
          </cell>
          <cell r="G4">
            <v>1</v>
          </cell>
          <cell r="H4" t="str">
            <v>2006-01-31</v>
          </cell>
        </row>
        <row r="5">
          <cell r="A5">
            <v>481004</v>
          </cell>
          <cell r="B5">
            <v>1015</v>
          </cell>
          <cell r="C5">
            <v>4327182.79</v>
          </cell>
          <cell r="D5" t="str">
            <v>210</v>
          </cell>
          <cell r="E5" t="str">
            <v>402</v>
          </cell>
          <cell r="F5">
            <v>842511</v>
          </cell>
          <cell r="G5">
            <v>1</v>
          </cell>
          <cell r="H5" t="str">
            <v>2006-01-31</v>
          </cell>
        </row>
        <row r="6">
          <cell r="A6">
            <v>481004</v>
          </cell>
          <cell r="B6">
            <v>1015</v>
          </cell>
          <cell r="C6">
            <v>-4327182.79</v>
          </cell>
          <cell r="D6" t="str">
            <v>210</v>
          </cell>
          <cell r="E6" t="str">
            <v>402</v>
          </cell>
          <cell r="F6">
            <v>-842511</v>
          </cell>
          <cell r="G6">
            <v>1</v>
          </cell>
          <cell r="H6" t="str">
            <v>2006-01-31</v>
          </cell>
        </row>
        <row r="7">
          <cell r="A7">
            <v>481000</v>
          </cell>
          <cell r="B7">
            <v>1015</v>
          </cell>
          <cell r="C7">
            <v>0</v>
          </cell>
          <cell r="D7" t="str">
            <v>210</v>
          </cell>
          <cell r="E7" t="str">
            <v>403</v>
          </cell>
          <cell r="F7">
            <v>0</v>
          </cell>
          <cell r="G7">
            <v>1</v>
          </cell>
          <cell r="H7" t="str">
            <v>2006-01-31</v>
          </cell>
        </row>
        <row r="8">
          <cell r="A8">
            <v>481000</v>
          </cell>
          <cell r="B8">
            <v>1015</v>
          </cell>
          <cell r="C8">
            <v>0</v>
          </cell>
          <cell r="D8" t="str">
            <v>210</v>
          </cell>
          <cell r="E8" t="str">
            <v>403</v>
          </cell>
          <cell r="F8">
            <v>0</v>
          </cell>
          <cell r="G8">
            <v>1</v>
          </cell>
          <cell r="H8" t="str">
            <v>2006-01-31</v>
          </cell>
        </row>
        <row r="9">
          <cell r="A9">
            <v>481004</v>
          </cell>
          <cell r="B9">
            <v>1015</v>
          </cell>
          <cell r="C9">
            <v>0</v>
          </cell>
          <cell r="D9" t="str">
            <v>210</v>
          </cell>
          <cell r="E9" t="str">
            <v>403</v>
          </cell>
          <cell r="F9">
            <v>0</v>
          </cell>
          <cell r="G9">
            <v>1</v>
          </cell>
          <cell r="H9" t="str">
            <v>2006-01-31</v>
          </cell>
        </row>
        <row r="10">
          <cell r="A10">
            <v>481004</v>
          </cell>
          <cell r="B10">
            <v>1015</v>
          </cell>
          <cell r="C10">
            <v>0</v>
          </cell>
          <cell r="D10" t="str">
            <v>210</v>
          </cell>
          <cell r="E10" t="str">
            <v>403</v>
          </cell>
          <cell r="F10">
            <v>0</v>
          </cell>
          <cell r="G10">
            <v>1</v>
          </cell>
          <cell r="H10" t="str">
            <v>2006-01-31</v>
          </cell>
        </row>
        <row r="11">
          <cell r="A11">
            <v>481000</v>
          </cell>
          <cell r="B11">
            <v>1015</v>
          </cell>
          <cell r="C11">
            <v>0</v>
          </cell>
          <cell r="D11" t="str">
            <v>210</v>
          </cell>
          <cell r="E11" t="str">
            <v>404</v>
          </cell>
          <cell r="F11">
            <v>0</v>
          </cell>
          <cell r="G11">
            <v>1</v>
          </cell>
          <cell r="H11" t="str">
            <v>2006-01-31</v>
          </cell>
        </row>
        <row r="12">
          <cell r="A12">
            <v>481000</v>
          </cell>
          <cell r="B12">
            <v>1015</v>
          </cell>
          <cell r="C12">
            <v>0</v>
          </cell>
          <cell r="D12" t="str">
            <v>210</v>
          </cell>
          <cell r="E12" t="str">
            <v>404</v>
          </cell>
          <cell r="F12">
            <v>0</v>
          </cell>
          <cell r="G12">
            <v>1</v>
          </cell>
          <cell r="H12" t="str">
            <v>2006-01-31</v>
          </cell>
        </row>
        <row r="13">
          <cell r="A13">
            <v>481004</v>
          </cell>
          <cell r="B13">
            <v>1015</v>
          </cell>
          <cell r="C13">
            <v>0</v>
          </cell>
          <cell r="D13" t="str">
            <v>210</v>
          </cell>
          <cell r="E13" t="str">
            <v>404</v>
          </cell>
          <cell r="F13">
            <v>0</v>
          </cell>
          <cell r="G13">
            <v>1</v>
          </cell>
          <cell r="H13" t="str">
            <v>2006-01-31</v>
          </cell>
        </row>
        <row r="14">
          <cell r="A14">
            <v>481004</v>
          </cell>
          <cell r="B14">
            <v>1015</v>
          </cell>
          <cell r="C14">
            <v>0</v>
          </cell>
          <cell r="D14" t="str">
            <v>210</v>
          </cell>
          <cell r="E14" t="str">
            <v>404</v>
          </cell>
          <cell r="F14">
            <v>0</v>
          </cell>
          <cell r="G14">
            <v>1</v>
          </cell>
          <cell r="H14" t="str">
            <v>2006-01-31</v>
          </cell>
        </row>
        <row r="15">
          <cell r="A15">
            <v>480000</v>
          </cell>
          <cell r="B15">
            <v>1015</v>
          </cell>
          <cell r="C15">
            <v>2.2999999999999998</v>
          </cell>
          <cell r="D15" t="str">
            <v>210</v>
          </cell>
          <cell r="E15" t="str">
            <v>407</v>
          </cell>
          <cell r="F15">
            <v>0</v>
          </cell>
          <cell r="G15">
            <v>1</v>
          </cell>
          <cell r="H15" t="str">
            <v>2006-01-31</v>
          </cell>
        </row>
        <row r="16">
          <cell r="A16">
            <v>480000</v>
          </cell>
          <cell r="B16">
            <v>1015</v>
          </cell>
          <cell r="C16">
            <v>463.04</v>
          </cell>
          <cell r="D16" t="str">
            <v>210</v>
          </cell>
          <cell r="E16" t="str">
            <v>407</v>
          </cell>
          <cell r="F16">
            <v>59.6</v>
          </cell>
          <cell r="G16">
            <v>1</v>
          </cell>
          <cell r="H16" t="str">
            <v>2006-01-31</v>
          </cell>
        </row>
        <row r="17">
          <cell r="A17">
            <v>480000</v>
          </cell>
          <cell r="B17">
            <v>1015</v>
          </cell>
          <cell r="C17">
            <v>4296.3</v>
          </cell>
          <cell r="D17" t="str">
            <v>210</v>
          </cell>
          <cell r="E17" t="str">
            <v>407</v>
          </cell>
          <cell r="F17">
            <v>645.20000000000005</v>
          </cell>
          <cell r="G17">
            <v>1</v>
          </cell>
          <cell r="H17" t="str">
            <v>2006-01-31</v>
          </cell>
        </row>
        <row r="18">
          <cell r="A18">
            <v>480000</v>
          </cell>
          <cell r="B18">
            <v>1015</v>
          </cell>
          <cell r="C18">
            <v>1371.32</v>
          </cell>
          <cell r="D18" t="str">
            <v>210</v>
          </cell>
          <cell r="E18" t="str">
            <v>407</v>
          </cell>
          <cell r="F18">
            <v>190.3</v>
          </cell>
          <cell r="G18">
            <v>1</v>
          </cell>
          <cell r="H18" t="str">
            <v>2006-01-31</v>
          </cell>
        </row>
        <row r="19">
          <cell r="A19">
            <v>480001</v>
          </cell>
          <cell r="B19">
            <v>1015</v>
          </cell>
          <cell r="C19">
            <v>-6959.2</v>
          </cell>
          <cell r="D19" t="str">
            <v>210</v>
          </cell>
          <cell r="E19" t="str">
            <v>407</v>
          </cell>
          <cell r="F19">
            <v>-1007</v>
          </cell>
          <cell r="G19">
            <v>1</v>
          </cell>
          <cell r="H19" t="str">
            <v>2006-01-31</v>
          </cell>
        </row>
        <row r="20">
          <cell r="A20">
            <v>481004</v>
          </cell>
          <cell r="B20">
            <v>1015</v>
          </cell>
          <cell r="C20">
            <v>20.28</v>
          </cell>
          <cell r="D20" t="str">
            <v>210</v>
          </cell>
          <cell r="E20" t="str">
            <v>407</v>
          </cell>
          <cell r="F20">
            <v>2.5</v>
          </cell>
          <cell r="G20">
            <v>1</v>
          </cell>
          <cell r="H20" t="str">
            <v>2006-01-31</v>
          </cell>
        </row>
        <row r="21">
          <cell r="A21">
            <v>481004</v>
          </cell>
          <cell r="B21">
            <v>1015</v>
          </cell>
          <cell r="C21">
            <v>57.14</v>
          </cell>
          <cell r="D21" t="str">
            <v>210</v>
          </cell>
          <cell r="E21" t="str">
            <v>407</v>
          </cell>
          <cell r="F21">
            <v>6.8</v>
          </cell>
          <cell r="G21">
            <v>1</v>
          </cell>
          <cell r="H21" t="str">
            <v>2006-01-31</v>
          </cell>
        </row>
        <row r="22">
          <cell r="A22">
            <v>481004</v>
          </cell>
          <cell r="B22">
            <v>1015</v>
          </cell>
          <cell r="C22">
            <v>748.82</v>
          </cell>
          <cell r="D22" t="str">
            <v>210</v>
          </cell>
          <cell r="E22" t="str">
            <v>407</v>
          </cell>
          <cell r="F22">
            <v>102.6</v>
          </cell>
          <cell r="G22">
            <v>1</v>
          </cell>
          <cell r="H22" t="str">
            <v>2006-01-31</v>
          </cell>
        </row>
        <row r="23">
          <cell r="A23">
            <v>480001</v>
          </cell>
          <cell r="B23">
            <v>1015</v>
          </cell>
          <cell r="C23">
            <v>0</v>
          </cell>
          <cell r="D23" t="str">
            <v>210</v>
          </cell>
          <cell r="E23" t="str">
            <v>408</v>
          </cell>
          <cell r="F23">
            <v>0</v>
          </cell>
          <cell r="G23">
            <v>1</v>
          </cell>
          <cell r="H23" t="str">
            <v>2006-01-31</v>
          </cell>
        </row>
        <row r="24">
          <cell r="A24">
            <v>481002</v>
          </cell>
          <cell r="B24">
            <v>1015</v>
          </cell>
          <cell r="C24">
            <v>0</v>
          </cell>
          <cell r="D24" t="str">
            <v>210</v>
          </cell>
          <cell r="E24" t="str">
            <v>409</v>
          </cell>
          <cell r="F24">
            <v>0</v>
          </cell>
          <cell r="G24">
            <v>1</v>
          </cell>
          <cell r="H24" t="str">
            <v>2006-01-31</v>
          </cell>
        </row>
        <row r="25">
          <cell r="A25">
            <v>481002</v>
          </cell>
          <cell r="B25">
            <v>1015</v>
          </cell>
          <cell r="C25">
            <v>0</v>
          </cell>
          <cell r="D25" t="str">
            <v>210</v>
          </cell>
          <cell r="E25" t="str">
            <v>409</v>
          </cell>
          <cell r="F25">
            <v>0</v>
          </cell>
          <cell r="G25">
            <v>1</v>
          </cell>
          <cell r="H25" t="str">
            <v>2006-01-31</v>
          </cell>
        </row>
        <row r="26">
          <cell r="A26">
            <v>481002</v>
          </cell>
          <cell r="B26">
            <v>1015</v>
          </cell>
          <cell r="C26">
            <v>0</v>
          </cell>
          <cell r="D26" t="str">
            <v>210</v>
          </cell>
          <cell r="E26" t="str">
            <v>411</v>
          </cell>
          <cell r="F26">
            <v>0</v>
          </cell>
          <cell r="G26">
            <v>1</v>
          </cell>
          <cell r="H26" t="str">
            <v>2006-01-31</v>
          </cell>
        </row>
        <row r="27">
          <cell r="A27">
            <v>481002</v>
          </cell>
          <cell r="B27">
            <v>1015</v>
          </cell>
          <cell r="C27">
            <v>0</v>
          </cell>
          <cell r="D27" t="str">
            <v>210</v>
          </cell>
          <cell r="E27" t="str">
            <v>411</v>
          </cell>
          <cell r="F27">
            <v>0</v>
          </cell>
          <cell r="G27">
            <v>1</v>
          </cell>
          <cell r="H27" t="str">
            <v>2006-01-31</v>
          </cell>
        </row>
        <row r="28">
          <cell r="A28">
            <v>481005</v>
          </cell>
          <cell r="B28">
            <v>1015</v>
          </cell>
          <cell r="C28">
            <v>0</v>
          </cell>
          <cell r="D28" t="str">
            <v>210</v>
          </cell>
          <cell r="E28" t="str">
            <v>411</v>
          </cell>
          <cell r="F28">
            <v>0</v>
          </cell>
          <cell r="G28">
            <v>1</v>
          </cell>
          <cell r="H28" t="str">
            <v>2006-01-31</v>
          </cell>
        </row>
        <row r="29">
          <cell r="A29">
            <v>481005</v>
          </cell>
          <cell r="B29">
            <v>1015</v>
          </cell>
          <cell r="C29">
            <v>0</v>
          </cell>
          <cell r="D29" t="str">
            <v>210</v>
          </cell>
          <cell r="E29" t="str">
            <v>411</v>
          </cell>
          <cell r="F29">
            <v>0</v>
          </cell>
          <cell r="G29">
            <v>1</v>
          </cell>
          <cell r="H29" t="str">
            <v>2006-01-31</v>
          </cell>
        </row>
        <row r="30">
          <cell r="A30">
            <v>481005</v>
          </cell>
          <cell r="B30">
            <v>1015</v>
          </cell>
          <cell r="C30">
            <v>-0.97</v>
          </cell>
          <cell r="D30" t="str">
            <v>210</v>
          </cell>
          <cell r="E30" t="str">
            <v>411</v>
          </cell>
          <cell r="F30">
            <v>0</v>
          </cell>
          <cell r="G30">
            <v>1</v>
          </cell>
          <cell r="H30" t="str">
            <v>2006-01-31</v>
          </cell>
        </row>
        <row r="31">
          <cell r="A31">
            <v>481002</v>
          </cell>
          <cell r="B31">
            <v>1015</v>
          </cell>
          <cell r="C31">
            <v>0</v>
          </cell>
          <cell r="D31" t="str">
            <v>210</v>
          </cell>
          <cell r="E31" t="str">
            <v>412</v>
          </cell>
          <cell r="F31">
            <v>0</v>
          </cell>
          <cell r="G31">
            <v>1</v>
          </cell>
          <cell r="H31" t="str">
            <v>2006-01-31</v>
          </cell>
        </row>
        <row r="32">
          <cell r="A32">
            <v>481002</v>
          </cell>
          <cell r="B32">
            <v>1015</v>
          </cell>
          <cell r="C32">
            <v>0</v>
          </cell>
          <cell r="D32" t="str">
            <v>210</v>
          </cell>
          <cell r="E32" t="str">
            <v>412</v>
          </cell>
          <cell r="F32">
            <v>0</v>
          </cell>
          <cell r="G32">
            <v>1</v>
          </cell>
          <cell r="H32" t="str">
            <v>2006-01-31</v>
          </cell>
        </row>
        <row r="33">
          <cell r="A33">
            <v>481002</v>
          </cell>
          <cell r="B33">
            <v>1015</v>
          </cell>
          <cell r="C33">
            <v>0</v>
          </cell>
          <cell r="D33" t="str">
            <v>210</v>
          </cell>
          <cell r="E33" t="str">
            <v>414</v>
          </cell>
          <cell r="F33">
            <v>0</v>
          </cell>
          <cell r="G33">
            <v>1</v>
          </cell>
          <cell r="H33" t="str">
            <v>2006-01-31</v>
          </cell>
        </row>
        <row r="34">
          <cell r="A34">
            <v>481002</v>
          </cell>
          <cell r="B34">
            <v>1015</v>
          </cell>
          <cell r="C34">
            <v>0</v>
          </cell>
          <cell r="D34" t="str">
            <v>210</v>
          </cell>
          <cell r="E34" t="str">
            <v>414</v>
          </cell>
          <cell r="F34">
            <v>0</v>
          </cell>
          <cell r="G34">
            <v>1</v>
          </cell>
          <cell r="H34" t="str">
            <v>2006-01-31</v>
          </cell>
        </row>
        <row r="35">
          <cell r="A35">
            <v>481005</v>
          </cell>
          <cell r="B35">
            <v>1015</v>
          </cell>
          <cell r="C35">
            <v>0</v>
          </cell>
          <cell r="D35" t="str">
            <v>210</v>
          </cell>
          <cell r="E35" t="str">
            <v>414</v>
          </cell>
          <cell r="F35">
            <v>0</v>
          </cell>
          <cell r="G35">
            <v>1</v>
          </cell>
          <cell r="H35" t="str">
            <v>2006-01-31</v>
          </cell>
        </row>
        <row r="36">
          <cell r="A36">
            <v>481005</v>
          </cell>
          <cell r="B36">
            <v>1015</v>
          </cell>
          <cell r="C36">
            <v>0</v>
          </cell>
          <cell r="D36" t="str">
            <v>210</v>
          </cell>
          <cell r="E36" t="str">
            <v>414</v>
          </cell>
          <cell r="F36">
            <v>0</v>
          </cell>
          <cell r="G36">
            <v>1</v>
          </cell>
          <cell r="H36" t="str">
            <v>2006-01-31</v>
          </cell>
        </row>
        <row r="37">
          <cell r="A37">
            <v>481000</v>
          </cell>
          <cell r="B37">
            <v>1015</v>
          </cell>
          <cell r="C37">
            <v>-124454.62</v>
          </cell>
          <cell r="D37" t="str">
            <v>210</v>
          </cell>
          <cell r="E37" t="str">
            <v>451</v>
          </cell>
          <cell r="F37">
            <v>-20592</v>
          </cell>
          <cell r="G37">
            <v>1</v>
          </cell>
          <cell r="H37" t="str">
            <v>2006-01-31</v>
          </cell>
        </row>
        <row r="38">
          <cell r="A38">
            <v>481000</v>
          </cell>
          <cell r="B38">
            <v>1015</v>
          </cell>
          <cell r="C38">
            <v>124454.62</v>
          </cell>
          <cell r="D38" t="str">
            <v>210</v>
          </cell>
          <cell r="E38" t="str">
            <v>451</v>
          </cell>
          <cell r="F38">
            <v>20592</v>
          </cell>
          <cell r="G38">
            <v>1</v>
          </cell>
          <cell r="H38" t="str">
            <v>2006-01-31</v>
          </cell>
        </row>
        <row r="39">
          <cell r="A39">
            <v>481004</v>
          </cell>
          <cell r="B39">
            <v>1015</v>
          </cell>
          <cell r="C39">
            <v>13438.52</v>
          </cell>
          <cell r="D39" t="str">
            <v>210</v>
          </cell>
          <cell r="E39" t="str">
            <v>451</v>
          </cell>
          <cell r="F39">
            <v>2125</v>
          </cell>
          <cell r="G39">
            <v>1</v>
          </cell>
          <cell r="H39" t="str">
            <v>2006-01-31</v>
          </cell>
        </row>
        <row r="40">
          <cell r="A40">
            <v>481004</v>
          </cell>
          <cell r="B40">
            <v>1015</v>
          </cell>
          <cell r="C40">
            <v>-13438.52</v>
          </cell>
          <cell r="D40" t="str">
            <v>210</v>
          </cell>
          <cell r="E40" t="str">
            <v>451</v>
          </cell>
          <cell r="F40">
            <v>-2125</v>
          </cell>
          <cell r="G40">
            <v>1</v>
          </cell>
          <cell r="H40" t="str">
            <v>2006-01-31</v>
          </cell>
        </row>
        <row r="41">
          <cell r="A41">
            <v>480000</v>
          </cell>
          <cell r="B41">
            <v>1015</v>
          </cell>
          <cell r="C41">
            <v>1277.3599999999999</v>
          </cell>
          <cell r="D41" t="str">
            <v>210</v>
          </cell>
          <cell r="E41" t="str">
            <v>453</v>
          </cell>
          <cell r="F41">
            <v>179</v>
          </cell>
          <cell r="G41">
            <v>1</v>
          </cell>
          <cell r="H41" t="str">
            <v>2006-01-31</v>
          </cell>
        </row>
        <row r="42">
          <cell r="A42">
            <v>480001</v>
          </cell>
          <cell r="B42">
            <v>1015</v>
          </cell>
          <cell r="C42">
            <v>-1277.3599999999999</v>
          </cell>
          <cell r="D42" t="str">
            <v>210</v>
          </cell>
          <cell r="E42" t="str">
            <v>453</v>
          </cell>
          <cell r="F42">
            <v>-179</v>
          </cell>
          <cell r="G42">
            <v>1</v>
          </cell>
          <cell r="H42" t="str">
            <v>2006-01-31</v>
          </cell>
        </row>
        <row r="43">
          <cell r="A43">
            <v>480001</v>
          </cell>
          <cell r="B43">
            <v>1015</v>
          </cell>
          <cell r="C43">
            <v>0</v>
          </cell>
          <cell r="D43" t="str">
            <v>210</v>
          </cell>
          <cell r="E43" t="str">
            <v>455</v>
          </cell>
          <cell r="F43">
            <v>0</v>
          </cell>
          <cell r="G43">
            <v>1</v>
          </cell>
          <cell r="H43" t="str">
            <v>2006-01-31</v>
          </cell>
        </row>
        <row r="44">
          <cell r="A44">
            <v>481002</v>
          </cell>
          <cell r="B44">
            <v>1015</v>
          </cell>
          <cell r="C44">
            <v>0</v>
          </cell>
          <cell r="D44" t="str">
            <v>210</v>
          </cell>
          <cell r="E44" t="str">
            <v>456</v>
          </cell>
          <cell r="F44">
            <v>0</v>
          </cell>
          <cell r="G44">
            <v>1</v>
          </cell>
          <cell r="H44" t="str">
            <v>2006-01-31</v>
          </cell>
        </row>
        <row r="45">
          <cell r="A45">
            <v>481002</v>
          </cell>
          <cell r="B45">
            <v>1015</v>
          </cell>
          <cell r="C45">
            <v>0</v>
          </cell>
          <cell r="D45" t="str">
            <v>210</v>
          </cell>
          <cell r="E45" t="str">
            <v>456</v>
          </cell>
          <cell r="F45">
            <v>0</v>
          </cell>
          <cell r="G45">
            <v>1</v>
          </cell>
          <cell r="H45" t="str">
            <v>2006-01-31</v>
          </cell>
        </row>
        <row r="46">
          <cell r="A46">
            <v>481002</v>
          </cell>
          <cell r="B46">
            <v>1015</v>
          </cell>
          <cell r="C46">
            <v>0</v>
          </cell>
          <cell r="D46" t="str">
            <v>210</v>
          </cell>
          <cell r="E46" t="str">
            <v>457</v>
          </cell>
          <cell r="F46">
            <v>0</v>
          </cell>
          <cell r="G46">
            <v>1</v>
          </cell>
          <cell r="H46" t="str">
            <v>2006-01-31</v>
          </cell>
        </row>
        <row r="47">
          <cell r="A47">
            <v>481002</v>
          </cell>
          <cell r="B47">
            <v>1015</v>
          </cell>
          <cell r="C47">
            <v>0</v>
          </cell>
          <cell r="D47" t="str">
            <v>210</v>
          </cell>
          <cell r="E47" t="str">
            <v>457</v>
          </cell>
          <cell r="F47">
            <v>0</v>
          </cell>
          <cell r="G47">
            <v>1</v>
          </cell>
          <cell r="H47" t="str">
            <v>2006-01-31</v>
          </cell>
        </row>
        <row r="48">
          <cell r="A48">
            <v>481005</v>
          </cell>
          <cell r="B48">
            <v>1015</v>
          </cell>
          <cell r="C48">
            <v>0</v>
          </cell>
          <cell r="D48" t="str">
            <v>210</v>
          </cell>
          <cell r="E48" t="str">
            <v>457</v>
          </cell>
          <cell r="F48">
            <v>0</v>
          </cell>
          <cell r="G48">
            <v>1</v>
          </cell>
          <cell r="H48" t="str">
            <v>2006-01-31</v>
          </cell>
        </row>
        <row r="49">
          <cell r="A49">
            <v>481005</v>
          </cell>
          <cell r="B49">
            <v>1015</v>
          </cell>
          <cell r="C49">
            <v>0</v>
          </cell>
          <cell r="D49" t="str">
            <v>210</v>
          </cell>
          <cell r="E49" t="str">
            <v>457</v>
          </cell>
          <cell r="F49">
            <v>0</v>
          </cell>
          <cell r="G49">
            <v>1</v>
          </cell>
          <cell r="H49" t="str">
            <v>2006-01-31</v>
          </cell>
        </row>
        <row r="50">
          <cell r="A50">
            <v>481000</v>
          </cell>
          <cell r="B50">
            <v>1015</v>
          </cell>
          <cell r="C50">
            <v>-1847966.95</v>
          </cell>
          <cell r="D50" t="str">
            <v>204</v>
          </cell>
          <cell r="E50" t="str">
            <v>402</v>
          </cell>
          <cell r="F50">
            <v>0</v>
          </cell>
          <cell r="G50">
            <v>1</v>
          </cell>
          <cell r="H50" t="str">
            <v>2006-01-31</v>
          </cell>
        </row>
        <row r="51">
          <cell r="A51">
            <v>481000</v>
          </cell>
          <cell r="B51">
            <v>1015</v>
          </cell>
          <cell r="C51">
            <v>537433.12</v>
          </cell>
          <cell r="D51" t="str">
            <v>204</v>
          </cell>
          <cell r="E51" t="str">
            <v>402</v>
          </cell>
          <cell r="F51">
            <v>0</v>
          </cell>
          <cell r="G51">
            <v>1</v>
          </cell>
          <cell r="H51" t="str">
            <v>2006-01-31</v>
          </cell>
        </row>
        <row r="52">
          <cell r="A52">
            <v>481000</v>
          </cell>
          <cell r="B52">
            <v>1015</v>
          </cell>
          <cell r="C52">
            <v>-489619.79</v>
          </cell>
          <cell r="D52" t="str">
            <v>204</v>
          </cell>
          <cell r="E52" t="str">
            <v>402</v>
          </cell>
          <cell r="F52">
            <v>0</v>
          </cell>
          <cell r="G52">
            <v>1</v>
          </cell>
          <cell r="H52" t="str">
            <v>2006-01-31</v>
          </cell>
        </row>
        <row r="53">
          <cell r="A53">
            <v>481000</v>
          </cell>
          <cell r="B53">
            <v>1015</v>
          </cell>
          <cell r="C53">
            <v>-27578.3</v>
          </cell>
          <cell r="D53" t="str">
            <v>204</v>
          </cell>
          <cell r="E53" t="str">
            <v>402</v>
          </cell>
          <cell r="F53">
            <v>0</v>
          </cell>
          <cell r="G53">
            <v>1</v>
          </cell>
          <cell r="H53" t="str">
            <v>2006-01-31</v>
          </cell>
        </row>
        <row r="54">
          <cell r="A54">
            <v>481000</v>
          </cell>
          <cell r="B54">
            <v>1015</v>
          </cell>
          <cell r="C54">
            <v>-104521.32</v>
          </cell>
          <cell r="D54" t="str">
            <v>204</v>
          </cell>
          <cell r="E54" t="str">
            <v>402</v>
          </cell>
          <cell r="F54">
            <v>0</v>
          </cell>
          <cell r="G54">
            <v>1</v>
          </cell>
          <cell r="H54" t="str">
            <v>2006-01-31</v>
          </cell>
        </row>
        <row r="55">
          <cell r="A55">
            <v>481000</v>
          </cell>
          <cell r="B55">
            <v>1015</v>
          </cell>
          <cell r="C55">
            <v>-126102.94</v>
          </cell>
          <cell r="D55" t="str">
            <v>204</v>
          </cell>
          <cell r="E55" t="str">
            <v>402</v>
          </cell>
          <cell r="F55">
            <v>0</v>
          </cell>
          <cell r="G55">
            <v>1</v>
          </cell>
          <cell r="H55" t="str">
            <v>2006-01-31</v>
          </cell>
        </row>
        <row r="56">
          <cell r="A56">
            <v>481000</v>
          </cell>
          <cell r="B56">
            <v>1015</v>
          </cell>
          <cell r="C56">
            <v>-32296.37</v>
          </cell>
          <cell r="D56" t="str">
            <v>204</v>
          </cell>
          <cell r="E56" t="str">
            <v>402</v>
          </cell>
          <cell r="F56">
            <v>0</v>
          </cell>
          <cell r="G56">
            <v>1</v>
          </cell>
          <cell r="H56" t="str">
            <v>2006-01-31</v>
          </cell>
        </row>
        <row r="57">
          <cell r="A57">
            <v>481000</v>
          </cell>
          <cell r="B57">
            <v>1015</v>
          </cell>
          <cell r="C57">
            <v>-55987.24</v>
          </cell>
          <cell r="D57" t="str">
            <v>204</v>
          </cell>
          <cell r="E57" t="str">
            <v>402</v>
          </cell>
          <cell r="F57">
            <v>0</v>
          </cell>
          <cell r="G57">
            <v>1</v>
          </cell>
          <cell r="H57" t="str">
            <v>2006-01-31</v>
          </cell>
        </row>
        <row r="58">
          <cell r="A58">
            <v>481000</v>
          </cell>
          <cell r="B58">
            <v>1015</v>
          </cell>
          <cell r="C58">
            <v>-181846.86</v>
          </cell>
          <cell r="D58" t="str">
            <v>204</v>
          </cell>
          <cell r="E58" t="str">
            <v>402</v>
          </cell>
          <cell r="F58">
            <v>0</v>
          </cell>
          <cell r="G58">
            <v>1</v>
          </cell>
          <cell r="H58" t="str">
            <v>2006-01-31</v>
          </cell>
        </row>
        <row r="59">
          <cell r="A59">
            <v>481000</v>
          </cell>
          <cell r="B59">
            <v>1015</v>
          </cell>
          <cell r="C59">
            <v>-86105.3</v>
          </cell>
          <cell r="D59" t="str">
            <v>204</v>
          </cell>
          <cell r="E59" t="str">
            <v>402</v>
          </cell>
          <cell r="F59">
            <v>0</v>
          </cell>
          <cell r="G59">
            <v>1</v>
          </cell>
          <cell r="H59" t="str">
            <v>2006-01-31</v>
          </cell>
        </row>
        <row r="60">
          <cell r="A60">
            <v>481000</v>
          </cell>
          <cell r="B60">
            <v>1015</v>
          </cell>
          <cell r="C60">
            <v>-37880.449999999997</v>
          </cell>
          <cell r="D60" t="str">
            <v>204</v>
          </cell>
          <cell r="E60" t="str">
            <v>402</v>
          </cell>
          <cell r="F60">
            <v>0</v>
          </cell>
          <cell r="G60">
            <v>1</v>
          </cell>
          <cell r="H60" t="str">
            <v>2006-01-31</v>
          </cell>
        </row>
        <row r="61">
          <cell r="A61">
            <v>481000</v>
          </cell>
          <cell r="B61">
            <v>1015</v>
          </cell>
          <cell r="C61">
            <v>-3101.5</v>
          </cell>
          <cell r="D61" t="str">
            <v>204</v>
          </cell>
          <cell r="E61" t="str">
            <v>402</v>
          </cell>
          <cell r="F61">
            <v>0</v>
          </cell>
          <cell r="G61">
            <v>1</v>
          </cell>
          <cell r="H61" t="str">
            <v>2006-01-31</v>
          </cell>
        </row>
        <row r="62">
          <cell r="A62">
            <v>481000</v>
          </cell>
          <cell r="B62">
            <v>1015</v>
          </cell>
          <cell r="C62">
            <v>-456454.2</v>
          </cell>
          <cell r="D62" t="str">
            <v>204</v>
          </cell>
          <cell r="E62" t="str">
            <v>402</v>
          </cell>
          <cell r="F62">
            <v>0</v>
          </cell>
          <cell r="G62">
            <v>1</v>
          </cell>
          <cell r="H62" t="str">
            <v>2006-01-31</v>
          </cell>
        </row>
        <row r="63">
          <cell r="A63">
            <v>481004</v>
          </cell>
          <cell r="B63">
            <v>1015</v>
          </cell>
          <cell r="C63">
            <v>-2558429.36</v>
          </cell>
          <cell r="D63" t="str">
            <v>204</v>
          </cell>
          <cell r="E63" t="str">
            <v>402</v>
          </cell>
          <cell r="F63">
            <v>0</v>
          </cell>
          <cell r="G63">
            <v>1</v>
          </cell>
          <cell r="H63" t="str">
            <v>2006-01-31</v>
          </cell>
        </row>
        <row r="64">
          <cell r="A64">
            <v>481004</v>
          </cell>
          <cell r="B64">
            <v>1015</v>
          </cell>
          <cell r="C64">
            <v>-423158.62</v>
          </cell>
          <cell r="D64" t="str">
            <v>204</v>
          </cell>
          <cell r="E64" t="str">
            <v>402</v>
          </cell>
          <cell r="F64">
            <v>0</v>
          </cell>
          <cell r="G64">
            <v>1</v>
          </cell>
          <cell r="H64" t="str">
            <v>2006-01-31</v>
          </cell>
        </row>
        <row r="65">
          <cell r="A65">
            <v>481004</v>
          </cell>
          <cell r="B65">
            <v>1015</v>
          </cell>
          <cell r="C65">
            <v>-803611.97</v>
          </cell>
          <cell r="D65" t="str">
            <v>204</v>
          </cell>
          <cell r="E65" t="str">
            <v>402</v>
          </cell>
          <cell r="F65">
            <v>0</v>
          </cell>
          <cell r="G65">
            <v>1</v>
          </cell>
          <cell r="H65" t="str">
            <v>2006-01-31</v>
          </cell>
        </row>
        <row r="66">
          <cell r="A66">
            <v>481004</v>
          </cell>
          <cell r="B66">
            <v>1015</v>
          </cell>
          <cell r="C66">
            <v>-125822.36</v>
          </cell>
          <cell r="D66" t="str">
            <v>204</v>
          </cell>
          <cell r="E66" t="str">
            <v>402</v>
          </cell>
          <cell r="F66">
            <v>0</v>
          </cell>
          <cell r="G66">
            <v>1</v>
          </cell>
          <cell r="H66" t="str">
            <v>2006-01-31</v>
          </cell>
        </row>
        <row r="67">
          <cell r="A67">
            <v>481004</v>
          </cell>
          <cell r="B67">
            <v>1015</v>
          </cell>
          <cell r="C67">
            <v>-75601.850000000006</v>
          </cell>
          <cell r="D67" t="str">
            <v>204</v>
          </cell>
          <cell r="E67" t="str">
            <v>402</v>
          </cell>
          <cell r="F67">
            <v>0</v>
          </cell>
          <cell r="G67">
            <v>1</v>
          </cell>
          <cell r="H67" t="str">
            <v>2006-01-31</v>
          </cell>
        </row>
        <row r="68">
          <cell r="A68">
            <v>481004</v>
          </cell>
          <cell r="B68">
            <v>1015</v>
          </cell>
          <cell r="C68">
            <v>-251546.92</v>
          </cell>
          <cell r="D68" t="str">
            <v>204</v>
          </cell>
          <cell r="E68" t="str">
            <v>402</v>
          </cell>
          <cell r="F68">
            <v>0</v>
          </cell>
          <cell r="G68">
            <v>1</v>
          </cell>
          <cell r="H68" t="str">
            <v>2006-01-31</v>
          </cell>
        </row>
        <row r="69">
          <cell r="A69">
            <v>481004</v>
          </cell>
          <cell r="B69">
            <v>1015</v>
          </cell>
          <cell r="C69">
            <v>-176890.68</v>
          </cell>
          <cell r="D69" t="str">
            <v>204</v>
          </cell>
          <cell r="E69" t="str">
            <v>402</v>
          </cell>
          <cell r="F69">
            <v>0</v>
          </cell>
          <cell r="G69">
            <v>1</v>
          </cell>
          <cell r="H69" t="str">
            <v>2006-01-31</v>
          </cell>
        </row>
        <row r="70">
          <cell r="A70">
            <v>481004</v>
          </cell>
          <cell r="B70">
            <v>1015</v>
          </cell>
          <cell r="C70">
            <v>-221801.58</v>
          </cell>
          <cell r="D70" t="str">
            <v>204</v>
          </cell>
          <cell r="E70" t="str">
            <v>402</v>
          </cell>
          <cell r="F70">
            <v>0</v>
          </cell>
          <cell r="G70">
            <v>1</v>
          </cell>
          <cell r="H70" t="str">
            <v>2006-01-31</v>
          </cell>
        </row>
        <row r="71">
          <cell r="A71">
            <v>481004</v>
          </cell>
          <cell r="B71">
            <v>1015</v>
          </cell>
          <cell r="C71">
            <v>-561617.1</v>
          </cell>
          <cell r="D71" t="str">
            <v>204</v>
          </cell>
          <cell r="E71" t="str">
            <v>402</v>
          </cell>
          <cell r="F71">
            <v>0</v>
          </cell>
          <cell r="G71">
            <v>1</v>
          </cell>
          <cell r="H71" t="str">
            <v>2006-01-31</v>
          </cell>
        </row>
        <row r="72">
          <cell r="A72">
            <v>481004</v>
          </cell>
          <cell r="B72">
            <v>1015</v>
          </cell>
          <cell r="C72">
            <v>-222922.56</v>
          </cell>
          <cell r="D72" t="str">
            <v>204</v>
          </cell>
          <cell r="E72" t="str">
            <v>402</v>
          </cell>
          <cell r="F72">
            <v>0</v>
          </cell>
          <cell r="G72">
            <v>1</v>
          </cell>
          <cell r="H72" t="str">
            <v>2006-01-31</v>
          </cell>
        </row>
        <row r="73">
          <cell r="A73">
            <v>481004</v>
          </cell>
          <cell r="B73">
            <v>1015</v>
          </cell>
          <cell r="C73">
            <v>-50189.39</v>
          </cell>
          <cell r="D73" t="str">
            <v>204</v>
          </cell>
          <cell r="E73" t="str">
            <v>402</v>
          </cell>
          <cell r="F73">
            <v>0</v>
          </cell>
          <cell r="G73">
            <v>1</v>
          </cell>
          <cell r="H73" t="str">
            <v>2006-01-31</v>
          </cell>
        </row>
        <row r="74">
          <cell r="A74">
            <v>481004</v>
          </cell>
          <cell r="B74">
            <v>1015</v>
          </cell>
          <cell r="C74">
            <v>-52087.41</v>
          </cell>
          <cell r="D74" t="str">
            <v>204</v>
          </cell>
          <cell r="E74" t="str">
            <v>402</v>
          </cell>
          <cell r="F74">
            <v>0</v>
          </cell>
          <cell r="G74">
            <v>1</v>
          </cell>
          <cell r="H74" t="str">
            <v>2006-01-31</v>
          </cell>
        </row>
        <row r="75">
          <cell r="A75">
            <v>481004</v>
          </cell>
          <cell r="B75">
            <v>1015</v>
          </cell>
          <cell r="C75">
            <v>-2237308.4700000002</v>
          </cell>
          <cell r="D75" t="str">
            <v>204</v>
          </cell>
          <cell r="E75" t="str">
            <v>402</v>
          </cell>
          <cell r="F75">
            <v>0</v>
          </cell>
          <cell r="G75">
            <v>1</v>
          </cell>
          <cell r="H75" t="str">
            <v>2006-01-31</v>
          </cell>
        </row>
        <row r="76">
          <cell r="A76">
            <v>481000</v>
          </cell>
          <cell r="B76">
            <v>1015</v>
          </cell>
          <cell r="C76">
            <v>3005790.05</v>
          </cell>
          <cell r="D76" t="str">
            <v>204</v>
          </cell>
          <cell r="E76" t="str">
            <v>402</v>
          </cell>
          <cell r="F76">
            <v>0</v>
          </cell>
          <cell r="G76">
            <v>1</v>
          </cell>
          <cell r="H76" t="str">
            <v>2006-01-31</v>
          </cell>
        </row>
        <row r="77">
          <cell r="A77">
            <v>481004</v>
          </cell>
          <cell r="B77">
            <v>1015</v>
          </cell>
          <cell r="C77">
            <v>-55098.55</v>
          </cell>
          <cell r="D77" t="str">
            <v>204</v>
          </cell>
          <cell r="E77" t="str">
            <v>402</v>
          </cell>
          <cell r="F77">
            <v>0</v>
          </cell>
          <cell r="G77">
            <v>1</v>
          </cell>
          <cell r="H77" t="str">
            <v>2006-01-31</v>
          </cell>
        </row>
        <row r="78">
          <cell r="A78">
            <v>481000</v>
          </cell>
          <cell r="B78">
            <v>1015</v>
          </cell>
          <cell r="C78">
            <v>0</v>
          </cell>
          <cell r="D78" t="str">
            <v>204</v>
          </cell>
          <cell r="E78" t="str">
            <v>403</v>
          </cell>
          <cell r="F78">
            <v>0</v>
          </cell>
          <cell r="G78">
            <v>1</v>
          </cell>
          <cell r="H78" t="str">
            <v>2006-01-31</v>
          </cell>
        </row>
        <row r="79">
          <cell r="A79">
            <v>481000</v>
          </cell>
          <cell r="B79">
            <v>1015</v>
          </cell>
          <cell r="C79">
            <v>0</v>
          </cell>
          <cell r="D79" t="str">
            <v>204</v>
          </cell>
          <cell r="E79" t="str">
            <v>403</v>
          </cell>
          <cell r="F79">
            <v>0</v>
          </cell>
          <cell r="G79">
            <v>1</v>
          </cell>
          <cell r="H79" t="str">
            <v>2006-01-31</v>
          </cell>
        </row>
        <row r="80">
          <cell r="A80">
            <v>481000</v>
          </cell>
          <cell r="B80">
            <v>1015</v>
          </cell>
          <cell r="C80">
            <v>-2948.85</v>
          </cell>
          <cell r="D80" t="str">
            <v>204</v>
          </cell>
          <cell r="E80" t="str">
            <v>403</v>
          </cell>
          <cell r="F80">
            <v>0</v>
          </cell>
          <cell r="G80">
            <v>1</v>
          </cell>
          <cell r="H80" t="str">
            <v>2006-01-31</v>
          </cell>
        </row>
        <row r="81">
          <cell r="A81">
            <v>481004</v>
          </cell>
          <cell r="B81">
            <v>1015</v>
          </cell>
          <cell r="C81">
            <v>0</v>
          </cell>
          <cell r="D81" t="str">
            <v>204</v>
          </cell>
          <cell r="E81" t="str">
            <v>403</v>
          </cell>
          <cell r="F81">
            <v>0</v>
          </cell>
          <cell r="G81">
            <v>1</v>
          </cell>
          <cell r="H81" t="str">
            <v>2006-01-31</v>
          </cell>
        </row>
        <row r="82">
          <cell r="A82">
            <v>481004</v>
          </cell>
          <cell r="B82">
            <v>1015</v>
          </cell>
          <cell r="C82">
            <v>0</v>
          </cell>
          <cell r="D82" t="str">
            <v>204</v>
          </cell>
          <cell r="E82" t="str">
            <v>403</v>
          </cell>
          <cell r="F82">
            <v>0</v>
          </cell>
          <cell r="G82">
            <v>1</v>
          </cell>
          <cell r="H82" t="str">
            <v>2006-01-31</v>
          </cell>
        </row>
        <row r="83">
          <cell r="A83">
            <v>481000</v>
          </cell>
          <cell r="B83">
            <v>1015</v>
          </cell>
          <cell r="C83">
            <v>0</v>
          </cell>
          <cell r="D83" t="str">
            <v>204</v>
          </cell>
          <cell r="E83" t="str">
            <v>403</v>
          </cell>
          <cell r="F83">
            <v>0</v>
          </cell>
          <cell r="G83">
            <v>1</v>
          </cell>
          <cell r="H83" t="str">
            <v>2006-01-31</v>
          </cell>
        </row>
        <row r="84">
          <cell r="A84">
            <v>481004</v>
          </cell>
          <cell r="B84">
            <v>1015</v>
          </cell>
          <cell r="C84">
            <v>0</v>
          </cell>
          <cell r="D84" t="str">
            <v>204</v>
          </cell>
          <cell r="E84" t="str">
            <v>403</v>
          </cell>
          <cell r="F84">
            <v>0</v>
          </cell>
          <cell r="G84">
            <v>1</v>
          </cell>
          <cell r="H84" t="str">
            <v>2006-01-31</v>
          </cell>
        </row>
        <row r="85">
          <cell r="A85">
            <v>481000</v>
          </cell>
          <cell r="B85">
            <v>1015</v>
          </cell>
          <cell r="C85">
            <v>-2154583.52</v>
          </cell>
          <cell r="D85" t="str">
            <v>204</v>
          </cell>
          <cell r="E85" t="str">
            <v>404</v>
          </cell>
          <cell r="F85">
            <v>0</v>
          </cell>
          <cell r="G85">
            <v>1</v>
          </cell>
          <cell r="H85" t="str">
            <v>2006-01-31</v>
          </cell>
        </row>
        <row r="86">
          <cell r="A86">
            <v>481000</v>
          </cell>
          <cell r="B86">
            <v>1015</v>
          </cell>
          <cell r="C86">
            <v>201397.54</v>
          </cell>
          <cell r="D86" t="str">
            <v>204</v>
          </cell>
          <cell r="E86" t="str">
            <v>404</v>
          </cell>
          <cell r="F86">
            <v>0</v>
          </cell>
          <cell r="G86">
            <v>1</v>
          </cell>
          <cell r="H86" t="str">
            <v>2006-01-31</v>
          </cell>
        </row>
        <row r="87">
          <cell r="A87">
            <v>481000</v>
          </cell>
          <cell r="B87">
            <v>1015</v>
          </cell>
          <cell r="C87">
            <v>-2162789.52</v>
          </cell>
          <cell r="D87" t="str">
            <v>204</v>
          </cell>
          <cell r="E87" t="str">
            <v>404</v>
          </cell>
          <cell r="F87">
            <v>0</v>
          </cell>
          <cell r="G87">
            <v>1</v>
          </cell>
          <cell r="H87" t="str">
            <v>2006-01-31</v>
          </cell>
        </row>
        <row r="88">
          <cell r="A88">
            <v>481004</v>
          </cell>
          <cell r="B88">
            <v>1015</v>
          </cell>
          <cell r="C88">
            <v>0</v>
          </cell>
          <cell r="D88" t="str">
            <v>204</v>
          </cell>
          <cell r="E88" t="str">
            <v>404</v>
          </cell>
          <cell r="F88">
            <v>0</v>
          </cell>
          <cell r="G88">
            <v>1</v>
          </cell>
          <cell r="H88" t="str">
            <v>2006-01-31</v>
          </cell>
        </row>
        <row r="89">
          <cell r="A89">
            <v>481004</v>
          </cell>
          <cell r="B89">
            <v>1015</v>
          </cell>
          <cell r="C89">
            <v>0</v>
          </cell>
          <cell r="D89" t="str">
            <v>204</v>
          </cell>
          <cell r="E89" t="str">
            <v>404</v>
          </cell>
          <cell r="F89">
            <v>0</v>
          </cell>
          <cell r="G89">
            <v>1</v>
          </cell>
          <cell r="H89" t="str">
            <v>2006-01-31</v>
          </cell>
        </row>
        <row r="90">
          <cell r="A90">
            <v>481000</v>
          </cell>
          <cell r="B90">
            <v>1015</v>
          </cell>
          <cell r="C90">
            <v>2162789.52</v>
          </cell>
          <cell r="D90" t="str">
            <v>204</v>
          </cell>
          <cell r="E90" t="str">
            <v>404</v>
          </cell>
          <cell r="F90">
            <v>0</v>
          </cell>
          <cell r="G90">
            <v>1</v>
          </cell>
          <cell r="H90" t="str">
            <v>2006-01-31</v>
          </cell>
        </row>
        <row r="91">
          <cell r="A91">
            <v>481004</v>
          </cell>
          <cell r="B91">
            <v>1015</v>
          </cell>
          <cell r="C91">
            <v>0</v>
          </cell>
          <cell r="D91" t="str">
            <v>204</v>
          </cell>
          <cell r="E91" t="str">
            <v>404</v>
          </cell>
          <cell r="F91">
            <v>0</v>
          </cell>
          <cell r="G91">
            <v>1</v>
          </cell>
          <cell r="H91" t="str">
            <v>2006-01-31</v>
          </cell>
        </row>
        <row r="92">
          <cell r="A92">
            <v>480000</v>
          </cell>
          <cell r="B92">
            <v>1015</v>
          </cell>
          <cell r="C92">
            <v>0.01</v>
          </cell>
          <cell r="D92" t="str">
            <v>204</v>
          </cell>
          <cell r="E92" t="str">
            <v>407</v>
          </cell>
          <cell r="F92">
            <v>0</v>
          </cell>
          <cell r="G92">
            <v>1</v>
          </cell>
          <cell r="H92" t="str">
            <v>2006-01-31</v>
          </cell>
        </row>
        <row r="93">
          <cell r="A93">
            <v>480000</v>
          </cell>
          <cell r="B93">
            <v>1015</v>
          </cell>
          <cell r="C93">
            <v>-10244797.5</v>
          </cell>
          <cell r="D93" t="str">
            <v>204</v>
          </cell>
          <cell r="E93" t="str">
            <v>407</v>
          </cell>
          <cell r="F93">
            <v>0</v>
          </cell>
          <cell r="G93">
            <v>1</v>
          </cell>
          <cell r="H93" t="str">
            <v>2006-01-31</v>
          </cell>
        </row>
        <row r="94">
          <cell r="A94">
            <v>480000</v>
          </cell>
          <cell r="B94">
            <v>1015</v>
          </cell>
          <cell r="C94">
            <v>-5549011.0700000003</v>
          </cell>
          <cell r="D94" t="str">
            <v>204</v>
          </cell>
          <cell r="E94" t="str">
            <v>407</v>
          </cell>
          <cell r="F94">
            <v>0</v>
          </cell>
          <cell r="G94">
            <v>1</v>
          </cell>
          <cell r="H94" t="str">
            <v>2006-01-31</v>
          </cell>
        </row>
        <row r="95">
          <cell r="A95">
            <v>480000</v>
          </cell>
          <cell r="B95">
            <v>1015</v>
          </cell>
          <cell r="C95">
            <v>-3166321.81</v>
          </cell>
          <cell r="D95" t="str">
            <v>204</v>
          </cell>
          <cell r="E95" t="str">
            <v>407</v>
          </cell>
          <cell r="F95">
            <v>0</v>
          </cell>
          <cell r="G95">
            <v>1</v>
          </cell>
          <cell r="H95" t="str">
            <v>2006-01-31</v>
          </cell>
        </row>
        <row r="96">
          <cell r="A96">
            <v>480000</v>
          </cell>
          <cell r="B96">
            <v>1015</v>
          </cell>
          <cell r="C96">
            <v>-7897368.0700000003</v>
          </cell>
          <cell r="D96" t="str">
            <v>204</v>
          </cell>
          <cell r="E96" t="str">
            <v>407</v>
          </cell>
          <cell r="F96">
            <v>0</v>
          </cell>
          <cell r="G96">
            <v>1</v>
          </cell>
          <cell r="H96" t="str">
            <v>2006-01-31</v>
          </cell>
        </row>
        <row r="97">
          <cell r="A97">
            <v>480000</v>
          </cell>
          <cell r="B97">
            <v>1015</v>
          </cell>
          <cell r="C97">
            <v>-5250161.33</v>
          </cell>
          <cell r="D97" t="str">
            <v>204</v>
          </cell>
          <cell r="E97" t="str">
            <v>407</v>
          </cell>
          <cell r="F97">
            <v>0</v>
          </cell>
          <cell r="G97">
            <v>1</v>
          </cell>
          <cell r="H97" t="str">
            <v>2006-01-31</v>
          </cell>
        </row>
        <row r="98">
          <cell r="A98">
            <v>480000</v>
          </cell>
          <cell r="B98">
            <v>1015</v>
          </cell>
          <cell r="C98">
            <v>-3790187.33</v>
          </cell>
          <cell r="D98" t="str">
            <v>204</v>
          </cell>
          <cell r="E98" t="str">
            <v>407</v>
          </cell>
          <cell r="F98">
            <v>0</v>
          </cell>
          <cell r="G98">
            <v>1</v>
          </cell>
          <cell r="H98" t="str">
            <v>2006-01-31</v>
          </cell>
        </row>
        <row r="99">
          <cell r="A99">
            <v>480000</v>
          </cell>
          <cell r="B99">
            <v>1015</v>
          </cell>
          <cell r="C99">
            <v>-10994484.82</v>
          </cell>
          <cell r="D99" t="str">
            <v>204</v>
          </cell>
          <cell r="E99" t="str">
            <v>407</v>
          </cell>
          <cell r="F99">
            <v>0</v>
          </cell>
          <cell r="G99">
            <v>1</v>
          </cell>
          <cell r="H99" t="str">
            <v>2006-01-31</v>
          </cell>
        </row>
        <row r="100">
          <cell r="A100">
            <v>480000</v>
          </cell>
          <cell r="B100">
            <v>1015</v>
          </cell>
          <cell r="C100">
            <v>-4447266.3</v>
          </cell>
          <cell r="D100" t="str">
            <v>204</v>
          </cell>
          <cell r="E100" t="str">
            <v>407</v>
          </cell>
          <cell r="F100">
            <v>0</v>
          </cell>
          <cell r="G100">
            <v>1</v>
          </cell>
          <cell r="H100" t="str">
            <v>2006-01-31</v>
          </cell>
        </row>
        <row r="101">
          <cell r="A101">
            <v>480000</v>
          </cell>
          <cell r="B101">
            <v>1015</v>
          </cell>
          <cell r="C101">
            <v>-1620135.56</v>
          </cell>
          <cell r="D101" t="str">
            <v>204</v>
          </cell>
          <cell r="E101" t="str">
            <v>407</v>
          </cell>
          <cell r="F101">
            <v>0</v>
          </cell>
          <cell r="G101">
            <v>1</v>
          </cell>
          <cell r="H101" t="str">
            <v>2006-01-31</v>
          </cell>
        </row>
        <row r="102">
          <cell r="A102">
            <v>480000</v>
          </cell>
          <cell r="B102">
            <v>1015</v>
          </cell>
          <cell r="C102">
            <v>-311370.55</v>
          </cell>
          <cell r="D102" t="str">
            <v>204</v>
          </cell>
          <cell r="E102" t="str">
            <v>407</v>
          </cell>
          <cell r="F102">
            <v>0</v>
          </cell>
          <cell r="G102">
            <v>1</v>
          </cell>
          <cell r="H102" t="str">
            <v>2006-01-31</v>
          </cell>
        </row>
        <row r="103">
          <cell r="A103">
            <v>480000</v>
          </cell>
          <cell r="B103">
            <v>1015</v>
          </cell>
          <cell r="C103">
            <v>-29680687.710000001</v>
          </cell>
          <cell r="D103" t="str">
            <v>204</v>
          </cell>
          <cell r="E103" t="str">
            <v>407</v>
          </cell>
          <cell r="F103">
            <v>0</v>
          </cell>
          <cell r="G103">
            <v>1</v>
          </cell>
          <cell r="H103" t="str">
            <v>2006-01-31</v>
          </cell>
        </row>
        <row r="104">
          <cell r="A104">
            <v>480001</v>
          </cell>
          <cell r="B104">
            <v>1015</v>
          </cell>
          <cell r="C104">
            <v>4309030.7699999996</v>
          </cell>
          <cell r="D104" t="str">
            <v>204</v>
          </cell>
          <cell r="E104" t="str">
            <v>407</v>
          </cell>
          <cell r="F104">
            <v>0</v>
          </cell>
          <cell r="G104">
            <v>1</v>
          </cell>
          <cell r="H104" t="str">
            <v>2006-01-31</v>
          </cell>
        </row>
        <row r="105">
          <cell r="A105">
            <v>481004</v>
          </cell>
          <cell r="B105">
            <v>1015</v>
          </cell>
          <cell r="C105">
            <v>-6249136.0499999998</v>
          </cell>
          <cell r="D105" t="str">
            <v>204</v>
          </cell>
          <cell r="E105" t="str">
            <v>407</v>
          </cell>
          <cell r="F105">
            <v>0</v>
          </cell>
          <cell r="G105">
            <v>1</v>
          </cell>
          <cell r="H105" t="str">
            <v>2006-01-31</v>
          </cell>
        </row>
        <row r="106">
          <cell r="A106">
            <v>481004</v>
          </cell>
          <cell r="B106">
            <v>1015</v>
          </cell>
          <cell r="C106">
            <v>-2226651.11</v>
          </cell>
          <cell r="D106" t="str">
            <v>204</v>
          </cell>
          <cell r="E106" t="str">
            <v>407</v>
          </cell>
          <cell r="F106">
            <v>0</v>
          </cell>
          <cell r="G106">
            <v>1</v>
          </cell>
          <cell r="H106" t="str">
            <v>2006-01-31</v>
          </cell>
        </row>
        <row r="107">
          <cell r="A107">
            <v>481004</v>
          </cell>
          <cell r="B107">
            <v>1015</v>
          </cell>
          <cell r="C107">
            <v>-1123668.82</v>
          </cell>
          <cell r="D107" t="str">
            <v>204</v>
          </cell>
          <cell r="E107" t="str">
            <v>407</v>
          </cell>
          <cell r="F107">
            <v>0</v>
          </cell>
          <cell r="G107">
            <v>1</v>
          </cell>
          <cell r="H107" t="str">
            <v>2006-01-31</v>
          </cell>
        </row>
        <row r="108">
          <cell r="A108">
            <v>481004</v>
          </cell>
          <cell r="B108">
            <v>1015</v>
          </cell>
          <cell r="C108">
            <v>-3631035.08</v>
          </cell>
          <cell r="D108" t="str">
            <v>204</v>
          </cell>
          <cell r="E108" t="str">
            <v>407</v>
          </cell>
          <cell r="F108">
            <v>0</v>
          </cell>
          <cell r="G108">
            <v>1</v>
          </cell>
          <cell r="H108" t="str">
            <v>2006-01-31</v>
          </cell>
        </row>
        <row r="109">
          <cell r="A109">
            <v>481004</v>
          </cell>
          <cell r="B109">
            <v>1015</v>
          </cell>
          <cell r="C109">
            <v>-1674980.71</v>
          </cell>
          <cell r="D109" t="str">
            <v>204</v>
          </cell>
          <cell r="E109" t="str">
            <v>407</v>
          </cell>
          <cell r="F109">
            <v>0</v>
          </cell>
          <cell r="G109">
            <v>1</v>
          </cell>
          <cell r="H109" t="str">
            <v>2006-01-31</v>
          </cell>
        </row>
        <row r="110">
          <cell r="A110">
            <v>481004</v>
          </cell>
          <cell r="B110">
            <v>1015</v>
          </cell>
          <cell r="C110">
            <v>-1501477.54</v>
          </cell>
          <cell r="D110" t="str">
            <v>204</v>
          </cell>
          <cell r="E110" t="str">
            <v>407</v>
          </cell>
          <cell r="F110">
            <v>0</v>
          </cell>
          <cell r="G110">
            <v>1</v>
          </cell>
          <cell r="H110" t="str">
            <v>2006-01-31</v>
          </cell>
        </row>
        <row r="111">
          <cell r="A111">
            <v>481004</v>
          </cell>
          <cell r="B111">
            <v>1015</v>
          </cell>
          <cell r="C111">
            <v>-4097291.71</v>
          </cell>
          <cell r="D111" t="str">
            <v>204</v>
          </cell>
          <cell r="E111" t="str">
            <v>407</v>
          </cell>
          <cell r="F111">
            <v>0</v>
          </cell>
          <cell r="G111">
            <v>1</v>
          </cell>
          <cell r="H111" t="str">
            <v>2006-01-31</v>
          </cell>
        </row>
        <row r="112">
          <cell r="A112">
            <v>481004</v>
          </cell>
          <cell r="B112">
            <v>1015</v>
          </cell>
          <cell r="C112">
            <v>-1711276.68</v>
          </cell>
          <cell r="D112" t="str">
            <v>204</v>
          </cell>
          <cell r="E112" t="str">
            <v>407</v>
          </cell>
          <cell r="F112">
            <v>0</v>
          </cell>
          <cell r="G112">
            <v>1</v>
          </cell>
          <cell r="H112" t="str">
            <v>2006-01-31</v>
          </cell>
        </row>
        <row r="113">
          <cell r="A113">
            <v>481004</v>
          </cell>
          <cell r="B113">
            <v>1015</v>
          </cell>
          <cell r="C113">
            <v>-753908.97</v>
          </cell>
          <cell r="D113" t="str">
            <v>204</v>
          </cell>
          <cell r="E113" t="str">
            <v>407</v>
          </cell>
          <cell r="F113">
            <v>0</v>
          </cell>
          <cell r="G113">
            <v>1</v>
          </cell>
          <cell r="H113" t="str">
            <v>2006-01-31</v>
          </cell>
        </row>
        <row r="114">
          <cell r="A114">
            <v>481004</v>
          </cell>
          <cell r="B114">
            <v>1015</v>
          </cell>
          <cell r="C114">
            <v>-276338.3</v>
          </cell>
          <cell r="D114" t="str">
            <v>204</v>
          </cell>
          <cell r="E114" t="str">
            <v>407</v>
          </cell>
          <cell r="F114">
            <v>0</v>
          </cell>
          <cell r="G114">
            <v>1</v>
          </cell>
          <cell r="H114" t="str">
            <v>2006-01-31</v>
          </cell>
        </row>
        <row r="115">
          <cell r="A115">
            <v>481004</v>
          </cell>
          <cell r="B115">
            <v>1015</v>
          </cell>
          <cell r="C115">
            <v>-12155331.76</v>
          </cell>
          <cell r="D115" t="str">
            <v>204</v>
          </cell>
          <cell r="E115" t="str">
            <v>407</v>
          </cell>
          <cell r="F115">
            <v>0</v>
          </cell>
          <cell r="G115">
            <v>1</v>
          </cell>
          <cell r="H115" t="str">
            <v>2006-01-31</v>
          </cell>
        </row>
        <row r="116">
          <cell r="A116">
            <v>480000</v>
          </cell>
          <cell r="B116">
            <v>1015</v>
          </cell>
          <cell r="C116">
            <v>-1457.31</v>
          </cell>
          <cell r="D116" t="str">
            <v>204</v>
          </cell>
          <cell r="E116" t="str">
            <v>408</v>
          </cell>
          <cell r="F116">
            <v>0</v>
          </cell>
          <cell r="G116">
            <v>1</v>
          </cell>
          <cell r="H116" t="str">
            <v>2006-01-31</v>
          </cell>
        </row>
        <row r="117">
          <cell r="A117">
            <v>480000</v>
          </cell>
          <cell r="B117">
            <v>1015</v>
          </cell>
          <cell r="C117">
            <v>-100326.46</v>
          </cell>
          <cell r="D117" t="str">
            <v>204</v>
          </cell>
          <cell r="E117" t="str">
            <v>408</v>
          </cell>
          <cell r="F117">
            <v>0</v>
          </cell>
          <cell r="G117">
            <v>1</v>
          </cell>
          <cell r="H117" t="str">
            <v>2006-01-31</v>
          </cell>
        </row>
        <row r="118">
          <cell r="A118">
            <v>480000</v>
          </cell>
          <cell r="B118">
            <v>1015</v>
          </cell>
          <cell r="C118">
            <v>-3742.59</v>
          </cell>
          <cell r="D118" t="str">
            <v>204</v>
          </cell>
          <cell r="E118" t="str">
            <v>408</v>
          </cell>
          <cell r="F118">
            <v>0</v>
          </cell>
          <cell r="G118">
            <v>1</v>
          </cell>
          <cell r="H118" t="str">
            <v>2006-01-31</v>
          </cell>
        </row>
        <row r="119">
          <cell r="A119">
            <v>480000</v>
          </cell>
          <cell r="B119">
            <v>1015</v>
          </cell>
          <cell r="C119">
            <v>-132556.65</v>
          </cell>
          <cell r="D119" t="str">
            <v>204</v>
          </cell>
          <cell r="E119" t="str">
            <v>408</v>
          </cell>
          <cell r="F119">
            <v>0</v>
          </cell>
          <cell r="G119">
            <v>1</v>
          </cell>
          <cell r="H119" t="str">
            <v>2006-01-31</v>
          </cell>
        </row>
        <row r="120">
          <cell r="A120">
            <v>480000</v>
          </cell>
          <cell r="B120">
            <v>1015</v>
          </cell>
          <cell r="C120">
            <v>-111902.92</v>
          </cell>
          <cell r="D120" t="str">
            <v>204</v>
          </cell>
          <cell r="E120" t="str">
            <v>408</v>
          </cell>
          <cell r="F120">
            <v>0</v>
          </cell>
          <cell r="G120">
            <v>1</v>
          </cell>
          <cell r="H120" t="str">
            <v>2006-01-31</v>
          </cell>
        </row>
        <row r="121">
          <cell r="A121">
            <v>480000</v>
          </cell>
          <cell r="B121">
            <v>1015</v>
          </cell>
          <cell r="C121">
            <v>-1698.14</v>
          </cell>
          <cell r="D121" t="str">
            <v>204</v>
          </cell>
          <cell r="E121" t="str">
            <v>408</v>
          </cell>
          <cell r="F121">
            <v>0</v>
          </cell>
          <cell r="G121">
            <v>1</v>
          </cell>
          <cell r="H121" t="str">
            <v>2006-01-31</v>
          </cell>
        </row>
        <row r="122">
          <cell r="A122">
            <v>480000</v>
          </cell>
          <cell r="B122">
            <v>1015</v>
          </cell>
          <cell r="C122">
            <v>-33102.730000000003</v>
          </cell>
          <cell r="D122" t="str">
            <v>204</v>
          </cell>
          <cell r="E122" t="str">
            <v>408</v>
          </cell>
          <cell r="F122">
            <v>0</v>
          </cell>
          <cell r="G122">
            <v>1</v>
          </cell>
          <cell r="H122" t="str">
            <v>2006-01-31</v>
          </cell>
        </row>
        <row r="123">
          <cell r="A123">
            <v>480000</v>
          </cell>
          <cell r="B123">
            <v>1015</v>
          </cell>
          <cell r="C123">
            <v>-569.29</v>
          </cell>
          <cell r="D123" t="str">
            <v>204</v>
          </cell>
          <cell r="E123" t="str">
            <v>408</v>
          </cell>
          <cell r="F123">
            <v>0</v>
          </cell>
          <cell r="G123">
            <v>1</v>
          </cell>
          <cell r="H123" t="str">
            <v>2006-01-31</v>
          </cell>
        </row>
        <row r="124">
          <cell r="A124">
            <v>480000</v>
          </cell>
          <cell r="B124">
            <v>1015</v>
          </cell>
          <cell r="C124">
            <v>-398.51</v>
          </cell>
          <cell r="D124" t="str">
            <v>204</v>
          </cell>
          <cell r="E124" t="str">
            <v>408</v>
          </cell>
          <cell r="F124">
            <v>0</v>
          </cell>
          <cell r="G124">
            <v>1</v>
          </cell>
          <cell r="H124" t="str">
            <v>2006-01-31</v>
          </cell>
        </row>
        <row r="125">
          <cell r="A125">
            <v>480000</v>
          </cell>
          <cell r="B125">
            <v>1015</v>
          </cell>
          <cell r="C125">
            <v>-732.51</v>
          </cell>
          <cell r="D125" t="str">
            <v>204</v>
          </cell>
          <cell r="E125" t="str">
            <v>408</v>
          </cell>
          <cell r="F125">
            <v>0</v>
          </cell>
          <cell r="G125">
            <v>1</v>
          </cell>
          <cell r="H125" t="str">
            <v>2006-01-31</v>
          </cell>
        </row>
        <row r="126">
          <cell r="A126">
            <v>480000</v>
          </cell>
          <cell r="B126">
            <v>1015</v>
          </cell>
          <cell r="C126">
            <v>-141071.96</v>
          </cell>
          <cell r="D126" t="str">
            <v>204</v>
          </cell>
          <cell r="E126" t="str">
            <v>408</v>
          </cell>
          <cell r="F126">
            <v>0</v>
          </cell>
          <cell r="G126">
            <v>1</v>
          </cell>
          <cell r="H126" t="str">
            <v>2006-01-31</v>
          </cell>
        </row>
        <row r="127">
          <cell r="A127">
            <v>480001</v>
          </cell>
          <cell r="B127">
            <v>1015</v>
          </cell>
          <cell r="C127">
            <v>3224.39</v>
          </cell>
          <cell r="D127" t="str">
            <v>204</v>
          </cell>
          <cell r="E127" t="str">
            <v>408</v>
          </cell>
          <cell r="F127">
            <v>0</v>
          </cell>
          <cell r="G127">
            <v>1</v>
          </cell>
          <cell r="H127" t="str">
            <v>2006-01-31</v>
          </cell>
        </row>
        <row r="128">
          <cell r="A128">
            <v>481004</v>
          </cell>
          <cell r="B128">
            <v>1015</v>
          </cell>
          <cell r="C128">
            <v>-76.739999999999995</v>
          </cell>
          <cell r="D128" t="str">
            <v>204</v>
          </cell>
          <cell r="E128" t="str">
            <v>408</v>
          </cell>
          <cell r="F128">
            <v>0</v>
          </cell>
          <cell r="G128">
            <v>1</v>
          </cell>
          <cell r="H128" t="str">
            <v>2006-01-31</v>
          </cell>
        </row>
        <row r="129">
          <cell r="A129">
            <v>481004</v>
          </cell>
          <cell r="B129">
            <v>1015</v>
          </cell>
          <cell r="C129">
            <v>-55662.44</v>
          </cell>
          <cell r="D129" t="str">
            <v>204</v>
          </cell>
          <cell r="E129" t="str">
            <v>408</v>
          </cell>
          <cell r="F129">
            <v>0</v>
          </cell>
          <cell r="G129">
            <v>1</v>
          </cell>
          <cell r="H129" t="str">
            <v>2006-01-31</v>
          </cell>
        </row>
        <row r="130">
          <cell r="A130">
            <v>481004</v>
          </cell>
          <cell r="B130">
            <v>1015</v>
          </cell>
          <cell r="C130">
            <v>-8821.4699999999993</v>
          </cell>
          <cell r="D130" t="str">
            <v>204</v>
          </cell>
          <cell r="E130" t="str">
            <v>408</v>
          </cell>
          <cell r="F130">
            <v>0</v>
          </cell>
          <cell r="G130">
            <v>1</v>
          </cell>
          <cell r="H130" t="str">
            <v>2006-01-31</v>
          </cell>
        </row>
        <row r="131">
          <cell r="A131">
            <v>481004</v>
          </cell>
          <cell r="B131">
            <v>1015</v>
          </cell>
          <cell r="C131">
            <v>-86914.77</v>
          </cell>
          <cell r="D131" t="str">
            <v>204</v>
          </cell>
          <cell r="E131" t="str">
            <v>408</v>
          </cell>
          <cell r="F131">
            <v>0</v>
          </cell>
          <cell r="G131">
            <v>1</v>
          </cell>
          <cell r="H131" t="str">
            <v>2006-01-31</v>
          </cell>
        </row>
        <row r="132">
          <cell r="A132">
            <v>481004</v>
          </cell>
          <cell r="B132">
            <v>1015</v>
          </cell>
          <cell r="C132">
            <v>-66703.399999999994</v>
          </cell>
          <cell r="D132" t="str">
            <v>204</v>
          </cell>
          <cell r="E132" t="str">
            <v>408</v>
          </cell>
          <cell r="F132">
            <v>0</v>
          </cell>
          <cell r="G132">
            <v>1</v>
          </cell>
          <cell r="H132" t="str">
            <v>2006-01-31</v>
          </cell>
        </row>
        <row r="133">
          <cell r="A133">
            <v>481004</v>
          </cell>
          <cell r="B133">
            <v>1015</v>
          </cell>
          <cell r="C133">
            <v>-432.79</v>
          </cell>
          <cell r="D133" t="str">
            <v>204</v>
          </cell>
          <cell r="E133" t="str">
            <v>408</v>
          </cell>
          <cell r="F133">
            <v>0</v>
          </cell>
          <cell r="G133">
            <v>1</v>
          </cell>
          <cell r="H133" t="str">
            <v>2006-01-31</v>
          </cell>
        </row>
        <row r="134">
          <cell r="A134">
            <v>481004</v>
          </cell>
          <cell r="B134">
            <v>1015</v>
          </cell>
          <cell r="C134">
            <v>-1764.81</v>
          </cell>
          <cell r="D134" t="str">
            <v>204</v>
          </cell>
          <cell r="E134" t="str">
            <v>408</v>
          </cell>
          <cell r="F134">
            <v>0</v>
          </cell>
          <cell r="G134">
            <v>1</v>
          </cell>
          <cell r="H134" t="str">
            <v>2006-01-31</v>
          </cell>
        </row>
        <row r="135">
          <cell r="A135">
            <v>481004</v>
          </cell>
          <cell r="B135">
            <v>1015</v>
          </cell>
          <cell r="C135">
            <v>-328.27</v>
          </cell>
          <cell r="D135" t="str">
            <v>204</v>
          </cell>
          <cell r="E135" t="str">
            <v>408</v>
          </cell>
          <cell r="F135">
            <v>0</v>
          </cell>
          <cell r="G135">
            <v>1</v>
          </cell>
          <cell r="H135" t="str">
            <v>2006-01-31</v>
          </cell>
        </row>
        <row r="136">
          <cell r="A136">
            <v>481004</v>
          </cell>
          <cell r="B136">
            <v>1015</v>
          </cell>
          <cell r="C136">
            <v>-6403.79</v>
          </cell>
          <cell r="D136" t="str">
            <v>204</v>
          </cell>
          <cell r="E136" t="str">
            <v>408</v>
          </cell>
          <cell r="F136">
            <v>0</v>
          </cell>
          <cell r="G136">
            <v>1</v>
          </cell>
          <cell r="H136" t="str">
            <v>2006-01-31</v>
          </cell>
        </row>
        <row r="137">
          <cell r="A137">
            <v>481004</v>
          </cell>
          <cell r="B137">
            <v>1015</v>
          </cell>
          <cell r="C137">
            <v>-19522.84</v>
          </cell>
          <cell r="D137" t="str">
            <v>204</v>
          </cell>
          <cell r="E137" t="str">
            <v>408</v>
          </cell>
          <cell r="F137">
            <v>0</v>
          </cell>
          <cell r="G137">
            <v>1</v>
          </cell>
          <cell r="H137" t="str">
            <v>2006-01-31</v>
          </cell>
        </row>
        <row r="138">
          <cell r="A138">
            <v>481002</v>
          </cell>
          <cell r="B138">
            <v>1015</v>
          </cell>
          <cell r="C138">
            <v>0</v>
          </cell>
          <cell r="D138" t="str">
            <v>204</v>
          </cell>
          <cell r="E138" t="str">
            <v>409</v>
          </cell>
          <cell r="F138">
            <v>0</v>
          </cell>
          <cell r="G138">
            <v>1</v>
          </cell>
          <cell r="H138" t="str">
            <v>2006-01-31</v>
          </cell>
        </row>
        <row r="139">
          <cell r="A139">
            <v>481002</v>
          </cell>
          <cell r="B139">
            <v>1015</v>
          </cell>
          <cell r="C139">
            <v>0</v>
          </cell>
          <cell r="D139" t="str">
            <v>204</v>
          </cell>
          <cell r="E139" t="str">
            <v>409</v>
          </cell>
          <cell r="F139">
            <v>0</v>
          </cell>
          <cell r="G139">
            <v>1</v>
          </cell>
          <cell r="H139" t="str">
            <v>2006-01-31</v>
          </cell>
        </row>
        <row r="140">
          <cell r="A140">
            <v>481002</v>
          </cell>
          <cell r="B140">
            <v>1015</v>
          </cell>
          <cell r="C140">
            <v>0</v>
          </cell>
          <cell r="D140" t="str">
            <v>204</v>
          </cell>
          <cell r="E140" t="str">
            <v>409</v>
          </cell>
          <cell r="F140">
            <v>0</v>
          </cell>
          <cell r="G140">
            <v>1</v>
          </cell>
          <cell r="H140" t="str">
            <v>2006-01-31</v>
          </cell>
        </row>
        <row r="141">
          <cell r="A141">
            <v>481002</v>
          </cell>
          <cell r="B141">
            <v>1015</v>
          </cell>
          <cell r="C141">
            <v>2002370.44</v>
          </cell>
          <cell r="D141" t="str">
            <v>204</v>
          </cell>
          <cell r="E141" t="str">
            <v>411</v>
          </cell>
          <cell r="F141">
            <v>0</v>
          </cell>
          <cell r="G141">
            <v>1</v>
          </cell>
          <cell r="H141" t="str">
            <v>2006-01-31</v>
          </cell>
        </row>
        <row r="142">
          <cell r="A142">
            <v>481002</v>
          </cell>
          <cell r="B142">
            <v>1015</v>
          </cell>
          <cell r="C142">
            <v>-17389.96</v>
          </cell>
          <cell r="D142" t="str">
            <v>204</v>
          </cell>
          <cell r="E142" t="str">
            <v>411</v>
          </cell>
          <cell r="F142">
            <v>0</v>
          </cell>
          <cell r="G142">
            <v>1</v>
          </cell>
          <cell r="H142" t="str">
            <v>2006-01-31</v>
          </cell>
        </row>
        <row r="143">
          <cell r="A143">
            <v>481002</v>
          </cell>
          <cell r="B143">
            <v>1015</v>
          </cell>
          <cell r="C143">
            <v>-84711.27</v>
          </cell>
          <cell r="D143" t="str">
            <v>204</v>
          </cell>
          <cell r="E143" t="str">
            <v>411</v>
          </cell>
          <cell r="F143">
            <v>0</v>
          </cell>
          <cell r="G143">
            <v>1</v>
          </cell>
          <cell r="H143" t="str">
            <v>2006-01-31</v>
          </cell>
        </row>
        <row r="144">
          <cell r="A144">
            <v>481002</v>
          </cell>
          <cell r="B144">
            <v>1015</v>
          </cell>
          <cell r="C144">
            <v>-55795.02</v>
          </cell>
          <cell r="D144" t="str">
            <v>204</v>
          </cell>
          <cell r="E144" t="str">
            <v>411</v>
          </cell>
          <cell r="F144">
            <v>0</v>
          </cell>
          <cell r="G144">
            <v>1</v>
          </cell>
          <cell r="H144" t="str">
            <v>2006-01-31</v>
          </cell>
        </row>
        <row r="145">
          <cell r="A145">
            <v>481002</v>
          </cell>
          <cell r="B145">
            <v>1015</v>
          </cell>
          <cell r="C145">
            <v>-70820.179999999993</v>
          </cell>
          <cell r="D145" t="str">
            <v>204</v>
          </cell>
          <cell r="E145" t="str">
            <v>411</v>
          </cell>
          <cell r="F145">
            <v>0</v>
          </cell>
          <cell r="G145">
            <v>1</v>
          </cell>
          <cell r="H145" t="str">
            <v>2006-01-31</v>
          </cell>
        </row>
        <row r="146">
          <cell r="A146">
            <v>481002</v>
          </cell>
          <cell r="B146">
            <v>1015</v>
          </cell>
          <cell r="C146">
            <v>-59767.1</v>
          </cell>
          <cell r="D146" t="str">
            <v>204</v>
          </cell>
          <cell r="E146" t="str">
            <v>411</v>
          </cell>
          <cell r="F146">
            <v>0</v>
          </cell>
          <cell r="G146">
            <v>1</v>
          </cell>
          <cell r="H146" t="str">
            <v>2006-01-31</v>
          </cell>
        </row>
        <row r="147">
          <cell r="A147">
            <v>481002</v>
          </cell>
          <cell r="B147">
            <v>1015</v>
          </cell>
          <cell r="C147">
            <v>-19.170000000000002</v>
          </cell>
          <cell r="D147" t="str">
            <v>204</v>
          </cell>
          <cell r="E147" t="str">
            <v>411</v>
          </cell>
          <cell r="F147">
            <v>0</v>
          </cell>
          <cell r="G147">
            <v>1</v>
          </cell>
          <cell r="H147" t="str">
            <v>2006-01-31</v>
          </cell>
        </row>
        <row r="148">
          <cell r="A148">
            <v>481002</v>
          </cell>
          <cell r="B148">
            <v>1015</v>
          </cell>
          <cell r="C148">
            <v>-69347.67</v>
          </cell>
          <cell r="D148" t="str">
            <v>204</v>
          </cell>
          <cell r="E148" t="str">
            <v>411</v>
          </cell>
          <cell r="F148">
            <v>0</v>
          </cell>
          <cell r="G148">
            <v>1</v>
          </cell>
          <cell r="H148" t="str">
            <v>2006-01-31</v>
          </cell>
        </row>
        <row r="149">
          <cell r="A149">
            <v>481002</v>
          </cell>
          <cell r="B149">
            <v>1015</v>
          </cell>
          <cell r="C149">
            <v>-28896.62</v>
          </cell>
          <cell r="D149" t="str">
            <v>204</v>
          </cell>
          <cell r="E149" t="str">
            <v>411</v>
          </cell>
          <cell r="F149">
            <v>0</v>
          </cell>
          <cell r="G149">
            <v>1</v>
          </cell>
          <cell r="H149" t="str">
            <v>2006-01-31</v>
          </cell>
        </row>
        <row r="150">
          <cell r="A150">
            <v>481002</v>
          </cell>
          <cell r="B150">
            <v>1015</v>
          </cell>
          <cell r="C150">
            <v>-842822.2</v>
          </cell>
          <cell r="D150" t="str">
            <v>204</v>
          </cell>
          <cell r="E150" t="str">
            <v>411</v>
          </cell>
          <cell r="F150">
            <v>0</v>
          </cell>
          <cell r="G150">
            <v>1</v>
          </cell>
          <cell r="H150" t="str">
            <v>2006-01-31</v>
          </cell>
        </row>
        <row r="151">
          <cell r="A151">
            <v>481005</v>
          </cell>
          <cell r="B151">
            <v>1015</v>
          </cell>
          <cell r="C151">
            <v>-3271782.48</v>
          </cell>
          <cell r="D151" t="str">
            <v>204</v>
          </cell>
          <cell r="E151" t="str">
            <v>411</v>
          </cell>
          <cell r="F151">
            <v>0</v>
          </cell>
          <cell r="G151">
            <v>1</v>
          </cell>
          <cell r="H151" t="str">
            <v>2006-01-31</v>
          </cell>
        </row>
        <row r="152">
          <cell r="A152">
            <v>481005</v>
          </cell>
          <cell r="B152">
            <v>1015</v>
          </cell>
          <cell r="C152">
            <v>40699.769999999997</v>
          </cell>
          <cell r="D152" t="str">
            <v>204</v>
          </cell>
          <cell r="E152" t="str">
            <v>411</v>
          </cell>
          <cell r="F152">
            <v>0</v>
          </cell>
          <cell r="G152">
            <v>1</v>
          </cell>
          <cell r="H152" t="str">
            <v>2006-01-31</v>
          </cell>
        </row>
        <row r="153">
          <cell r="A153">
            <v>481005</v>
          </cell>
          <cell r="B153">
            <v>1015</v>
          </cell>
          <cell r="C153">
            <v>-64450.55</v>
          </cell>
          <cell r="D153" t="str">
            <v>204</v>
          </cell>
          <cell r="E153" t="str">
            <v>411</v>
          </cell>
          <cell r="F153">
            <v>0</v>
          </cell>
          <cell r="G153">
            <v>1</v>
          </cell>
          <cell r="H153" t="str">
            <v>2006-01-31</v>
          </cell>
        </row>
        <row r="154">
          <cell r="A154">
            <v>481005</v>
          </cell>
          <cell r="B154">
            <v>1015</v>
          </cell>
          <cell r="C154">
            <v>-15007.35</v>
          </cell>
          <cell r="D154" t="str">
            <v>204</v>
          </cell>
          <cell r="E154" t="str">
            <v>411</v>
          </cell>
          <cell r="F154">
            <v>0</v>
          </cell>
          <cell r="G154">
            <v>1</v>
          </cell>
          <cell r="H154" t="str">
            <v>2006-01-31</v>
          </cell>
        </row>
        <row r="155">
          <cell r="A155">
            <v>481005</v>
          </cell>
          <cell r="B155">
            <v>1015</v>
          </cell>
          <cell r="C155">
            <v>-56076.69</v>
          </cell>
          <cell r="D155" t="str">
            <v>204</v>
          </cell>
          <cell r="E155" t="str">
            <v>411</v>
          </cell>
          <cell r="F155">
            <v>0</v>
          </cell>
          <cell r="G155">
            <v>1</v>
          </cell>
          <cell r="H155" t="str">
            <v>2006-01-31</v>
          </cell>
        </row>
        <row r="156">
          <cell r="A156">
            <v>481005</v>
          </cell>
          <cell r="B156">
            <v>1015</v>
          </cell>
          <cell r="C156">
            <v>-13090.6</v>
          </cell>
          <cell r="D156" t="str">
            <v>204</v>
          </cell>
          <cell r="E156" t="str">
            <v>411</v>
          </cell>
          <cell r="F156">
            <v>0</v>
          </cell>
          <cell r="G156">
            <v>1</v>
          </cell>
          <cell r="H156" t="str">
            <v>2006-01-31</v>
          </cell>
        </row>
        <row r="157">
          <cell r="A157">
            <v>481005</v>
          </cell>
          <cell r="B157">
            <v>1015</v>
          </cell>
          <cell r="C157">
            <v>-25483.69</v>
          </cell>
          <cell r="D157" t="str">
            <v>204</v>
          </cell>
          <cell r="E157" t="str">
            <v>411</v>
          </cell>
          <cell r="F157">
            <v>0</v>
          </cell>
          <cell r="G157">
            <v>1</v>
          </cell>
          <cell r="H157" t="str">
            <v>2006-01-31</v>
          </cell>
        </row>
        <row r="158">
          <cell r="A158">
            <v>481005</v>
          </cell>
          <cell r="B158">
            <v>1015</v>
          </cell>
          <cell r="C158">
            <v>-91973.09</v>
          </cell>
          <cell r="D158" t="str">
            <v>204</v>
          </cell>
          <cell r="E158" t="str">
            <v>411</v>
          </cell>
          <cell r="F158">
            <v>0</v>
          </cell>
          <cell r="G158">
            <v>1</v>
          </cell>
          <cell r="H158" t="str">
            <v>2006-01-31</v>
          </cell>
        </row>
        <row r="159">
          <cell r="A159">
            <v>481005</v>
          </cell>
          <cell r="B159">
            <v>1015</v>
          </cell>
          <cell r="C159">
            <v>-20791.009999999998</v>
          </cell>
          <cell r="D159" t="str">
            <v>204</v>
          </cell>
          <cell r="E159" t="str">
            <v>411</v>
          </cell>
          <cell r="F159">
            <v>0</v>
          </cell>
          <cell r="G159">
            <v>1</v>
          </cell>
          <cell r="H159" t="str">
            <v>2006-01-31</v>
          </cell>
        </row>
        <row r="160">
          <cell r="A160">
            <v>481005</v>
          </cell>
          <cell r="B160">
            <v>1015</v>
          </cell>
          <cell r="C160">
            <v>-180787.14</v>
          </cell>
          <cell r="D160" t="str">
            <v>204</v>
          </cell>
          <cell r="E160" t="str">
            <v>411</v>
          </cell>
          <cell r="F160">
            <v>0</v>
          </cell>
          <cell r="G160">
            <v>1</v>
          </cell>
          <cell r="H160" t="str">
            <v>2006-01-31</v>
          </cell>
        </row>
        <row r="161">
          <cell r="A161">
            <v>481002</v>
          </cell>
          <cell r="B161">
            <v>1015</v>
          </cell>
          <cell r="C161">
            <v>-1231542.17</v>
          </cell>
          <cell r="D161" t="str">
            <v>204</v>
          </cell>
          <cell r="E161" t="str">
            <v>411</v>
          </cell>
          <cell r="F161">
            <v>0</v>
          </cell>
          <cell r="G161">
            <v>1</v>
          </cell>
          <cell r="H161" t="str">
            <v>2006-01-31</v>
          </cell>
        </row>
        <row r="162">
          <cell r="A162">
            <v>481005</v>
          </cell>
          <cell r="B162">
            <v>1015</v>
          </cell>
          <cell r="C162">
            <v>2629643.7000000002</v>
          </cell>
          <cell r="D162" t="str">
            <v>204</v>
          </cell>
          <cell r="E162" t="str">
            <v>411</v>
          </cell>
          <cell r="F162">
            <v>0</v>
          </cell>
          <cell r="G162">
            <v>1</v>
          </cell>
          <cell r="H162" t="str">
            <v>2006-01-31</v>
          </cell>
        </row>
        <row r="163">
          <cell r="A163">
            <v>481002</v>
          </cell>
          <cell r="B163">
            <v>1015</v>
          </cell>
          <cell r="C163">
            <v>239664.23</v>
          </cell>
          <cell r="D163" t="str">
            <v>204</v>
          </cell>
          <cell r="E163" t="str">
            <v>414</v>
          </cell>
          <cell r="F163">
            <v>0</v>
          </cell>
          <cell r="G163">
            <v>1</v>
          </cell>
          <cell r="H163" t="str">
            <v>2006-01-31</v>
          </cell>
        </row>
        <row r="164">
          <cell r="A164">
            <v>481002</v>
          </cell>
          <cell r="B164">
            <v>1015</v>
          </cell>
          <cell r="C164">
            <v>-1308.04</v>
          </cell>
          <cell r="D164" t="str">
            <v>204</v>
          </cell>
          <cell r="E164" t="str">
            <v>414</v>
          </cell>
          <cell r="F164">
            <v>0</v>
          </cell>
          <cell r="G164">
            <v>1</v>
          </cell>
          <cell r="H164" t="str">
            <v>2006-01-31</v>
          </cell>
        </row>
        <row r="165">
          <cell r="A165">
            <v>481002</v>
          </cell>
          <cell r="B165">
            <v>1015</v>
          </cell>
          <cell r="C165">
            <v>0</v>
          </cell>
          <cell r="D165" t="str">
            <v>204</v>
          </cell>
          <cell r="E165" t="str">
            <v>414</v>
          </cell>
          <cell r="F165">
            <v>0</v>
          </cell>
          <cell r="G165">
            <v>1</v>
          </cell>
          <cell r="H165" t="str">
            <v>2006-01-31</v>
          </cell>
        </row>
        <row r="166">
          <cell r="A166">
            <v>481002</v>
          </cell>
          <cell r="B166">
            <v>1015</v>
          </cell>
          <cell r="C166">
            <v>-80955.960000000006</v>
          </cell>
          <cell r="D166" t="str">
            <v>204</v>
          </cell>
          <cell r="E166" t="str">
            <v>414</v>
          </cell>
          <cell r="F166">
            <v>0</v>
          </cell>
          <cell r="G166">
            <v>1</v>
          </cell>
          <cell r="H166" t="str">
            <v>2006-01-31</v>
          </cell>
        </row>
        <row r="167">
          <cell r="A167">
            <v>481002</v>
          </cell>
          <cell r="B167">
            <v>1015</v>
          </cell>
          <cell r="C167">
            <v>-4878.18</v>
          </cell>
          <cell r="D167" t="str">
            <v>204</v>
          </cell>
          <cell r="E167" t="str">
            <v>414</v>
          </cell>
          <cell r="F167">
            <v>0</v>
          </cell>
          <cell r="G167">
            <v>1</v>
          </cell>
          <cell r="H167" t="str">
            <v>2006-01-31</v>
          </cell>
        </row>
        <row r="168">
          <cell r="A168">
            <v>481002</v>
          </cell>
          <cell r="B168">
            <v>1015</v>
          </cell>
          <cell r="C168">
            <v>-103243.65</v>
          </cell>
          <cell r="D168" t="str">
            <v>204</v>
          </cell>
          <cell r="E168" t="str">
            <v>414</v>
          </cell>
          <cell r="F168">
            <v>0</v>
          </cell>
          <cell r="G168">
            <v>1</v>
          </cell>
          <cell r="H168" t="str">
            <v>2006-01-31</v>
          </cell>
        </row>
        <row r="169">
          <cell r="A169">
            <v>481005</v>
          </cell>
          <cell r="B169">
            <v>1015</v>
          </cell>
          <cell r="C169">
            <v>-343059.63</v>
          </cell>
          <cell r="D169" t="str">
            <v>204</v>
          </cell>
          <cell r="E169" t="str">
            <v>414</v>
          </cell>
          <cell r="F169">
            <v>0</v>
          </cell>
          <cell r="G169">
            <v>1</v>
          </cell>
          <cell r="H169" t="str">
            <v>2006-01-31</v>
          </cell>
        </row>
        <row r="170">
          <cell r="A170">
            <v>481005</v>
          </cell>
          <cell r="B170">
            <v>1015</v>
          </cell>
          <cell r="C170">
            <v>3304.74</v>
          </cell>
          <cell r="D170" t="str">
            <v>204</v>
          </cell>
          <cell r="E170" t="str">
            <v>414</v>
          </cell>
          <cell r="F170">
            <v>0</v>
          </cell>
          <cell r="G170">
            <v>1</v>
          </cell>
          <cell r="H170" t="str">
            <v>2006-01-31</v>
          </cell>
        </row>
        <row r="171">
          <cell r="A171">
            <v>481005</v>
          </cell>
          <cell r="B171">
            <v>1015</v>
          </cell>
          <cell r="C171">
            <v>-9046.32</v>
          </cell>
          <cell r="D171" t="str">
            <v>204</v>
          </cell>
          <cell r="E171" t="str">
            <v>414</v>
          </cell>
          <cell r="F171">
            <v>0</v>
          </cell>
          <cell r="G171">
            <v>1</v>
          </cell>
          <cell r="H171" t="str">
            <v>2006-01-31</v>
          </cell>
        </row>
        <row r="172">
          <cell r="A172">
            <v>481002</v>
          </cell>
          <cell r="B172">
            <v>1015</v>
          </cell>
          <cell r="C172">
            <v>-108727.03</v>
          </cell>
          <cell r="D172" t="str">
            <v>204</v>
          </cell>
          <cell r="E172" t="str">
            <v>414</v>
          </cell>
          <cell r="F172">
            <v>0</v>
          </cell>
          <cell r="G172">
            <v>1</v>
          </cell>
          <cell r="H172" t="str">
            <v>2006-01-31</v>
          </cell>
        </row>
        <row r="173">
          <cell r="A173">
            <v>481005</v>
          </cell>
          <cell r="B173">
            <v>1015</v>
          </cell>
          <cell r="C173">
            <v>179883.7</v>
          </cell>
          <cell r="D173" t="str">
            <v>204</v>
          </cell>
          <cell r="E173" t="str">
            <v>414</v>
          </cell>
          <cell r="F173">
            <v>0</v>
          </cell>
          <cell r="G173">
            <v>1</v>
          </cell>
          <cell r="H173" t="str">
            <v>2006-01-31</v>
          </cell>
        </row>
        <row r="174">
          <cell r="A174">
            <v>481000</v>
          </cell>
          <cell r="B174">
            <v>1015</v>
          </cell>
          <cell r="C174">
            <v>-3490.69</v>
          </cell>
          <cell r="D174" t="str">
            <v>204</v>
          </cell>
          <cell r="E174" t="str">
            <v>451</v>
          </cell>
          <cell r="F174">
            <v>0</v>
          </cell>
          <cell r="G174">
            <v>1</v>
          </cell>
          <cell r="H174" t="str">
            <v>2006-01-31</v>
          </cell>
        </row>
        <row r="175">
          <cell r="A175">
            <v>481000</v>
          </cell>
          <cell r="B175">
            <v>1015</v>
          </cell>
          <cell r="C175">
            <v>0</v>
          </cell>
          <cell r="D175" t="str">
            <v>204</v>
          </cell>
          <cell r="E175" t="str">
            <v>451</v>
          </cell>
          <cell r="F175">
            <v>0</v>
          </cell>
          <cell r="G175">
            <v>1</v>
          </cell>
          <cell r="H175" t="str">
            <v>2006-01-31</v>
          </cell>
        </row>
        <row r="176">
          <cell r="A176">
            <v>481000</v>
          </cell>
          <cell r="B176">
            <v>1015</v>
          </cell>
          <cell r="C176">
            <v>-2191.81</v>
          </cell>
          <cell r="D176" t="str">
            <v>204</v>
          </cell>
          <cell r="E176" t="str">
            <v>451</v>
          </cell>
          <cell r="F176">
            <v>0</v>
          </cell>
          <cell r="G176">
            <v>1</v>
          </cell>
          <cell r="H176" t="str">
            <v>2006-01-31</v>
          </cell>
        </row>
        <row r="177">
          <cell r="A177">
            <v>481004</v>
          </cell>
          <cell r="B177">
            <v>1015</v>
          </cell>
          <cell r="C177">
            <v>-28259.55</v>
          </cell>
          <cell r="D177" t="str">
            <v>204</v>
          </cell>
          <cell r="E177" t="str">
            <v>451</v>
          </cell>
          <cell r="F177">
            <v>0</v>
          </cell>
          <cell r="G177">
            <v>1</v>
          </cell>
          <cell r="H177" t="str">
            <v>2006-01-31</v>
          </cell>
        </row>
        <row r="178">
          <cell r="A178">
            <v>481004</v>
          </cell>
          <cell r="B178">
            <v>1015</v>
          </cell>
          <cell r="C178">
            <v>0</v>
          </cell>
          <cell r="D178" t="str">
            <v>204</v>
          </cell>
          <cell r="E178" t="str">
            <v>451</v>
          </cell>
          <cell r="F178">
            <v>0</v>
          </cell>
          <cell r="G178">
            <v>1</v>
          </cell>
          <cell r="H178" t="str">
            <v>2006-01-31</v>
          </cell>
        </row>
        <row r="179">
          <cell r="A179">
            <v>481004</v>
          </cell>
          <cell r="B179">
            <v>1015</v>
          </cell>
          <cell r="C179">
            <v>-10250.73</v>
          </cell>
          <cell r="D179" t="str">
            <v>204</v>
          </cell>
          <cell r="E179" t="str">
            <v>451</v>
          </cell>
          <cell r="F179">
            <v>0</v>
          </cell>
          <cell r="G179">
            <v>1</v>
          </cell>
          <cell r="H179" t="str">
            <v>2006-01-31</v>
          </cell>
        </row>
        <row r="180">
          <cell r="A180">
            <v>481004</v>
          </cell>
          <cell r="B180">
            <v>1015</v>
          </cell>
          <cell r="C180">
            <v>-59058.080000000002</v>
          </cell>
          <cell r="D180" t="str">
            <v>204</v>
          </cell>
          <cell r="E180" t="str">
            <v>451</v>
          </cell>
          <cell r="F180">
            <v>0</v>
          </cell>
          <cell r="G180">
            <v>1</v>
          </cell>
          <cell r="H180" t="str">
            <v>2006-01-31</v>
          </cell>
        </row>
        <row r="181">
          <cell r="A181">
            <v>481004</v>
          </cell>
          <cell r="B181">
            <v>1015</v>
          </cell>
          <cell r="C181">
            <v>-16624.060000000001</v>
          </cell>
          <cell r="D181" t="str">
            <v>204</v>
          </cell>
          <cell r="E181" t="str">
            <v>451</v>
          </cell>
          <cell r="F181">
            <v>0</v>
          </cell>
          <cell r="G181">
            <v>1</v>
          </cell>
          <cell r="H181" t="str">
            <v>2006-01-31</v>
          </cell>
        </row>
        <row r="182">
          <cell r="A182">
            <v>481004</v>
          </cell>
          <cell r="B182">
            <v>1015</v>
          </cell>
          <cell r="C182">
            <v>-17054.919999999998</v>
          </cell>
          <cell r="D182" t="str">
            <v>204</v>
          </cell>
          <cell r="E182" t="str">
            <v>451</v>
          </cell>
          <cell r="F182">
            <v>0</v>
          </cell>
          <cell r="G182">
            <v>1</v>
          </cell>
          <cell r="H182" t="str">
            <v>2006-01-31</v>
          </cell>
        </row>
        <row r="183">
          <cell r="A183">
            <v>481004</v>
          </cell>
          <cell r="B183">
            <v>1015</v>
          </cell>
          <cell r="C183">
            <v>-6968.03</v>
          </cell>
          <cell r="D183" t="str">
            <v>204</v>
          </cell>
          <cell r="E183" t="str">
            <v>451</v>
          </cell>
          <cell r="F183">
            <v>0</v>
          </cell>
          <cell r="G183">
            <v>1</v>
          </cell>
          <cell r="H183" t="str">
            <v>2006-01-31</v>
          </cell>
        </row>
        <row r="184">
          <cell r="A184">
            <v>481004</v>
          </cell>
          <cell r="B184">
            <v>1015</v>
          </cell>
          <cell r="C184">
            <v>-19500.060000000001</v>
          </cell>
          <cell r="D184" t="str">
            <v>204</v>
          </cell>
          <cell r="E184" t="str">
            <v>451</v>
          </cell>
          <cell r="F184">
            <v>0</v>
          </cell>
          <cell r="G184">
            <v>1</v>
          </cell>
          <cell r="H184" t="str">
            <v>2006-01-31</v>
          </cell>
        </row>
        <row r="185">
          <cell r="A185">
            <v>481004</v>
          </cell>
          <cell r="B185">
            <v>1015</v>
          </cell>
          <cell r="C185">
            <v>-32137.06</v>
          </cell>
          <cell r="D185" t="str">
            <v>204</v>
          </cell>
          <cell r="E185" t="str">
            <v>451</v>
          </cell>
          <cell r="F185">
            <v>0</v>
          </cell>
          <cell r="G185">
            <v>1</v>
          </cell>
          <cell r="H185" t="str">
            <v>2006-01-31</v>
          </cell>
        </row>
        <row r="186">
          <cell r="A186">
            <v>481004</v>
          </cell>
          <cell r="B186">
            <v>1015</v>
          </cell>
          <cell r="C186">
            <v>-145914.41</v>
          </cell>
          <cell r="D186" t="str">
            <v>204</v>
          </cell>
          <cell r="E186" t="str">
            <v>451</v>
          </cell>
          <cell r="F186">
            <v>0</v>
          </cell>
          <cell r="G186">
            <v>1</v>
          </cell>
          <cell r="H186" t="str">
            <v>2006-01-31</v>
          </cell>
        </row>
        <row r="187">
          <cell r="A187">
            <v>481000</v>
          </cell>
          <cell r="B187">
            <v>1015</v>
          </cell>
          <cell r="C187">
            <v>5682.5</v>
          </cell>
          <cell r="D187" t="str">
            <v>204</v>
          </cell>
          <cell r="E187" t="str">
            <v>451</v>
          </cell>
          <cell r="F187">
            <v>0</v>
          </cell>
          <cell r="G187">
            <v>1</v>
          </cell>
          <cell r="H187" t="str">
            <v>2006-01-31</v>
          </cell>
        </row>
        <row r="188">
          <cell r="A188">
            <v>481004</v>
          </cell>
          <cell r="B188">
            <v>1015</v>
          </cell>
          <cell r="C188">
            <v>20000.900000000001</v>
          </cell>
          <cell r="D188" t="str">
            <v>204</v>
          </cell>
          <cell r="E188" t="str">
            <v>451</v>
          </cell>
          <cell r="F188">
            <v>0</v>
          </cell>
          <cell r="G188">
            <v>1</v>
          </cell>
          <cell r="H188" t="str">
            <v>2006-01-31</v>
          </cell>
        </row>
        <row r="189">
          <cell r="A189">
            <v>480000</v>
          </cell>
          <cell r="B189">
            <v>1015</v>
          </cell>
          <cell r="C189">
            <v>-188953.41</v>
          </cell>
          <cell r="D189" t="str">
            <v>204</v>
          </cell>
          <cell r="E189" t="str">
            <v>453</v>
          </cell>
          <cell r="F189">
            <v>0</v>
          </cell>
          <cell r="G189">
            <v>1</v>
          </cell>
          <cell r="H189" t="str">
            <v>2006-01-31</v>
          </cell>
        </row>
        <row r="190">
          <cell r="A190">
            <v>480000</v>
          </cell>
          <cell r="B190">
            <v>1015</v>
          </cell>
          <cell r="C190">
            <v>-12746.4</v>
          </cell>
          <cell r="D190" t="str">
            <v>204</v>
          </cell>
          <cell r="E190" t="str">
            <v>453</v>
          </cell>
          <cell r="F190">
            <v>0</v>
          </cell>
          <cell r="G190">
            <v>1</v>
          </cell>
          <cell r="H190" t="str">
            <v>2006-01-31</v>
          </cell>
        </row>
        <row r="191">
          <cell r="A191">
            <v>480000</v>
          </cell>
          <cell r="B191">
            <v>1015</v>
          </cell>
          <cell r="C191">
            <v>-172246.8</v>
          </cell>
          <cell r="D191" t="str">
            <v>204</v>
          </cell>
          <cell r="E191" t="str">
            <v>453</v>
          </cell>
          <cell r="F191">
            <v>0</v>
          </cell>
          <cell r="G191">
            <v>1</v>
          </cell>
          <cell r="H191" t="str">
            <v>2006-01-31</v>
          </cell>
        </row>
        <row r="192">
          <cell r="A192">
            <v>480000</v>
          </cell>
          <cell r="B192">
            <v>1015</v>
          </cell>
          <cell r="C192">
            <v>-261791.39</v>
          </cell>
          <cell r="D192" t="str">
            <v>204</v>
          </cell>
          <cell r="E192" t="str">
            <v>453</v>
          </cell>
          <cell r="F192">
            <v>0</v>
          </cell>
          <cell r="G192">
            <v>1</v>
          </cell>
          <cell r="H192" t="str">
            <v>2006-01-31</v>
          </cell>
        </row>
        <row r="193">
          <cell r="A193">
            <v>480000</v>
          </cell>
          <cell r="B193">
            <v>1015</v>
          </cell>
          <cell r="C193">
            <v>-412221.77</v>
          </cell>
          <cell r="D193" t="str">
            <v>204</v>
          </cell>
          <cell r="E193" t="str">
            <v>453</v>
          </cell>
          <cell r="F193">
            <v>0</v>
          </cell>
          <cell r="G193">
            <v>1</v>
          </cell>
          <cell r="H193" t="str">
            <v>2006-01-31</v>
          </cell>
        </row>
        <row r="194">
          <cell r="A194">
            <v>480000</v>
          </cell>
          <cell r="B194">
            <v>1015</v>
          </cell>
          <cell r="C194">
            <v>-176178.48</v>
          </cell>
          <cell r="D194" t="str">
            <v>204</v>
          </cell>
          <cell r="E194" t="str">
            <v>453</v>
          </cell>
          <cell r="F194">
            <v>0</v>
          </cell>
          <cell r="G194">
            <v>1</v>
          </cell>
          <cell r="H194" t="str">
            <v>2006-01-31</v>
          </cell>
        </row>
        <row r="195">
          <cell r="A195">
            <v>480000</v>
          </cell>
          <cell r="B195">
            <v>1015</v>
          </cell>
          <cell r="C195">
            <v>-194980.18</v>
          </cell>
          <cell r="D195" t="str">
            <v>204</v>
          </cell>
          <cell r="E195" t="str">
            <v>453</v>
          </cell>
          <cell r="F195">
            <v>0</v>
          </cell>
          <cell r="G195">
            <v>1</v>
          </cell>
          <cell r="H195" t="str">
            <v>2006-01-31</v>
          </cell>
        </row>
        <row r="196">
          <cell r="A196">
            <v>480000</v>
          </cell>
          <cell r="B196">
            <v>1015</v>
          </cell>
          <cell r="C196">
            <v>-6210.34</v>
          </cell>
          <cell r="D196" t="str">
            <v>204</v>
          </cell>
          <cell r="E196" t="str">
            <v>453</v>
          </cell>
          <cell r="F196">
            <v>0</v>
          </cell>
          <cell r="G196">
            <v>1</v>
          </cell>
          <cell r="H196" t="str">
            <v>2006-01-31</v>
          </cell>
        </row>
        <row r="197">
          <cell r="A197">
            <v>480000</v>
          </cell>
          <cell r="B197">
            <v>1015</v>
          </cell>
          <cell r="C197">
            <v>-143335.1</v>
          </cell>
          <cell r="D197" t="str">
            <v>204</v>
          </cell>
          <cell r="E197" t="str">
            <v>453</v>
          </cell>
          <cell r="F197">
            <v>0</v>
          </cell>
          <cell r="G197">
            <v>1</v>
          </cell>
          <cell r="H197" t="str">
            <v>2006-01-31</v>
          </cell>
        </row>
        <row r="198">
          <cell r="A198">
            <v>480000</v>
          </cell>
          <cell r="B198">
            <v>1015</v>
          </cell>
          <cell r="C198">
            <v>-10206.25</v>
          </cell>
          <cell r="D198" t="str">
            <v>204</v>
          </cell>
          <cell r="E198" t="str">
            <v>453</v>
          </cell>
          <cell r="F198">
            <v>0</v>
          </cell>
          <cell r="G198">
            <v>1</v>
          </cell>
          <cell r="H198" t="str">
            <v>2006-01-31</v>
          </cell>
        </row>
        <row r="199">
          <cell r="A199">
            <v>480000</v>
          </cell>
          <cell r="B199">
            <v>1015</v>
          </cell>
          <cell r="C199">
            <v>-1189977.02</v>
          </cell>
          <cell r="D199" t="str">
            <v>204</v>
          </cell>
          <cell r="E199" t="str">
            <v>453</v>
          </cell>
          <cell r="F199">
            <v>0</v>
          </cell>
          <cell r="G199">
            <v>1</v>
          </cell>
          <cell r="H199" t="str">
            <v>2006-01-31</v>
          </cell>
        </row>
        <row r="200">
          <cell r="A200">
            <v>480001</v>
          </cell>
          <cell r="B200">
            <v>1015</v>
          </cell>
          <cell r="C200">
            <v>199337.9</v>
          </cell>
          <cell r="D200" t="str">
            <v>204</v>
          </cell>
          <cell r="E200" t="str">
            <v>453</v>
          </cell>
          <cell r="F200">
            <v>0</v>
          </cell>
          <cell r="G200">
            <v>1</v>
          </cell>
          <cell r="H200" t="str">
            <v>2006-01-31</v>
          </cell>
        </row>
        <row r="201">
          <cell r="A201">
            <v>481004</v>
          </cell>
          <cell r="B201">
            <v>1015</v>
          </cell>
          <cell r="C201">
            <v>-108832.78</v>
          </cell>
          <cell r="D201" t="str">
            <v>204</v>
          </cell>
          <cell r="E201" t="str">
            <v>453</v>
          </cell>
          <cell r="F201">
            <v>0</v>
          </cell>
          <cell r="G201">
            <v>1</v>
          </cell>
          <cell r="H201" t="str">
            <v>2006-01-31</v>
          </cell>
        </row>
        <row r="202">
          <cell r="A202">
            <v>481004</v>
          </cell>
          <cell r="B202">
            <v>1015</v>
          </cell>
          <cell r="C202">
            <v>-3290.8</v>
          </cell>
          <cell r="D202" t="str">
            <v>204</v>
          </cell>
          <cell r="E202" t="str">
            <v>453</v>
          </cell>
          <cell r="F202">
            <v>0</v>
          </cell>
          <cell r="G202">
            <v>1</v>
          </cell>
          <cell r="H202" t="str">
            <v>2006-01-31</v>
          </cell>
        </row>
        <row r="203">
          <cell r="A203">
            <v>481004</v>
          </cell>
          <cell r="B203">
            <v>1015</v>
          </cell>
          <cell r="C203">
            <v>-274931.12</v>
          </cell>
          <cell r="D203" t="str">
            <v>204</v>
          </cell>
          <cell r="E203" t="str">
            <v>453</v>
          </cell>
          <cell r="F203">
            <v>0</v>
          </cell>
          <cell r="G203">
            <v>1</v>
          </cell>
          <cell r="H203" t="str">
            <v>2006-01-31</v>
          </cell>
        </row>
        <row r="204">
          <cell r="A204">
            <v>481004</v>
          </cell>
          <cell r="B204">
            <v>1015</v>
          </cell>
          <cell r="C204">
            <v>-171551.01</v>
          </cell>
          <cell r="D204" t="str">
            <v>204</v>
          </cell>
          <cell r="E204" t="str">
            <v>453</v>
          </cell>
          <cell r="F204">
            <v>0</v>
          </cell>
          <cell r="G204">
            <v>1</v>
          </cell>
          <cell r="H204" t="str">
            <v>2006-01-31</v>
          </cell>
        </row>
        <row r="205">
          <cell r="A205">
            <v>481004</v>
          </cell>
          <cell r="B205">
            <v>1015</v>
          </cell>
          <cell r="C205">
            <v>-174626.79</v>
          </cell>
          <cell r="D205" t="str">
            <v>204</v>
          </cell>
          <cell r="E205" t="str">
            <v>453</v>
          </cell>
          <cell r="F205">
            <v>0</v>
          </cell>
          <cell r="G205">
            <v>1</v>
          </cell>
          <cell r="H205" t="str">
            <v>2006-01-31</v>
          </cell>
        </row>
        <row r="206">
          <cell r="A206">
            <v>481004</v>
          </cell>
          <cell r="B206">
            <v>1015</v>
          </cell>
          <cell r="C206">
            <v>-66419.710000000006</v>
          </cell>
          <cell r="D206" t="str">
            <v>204</v>
          </cell>
          <cell r="E206" t="str">
            <v>453</v>
          </cell>
          <cell r="F206">
            <v>0</v>
          </cell>
          <cell r="G206">
            <v>1</v>
          </cell>
          <cell r="H206" t="str">
            <v>2006-01-31</v>
          </cell>
        </row>
        <row r="207">
          <cell r="A207">
            <v>481004</v>
          </cell>
          <cell r="B207">
            <v>1015</v>
          </cell>
          <cell r="C207">
            <v>-111914.64</v>
          </cell>
          <cell r="D207" t="str">
            <v>204</v>
          </cell>
          <cell r="E207" t="str">
            <v>453</v>
          </cell>
          <cell r="F207">
            <v>0</v>
          </cell>
          <cell r="G207">
            <v>1</v>
          </cell>
          <cell r="H207" t="str">
            <v>2006-01-31</v>
          </cell>
        </row>
        <row r="208">
          <cell r="A208">
            <v>481004</v>
          </cell>
          <cell r="B208">
            <v>1015</v>
          </cell>
          <cell r="C208">
            <v>-916.31</v>
          </cell>
          <cell r="D208" t="str">
            <v>204</v>
          </cell>
          <cell r="E208" t="str">
            <v>453</v>
          </cell>
          <cell r="F208">
            <v>0</v>
          </cell>
          <cell r="G208">
            <v>1</v>
          </cell>
          <cell r="H208" t="str">
            <v>2006-01-31</v>
          </cell>
        </row>
        <row r="209">
          <cell r="A209">
            <v>481004</v>
          </cell>
          <cell r="B209">
            <v>1015</v>
          </cell>
          <cell r="C209">
            <v>-122856.89</v>
          </cell>
          <cell r="D209" t="str">
            <v>204</v>
          </cell>
          <cell r="E209" t="str">
            <v>453</v>
          </cell>
          <cell r="F209">
            <v>0</v>
          </cell>
          <cell r="G209">
            <v>1</v>
          </cell>
          <cell r="H209" t="str">
            <v>2006-01-31</v>
          </cell>
        </row>
        <row r="210">
          <cell r="A210">
            <v>481004</v>
          </cell>
          <cell r="B210">
            <v>1015</v>
          </cell>
          <cell r="C210">
            <v>-3929.52</v>
          </cell>
          <cell r="D210" t="str">
            <v>204</v>
          </cell>
          <cell r="E210" t="str">
            <v>453</v>
          </cell>
          <cell r="F210">
            <v>0</v>
          </cell>
          <cell r="G210">
            <v>1</v>
          </cell>
          <cell r="H210" t="str">
            <v>2006-01-31</v>
          </cell>
        </row>
        <row r="211">
          <cell r="A211">
            <v>481004</v>
          </cell>
          <cell r="B211">
            <v>1015</v>
          </cell>
          <cell r="C211">
            <v>-657732.18999999994</v>
          </cell>
          <cell r="D211" t="str">
            <v>204</v>
          </cell>
          <cell r="E211" t="str">
            <v>453</v>
          </cell>
          <cell r="F211">
            <v>0</v>
          </cell>
          <cell r="G211">
            <v>1</v>
          </cell>
          <cell r="H211" t="str">
            <v>2006-01-31</v>
          </cell>
        </row>
        <row r="212">
          <cell r="A212">
            <v>480000</v>
          </cell>
          <cell r="B212">
            <v>1015</v>
          </cell>
          <cell r="C212">
            <v>-111355.05</v>
          </cell>
          <cell r="D212" t="str">
            <v>204</v>
          </cell>
          <cell r="E212" t="str">
            <v>455</v>
          </cell>
          <cell r="F212">
            <v>0</v>
          </cell>
          <cell r="G212">
            <v>1</v>
          </cell>
          <cell r="H212" t="str">
            <v>2006-01-31</v>
          </cell>
        </row>
        <row r="213">
          <cell r="A213">
            <v>480000</v>
          </cell>
          <cell r="B213">
            <v>1015</v>
          </cell>
          <cell r="C213">
            <v>-2423.94</v>
          </cell>
          <cell r="D213" t="str">
            <v>204</v>
          </cell>
          <cell r="E213" t="str">
            <v>455</v>
          </cell>
          <cell r="F213">
            <v>0</v>
          </cell>
          <cell r="G213">
            <v>1</v>
          </cell>
          <cell r="H213" t="str">
            <v>2006-01-31</v>
          </cell>
        </row>
        <row r="214">
          <cell r="A214">
            <v>480000</v>
          </cell>
          <cell r="B214">
            <v>1015</v>
          </cell>
          <cell r="C214">
            <v>-378.3</v>
          </cell>
          <cell r="D214" t="str">
            <v>204</v>
          </cell>
          <cell r="E214" t="str">
            <v>455</v>
          </cell>
          <cell r="F214">
            <v>0</v>
          </cell>
          <cell r="G214">
            <v>1</v>
          </cell>
          <cell r="H214" t="str">
            <v>2006-01-31</v>
          </cell>
        </row>
        <row r="215">
          <cell r="A215">
            <v>480000</v>
          </cell>
          <cell r="B215">
            <v>1015</v>
          </cell>
          <cell r="C215">
            <v>0</v>
          </cell>
          <cell r="D215" t="str">
            <v>204</v>
          </cell>
          <cell r="E215" t="str">
            <v>455</v>
          </cell>
          <cell r="F215">
            <v>0</v>
          </cell>
          <cell r="G215">
            <v>1</v>
          </cell>
          <cell r="H215" t="str">
            <v>2006-01-31</v>
          </cell>
        </row>
        <row r="216">
          <cell r="A216">
            <v>480000</v>
          </cell>
          <cell r="B216">
            <v>1015</v>
          </cell>
          <cell r="C216">
            <v>-97.81</v>
          </cell>
          <cell r="D216" t="str">
            <v>204</v>
          </cell>
          <cell r="E216" t="str">
            <v>455</v>
          </cell>
          <cell r="F216">
            <v>0</v>
          </cell>
          <cell r="G216">
            <v>1</v>
          </cell>
          <cell r="H216" t="str">
            <v>2006-01-31</v>
          </cell>
        </row>
        <row r="217">
          <cell r="A217">
            <v>480000</v>
          </cell>
          <cell r="B217">
            <v>1015</v>
          </cell>
          <cell r="C217">
            <v>-567.47</v>
          </cell>
          <cell r="D217" t="str">
            <v>204</v>
          </cell>
          <cell r="E217" t="str">
            <v>455</v>
          </cell>
          <cell r="F217">
            <v>0</v>
          </cell>
          <cell r="G217">
            <v>1</v>
          </cell>
          <cell r="H217" t="str">
            <v>2006-01-31</v>
          </cell>
        </row>
        <row r="218">
          <cell r="A218">
            <v>480001</v>
          </cell>
          <cell r="B218">
            <v>1015</v>
          </cell>
          <cell r="C218">
            <v>-871.62</v>
          </cell>
          <cell r="D218" t="str">
            <v>204</v>
          </cell>
          <cell r="E218" t="str">
            <v>455</v>
          </cell>
          <cell r="F218">
            <v>0</v>
          </cell>
          <cell r="G218">
            <v>1</v>
          </cell>
          <cell r="H218" t="str">
            <v>2006-01-31</v>
          </cell>
        </row>
        <row r="219">
          <cell r="A219">
            <v>481004</v>
          </cell>
          <cell r="B219">
            <v>1015</v>
          </cell>
          <cell r="C219">
            <v>-79569.67</v>
          </cell>
          <cell r="D219" t="str">
            <v>204</v>
          </cell>
          <cell r="E219" t="str">
            <v>455</v>
          </cell>
          <cell r="F219">
            <v>0</v>
          </cell>
          <cell r="G219">
            <v>1</v>
          </cell>
          <cell r="H219" t="str">
            <v>2006-01-31</v>
          </cell>
        </row>
        <row r="220">
          <cell r="A220">
            <v>481004</v>
          </cell>
          <cell r="B220">
            <v>1015</v>
          </cell>
          <cell r="C220">
            <v>-5000.32</v>
          </cell>
          <cell r="D220" t="str">
            <v>204</v>
          </cell>
          <cell r="E220" t="str">
            <v>455</v>
          </cell>
          <cell r="F220">
            <v>0</v>
          </cell>
          <cell r="G220">
            <v>1</v>
          </cell>
          <cell r="H220" t="str">
            <v>2006-01-31</v>
          </cell>
        </row>
        <row r="221">
          <cell r="A221">
            <v>481004</v>
          </cell>
          <cell r="B221">
            <v>1015</v>
          </cell>
          <cell r="C221">
            <v>-4001.02</v>
          </cell>
          <cell r="D221" t="str">
            <v>204</v>
          </cell>
          <cell r="E221" t="str">
            <v>455</v>
          </cell>
          <cell r="F221">
            <v>0</v>
          </cell>
          <cell r="G221">
            <v>1</v>
          </cell>
          <cell r="H221" t="str">
            <v>2006-01-31</v>
          </cell>
        </row>
        <row r="222">
          <cell r="A222">
            <v>481004</v>
          </cell>
          <cell r="B222">
            <v>1015</v>
          </cell>
          <cell r="C222">
            <v>-271.18</v>
          </cell>
          <cell r="D222" t="str">
            <v>204</v>
          </cell>
          <cell r="E222" t="str">
            <v>455</v>
          </cell>
          <cell r="F222">
            <v>0</v>
          </cell>
          <cell r="G222">
            <v>1</v>
          </cell>
          <cell r="H222" t="str">
            <v>2006-01-31</v>
          </cell>
        </row>
        <row r="223">
          <cell r="A223">
            <v>481004</v>
          </cell>
          <cell r="B223">
            <v>1015</v>
          </cell>
          <cell r="C223">
            <v>-2379.62</v>
          </cell>
          <cell r="D223" t="str">
            <v>204</v>
          </cell>
          <cell r="E223" t="str">
            <v>455</v>
          </cell>
          <cell r="F223">
            <v>0</v>
          </cell>
          <cell r="G223">
            <v>1</v>
          </cell>
          <cell r="H223" t="str">
            <v>2006-01-31</v>
          </cell>
        </row>
        <row r="224">
          <cell r="A224">
            <v>481002</v>
          </cell>
          <cell r="B224">
            <v>1015</v>
          </cell>
          <cell r="C224">
            <v>0</v>
          </cell>
          <cell r="D224" t="str">
            <v>204</v>
          </cell>
          <cell r="E224" t="str">
            <v>456</v>
          </cell>
          <cell r="F224">
            <v>0</v>
          </cell>
          <cell r="G224">
            <v>1</v>
          </cell>
          <cell r="H224" t="str">
            <v>2006-01-31</v>
          </cell>
        </row>
        <row r="225">
          <cell r="A225">
            <v>481002</v>
          </cell>
          <cell r="B225">
            <v>1015</v>
          </cell>
          <cell r="C225">
            <v>0</v>
          </cell>
          <cell r="D225" t="str">
            <v>204</v>
          </cell>
          <cell r="E225" t="str">
            <v>456</v>
          </cell>
          <cell r="F225">
            <v>0</v>
          </cell>
          <cell r="G225">
            <v>1</v>
          </cell>
          <cell r="H225" t="str">
            <v>2006-01-31</v>
          </cell>
        </row>
        <row r="226">
          <cell r="A226">
            <v>481002</v>
          </cell>
          <cell r="B226">
            <v>1015</v>
          </cell>
          <cell r="C226">
            <v>0</v>
          </cell>
          <cell r="D226" t="str">
            <v>204</v>
          </cell>
          <cell r="E226" t="str">
            <v>456</v>
          </cell>
          <cell r="F226">
            <v>0</v>
          </cell>
          <cell r="G226">
            <v>1</v>
          </cell>
          <cell r="H226" t="str">
            <v>2006-01-31</v>
          </cell>
        </row>
        <row r="227">
          <cell r="A227">
            <v>481002</v>
          </cell>
          <cell r="B227">
            <v>1015</v>
          </cell>
          <cell r="C227">
            <v>155419.07</v>
          </cell>
          <cell r="D227" t="str">
            <v>204</v>
          </cell>
          <cell r="E227" t="str">
            <v>457</v>
          </cell>
          <cell r="F227">
            <v>0</v>
          </cell>
          <cell r="G227">
            <v>1</v>
          </cell>
          <cell r="H227" t="str">
            <v>2006-01-31</v>
          </cell>
        </row>
        <row r="228">
          <cell r="A228">
            <v>481002</v>
          </cell>
          <cell r="B228">
            <v>1015</v>
          </cell>
          <cell r="C228">
            <v>3180.86</v>
          </cell>
          <cell r="D228" t="str">
            <v>204</v>
          </cell>
          <cell r="E228" t="str">
            <v>457</v>
          </cell>
          <cell r="F228">
            <v>0</v>
          </cell>
          <cell r="G228">
            <v>1</v>
          </cell>
          <cell r="H228" t="str">
            <v>2006-01-31</v>
          </cell>
        </row>
        <row r="229">
          <cell r="A229">
            <v>481002</v>
          </cell>
          <cell r="B229">
            <v>1015</v>
          </cell>
          <cell r="C229">
            <v>-3087.42</v>
          </cell>
          <cell r="D229" t="str">
            <v>204</v>
          </cell>
          <cell r="E229" t="str">
            <v>457</v>
          </cell>
          <cell r="F229">
            <v>0</v>
          </cell>
          <cell r="G229">
            <v>1</v>
          </cell>
          <cell r="H229" t="str">
            <v>2006-01-31</v>
          </cell>
        </row>
        <row r="230">
          <cell r="A230">
            <v>481002</v>
          </cell>
          <cell r="B230">
            <v>1015</v>
          </cell>
          <cell r="C230">
            <v>-23921.24</v>
          </cell>
          <cell r="D230" t="str">
            <v>204</v>
          </cell>
          <cell r="E230" t="str">
            <v>457</v>
          </cell>
          <cell r="F230">
            <v>0</v>
          </cell>
          <cell r="G230">
            <v>1</v>
          </cell>
          <cell r="H230" t="str">
            <v>2006-01-31</v>
          </cell>
        </row>
        <row r="231">
          <cell r="A231">
            <v>481005</v>
          </cell>
          <cell r="B231">
            <v>1015</v>
          </cell>
          <cell r="C231">
            <v>-153712.31</v>
          </cell>
          <cell r="D231" t="str">
            <v>204</v>
          </cell>
          <cell r="E231" t="str">
            <v>457</v>
          </cell>
          <cell r="F231">
            <v>0</v>
          </cell>
          <cell r="G231">
            <v>1</v>
          </cell>
          <cell r="H231" t="str">
            <v>2006-01-31</v>
          </cell>
        </row>
        <row r="232">
          <cell r="A232">
            <v>481005</v>
          </cell>
          <cell r="B232">
            <v>1015</v>
          </cell>
          <cell r="C232">
            <v>4887.3</v>
          </cell>
          <cell r="D232" t="str">
            <v>204</v>
          </cell>
          <cell r="E232" t="str">
            <v>457</v>
          </cell>
          <cell r="F232">
            <v>0</v>
          </cell>
          <cell r="G232">
            <v>1</v>
          </cell>
          <cell r="H232" t="str">
            <v>2006-01-31</v>
          </cell>
        </row>
        <row r="233">
          <cell r="A233">
            <v>481005</v>
          </cell>
          <cell r="B233">
            <v>1015</v>
          </cell>
          <cell r="C233">
            <v>-83206.37</v>
          </cell>
          <cell r="D233" t="str">
            <v>204</v>
          </cell>
          <cell r="E233" t="str">
            <v>457</v>
          </cell>
          <cell r="F233">
            <v>0</v>
          </cell>
          <cell r="G233">
            <v>1</v>
          </cell>
          <cell r="H233" t="str">
            <v>2006-01-31</v>
          </cell>
        </row>
        <row r="234">
          <cell r="A234">
            <v>481005</v>
          </cell>
          <cell r="B234">
            <v>1015</v>
          </cell>
          <cell r="C234">
            <v>-38932.089999999997</v>
          </cell>
          <cell r="D234" t="str">
            <v>204</v>
          </cell>
          <cell r="E234" t="str">
            <v>457</v>
          </cell>
          <cell r="F234">
            <v>0</v>
          </cell>
          <cell r="G234">
            <v>1</v>
          </cell>
          <cell r="H234" t="str">
            <v>2006-01-31</v>
          </cell>
        </row>
        <row r="235">
          <cell r="A235">
            <v>481005</v>
          </cell>
          <cell r="B235">
            <v>1015</v>
          </cell>
          <cell r="C235">
            <v>-13523.87</v>
          </cell>
          <cell r="D235" t="str">
            <v>204</v>
          </cell>
          <cell r="E235" t="str">
            <v>457</v>
          </cell>
          <cell r="F235">
            <v>0</v>
          </cell>
          <cell r="G235">
            <v>1</v>
          </cell>
          <cell r="H235" t="str">
            <v>2006-01-31</v>
          </cell>
        </row>
        <row r="236">
          <cell r="A236">
            <v>481002</v>
          </cell>
          <cell r="B236">
            <v>1015</v>
          </cell>
          <cell r="C236">
            <v>-153312.46</v>
          </cell>
          <cell r="D236" t="str">
            <v>204</v>
          </cell>
          <cell r="E236" t="str">
            <v>457</v>
          </cell>
          <cell r="F236">
            <v>0</v>
          </cell>
          <cell r="G236">
            <v>1</v>
          </cell>
          <cell r="H236" t="str">
            <v>2006-01-31</v>
          </cell>
        </row>
        <row r="237">
          <cell r="A237">
            <v>481005</v>
          </cell>
          <cell r="B237">
            <v>1015</v>
          </cell>
          <cell r="C237">
            <v>236898.64</v>
          </cell>
          <cell r="D237" t="str">
            <v>204</v>
          </cell>
          <cell r="E237" t="str">
            <v>457</v>
          </cell>
          <cell r="F237">
            <v>0</v>
          </cell>
          <cell r="G237">
            <v>1</v>
          </cell>
          <cell r="H237" t="str">
            <v>2006-01-31</v>
          </cell>
        </row>
        <row r="238">
          <cell r="A238">
            <v>481000</v>
          </cell>
          <cell r="B238">
            <v>1015</v>
          </cell>
          <cell r="C238">
            <v>-244692.87</v>
          </cell>
          <cell r="D238" t="str">
            <v>202</v>
          </cell>
          <cell r="E238" t="str">
            <v>402</v>
          </cell>
          <cell r="F238">
            <v>-405781</v>
          </cell>
          <cell r="G238">
            <v>1</v>
          </cell>
          <cell r="H238" t="str">
            <v>2006-01-31</v>
          </cell>
        </row>
        <row r="239">
          <cell r="A239">
            <v>481000</v>
          </cell>
          <cell r="B239">
            <v>1015</v>
          </cell>
          <cell r="C239">
            <v>327367.89</v>
          </cell>
          <cell r="D239" t="str">
            <v>202</v>
          </cell>
          <cell r="E239" t="str">
            <v>402</v>
          </cell>
          <cell r="F239">
            <v>553930</v>
          </cell>
          <cell r="G239">
            <v>1</v>
          </cell>
          <cell r="H239" t="str">
            <v>2006-01-31</v>
          </cell>
        </row>
        <row r="240">
          <cell r="A240">
            <v>481000</v>
          </cell>
          <cell r="B240">
            <v>1015</v>
          </cell>
          <cell r="C240">
            <v>3.4</v>
          </cell>
          <cell r="D240" t="str">
            <v>202</v>
          </cell>
          <cell r="E240" t="str">
            <v>402</v>
          </cell>
          <cell r="F240">
            <v>0</v>
          </cell>
          <cell r="G240">
            <v>1</v>
          </cell>
          <cell r="H240" t="str">
            <v>2006-01-31</v>
          </cell>
        </row>
        <row r="241">
          <cell r="A241">
            <v>481000</v>
          </cell>
          <cell r="B241">
            <v>1015</v>
          </cell>
          <cell r="C241">
            <v>-34125.449999999997</v>
          </cell>
          <cell r="D241" t="str">
            <v>202</v>
          </cell>
          <cell r="E241" t="str">
            <v>402</v>
          </cell>
          <cell r="F241">
            <v>-62649.120000000003</v>
          </cell>
          <cell r="G241">
            <v>1</v>
          </cell>
          <cell r="H241" t="str">
            <v>2006-01-31</v>
          </cell>
        </row>
        <row r="242">
          <cell r="A242">
            <v>481000</v>
          </cell>
          <cell r="B242">
            <v>1015</v>
          </cell>
          <cell r="C242">
            <v>-2147.81</v>
          </cell>
          <cell r="D242" t="str">
            <v>202</v>
          </cell>
          <cell r="E242" t="str">
            <v>402</v>
          </cell>
          <cell r="F242">
            <v>-3528.76</v>
          </cell>
          <cell r="G242">
            <v>1</v>
          </cell>
          <cell r="H242" t="str">
            <v>2006-01-31</v>
          </cell>
        </row>
        <row r="243">
          <cell r="A243">
            <v>481000</v>
          </cell>
          <cell r="B243">
            <v>1015</v>
          </cell>
          <cell r="C243">
            <v>-6820.48</v>
          </cell>
          <cell r="D243" t="str">
            <v>202</v>
          </cell>
          <cell r="E243" t="str">
            <v>402</v>
          </cell>
          <cell r="F243">
            <v>-13374.01</v>
          </cell>
          <cell r="G243">
            <v>1</v>
          </cell>
          <cell r="H243" t="str">
            <v>2006-01-31</v>
          </cell>
        </row>
        <row r="244">
          <cell r="A244">
            <v>481000</v>
          </cell>
          <cell r="B244">
            <v>1015</v>
          </cell>
          <cell r="C244">
            <v>-9365.33</v>
          </cell>
          <cell r="D244" t="str">
            <v>202</v>
          </cell>
          <cell r="E244" t="str">
            <v>402</v>
          </cell>
          <cell r="F244">
            <v>-16135.44</v>
          </cell>
          <cell r="G244">
            <v>1</v>
          </cell>
          <cell r="H244" t="str">
            <v>2006-01-31</v>
          </cell>
        </row>
        <row r="245">
          <cell r="A245">
            <v>481000</v>
          </cell>
          <cell r="B245">
            <v>1015</v>
          </cell>
          <cell r="C245">
            <v>-2413.2600000000002</v>
          </cell>
          <cell r="D245" t="str">
            <v>202</v>
          </cell>
          <cell r="E245" t="str">
            <v>402</v>
          </cell>
          <cell r="F245">
            <v>-4132.47</v>
          </cell>
          <cell r="G245">
            <v>1</v>
          </cell>
          <cell r="H245" t="str">
            <v>2006-01-31</v>
          </cell>
        </row>
        <row r="246">
          <cell r="A246">
            <v>481000</v>
          </cell>
          <cell r="B246">
            <v>1015</v>
          </cell>
          <cell r="C246">
            <v>-3969.73</v>
          </cell>
          <cell r="D246" t="str">
            <v>202</v>
          </cell>
          <cell r="E246" t="str">
            <v>402</v>
          </cell>
          <cell r="F246">
            <v>-7163.82</v>
          </cell>
          <cell r="G246">
            <v>1</v>
          </cell>
          <cell r="H246" t="str">
            <v>2006-01-31</v>
          </cell>
        </row>
        <row r="247">
          <cell r="A247">
            <v>481000</v>
          </cell>
          <cell r="B247">
            <v>1015</v>
          </cell>
          <cell r="C247">
            <v>-12500.32</v>
          </cell>
          <cell r="D247" t="str">
            <v>202</v>
          </cell>
          <cell r="E247" t="str">
            <v>402</v>
          </cell>
          <cell r="F247">
            <v>-23268.16</v>
          </cell>
          <cell r="G247">
            <v>1</v>
          </cell>
          <cell r="H247" t="str">
            <v>2006-01-31</v>
          </cell>
        </row>
        <row r="248">
          <cell r="A248">
            <v>481000</v>
          </cell>
          <cell r="B248">
            <v>1015</v>
          </cell>
          <cell r="C248">
            <v>-5972.21</v>
          </cell>
          <cell r="D248" t="str">
            <v>202</v>
          </cell>
          <cell r="E248" t="str">
            <v>402</v>
          </cell>
          <cell r="F248">
            <v>-11017.59</v>
          </cell>
          <cell r="G248">
            <v>1</v>
          </cell>
          <cell r="H248" t="str">
            <v>2006-01-31</v>
          </cell>
        </row>
        <row r="249">
          <cell r="A249">
            <v>481000</v>
          </cell>
          <cell r="B249">
            <v>1015</v>
          </cell>
          <cell r="C249">
            <v>-2616.46</v>
          </cell>
          <cell r="D249" t="str">
            <v>202</v>
          </cell>
          <cell r="E249" t="str">
            <v>402</v>
          </cell>
          <cell r="F249">
            <v>-4846.97</v>
          </cell>
          <cell r="G249">
            <v>1</v>
          </cell>
          <cell r="H249" t="str">
            <v>2006-01-31</v>
          </cell>
        </row>
        <row r="250">
          <cell r="A250">
            <v>481000</v>
          </cell>
          <cell r="B250">
            <v>1015</v>
          </cell>
          <cell r="C250">
            <v>-274.67</v>
          </cell>
          <cell r="D250" t="str">
            <v>202</v>
          </cell>
          <cell r="E250" t="str">
            <v>402</v>
          </cell>
          <cell r="F250">
            <v>-396.85</v>
          </cell>
          <cell r="G250">
            <v>1</v>
          </cell>
          <cell r="H250" t="str">
            <v>2006-01-31</v>
          </cell>
        </row>
        <row r="251">
          <cell r="A251">
            <v>481000</v>
          </cell>
          <cell r="B251">
            <v>1015</v>
          </cell>
          <cell r="C251">
            <v>-29746.15</v>
          </cell>
          <cell r="D251" t="str">
            <v>202</v>
          </cell>
          <cell r="E251" t="str">
            <v>402</v>
          </cell>
          <cell r="F251">
            <v>-58405.56</v>
          </cell>
          <cell r="G251">
            <v>1</v>
          </cell>
          <cell r="H251" t="str">
            <v>2006-01-31</v>
          </cell>
        </row>
        <row r="252">
          <cell r="A252">
            <v>481004</v>
          </cell>
          <cell r="B252">
            <v>1015</v>
          </cell>
          <cell r="C252">
            <v>330751.77</v>
          </cell>
          <cell r="D252" t="str">
            <v>202</v>
          </cell>
          <cell r="E252" t="str">
            <v>402</v>
          </cell>
          <cell r="F252">
            <v>29920.93</v>
          </cell>
          <cell r="G252">
            <v>1</v>
          </cell>
          <cell r="H252" t="str">
            <v>2006-01-31</v>
          </cell>
        </row>
        <row r="253">
          <cell r="A253">
            <v>481004</v>
          </cell>
          <cell r="B253">
            <v>1015</v>
          </cell>
          <cell r="C253">
            <v>-480457.96</v>
          </cell>
          <cell r="D253" t="str">
            <v>202</v>
          </cell>
          <cell r="E253" t="str">
            <v>402</v>
          </cell>
          <cell r="F253">
            <v>-365663.93</v>
          </cell>
          <cell r="G253">
            <v>1</v>
          </cell>
          <cell r="H253" t="str">
            <v>2006-01-31</v>
          </cell>
        </row>
        <row r="254">
          <cell r="A254">
            <v>481004</v>
          </cell>
          <cell r="B254">
            <v>1015</v>
          </cell>
          <cell r="C254">
            <v>-59010.92</v>
          </cell>
          <cell r="D254" t="str">
            <v>202</v>
          </cell>
          <cell r="E254" t="str">
            <v>402</v>
          </cell>
          <cell r="F254">
            <v>-102825.7</v>
          </cell>
          <cell r="G254">
            <v>1</v>
          </cell>
          <cell r="H254" t="str">
            <v>2006-01-31</v>
          </cell>
        </row>
        <row r="255">
          <cell r="A255">
            <v>481004</v>
          </cell>
          <cell r="B255">
            <v>1015</v>
          </cell>
          <cell r="C255">
            <v>-8794.42</v>
          </cell>
          <cell r="D255" t="str">
            <v>202</v>
          </cell>
          <cell r="E255" t="str">
            <v>402</v>
          </cell>
          <cell r="F255">
            <v>-16099.55</v>
          </cell>
          <cell r="G255">
            <v>1</v>
          </cell>
          <cell r="H255" t="str">
            <v>2006-01-31</v>
          </cell>
        </row>
        <row r="256">
          <cell r="A256">
            <v>481004</v>
          </cell>
          <cell r="B256">
            <v>1015</v>
          </cell>
          <cell r="C256">
            <v>-5449.23</v>
          </cell>
          <cell r="D256" t="str">
            <v>202</v>
          </cell>
          <cell r="E256" t="str">
            <v>402</v>
          </cell>
          <cell r="F256">
            <v>-9673.6</v>
          </cell>
          <cell r="G256">
            <v>1</v>
          </cell>
          <cell r="H256" t="str">
            <v>2006-01-31</v>
          </cell>
        </row>
        <row r="257">
          <cell r="A257">
            <v>481004</v>
          </cell>
          <cell r="B257">
            <v>1015</v>
          </cell>
          <cell r="C257">
            <v>-19214.18</v>
          </cell>
          <cell r="D257" t="str">
            <v>202</v>
          </cell>
          <cell r="E257" t="str">
            <v>402</v>
          </cell>
          <cell r="F257">
            <v>-32186.49</v>
          </cell>
          <cell r="G257">
            <v>1</v>
          </cell>
          <cell r="H257" t="str">
            <v>2006-01-31</v>
          </cell>
        </row>
        <row r="258">
          <cell r="A258">
            <v>481004</v>
          </cell>
          <cell r="B258">
            <v>1015</v>
          </cell>
          <cell r="C258">
            <v>-13459.98</v>
          </cell>
          <cell r="D258" t="str">
            <v>202</v>
          </cell>
          <cell r="E258" t="str">
            <v>402</v>
          </cell>
          <cell r="F258">
            <v>-22633.9</v>
          </cell>
          <cell r="G258">
            <v>1</v>
          </cell>
          <cell r="H258" t="str">
            <v>2006-01-31</v>
          </cell>
        </row>
        <row r="259">
          <cell r="A259">
            <v>481004</v>
          </cell>
          <cell r="B259">
            <v>1015</v>
          </cell>
          <cell r="C259">
            <v>-15198.75</v>
          </cell>
          <cell r="D259" t="str">
            <v>202</v>
          </cell>
          <cell r="E259" t="str">
            <v>402</v>
          </cell>
          <cell r="F259">
            <v>-28380.52</v>
          </cell>
          <cell r="G259">
            <v>1</v>
          </cell>
          <cell r="H259" t="str">
            <v>2006-01-31</v>
          </cell>
        </row>
        <row r="260">
          <cell r="A260">
            <v>481004</v>
          </cell>
          <cell r="B260">
            <v>1015</v>
          </cell>
          <cell r="C260">
            <v>-40542.21</v>
          </cell>
          <cell r="D260" t="str">
            <v>202</v>
          </cell>
          <cell r="E260" t="str">
            <v>402</v>
          </cell>
          <cell r="F260">
            <v>-71861.39</v>
          </cell>
          <cell r="G260">
            <v>1</v>
          </cell>
          <cell r="H260" t="str">
            <v>2006-01-31</v>
          </cell>
        </row>
        <row r="261">
          <cell r="A261">
            <v>481004</v>
          </cell>
          <cell r="B261">
            <v>1015</v>
          </cell>
          <cell r="C261">
            <v>-16016.02</v>
          </cell>
          <cell r="D261" t="str">
            <v>202</v>
          </cell>
          <cell r="E261" t="str">
            <v>402</v>
          </cell>
          <cell r="F261">
            <v>-28525.57</v>
          </cell>
          <cell r="G261">
            <v>1</v>
          </cell>
          <cell r="H261" t="str">
            <v>2006-01-31</v>
          </cell>
        </row>
        <row r="262">
          <cell r="A262">
            <v>481004</v>
          </cell>
          <cell r="B262">
            <v>1015</v>
          </cell>
          <cell r="C262">
            <v>-4386.4399999999996</v>
          </cell>
          <cell r="D262" t="str">
            <v>202</v>
          </cell>
          <cell r="E262" t="str">
            <v>402</v>
          </cell>
          <cell r="F262">
            <v>-6421.94</v>
          </cell>
          <cell r="G262">
            <v>1</v>
          </cell>
          <cell r="H262" t="str">
            <v>2006-01-31</v>
          </cell>
        </row>
        <row r="263">
          <cell r="A263">
            <v>481004</v>
          </cell>
          <cell r="B263">
            <v>1015</v>
          </cell>
          <cell r="C263">
            <v>-3725.7</v>
          </cell>
          <cell r="D263" t="str">
            <v>202</v>
          </cell>
          <cell r="E263" t="str">
            <v>402</v>
          </cell>
          <cell r="F263">
            <v>-6664.82</v>
          </cell>
          <cell r="G263">
            <v>1</v>
          </cell>
          <cell r="H263" t="str">
            <v>2006-01-31</v>
          </cell>
        </row>
        <row r="264">
          <cell r="A264">
            <v>481004</v>
          </cell>
          <cell r="B264">
            <v>1015</v>
          </cell>
          <cell r="C264">
            <v>-149787.18</v>
          </cell>
          <cell r="D264" t="str">
            <v>202</v>
          </cell>
          <cell r="E264" t="str">
            <v>402</v>
          </cell>
          <cell r="F264">
            <v>-284946.58</v>
          </cell>
          <cell r="G264">
            <v>1</v>
          </cell>
          <cell r="H264" t="str">
            <v>2006-01-31</v>
          </cell>
        </row>
        <row r="265">
          <cell r="A265">
            <v>481000</v>
          </cell>
          <cell r="B265">
            <v>1015</v>
          </cell>
          <cell r="C265">
            <v>0</v>
          </cell>
          <cell r="D265" t="str">
            <v>202</v>
          </cell>
          <cell r="E265" t="str">
            <v>403</v>
          </cell>
          <cell r="F265">
            <v>0</v>
          </cell>
          <cell r="G265">
            <v>1</v>
          </cell>
          <cell r="H265" t="str">
            <v>2006-01-31</v>
          </cell>
        </row>
        <row r="266">
          <cell r="A266">
            <v>481000</v>
          </cell>
          <cell r="B266">
            <v>1015</v>
          </cell>
          <cell r="C266">
            <v>0</v>
          </cell>
          <cell r="D266" t="str">
            <v>202</v>
          </cell>
          <cell r="E266" t="str">
            <v>403</v>
          </cell>
          <cell r="F266">
            <v>0</v>
          </cell>
          <cell r="G266">
            <v>1</v>
          </cell>
          <cell r="H266" t="str">
            <v>2006-01-31</v>
          </cell>
        </row>
        <row r="267">
          <cell r="A267">
            <v>481000</v>
          </cell>
          <cell r="B267">
            <v>1015</v>
          </cell>
          <cell r="C267">
            <v>-7324.64</v>
          </cell>
          <cell r="D267" t="str">
            <v>202</v>
          </cell>
          <cell r="E267" t="str">
            <v>403</v>
          </cell>
          <cell r="F267">
            <v>0</v>
          </cell>
          <cell r="G267">
            <v>1</v>
          </cell>
          <cell r="H267" t="str">
            <v>2006-01-31</v>
          </cell>
        </row>
        <row r="268">
          <cell r="A268">
            <v>481004</v>
          </cell>
          <cell r="B268">
            <v>1015</v>
          </cell>
          <cell r="C268">
            <v>0</v>
          </cell>
          <cell r="D268" t="str">
            <v>202</v>
          </cell>
          <cell r="E268" t="str">
            <v>403</v>
          </cell>
          <cell r="F268">
            <v>0</v>
          </cell>
          <cell r="G268">
            <v>1</v>
          </cell>
          <cell r="H268" t="str">
            <v>2006-01-31</v>
          </cell>
        </row>
        <row r="269">
          <cell r="A269">
            <v>481004</v>
          </cell>
          <cell r="B269">
            <v>1015</v>
          </cell>
          <cell r="C269">
            <v>0</v>
          </cell>
          <cell r="D269" t="str">
            <v>202</v>
          </cell>
          <cell r="E269" t="str">
            <v>403</v>
          </cell>
          <cell r="F269">
            <v>0</v>
          </cell>
          <cell r="G269">
            <v>1</v>
          </cell>
          <cell r="H269" t="str">
            <v>2006-01-31</v>
          </cell>
        </row>
        <row r="270">
          <cell r="A270">
            <v>481000</v>
          </cell>
          <cell r="B270">
            <v>1015</v>
          </cell>
          <cell r="C270">
            <v>-89936.31</v>
          </cell>
          <cell r="D270" t="str">
            <v>202</v>
          </cell>
          <cell r="E270" t="str">
            <v>404</v>
          </cell>
          <cell r="F270">
            <v>-275690</v>
          </cell>
          <cell r="G270">
            <v>1</v>
          </cell>
          <cell r="H270" t="str">
            <v>2006-01-31</v>
          </cell>
        </row>
        <row r="271">
          <cell r="A271">
            <v>481000</v>
          </cell>
          <cell r="B271">
            <v>1015</v>
          </cell>
          <cell r="C271">
            <v>90276.96</v>
          </cell>
          <cell r="D271" t="str">
            <v>202</v>
          </cell>
          <cell r="E271" t="str">
            <v>404</v>
          </cell>
          <cell r="F271">
            <v>276740</v>
          </cell>
          <cell r="G271">
            <v>1</v>
          </cell>
          <cell r="H271" t="str">
            <v>2006-01-31</v>
          </cell>
        </row>
        <row r="272">
          <cell r="A272">
            <v>481000</v>
          </cell>
          <cell r="B272">
            <v>1015</v>
          </cell>
          <cell r="C272">
            <v>-90276.96</v>
          </cell>
          <cell r="D272" t="str">
            <v>202</v>
          </cell>
          <cell r="E272" t="str">
            <v>404</v>
          </cell>
          <cell r="F272">
            <v>-276740</v>
          </cell>
          <cell r="G272">
            <v>1</v>
          </cell>
          <cell r="H272" t="str">
            <v>2006-01-31</v>
          </cell>
        </row>
        <row r="273">
          <cell r="A273">
            <v>481004</v>
          </cell>
          <cell r="B273">
            <v>1015</v>
          </cell>
          <cell r="C273">
            <v>0</v>
          </cell>
          <cell r="D273" t="str">
            <v>202</v>
          </cell>
          <cell r="E273" t="str">
            <v>404</v>
          </cell>
          <cell r="F273">
            <v>0</v>
          </cell>
          <cell r="G273">
            <v>1</v>
          </cell>
          <cell r="H273" t="str">
            <v>2006-01-31</v>
          </cell>
        </row>
        <row r="274">
          <cell r="A274">
            <v>481004</v>
          </cell>
          <cell r="B274">
            <v>1015</v>
          </cell>
          <cell r="C274">
            <v>0</v>
          </cell>
          <cell r="D274" t="str">
            <v>202</v>
          </cell>
          <cell r="E274" t="str">
            <v>404</v>
          </cell>
          <cell r="F274">
            <v>0</v>
          </cell>
          <cell r="G274">
            <v>1</v>
          </cell>
          <cell r="H274" t="str">
            <v>2006-01-31</v>
          </cell>
        </row>
        <row r="275">
          <cell r="A275">
            <v>480000</v>
          </cell>
          <cell r="B275">
            <v>1015</v>
          </cell>
          <cell r="C275">
            <v>-3146952.41</v>
          </cell>
          <cell r="D275" t="str">
            <v>202</v>
          </cell>
          <cell r="E275" t="str">
            <v>407</v>
          </cell>
          <cell r="F275">
            <v>-1310446.46</v>
          </cell>
          <cell r="G275">
            <v>1</v>
          </cell>
          <cell r="H275" t="str">
            <v>2006-01-31</v>
          </cell>
        </row>
        <row r="276">
          <cell r="A276">
            <v>480000</v>
          </cell>
          <cell r="B276">
            <v>1015</v>
          </cell>
          <cell r="C276">
            <v>-1704714.31</v>
          </cell>
          <cell r="D276" t="str">
            <v>202</v>
          </cell>
          <cell r="E276" t="str">
            <v>407</v>
          </cell>
          <cell r="F276">
            <v>-709784.65</v>
          </cell>
          <cell r="G276">
            <v>1</v>
          </cell>
          <cell r="H276" t="str">
            <v>2006-01-31</v>
          </cell>
        </row>
        <row r="277">
          <cell r="A277">
            <v>480000</v>
          </cell>
          <cell r="B277">
            <v>1015</v>
          </cell>
          <cell r="C277">
            <v>-992623.54</v>
          </cell>
          <cell r="D277" t="str">
            <v>202</v>
          </cell>
          <cell r="E277" t="str">
            <v>407</v>
          </cell>
          <cell r="F277">
            <v>-404995.55</v>
          </cell>
          <cell r="G277">
            <v>1</v>
          </cell>
          <cell r="H277" t="str">
            <v>2006-01-31</v>
          </cell>
        </row>
        <row r="278">
          <cell r="A278">
            <v>480000</v>
          </cell>
          <cell r="B278">
            <v>1015</v>
          </cell>
          <cell r="C278">
            <v>-2437461.2599999998</v>
          </cell>
          <cell r="D278" t="str">
            <v>202</v>
          </cell>
          <cell r="E278" t="str">
            <v>407</v>
          </cell>
          <cell r="F278">
            <v>-1010154.06</v>
          </cell>
          <cell r="G278">
            <v>1</v>
          </cell>
          <cell r="H278" t="str">
            <v>2006-01-31</v>
          </cell>
        </row>
        <row r="279">
          <cell r="A279">
            <v>480000</v>
          </cell>
          <cell r="B279">
            <v>1015</v>
          </cell>
          <cell r="C279">
            <v>-1614914.23</v>
          </cell>
          <cell r="D279" t="str">
            <v>202</v>
          </cell>
          <cell r="E279" t="str">
            <v>407</v>
          </cell>
          <cell r="F279">
            <v>-671535.27</v>
          </cell>
          <cell r="G279">
            <v>1</v>
          </cell>
          <cell r="H279" t="str">
            <v>2006-01-31</v>
          </cell>
        </row>
        <row r="280">
          <cell r="A280">
            <v>480000</v>
          </cell>
          <cell r="B280">
            <v>1015</v>
          </cell>
          <cell r="C280">
            <v>-1181392.99</v>
          </cell>
          <cell r="D280" t="str">
            <v>202</v>
          </cell>
          <cell r="E280" t="str">
            <v>407</v>
          </cell>
          <cell r="F280">
            <v>-485105.77</v>
          </cell>
          <cell r="G280">
            <v>1</v>
          </cell>
          <cell r="H280" t="str">
            <v>2006-01-31</v>
          </cell>
        </row>
        <row r="281">
          <cell r="A281">
            <v>480000</v>
          </cell>
          <cell r="B281">
            <v>1015</v>
          </cell>
          <cell r="C281">
            <v>-3445058.78</v>
          </cell>
          <cell r="D281" t="str">
            <v>202</v>
          </cell>
          <cell r="E281" t="str">
            <v>407</v>
          </cell>
          <cell r="F281">
            <v>-1406300.86</v>
          </cell>
          <cell r="G281">
            <v>1</v>
          </cell>
          <cell r="H281" t="str">
            <v>2006-01-31</v>
          </cell>
        </row>
        <row r="282">
          <cell r="A282">
            <v>480000</v>
          </cell>
          <cell r="B282">
            <v>1015</v>
          </cell>
          <cell r="C282">
            <v>-1371737.53</v>
          </cell>
          <cell r="D282" t="str">
            <v>202</v>
          </cell>
          <cell r="E282" t="str">
            <v>407</v>
          </cell>
          <cell r="F282">
            <v>-568869.38</v>
          </cell>
          <cell r="G282">
            <v>1</v>
          </cell>
          <cell r="H282" t="str">
            <v>2006-01-31</v>
          </cell>
        </row>
        <row r="283">
          <cell r="A283">
            <v>480000</v>
          </cell>
          <cell r="B283">
            <v>1015</v>
          </cell>
          <cell r="C283">
            <v>-509059.65</v>
          </cell>
          <cell r="D283" t="str">
            <v>202</v>
          </cell>
          <cell r="E283" t="str">
            <v>407</v>
          </cell>
          <cell r="F283">
            <v>-207229.33</v>
          </cell>
          <cell r="G283">
            <v>1</v>
          </cell>
          <cell r="H283" t="str">
            <v>2006-01-31</v>
          </cell>
        </row>
        <row r="284">
          <cell r="A284">
            <v>480000</v>
          </cell>
          <cell r="B284">
            <v>1015</v>
          </cell>
          <cell r="C284">
            <v>-86032.49</v>
          </cell>
          <cell r="D284" t="str">
            <v>202</v>
          </cell>
          <cell r="E284" t="str">
            <v>407</v>
          </cell>
          <cell r="F284">
            <v>-39843.31</v>
          </cell>
          <cell r="G284">
            <v>1</v>
          </cell>
          <cell r="H284" t="str">
            <v>2006-01-31</v>
          </cell>
        </row>
        <row r="285">
          <cell r="A285">
            <v>480000</v>
          </cell>
          <cell r="B285">
            <v>1015</v>
          </cell>
          <cell r="C285">
            <v>-9025647.1999999993</v>
          </cell>
          <cell r="D285" t="str">
            <v>202</v>
          </cell>
          <cell r="E285" t="str">
            <v>407</v>
          </cell>
          <cell r="F285">
            <v>-3796789.22</v>
          </cell>
          <cell r="G285">
            <v>1</v>
          </cell>
          <cell r="H285" t="str">
            <v>2006-01-31</v>
          </cell>
        </row>
        <row r="286">
          <cell r="A286">
            <v>480001</v>
          </cell>
          <cell r="B286">
            <v>1015</v>
          </cell>
          <cell r="C286">
            <v>550189.37</v>
          </cell>
          <cell r="D286" t="str">
            <v>202</v>
          </cell>
          <cell r="E286" t="str">
            <v>407</v>
          </cell>
          <cell r="F286">
            <v>550533</v>
          </cell>
          <cell r="G286">
            <v>1</v>
          </cell>
          <cell r="H286" t="str">
            <v>2006-01-31</v>
          </cell>
        </row>
        <row r="287">
          <cell r="A287">
            <v>481004</v>
          </cell>
          <cell r="B287">
            <v>1015</v>
          </cell>
          <cell r="C287">
            <v>-1086116.57</v>
          </cell>
          <cell r="D287" t="str">
            <v>202</v>
          </cell>
          <cell r="E287" t="str">
            <v>407</v>
          </cell>
          <cell r="F287">
            <v>-799579.81</v>
          </cell>
          <cell r="G287">
            <v>1</v>
          </cell>
          <cell r="H287" t="str">
            <v>2006-01-31</v>
          </cell>
        </row>
        <row r="288">
          <cell r="A288">
            <v>481004</v>
          </cell>
          <cell r="B288">
            <v>1015</v>
          </cell>
          <cell r="C288">
            <v>-371301.95</v>
          </cell>
          <cell r="D288" t="str">
            <v>202</v>
          </cell>
          <cell r="E288" t="str">
            <v>407</v>
          </cell>
          <cell r="F288">
            <v>-284898.32</v>
          </cell>
          <cell r="G288">
            <v>1</v>
          </cell>
          <cell r="H288" t="str">
            <v>2006-01-31</v>
          </cell>
        </row>
        <row r="289">
          <cell r="A289">
            <v>481004</v>
          </cell>
          <cell r="B289">
            <v>1015</v>
          </cell>
          <cell r="C289">
            <v>-209907.84</v>
          </cell>
          <cell r="D289" t="str">
            <v>202</v>
          </cell>
          <cell r="E289" t="str">
            <v>407</v>
          </cell>
          <cell r="F289">
            <v>-143762.25</v>
          </cell>
          <cell r="G289">
            <v>1</v>
          </cell>
          <cell r="H289" t="str">
            <v>2006-01-31</v>
          </cell>
        </row>
        <row r="290">
          <cell r="A290">
            <v>481004</v>
          </cell>
          <cell r="B290">
            <v>1015</v>
          </cell>
          <cell r="C290">
            <v>-663275.54</v>
          </cell>
          <cell r="D290" t="str">
            <v>202</v>
          </cell>
          <cell r="E290" t="str">
            <v>407</v>
          </cell>
          <cell r="F290">
            <v>-464559.05</v>
          </cell>
          <cell r="G290">
            <v>1</v>
          </cell>
          <cell r="H290" t="str">
            <v>2006-01-31</v>
          </cell>
        </row>
        <row r="291">
          <cell r="A291">
            <v>481004</v>
          </cell>
          <cell r="B291">
            <v>1015</v>
          </cell>
          <cell r="C291">
            <v>-324284.13</v>
          </cell>
          <cell r="D291" t="str">
            <v>202</v>
          </cell>
          <cell r="E291" t="str">
            <v>407</v>
          </cell>
          <cell r="F291">
            <v>-214326.86</v>
          </cell>
          <cell r="G291">
            <v>1</v>
          </cell>
          <cell r="H291" t="str">
            <v>2006-01-31</v>
          </cell>
        </row>
        <row r="292">
          <cell r="A292">
            <v>481004</v>
          </cell>
          <cell r="B292">
            <v>1015</v>
          </cell>
          <cell r="C292">
            <v>-282662.83</v>
          </cell>
          <cell r="D292" t="str">
            <v>202</v>
          </cell>
          <cell r="E292" t="str">
            <v>407</v>
          </cell>
          <cell r="F292">
            <v>-192095.14</v>
          </cell>
          <cell r="G292">
            <v>1</v>
          </cell>
          <cell r="H292" t="str">
            <v>2006-01-31</v>
          </cell>
        </row>
        <row r="293">
          <cell r="A293">
            <v>481004</v>
          </cell>
          <cell r="B293">
            <v>1015</v>
          </cell>
          <cell r="C293">
            <v>-728580.92</v>
          </cell>
          <cell r="D293" t="str">
            <v>202</v>
          </cell>
          <cell r="E293" t="str">
            <v>407</v>
          </cell>
          <cell r="F293">
            <v>-524918.04</v>
          </cell>
          <cell r="G293">
            <v>1</v>
          </cell>
          <cell r="H293" t="str">
            <v>2006-01-31</v>
          </cell>
        </row>
        <row r="294">
          <cell r="A294">
            <v>481004</v>
          </cell>
          <cell r="B294">
            <v>1015</v>
          </cell>
          <cell r="C294">
            <v>-299325.63</v>
          </cell>
          <cell r="D294" t="str">
            <v>202</v>
          </cell>
          <cell r="E294" t="str">
            <v>407</v>
          </cell>
          <cell r="F294">
            <v>-218976.97</v>
          </cell>
          <cell r="G294">
            <v>1</v>
          </cell>
          <cell r="H294" t="str">
            <v>2006-01-31</v>
          </cell>
        </row>
        <row r="295">
          <cell r="A295">
            <v>481004</v>
          </cell>
          <cell r="B295">
            <v>1015</v>
          </cell>
          <cell r="C295">
            <v>-138787.68</v>
          </cell>
          <cell r="D295" t="str">
            <v>202</v>
          </cell>
          <cell r="E295" t="str">
            <v>407</v>
          </cell>
          <cell r="F295">
            <v>-96472.86</v>
          </cell>
          <cell r="G295">
            <v>1</v>
          </cell>
          <cell r="H295" t="str">
            <v>2006-01-31</v>
          </cell>
        </row>
        <row r="296">
          <cell r="A296">
            <v>481004</v>
          </cell>
          <cell r="B296">
            <v>1015</v>
          </cell>
          <cell r="C296">
            <v>-42351.39</v>
          </cell>
          <cell r="D296" t="str">
            <v>202</v>
          </cell>
          <cell r="E296" t="str">
            <v>407</v>
          </cell>
          <cell r="F296">
            <v>-35357.980000000003</v>
          </cell>
          <cell r="G296">
            <v>1</v>
          </cell>
          <cell r="H296" t="str">
            <v>2006-01-31</v>
          </cell>
        </row>
        <row r="297">
          <cell r="A297">
            <v>481004</v>
          </cell>
          <cell r="B297">
            <v>1015</v>
          </cell>
          <cell r="C297">
            <v>-2202293.5</v>
          </cell>
          <cell r="D297" t="str">
            <v>202</v>
          </cell>
          <cell r="E297" t="str">
            <v>407</v>
          </cell>
          <cell r="F297">
            <v>-1557028.11</v>
          </cell>
          <cell r="G297">
            <v>1</v>
          </cell>
          <cell r="H297" t="str">
            <v>2006-01-31</v>
          </cell>
        </row>
        <row r="298">
          <cell r="A298">
            <v>480000</v>
          </cell>
          <cell r="B298">
            <v>1015</v>
          </cell>
          <cell r="C298">
            <v>-757.3</v>
          </cell>
          <cell r="D298" t="str">
            <v>202</v>
          </cell>
          <cell r="E298" t="str">
            <v>408</v>
          </cell>
          <cell r="F298">
            <v>-186.39</v>
          </cell>
          <cell r="G298">
            <v>1</v>
          </cell>
          <cell r="H298" t="str">
            <v>2006-01-31</v>
          </cell>
        </row>
        <row r="299">
          <cell r="A299">
            <v>480000</v>
          </cell>
          <cell r="B299">
            <v>1015</v>
          </cell>
          <cell r="C299">
            <v>-51941.77</v>
          </cell>
          <cell r="D299" t="str">
            <v>202</v>
          </cell>
          <cell r="E299" t="str">
            <v>408</v>
          </cell>
          <cell r="F299">
            <v>-12830.5</v>
          </cell>
          <cell r="G299">
            <v>1</v>
          </cell>
          <cell r="H299" t="str">
            <v>2006-01-31</v>
          </cell>
        </row>
        <row r="300">
          <cell r="A300">
            <v>480000</v>
          </cell>
          <cell r="B300">
            <v>1015</v>
          </cell>
          <cell r="C300">
            <v>-1959.39</v>
          </cell>
          <cell r="D300" t="str">
            <v>202</v>
          </cell>
          <cell r="E300" t="str">
            <v>408</v>
          </cell>
          <cell r="F300">
            <v>-479.91</v>
          </cell>
          <cell r="G300">
            <v>1</v>
          </cell>
          <cell r="H300" t="str">
            <v>2006-01-31</v>
          </cell>
        </row>
        <row r="301">
          <cell r="A301">
            <v>480000</v>
          </cell>
          <cell r="B301">
            <v>1015</v>
          </cell>
          <cell r="C301">
            <v>-68581.399999999994</v>
          </cell>
          <cell r="D301" t="str">
            <v>202</v>
          </cell>
          <cell r="E301" t="str">
            <v>408</v>
          </cell>
          <cell r="F301">
            <v>-16953.13</v>
          </cell>
          <cell r="G301">
            <v>1</v>
          </cell>
          <cell r="H301" t="str">
            <v>2006-01-31</v>
          </cell>
        </row>
        <row r="302">
          <cell r="A302">
            <v>480000</v>
          </cell>
          <cell r="B302">
            <v>1015</v>
          </cell>
          <cell r="C302">
            <v>-57897.06</v>
          </cell>
          <cell r="D302" t="str">
            <v>202</v>
          </cell>
          <cell r="E302" t="str">
            <v>408</v>
          </cell>
          <cell r="F302">
            <v>-14310.95</v>
          </cell>
          <cell r="G302">
            <v>1</v>
          </cell>
          <cell r="H302" t="str">
            <v>2006-01-31</v>
          </cell>
        </row>
        <row r="303">
          <cell r="A303">
            <v>480000</v>
          </cell>
          <cell r="B303">
            <v>1015</v>
          </cell>
          <cell r="C303">
            <v>-888.77</v>
          </cell>
          <cell r="D303" t="str">
            <v>202</v>
          </cell>
          <cell r="E303" t="str">
            <v>408</v>
          </cell>
          <cell r="F303">
            <v>-217.17</v>
          </cell>
          <cell r="G303">
            <v>1</v>
          </cell>
          <cell r="H303" t="str">
            <v>2006-01-31</v>
          </cell>
        </row>
        <row r="304">
          <cell r="A304">
            <v>480000</v>
          </cell>
          <cell r="B304">
            <v>1015</v>
          </cell>
          <cell r="C304">
            <v>-17060.12</v>
          </cell>
          <cell r="D304" t="str">
            <v>202</v>
          </cell>
          <cell r="E304" t="str">
            <v>408</v>
          </cell>
          <cell r="F304">
            <v>-4234.05</v>
          </cell>
          <cell r="G304">
            <v>1</v>
          </cell>
          <cell r="H304" t="str">
            <v>2006-01-31</v>
          </cell>
        </row>
        <row r="305">
          <cell r="A305">
            <v>480000</v>
          </cell>
          <cell r="B305">
            <v>1015</v>
          </cell>
          <cell r="C305">
            <v>-300.88</v>
          </cell>
          <cell r="D305" t="str">
            <v>202</v>
          </cell>
          <cell r="E305" t="str">
            <v>408</v>
          </cell>
          <cell r="F305">
            <v>-72.83</v>
          </cell>
          <cell r="G305">
            <v>1</v>
          </cell>
          <cell r="H305" t="str">
            <v>2006-01-31</v>
          </cell>
        </row>
        <row r="306">
          <cell r="A306">
            <v>480000</v>
          </cell>
          <cell r="B306">
            <v>1015</v>
          </cell>
          <cell r="C306">
            <v>-212.86</v>
          </cell>
          <cell r="D306" t="str">
            <v>202</v>
          </cell>
          <cell r="E306" t="str">
            <v>408</v>
          </cell>
          <cell r="F306">
            <v>-50.96</v>
          </cell>
          <cell r="G306">
            <v>1</v>
          </cell>
          <cell r="H306" t="str">
            <v>2006-01-31</v>
          </cell>
        </row>
        <row r="307">
          <cell r="A307">
            <v>480000</v>
          </cell>
          <cell r="B307">
            <v>1015</v>
          </cell>
          <cell r="C307">
            <v>-379.74</v>
          </cell>
          <cell r="D307" t="str">
            <v>202</v>
          </cell>
          <cell r="E307" t="str">
            <v>408</v>
          </cell>
          <cell r="F307">
            <v>-93.7</v>
          </cell>
          <cell r="G307">
            <v>1</v>
          </cell>
          <cell r="H307" t="str">
            <v>2006-01-31</v>
          </cell>
        </row>
        <row r="308">
          <cell r="A308">
            <v>480000</v>
          </cell>
          <cell r="B308">
            <v>1015</v>
          </cell>
          <cell r="C308">
            <v>-72971.899999999994</v>
          </cell>
          <cell r="D308" t="str">
            <v>202</v>
          </cell>
          <cell r="E308" t="str">
            <v>408</v>
          </cell>
          <cell r="F308">
            <v>-18043.54</v>
          </cell>
          <cell r="G308">
            <v>1</v>
          </cell>
          <cell r="H308" t="str">
            <v>2006-01-31</v>
          </cell>
        </row>
        <row r="309">
          <cell r="A309">
            <v>480001</v>
          </cell>
          <cell r="B309">
            <v>1015</v>
          </cell>
          <cell r="C309">
            <v>1261.8399999999999</v>
          </cell>
          <cell r="D309" t="str">
            <v>202</v>
          </cell>
          <cell r="E309" t="str">
            <v>408</v>
          </cell>
          <cell r="F309">
            <v>379</v>
          </cell>
          <cell r="G309">
            <v>1</v>
          </cell>
          <cell r="H309" t="str">
            <v>2006-01-31</v>
          </cell>
        </row>
        <row r="310">
          <cell r="A310">
            <v>481004</v>
          </cell>
          <cell r="B310">
            <v>1015</v>
          </cell>
          <cell r="C310">
            <v>-39.549999999999997</v>
          </cell>
          <cell r="D310" t="str">
            <v>202</v>
          </cell>
          <cell r="E310" t="str">
            <v>408</v>
          </cell>
          <cell r="F310">
            <v>-9.81</v>
          </cell>
          <cell r="G310">
            <v>1</v>
          </cell>
          <cell r="H310" t="str">
            <v>2006-01-31</v>
          </cell>
        </row>
        <row r="311">
          <cell r="A311">
            <v>481004</v>
          </cell>
          <cell r="B311">
            <v>1015</v>
          </cell>
          <cell r="C311">
            <v>-28731.119999999999</v>
          </cell>
          <cell r="D311" t="str">
            <v>202</v>
          </cell>
          <cell r="E311" t="str">
            <v>408</v>
          </cell>
          <cell r="F311">
            <v>-7121.51</v>
          </cell>
          <cell r="G311">
            <v>1</v>
          </cell>
          <cell r="H311" t="str">
            <v>2006-01-31</v>
          </cell>
        </row>
        <row r="312">
          <cell r="A312">
            <v>481004</v>
          </cell>
          <cell r="B312">
            <v>1015</v>
          </cell>
          <cell r="C312">
            <v>-4560.93</v>
          </cell>
          <cell r="D312" t="str">
            <v>202</v>
          </cell>
          <cell r="E312" t="str">
            <v>408</v>
          </cell>
          <cell r="F312">
            <v>-1128.71</v>
          </cell>
          <cell r="G312">
            <v>1</v>
          </cell>
          <cell r="H312" t="str">
            <v>2006-01-31</v>
          </cell>
        </row>
        <row r="313">
          <cell r="A313">
            <v>481004</v>
          </cell>
          <cell r="B313">
            <v>1015</v>
          </cell>
          <cell r="C313">
            <v>-44843.87</v>
          </cell>
          <cell r="D313" t="str">
            <v>202</v>
          </cell>
          <cell r="E313" t="str">
            <v>408</v>
          </cell>
          <cell r="F313">
            <v>-11120.1</v>
          </cell>
          <cell r="G313">
            <v>1</v>
          </cell>
          <cell r="H313" t="str">
            <v>2006-01-31</v>
          </cell>
        </row>
        <row r="314">
          <cell r="A314">
            <v>481004</v>
          </cell>
          <cell r="B314">
            <v>1015</v>
          </cell>
          <cell r="C314">
            <v>-34406.65</v>
          </cell>
          <cell r="D314" t="str">
            <v>202</v>
          </cell>
          <cell r="E314" t="str">
            <v>408</v>
          </cell>
          <cell r="F314">
            <v>-8534.16</v>
          </cell>
          <cell r="G314">
            <v>1</v>
          </cell>
          <cell r="H314" t="str">
            <v>2006-01-31</v>
          </cell>
        </row>
        <row r="315">
          <cell r="A315">
            <v>481004</v>
          </cell>
          <cell r="B315">
            <v>1015</v>
          </cell>
          <cell r="C315">
            <v>-231.06</v>
          </cell>
          <cell r="D315" t="str">
            <v>202</v>
          </cell>
          <cell r="E315" t="str">
            <v>408</v>
          </cell>
          <cell r="F315">
            <v>-55.34</v>
          </cell>
          <cell r="G315">
            <v>1</v>
          </cell>
          <cell r="H315" t="str">
            <v>2006-01-31</v>
          </cell>
        </row>
        <row r="316">
          <cell r="A316">
            <v>481004</v>
          </cell>
          <cell r="B316">
            <v>1015</v>
          </cell>
          <cell r="C316">
            <v>-916.95</v>
          </cell>
          <cell r="D316" t="str">
            <v>202</v>
          </cell>
          <cell r="E316" t="str">
            <v>408</v>
          </cell>
          <cell r="F316">
            <v>-225.74</v>
          </cell>
          <cell r="G316">
            <v>1</v>
          </cell>
          <cell r="H316" t="str">
            <v>2006-01-31</v>
          </cell>
        </row>
        <row r="317">
          <cell r="A317">
            <v>481004</v>
          </cell>
          <cell r="B317">
            <v>1015</v>
          </cell>
          <cell r="C317">
            <v>-169.16</v>
          </cell>
          <cell r="D317" t="str">
            <v>202</v>
          </cell>
          <cell r="E317" t="str">
            <v>408</v>
          </cell>
          <cell r="F317">
            <v>-42</v>
          </cell>
          <cell r="G317">
            <v>1</v>
          </cell>
          <cell r="H317" t="str">
            <v>2006-01-31</v>
          </cell>
        </row>
        <row r="318">
          <cell r="A318">
            <v>481004</v>
          </cell>
          <cell r="B318">
            <v>1015</v>
          </cell>
          <cell r="C318">
            <v>-3300.03</v>
          </cell>
          <cell r="D318" t="str">
            <v>202</v>
          </cell>
          <cell r="E318" t="str">
            <v>408</v>
          </cell>
          <cell r="F318">
            <v>-819.36</v>
          </cell>
          <cell r="G318">
            <v>1</v>
          </cell>
          <cell r="H318" t="str">
            <v>2006-01-31</v>
          </cell>
        </row>
        <row r="319">
          <cell r="A319">
            <v>481004</v>
          </cell>
          <cell r="B319">
            <v>1015</v>
          </cell>
          <cell r="C319">
            <v>-10074.33</v>
          </cell>
          <cell r="D319" t="str">
            <v>202</v>
          </cell>
          <cell r="E319" t="str">
            <v>408</v>
          </cell>
          <cell r="F319">
            <v>-2497.71</v>
          </cell>
          <cell r="G319">
            <v>1</v>
          </cell>
          <cell r="H319" t="str">
            <v>2006-01-31</v>
          </cell>
        </row>
        <row r="320">
          <cell r="A320">
            <v>481002</v>
          </cell>
          <cell r="B320">
            <v>1015</v>
          </cell>
          <cell r="C320">
            <v>0</v>
          </cell>
          <cell r="D320" t="str">
            <v>202</v>
          </cell>
          <cell r="E320" t="str">
            <v>409</v>
          </cell>
          <cell r="F320">
            <v>0</v>
          </cell>
          <cell r="G320">
            <v>1</v>
          </cell>
          <cell r="H320" t="str">
            <v>2006-01-31</v>
          </cell>
        </row>
        <row r="321">
          <cell r="A321">
            <v>481002</v>
          </cell>
          <cell r="B321">
            <v>1015</v>
          </cell>
          <cell r="C321">
            <v>0</v>
          </cell>
          <cell r="D321" t="str">
            <v>202</v>
          </cell>
          <cell r="E321" t="str">
            <v>409</v>
          </cell>
          <cell r="F321">
            <v>0</v>
          </cell>
          <cell r="G321">
            <v>1</v>
          </cell>
          <cell r="H321" t="str">
            <v>2006-01-31</v>
          </cell>
        </row>
        <row r="322">
          <cell r="A322">
            <v>481002</v>
          </cell>
          <cell r="B322">
            <v>1015</v>
          </cell>
          <cell r="C322">
            <v>41500.22</v>
          </cell>
          <cell r="D322" t="str">
            <v>202</v>
          </cell>
          <cell r="E322" t="str">
            <v>411</v>
          </cell>
          <cell r="F322">
            <v>180372</v>
          </cell>
          <cell r="G322">
            <v>1</v>
          </cell>
          <cell r="H322" t="str">
            <v>2006-01-31</v>
          </cell>
        </row>
        <row r="323">
          <cell r="A323">
            <v>481002</v>
          </cell>
          <cell r="B323">
            <v>1015</v>
          </cell>
          <cell r="C323">
            <v>-22174.799999999999</v>
          </cell>
          <cell r="D323" t="str">
            <v>202</v>
          </cell>
          <cell r="E323" t="str">
            <v>411</v>
          </cell>
          <cell r="F323">
            <v>-95068</v>
          </cell>
          <cell r="G323">
            <v>1</v>
          </cell>
          <cell r="H323" t="str">
            <v>2006-01-31</v>
          </cell>
        </row>
        <row r="324">
          <cell r="A324">
            <v>481002</v>
          </cell>
          <cell r="B324">
            <v>1015</v>
          </cell>
          <cell r="C324">
            <v>-1979.82</v>
          </cell>
          <cell r="D324" t="str">
            <v>202</v>
          </cell>
          <cell r="E324" t="str">
            <v>411</v>
          </cell>
          <cell r="F324">
            <v>-9362.64</v>
          </cell>
          <cell r="G324">
            <v>1</v>
          </cell>
          <cell r="H324" t="str">
            <v>2006-01-31</v>
          </cell>
        </row>
        <row r="325">
          <cell r="A325">
            <v>481002</v>
          </cell>
          <cell r="B325">
            <v>1015</v>
          </cell>
          <cell r="C325">
            <v>-1153.51</v>
          </cell>
          <cell r="D325" t="str">
            <v>202</v>
          </cell>
          <cell r="E325" t="str">
            <v>411</v>
          </cell>
          <cell r="F325">
            <v>-6162.41</v>
          </cell>
          <cell r="G325">
            <v>1</v>
          </cell>
          <cell r="H325" t="str">
            <v>2006-01-31</v>
          </cell>
        </row>
        <row r="326">
          <cell r="A326">
            <v>481002</v>
          </cell>
          <cell r="B326">
            <v>1015</v>
          </cell>
          <cell r="C326">
            <v>-1562.49</v>
          </cell>
          <cell r="D326" t="str">
            <v>202</v>
          </cell>
          <cell r="E326" t="str">
            <v>411</v>
          </cell>
          <cell r="F326">
            <v>-7817.36</v>
          </cell>
          <cell r="G326">
            <v>1</v>
          </cell>
          <cell r="H326" t="str">
            <v>2006-01-31</v>
          </cell>
        </row>
        <row r="327">
          <cell r="A327">
            <v>481002</v>
          </cell>
          <cell r="B327">
            <v>1015</v>
          </cell>
          <cell r="C327">
            <v>-1920.11</v>
          </cell>
          <cell r="D327" t="str">
            <v>202</v>
          </cell>
          <cell r="E327" t="str">
            <v>411</v>
          </cell>
          <cell r="F327">
            <v>-6565.82</v>
          </cell>
          <cell r="G327">
            <v>1</v>
          </cell>
          <cell r="H327" t="str">
            <v>2006-01-31</v>
          </cell>
        </row>
        <row r="328">
          <cell r="A328">
            <v>481002</v>
          </cell>
          <cell r="B328">
            <v>1015</v>
          </cell>
          <cell r="C328">
            <v>-615.33000000000004</v>
          </cell>
          <cell r="D328" t="str">
            <v>202</v>
          </cell>
          <cell r="E328" t="str">
            <v>411</v>
          </cell>
          <cell r="F328">
            <v>-2.1</v>
          </cell>
          <cell r="G328">
            <v>1</v>
          </cell>
          <cell r="H328" t="str">
            <v>2006-01-31</v>
          </cell>
        </row>
        <row r="329">
          <cell r="A329">
            <v>481002</v>
          </cell>
          <cell r="B329">
            <v>1015</v>
          </cell>
          <cell r="C329">
            <v>-1715.98</v>
          </cell>
          <cell r="D329" t="str">
            <v>202</v>
          </cell>
          <cell r="E329" t="str">
            <v>411</v>
          </cell>
          <cell r="F329">
            <v>-7590.46</v>
          </cell>
          <cell r="G329">
            <v>1</v>
          </cell>
          <cell r="H329" t="str">
            <v>2006-01-31</v>
          </cell>
        </row>
        <row r="330">
          <cell r="A330">
            <v>481002</v>
          </cell>
          <cell r="B330">
            <v>1015</v>
          </cell>
          <cell r="C330">
            <v>-731.33</v>
          </cell>
          <cell r="D330" t="str">
            <v>202</v>
          </cell>
          <cell r="E330" t="str">
            <v>411</v>
          </cell>
          <cell r="F330">
            <v>-3158.69</v>
          </cell>
          <cell r="G330">
            <v>1</v>
          </cell>
          <cell r="H330" t="str">
            <v>2006-01-31</v>
          </cell>
        </row>
        <row r="331">
          <cell r="A331">
            <v>481002</v>
          </cell>
          <cell r="B331">
            <v>1015</v>
          </cell>
          <cell r="C331">
            <v>-274</v>
          </cell>
          <cell r="D331" t="str">
            <v>202</v>
          </cell>
          <cell r="E331" t="str">
            <v>411</v>
          </cell>
          <cell r="F331">
            <v>0</v>
          </cell>
          <cell r="G331">
            <v>1</v>
          </cell>
          <cell r="H331" t="str">
            <v>2006-01-31</v>
          </cell>
        </row>
        <row r="332">
          <cell r="A332">
            <v>481002</v>
          </cell>
          <cell r="B332">
            <v>1015</v>
          </cell>
          <cell r="C332">
            <v>-18150.2</v>
          </cell>
          <cell r="D332" t="str">
            <v>202</v>
          </cell>
          <cell r="E332" t="str">
            <v>411</v>
          </cell>
          <cell r="F332">
            <v>-93933.26</v>
          </cell>
          <cell r="G332">
            <v>1</v>
          </cell>
          <cell r="H332" t="str">
            <v>2006-01-31</v>
          </cell>
        </row>
        <row r="333">
          <cell r="A333">
            <v>481005</v>
          </cell>
          <cell r="B333">
            <v>1015</v>
          </cell>
          <cell r="C333">
            <v>-91220.11</v>
          </cell>
          <cell r="D333" t="str">
            <v>202</v>
          </cell>
          <cell r="E333" t="str">
            <v>411</v>
          </cell>
          <cell r="F333">
            <v>-334996</v>
          </cell>
          <cell r="G333">
            <v>1</v>
          </cell>
          <cell r="H333" t="str">
            <v>2006-01-31</v>
          </cell>
        </row>
        <row r="334">
          <cell r="A334">
            <v>481005</v>
          </cell>
          <cell r="B334">
            <v>1015</v>
          </cell>
          <cell r="C334">
            <v>67963.990000000005</v>
          </cell>
          <cell r="D334" t="str">
            <v>202</v>
          </cell>
          <cell r="E334" t="str">
            <v>411</v>
          </cell>
          <cell r="F334">
            <v>264964</v>
          </cell>
          <cell r="G334">
            <v>1</v>
          </cell>
          <cell r="H334" t="str">
            <v>2006-01-31</v>
          </cell>
        </row>
        <row r="335">
          <cell r="A335">
            <v>481005</v>
          </cell>
          <cell r="B335">
            <v>1015</v>
          </cell>
          <cell r="C335">
            <v>-1563.44</v>
          </cell>
          <cell r="D335" t="str">
            <v>202</v>
          </cell>
          <cell r="E335" t="str">
            <v>411</v>
          </cell>
          <cell r="F335">
            <v>-7129.55</v>
          </cell>
          <cell r="G335">
            <v>1</v>
          </cell>
          <cell r="H335" t="str">
            <v>2006-01-31</v>
          </cell>
        </row>
        <row r="336">
          <cell r="A336">
            <v>481005</v>
          </cell>
          <cell r="B336">
            <v>1015</v>
          </cell>
          <cell r="C336">
            <v>-312.87</v>
          </cell>
          <cell r="D336" t="str">
            <v>202</v>
          </cell>
          <cell r="E336" t="str">
            <v>411</v>
          </cell>
          <cell r="F336">
            <v>-1654.15</v>
          </cell>
          <cell r="G336">
            <v>1</v>
          </cell>
          <cell r="H336" t="str">
            <v>2006-01-31</v>
          </cell>
        </row>
        <row r="337">
          <cell r="A337">
            <v>481005</v>
          </cell>
          <cell r="B337">
            <v>1015</v>
          </cell>
          <cell r="C337">
            <v>-1409.22</v>
          </cell>
          <cell r="D337" t="str">
            <v>202</v>
          </cell>
          <cell r="E337" t="str">
            <v>411</v>
          </cell>
          <cell r="F337">
            <v>-6154.98</v>
          </cell>
          <cell r="G337">
            <v>1</v>
          </cell>
          <cell r="H337" t="str">
            <v>2006-01-31</v>
          </cell>
        </row>
        <row r="338">
          <cell r="A338">
            <v>481005</v>
          </cell>
          <cell r="B338">
            <v>1015</v>
          </cell>
          <cell r="C338">
            <v>-282.29000000000002</v>
          </cell>
          <cell r="D338" t="str">
            <v>202</v>
          </cell>
          <cell r="E338" t="str">
            <v>411</v>
          </cell>
          <cell r="F338">
            <v>-1436.59</v>
          </cell>
          <cell r="G338">
            <v>1</v>
          </cell>
          <cell r="H338" t="str">
            <v>2006-01-31</v>
          </cell>
        </row>
        <row r="339">
          <cell r="A339">
            <v>481005</v>
          </cell>
          <cell r="B339">
            <v>1015</v>
          </cell>
          <cell r="C339">
            <v>-553.47</v>
          </cell>
          <cell r="D339" t="str">
            <v>202</v>
          </cell>
          <cell r="E339" t="str">
            <v>411</v>
          </cell>
          <cell r="F339">
            <v>-2794.08</v>
          </cell>
          <cell r="G339">
            <v>1</v>
          </cell>
          <cell r="H339" t="str">
            <v>2006-01-31</v>
          </cell>
        </row>
        <row r="340">
          <cell r="A340">
            <v>481005</v>
          </cell>
          <cell r="B340">
            <v>1015</v>
          </cell>
          <cell r="C340">
            <v>-1808.29</v>
          </cell>
          <cell r="D340" t="str">
            <v>202</v>
          </cell>
          <cell r="E340" t="str">
            <v>411</v>
          </cell>
          <cell r="F340">
            <v>-10041.790000000001</v>
          </cell>
          <cell r="G340">
            <v>1</v>
          </cell>
          <cell r="H340" t="str">
            <v>2006-01-31</v>
          </cell>
        </row>
        <row r="341">
          <cell r="A341">
            <v>481005</v>
          </cell>
          <cell r="B341">
            <v>1015</v>
          </cell>
          <cell r="C341">
            <v>-740.7</v>
          </cell>
          <cell r="D341" t="str">
            <v>202</v>
          </cell>
          <cell r="E341" t="str">
            <v>411</v>
          </cell>
          <cell r="F341">
            <v>-2271.9499999999998</v>
          </cell>
          <cell r="G341">
            <v>1</v>
          </cell>
          <cell r="H341" t="str">
            <v>2006-01-31</v>
          </cell>
        </row>
        <row r="342">
          <cell r="A342">
            <v>481005</v>
          </cell>
          <cell r="B342">
            <v>1015</v>
          </cell>
          <cell r="C342">
            <v>-3795.91</v>
          </cell>
          <cell r="D342" t="str">
            <v>202</v>
          </cell>
          <cell r="E342" t="str">
            <v>411</v>
          </cell>
          <cell r="F342">
            <v>-20006.23</v>
          </cell>
          <cell r="G342">
            <v>1</v>
          </cell>
          <cell r="H342" t="str">
            <v>2006-01-31</v>
          </cell>
        </row>
        <row r="343">
          <cell r="A343">
            <v>481002</v>
          </cell>
          <cell r="B343">
            <v>1015</v>
          </cell>
          <cell r="C343">
            <v>18014.57</v>
          </cell>
          <cell r="D343" t="str">
            <v>202</v>
          </cell>
          <cell r="E343" t="str">
            <v>414</v>
          </cell>
          <cell r="F343">
            <v>21624</v>
          </cell>
          <cell r="G343">
            <v>1</v>
          </cell>
          <cell r="H343" t="str">
            <v>2006-01-31</v>
          </cell>
        </row>
        <row r="344">
          <cell r="A344">
            <v>481002</v>
          </cell>
          <cell r="B344">
            <v>1015</v>
          </cell>
          <cell r="C344">
            <v>-6975.52</v>
          </cell>
          <cell r="D344" t="str">
            <v>202</v>
          </cell>
          <cell r="E344" t="str">
            <v>414</v>
          </cell>
          <cell r="F344">
            <v>-7151</v>
          </cell>
          <cell r="G344">
            <v>1</v>
          </cell>
          <cell r="H344" t="str">
            <v>2006-01-31</v>
          </cell>
        </row>
        <row r="345">
          <cell r="A345">
            <v>481002</v>
          </cell>
          <cell r="B345">
            <v>1015</v>
          </cell>
          <cell r="C345">
            <v>0</v>
          </cell>
          <cell r="D345" t="str">
            <v>202</v>
          </cell>
          <cell r="E345" t="str">
            <v>414</v>
          </cell>
          <cell r="F345">
            <v>0</v>
          </cell>
          <cell r="G345">
            <v>1</v>
          </cell>
          <cell r="H345" t="str">
            <v>2006-01-31</v>
          </cell>
        </row>
        <row r="346">
          <cell r="A346">
            <v>481002</v>
          </cell>
          <cell r="B346">
            <v>1015</v>
          </cell>
          <cell r="C346">
            <v>-6226.17</v>
          </cell>
          <cell r="D346" t="str">
            <v>202</v>
          </cell>
          <cell r="E346" t="str">
            <v>414</v>
          </cell>
          <cell r="F346">
            <v>-8900.51</v>
          </cell>
          <cell r="G346">
            <v>1</v>
          </cell>
          <cell r="H346" t="str">
            <v>2006-01-31</v>
          </cell>
        </row>
        <row r="347">
          <cell r="A347">
            <v>481002</v>
          </cell>
          <cell r="B347">
            <v>1015</v>
          </cell>
          <cell r="C347">
            <v>-1614.93</v>
          </cell>
          <cell r="D347" t="str">
            <v>202</v>
          </cell>
          <cell r="E347" t="str">
            <v>414</v>
          </cell>
          <cell r="F347">
            <v>-535.57000000000005</v>
          </cell>
          <cell r="G347">
            <v>1</v>
          </cell>
          <cell r="H347" t="str">
            <v>2006-01-31</v>
          </cell>
        </row>
        <row r="348">
          <cell r="A348">
            <v>481002</v>
          </cell>
          <cell r="B348">
            <v>1015</v>
          </cell>
          <cell r="C348">
            <v>-6606.5</v>
          </cell>
          <cell r="D348" t="str">
            <v>202</v>
          </cell>
          <cell r="E348" t="str">
            <v>414</v>
          </cell>
          <cell r="F348">
            <v>-11530</v>
          </cell>
          <cell r="G348">
            <v>1</v>
          </cell>
          <cell r="H348" t="str">
            <v>2006-01-31</v>
          </cell>
        </row>
        <row r="349">
          <cell r="A349">
            <v>481005</v>
          </cell>
          <cell r="B349">
            <v>1015</v>
          </cell>
          <cell r="C349">
            <v>-29817.97</v>
          </cell>
          <cell r="D349" t="str">
            <v>202</v>
          </cell>
          <cell r="E349" t="str">
            <v>414</v>
          </cell>
          <cell r="F349">
            <v>-35856</v>
          </cell>
          <cell r="G349">
            <v>1</v>
          </cell>
          <cell r="H349" t="str">
            <v>2006-01-31</v>
          </cell>
        </row>
        <row r="350">
          <cell r="A350">
            <v>481005</v>
          </cell>
          <cell r="B350">
            <v>1015</v>
          </cell>
          <cell r="C350">
            <v>17661.72</v>
          </cell>
          <cell r="D350" t="str">
            <v>202</v>
          </cell>
          <cell r="E350" t="str">
            <v>414</v>
          </cell>
          <cell r="F350">
            <v>18072</v>
          </cell>
          <cell r="G350">
            <v>1</v>
          </cell>
          <cell r="H350" t="str">
            <v>2006-01-31</v>
          </cell>
        </row>
        <row r="351">
          <cell r="A351">
            <v>481005</v>
          </cell>
          <cell r="B351">
            <v>1015</v>
          </cell>
          <cell r="C351">
            <v>-2613.2600000000002</v>
          </cell>
          <cell r="D351" t="str">
            <v>202</v>
          </cell>
          <cell r="E351" t="str">
            <v>414</v>
          </cell>
          <cell r="F351">
            <v>-994.57</v>
          </cell>
          <cell r="G351">
            <v>1</v>
          </cell>
          <cell r="H351" t="str">
            <v>2006-01-31</v>
          </cell>
        </row>
        <row r="352">
          <cell r="A352">
            <v>481000</v>
          </cell>
          <cell r="B352">
            <v>1015</v>
          </cell>
          <cell r="C352">
            <v>-355.67</v>
          </cell>
          <cell r="D352" t="str">
            <v>202</v>
          </cell>
          <cell r="E352" t="str">
            <v>451</v>
          </cell>
          <cell r="F352">
            <v>-726</v>
          </cell>
          <cell r="G352">
            <v>1</v>
          </cell>
          <cell r="H352" t="str">
            <v>2006-01-31</v>
          </cell>
        </row>
        <row r="353">
          <cell r="A353">
            <v>481000</v>
          </cell>
          <cell r="B353">
            <v>1015</v>
          </cell>
          <cell r="C353">
            <v>878.79</v>
          </cell>
          <cell r="D353" t="str">
            <v>202</v>
          </cell>
          <cell r="E353" t="str">
            <v>451</v>
          </cell>
          <cell r="F353">
            <v>987</v>
          </cell>
          <cell r="G353">
            <v>1</v>
          </cell>
          <cell r="H353" t="str">
            <v>2006-01-31</v>
          </cell>
        </row>
        <row r="354">
          <cell r="A354">
            <v>481000</v>
          </cell>
          <cell r="B354">
            <v>1015</v>
          </cell>
          <cell r="C354">
            <v>-298.12</v>
          </cell>
          <cell r="D354" t="str">
            <v>202</v>
          </cell>
          <cell r="E354" t="str">
            <v>451</v>
          </cell>
          <cell r="F354">
            <v>-260.52999999999997</v>
          </cell>
          <cell r="G354">
            <v>1</v>
          </cell>
          <cell r="H354" t="str">
            <v>2006-01-31</v>
          </cell>
        </row>
        <row r="355">
          <cell r="A355">
            <v>481000</v>
          </cell>
          <cell r="B355">
            <v>1015</v>
          </cell>
          <cell r="C355">
            <v>-225</v>
          </cell>
          <cell r="D355" t="str">
            <v>202</v>
          </cell>
          <cell r="E355" t="str">
            <v>451</v>
          </cell>
          <cell r="F355">
            <v>0</v>
          </cell>
          <cell r="G355">
            <v>1</v>
          </cell>
          <cell r="H355" t="str">
            <v>2006-01-31</v>
          </cell>
        </row>
        <row r="356">
          <cell r="A356">
            <v>481004</v>
          </cell>
          <cell r="B356">
            <v>1015</v>
          </cell>
          <cell r="C356">
            <v>20280.46</v>
          </cell>
          <cell r="D356" t="str">
            <v>202</v>
          </cell>
          <cell r="E356" t="str">
            <v>451</v>
          </cell>
          <cell r="F356">
            <v>-1387.34</v>
          </cell>
          <cell r="G356">
            <v>1</v>
          </cell>
          <cell r="H356" t="str">
            <v>2006-01-31</v>
          </cell>
        </row>
        <row r="357">
          <cell r="A357">
            <v>481004</v>
          </cell>
          <cell r="B357">
            <v>1015</v>
          </cell>
          <cell r="C357">
            <v>-19885.66</v>
          </cell>
          <cell r="D357" t="str">
            <v>202</v>
          </cell>
          <cell r="E357" t="str">
            <v>451</v>
          </cell>
          <cell r="F357">
            <v>405.34</v>
          </cell>
          <cell r="G357">
            <v>1</v>
          </cell>
          <cell r="H357" t="str">
            <v>2006-01-31</v>
          </cell>
        </row>
        <row r="358">
          <cell r="A358">
            <v>481004</v>
          </cell>
          <cell r="B358">
            <v>1015</v>
          </cell>
          <cell r="C358">
            <v>-1358.25</v>
          </cell>
          <cell r="D358" t="str">
            <v>202</v>
          </cell>
          <cell r="E358" t="str">
            <v>451</v>
          </cell>
          <cell r="F358">
            <v>-1218.49</v>
          </cell>
          <cell r="G358">
            <v>1</v>
          </cell>
          <cell r="H358" t="str">
            <v>2006-01-31</v>
          </cell>
        </row>
        <row r="359">
          <cell r="A359">
            <v>481004</v>
          </cell>
          <cell r="B359">
            <v>1015</v>
          </cell>
          <cell r="C359">
            <v>-6309.82</v>
          </cell>
          <cell r="D359" t="str">
            <v>202</v>
          </cell>
          <cell r="E359" t="str">
            <v>451</v>
          </cell>
          <cell r="F359">
            <v>-7020.17</v>
          </cell>
          <cell r="G359">
            <v>1</v>
          </cell>
          <cell r="H359" t="str">
            <v>2006-01-31</v>
          </cell>
        </row>
        <row r="360">
          <cell r="A360">
            <v>481004</v>
          </cell>
          <cell r="B360">
            <v>1015</v>
          </cell>
          <cell r="C360">
            <v>-1833.33</v>
          </cell>
          <cell r="D360" t="str">
            <v>202</v>
          </cell>
          <cell r="E360" t="str">
            <v>451</v>
          </cell>
          <cell r="F360">
            <v>-1976.09</v>
          </cell>
          <cell r="G360">
            <v>1</v>
          </cell>
          <cell r="H360" t="str">
            <v>2006-01-31</v>
          </cell>
        </row>
        <row r="361">
          <cell r="A361">
            <v>481004</v>
          </cell>
          <cell r="B361">
            <v>1015</v>
          </cell>
          <cell r="C361">
            <v>-1873.93</v>
          </cell>
          <cell r="D361" t="str">
            <v>202</v>
          </cell>
          <cell r="E361" t="str">
            <v>451</v>
          </cell>
          <cell r="F361">
            <v>-2027.3</v>
          </cell>
          <cell r="G361">
            <v>1</v>
          </cell>
          <cell r="H361" t="str">
            <v>2006-01-31</v>
          </cell>
        </row>
        <row r="362">
          <cell r="A362">
            <v>481004</v>
          </cell>
          <cell r="B362">
            <v>1015</v>
          </cell>
          <cell r="C362">
            <v>-914.51</v>
          </cell>
          <cell r="D362" t="str">
            <v>202</v>
          </cell>
          <cell r="E362" t="str">
            <v>451</v>
          </cell>
          <cell r="F362">
            <v>-828.28</v>
          </cell>
          <cell r="G362">
            <v>1</v>
          </cell>
          <cell r="H362" t="str">
            <v>2006-01-31</v>
          </cell>
        </row>
        <row r="363">
          <cell r="A363">
            <v>481004</v>
          </cell>
          <cell r="B363">
            <v>1015</v>
          </cell>
          <cell r="C363">
            <v>-2157.5700000000002</v>
          </cell>
          <cell r="D363" t="str">
            <v>202</v>
          </cell>
          <cell r="E363" t="str">
            <v>451</v>
          </cell>
          <cell r="F363">
            <v>-2317.94</v>
          </cell>
          <cell r="G363">
            <v>1</v>
          </cell>
          <cell r="H363" t="str">
            <v>2006-01-31</v>
          </cell>
        </row>
        <row r="364">
          <cell r="A364">
            <v>481004</v>
          </cell>
          <cell r="B364">
            <v>1015</v>
          </cell>
          <cell r="C364">
            <v>-3117.75</v>
          </cell>
          <cell r="D364" t="str">
            <v>202</v>
          </cell>
          <cell r="E364" t="str">
            <v>451</v>
          </cell>
          <cell r="F364">
            <v>-3820.11</v>
          </cell>
          <cell r="G364">
            <v>1</v>
          </cell>
          <cell r="H364" t="str">
            <v>2006-01-31</v>
          </cell>
        </row>
        <row r="365">
          <cell r="A365">
            <v>481004</v>
          </cell>
          <cell r="B365">
            <v>1015</v>
          </cell>
          <cell r="C365">
            <v>-15795.64</v>
          </cell>
          <cell r="D365" t="str">
            <v>202</v>
          </cell>
          <cell r="E365" t="str">
            <v>451</v>
          </cell>
          <cell r="F365">
            <v>-17344.71</v>
          </cell>
          <cell r="G365">
            <v>1</v>
          </cell>
          <cell r="H365" t="str">
            <v>2006-01-31</v>
          </cell>
        </row>
        <row r="366">
          <cell r="A366">
            <v>480000</v>
          </cell>
          <cell r="B366">
            <v>1015</v>
          </cell>
          <cell r="C366">
            <v>0.28999999999999998</v>
          </cell>
          <cell r="D366" t="str">
            <v>202</v>
          </cell>
          <cell r="E366" t="str">
            <v>453</v>
          </cell>
          <cell r="F366">
            <v>0</v>
          </cell>
          <cell r="G366">
            <v>1</v>
          </cell>
          <cell r="H366" t="str">
            <v>2006-01-31</v>
          </cell>
        </row>
        <row r="367">
          <cell r="A367">
            <v>480000</v>
          </cell>
          <cell r="B367">
            <v>1015</v>
          </cell>
          <cell r="C367">
            <v>-58789.87</v>
          </cell>
          <cell r="D367" t="str">
            <v>202</v>
          </cell>
          <cell r="E367" t="str">
            <v>453</v>
          </cell>
          <cell r="F367">
            <v>-22466.23</v>
          </cell>
          <cell r="G367">
            <v>1</v>
          </cell>
          <cell r="H367" t="str">
            <v>2006-01-31</v>
          </cell>
        </row>
        <row r="368">
          <cell r="A368">
            <v>480000</v>
          </cell>
          <cell r="B368">
            <v>1015</v>
          </cell>
          <cell r="C368">
            <v>-3380.18</v>
          </cell>
          <cell r="D368" t="str">
            <v>202</v>
          </cell>
          <cell r="E368" t="str">
            <v>453</v>
          </cell>
          <cell r="F368">
            <v>-1524.44</v>
          </cell>
          <cell r="G368">
            <v>1</v>
          </cell>
          <cell r="H368" t="str">
            <v>2006-01-31</v>
          </cell>
        </row>
        <row r="369">
          <cell r="A369">
            <v>480000</v>
          </cell>
          <cell r="B369">
            <v>1015</v>
          </cell>
          <cell r="C369">
            <v>-53678.98</v>
          </cell>
          <cell r="D369" t="str">
            <v>202</v>
          </cell>
          <cell r="E369" t="str">
            <v>453</v>
          </cell>
          <cell r="F369">
            <v>-20470.759999999998</v>
          </cell>
          <cell r="G369">
            <v>1</v>
          </cell>
          <cell r="H369" t="str">
            <v>2006-01-31</v>
          </cell>
        </row>
        <row r="370">
          <cell r="A370">
            <v>480000</v>
          </cell>
          <cell r="B370">
            <v>1015</v>
          </cell>
          <cell r="C370">
            <v>-74658.38</v>
          </cell>
          <cell r="D370" t="str">
            <v>202</v>
          </cell>
          <cell r="E370" t="str">
            <v>453</v>
          </cell>
          <cell r="F370">
            <v>-31111.25</v>
          </cell>
          <cell r="G370">
            <v>1</v>
          </cell>
          <cell r="H370" t="str">
            <v>2006-01-31</v>
          </cell>
        </row>
        <row r="371">
          <cell r="A371">
            <v>480000</v>
          </cell>
          <cell r="B371">
            <v>1015</v>
          </cell>
          <cell r="C371">
            <v>-127411.34</v>
          </cell>
          <cell r="D371" t="str">
            <v>202</v>
          </cell>
          <cell r="E371" t="str">
            <v>453</v>
          </cell>
          <cell r="F371">
            <v>-48984.67</v>
          </cell>
          <cell r="G371">
            <v>1</v>
          </cell>
          <cell r="H371" t="str">
            <v>2006-01-31</v>
          </cell>
        </row>
        <row r="372">
          <cell r="A372">
            <v>480000</v>
          </cell>
          <cell r="B372">
            <v>1015</v>
          </cell>
          <cell r="C372">
            <v>-53585.72</v>
          </cell>
          <cell r="D372" t="str">
            <v>202</v>
          </cell>
          <cell r="E372" t="str">
            <v>453</v>
          </cell>
          <cell r="F372">
            <v>-20935.52</v>
          </cell>
          <cell r="G372">
            <v>1</v>
          </cell>
          <cell r="H372" t="str">
            <v>2006-01-31</v>
          </cell>
        </row>
        <row r="373">
          <cell r="A373">
            <v>480000</v>
          </cell>
          <cell r="B373">
            <v>1015</v>
          </cell>
          <cell r="C373">
            <v>-59242.1</v>
          </cell>
          <cell r="D373" t="str">
            <v>202</v>
          </cell>
          <cell r="E373" t="str">
            <v>453</v>
          </cell>
          <cell r="F373">
            <v>-23173.41</v>
          </cell>
          <cell r="G373">
            <v>1</v>
          </cell>
          <cell r="H373" t="str">
            <v>2006-01-31</v>
          </cell>
        </row>
        <row r="374">
          <cell r="A374">
            <v>480000</v>
          </cell>
          <cell r="B374">
            <v>1015</v>
          </cell>
          <cell r="C374">
            <v>-1577.08</v>
          </cell>
          <cell r="D374" t="str">
            <v>202</v>
          </cell>
          <cell r="E374" t="str">
            <v>453</v>
          </cell>
          <cell r="F374">
            <v>-738.01</v>
          </cell>
          <cell r="G374">
            <v>1</v>
          </cell>
          <cell r="H374" t="str">
            <v>2006-01-31</v>
          </cell>
        </row>
        <row r="375">
          <cell r="A375">
            <v>480000</v>
          </cell>
          <cell r="B375">
            <v>1015</v>
          </cell>
          <cell r="C375">
            <v>-43681.71</v>
          </cell>
          <cell r="D375" t="str">
            <v>202</v>
          </cell>
          <cell r="E375" t="str">
            <v>453</v>
          </cell>
          <cell r="F375">
            <v>-17032.97</v>
          </cell>
          <cell r="G375">
            <v>1</v>
          </cell>
          <cell r="H375" t="str">
            <v>2006-01-31</v>
          </cell>
        </row>
        <row r="376">
          <cell r="A376">
            <v>480000</v>
          </cell>
          <cell r="B376">
            <v>1015</v>
          </cell>
          <cell r="C376">
            <v>-2223.65</v>
          </cell>
          <cell r="D376" t="str">
            <v>202</v>
          </cell>
          <cell r="E376" t="str">
            <v>453</v>
          </cell>
          <cell r="F376">
            <v>-1215.51</v>
          </cell>
          <cell r="G376">
            <v>1</v>
          </cell>
          <cell r="H376" t="str">
            <v>2006-01-31</v>
          </cell>
        </row>
        <row r="377">
          <cell r="A377">
            <v>480000</v>
          </cell>
          <cell r="B377">
            <v>1015</v>
          </cell>
          <cell r="C377">
            <v>-361942.02</v>
          </cell>
          <cell r="D377" t="str">
            <v>202</v>
          </cell>
          <cell r="E377" t="str">
            <v>453</v>
          </cell>
          <cell r="F377">
            <v>-141500.88</v>
          </cell>
          <cell r="G377">
            <v>1</v>
          </cell>
          <cell r="H377" t="str">
            <v>2006-01-31</v>
          </cell>
        </row>
        <row r="378">
          <cell r="A378">
            <v>480001</v>
          </cell>
          <cell r="B378">
            <v>1015</v>
          </cell>
          <cell r="C378">
            <v>-54094.38</v>
          </cell>
          <cell r="D378" t="str">
            <v>202</v>
          </cell>
          <cell r="E378" t="str">
            <v>453</v>
          </cell>
          <cell r="F378">
            <v>23780</v>
          </cell>
          <cell r="G378">
            <v>1</v>
          </cell>
          <cell r="H378" t="str">
            <v>2006-01-31</v>
          </cell>
        </row>
        <row r="379">
          <cell r="A379">
            <v>481004</v>
          </cell>
          <cell r="B379">
            <v>1015</v>
          </cell>
          <cell r="C379">
            <v>-24076.07</v>
          </cell>
          <cell r="D379" t="str">
            <v>202</v>
          </cell>
          <cell r="E379" t="str">
            <v>453</v>
          </cell>
          <cell r="F379">
            <v>-12968.07</v>
          </cell>
          <cell r="G379">
            <v>1</v>
          </cell>
          <cell r="H379" t="str">
            <v>2006-01-31</v>
          </cell>
        </row>
        <row r="380">
          <cell r="A380">
            <v>481004</v>
          </cell>
          <cell r="B380">
            <v>1015</v>
          </cell>
          <cell r="C380">
            <v>-893.68</v>
          </cell>
          <cell r="D380" t="str">
            <v>202</v>
          </cell>
          <cell r="E380" t="str">
            <v>453</v>
          </cell>
          <cell r="F380">
            <v>-392.09</v>
          </cell>
          <cell r="G380">
            <v>1</v>
          </cell>
          <cell r="H380" t="str">
            <v>2006-01-31</v>
          </cell>
        </row>
        <row r="381">
          <cell r="A381">
            <v>481004</v>
          </cell>
          <cell r="B381">
            <v>1015</v>
          </cell>
          <cell r="C381">
            <v>-53861.48</v>
          </cell>
          <cell r="D381" t="str">
            <v>202</v>
          </cell>
          <cell r="E381" t="str">
            <v>453</v>
          </cell>
          <cell r="F381">
            <v>-32679.25</v>
          </cell>
          <cell r="G381">
            <v>1</v>
          </cell>
          <cell r="H381" t="str">
            <v>2006-01-31</v>
          </cell>
        </row>
        <row r="382">
          <cell r="A382">
            <v>481004</v>
          </cell>
          <cell r="B382">
            <v>1015</v>
          </cell>
          <cell r="C382">
            <v>-33263.21</v>
          </cell>
          <cell r="D382" t="str">
            <v>202</v>
          </cell>
          <cell r="E382" t="str">
            <v>453</v>
          </cell>
          <cell r="F382">
            <v>-20391.75</v>
          </cell>
          <cell r="G382">
            <v>1</v>
          </cell>
          <cell r="H382" t="str">
            <v>2006-01-31</v>
          </cell>
        </row>
        <row r="383">
          <cell r="A383">
            <v>481004</v>
          </cell>
          <cell r="B383">
            <v>1015</v>
          </cell>
          <cell r="C383">
            <v>-32359.57</v>
          </cell>
          <cell r="D383" t="str">
            <v>202</v>
          </cell>
          <cell r="E383" t="str">
            <v>453</v>
          </cell>
          <cell r="F383">
            <v>-20756.96</v>
          </cell>
          <cell r="G383">
            <v>1</v>
          </cell>
          <cell r="H383" t="str">
            <v>2006-01-31</v>
          </cell>
        </row>
        <row r="384">
          <cell r="A384">
            <v>481004</v>
          </cell>
          <cell r="B384">
            <v>1015</v>
          </cell>
          <cell r="C384">
            <v>-13461.05</v>
          </cell>
          <cell r="D384" t="str">
            <v>202</v>
          </cell>
          <cell r="E384" t="str">
            <v>453</v>
          </cell>
          <cell r="F384">
            <v>-7894.29</v>
          </cell>
          <cell r="G384">
            <v>1</v>
          </cell>
          <cell r="H384" t="str">
            <v>2006-01-31</v>
          </cell>
        </row>
        <row r="385">
          <cell r="A385">
            <v>481004</v>
          </cell>
          <cell r="B385">
            <v>1015</v>
          </cell>
          <cell r="C385">
            <v>-23233.08</v>
          </cell>
          <cell r="D385" t="str">
            <v>202</v>
          </cell>
          <cell r="E385" t="str">
            <v>453</v>
          </cell>
          <cell r="F385">
            <v>-13304.29</v>
          </cell>
          <cell r="G385">
            <v>1</v>
          </cell>
          <cell r="H385" t="str">
            <v>2006-01-31</v>
          </cell>
        </row>
        <row r="386">
          <cell r="A386">
            <v>481004</v>
          </cell>
          <cell r="B386">
            <v>1015</v>
          </cell>
          <cell r="C386">
            <v>-237.8</v>
          </cell>
          <cell r="D386" t="str">
            <v>202</v>
          </cell>
          <cell r="E386" t="str">
            <v>453</v>
          </cell>
          <cell r="F386">
            <v>-108.88</v>
          </cell>
          <cell r="G386">
            <v>1</v>
          </cell>
          <cell r="H386" t="str">
            <v>2006-01-31</v>
          </cell>
        </row>
        <row r="387">
          <cell r="A387">
            <v>481004</v>
          </cell>
          <cell r="B387">
            <v>1015</v>
          </cell>
          <cell r="C387">
            <v>-26592.94</v>
          </cell>
          <cell r="D387" t="str">
            <v>202</v>
          </cell>
          <cell r="E387" t="str">
            <v>453</v>
          </cell>
          <cell r="F387">
            <v>-14602.66</v>
          </cell>
          <cell r="G387">
            <v>1</v>
          </cell>
          <cell r="H387" t="str">
            <v>2006-01-31</v>
          </cell>
        </row>
        <row r="388">
          <cell r="A388">
            <v>481004</v>
          </cell>
          <cell r="B388">
            <v>1015</v>
          </cell>
          <cell r="C388">
            <v>-858.41</v>
          </cell>
          <cell r="D388" t="str">
            <v>202</v>
          </cell>
          <cell r="E388" t="str">
            <v>453</v>
          </cell>
          <cell r="F388">
            <v>-467.07</v>
          </cell>
          <cell r="G388">
            <v>1</v>
          </cell>
          <cell r="H388" t="str">
            <v>2006-01-31</v>
          </cell>
        </row>
        <row r="389">
          <cell r="A389">
            <v>481004</v>
          </cell>
          <cell r="B389">
            <v>1015</v>
          </cell>
          <cell r="C389">
            <v>-128880.59</v>
          </cell>
          <cell r="D389" t="str">
            <v>202</v>
          </cell>
          <cell r="E389" t="str">
            <v>453</v>
          </cell>
          <cell r="F389">
            <v>-78220.5</v>
          </cell>
          <cell r="G389">
            <v>1</v>
          </cell>
          <cell r="H389" t="str">
            <v>2006-01-31</v>
          </cell>
        </row>
        <row r="390">
          <cell r="A390">
            <v>480000</v>
          </cell>
          <cell r="B390">
            <v>1015</v>
          </cell>
          <cell r="C390">
            <v>-37232.74</v>
          </cell>
          <cell r="D390" t="str">
            <v>202</v>
          </cell>
          <cell r="E390" t="str">
            <v>455</v>
          </cell>
          <cell r="F390">
            <v>-13232.53</v>
          </cell>
          <cell r="G390">
            <v>1</v>
          </cell>
          <cell r="H390" t="str">
            <v>2006-01-31</v>
          </cell>
        </row>
        <row r="391">
          <cell r="A391">
            <v>480000</v>
          </cell>
          <cell r="B391">
            <v>1015</v>
          </cell>
          <cell r="C391">
            <v>-761.23</v>
          </cell>
          <cell r="D391" t="str">
            <v>202</v>
          </cell>
          <cell r="E391" t="str">
            <v>455</v>
          </cell>
          <cell r="F391">
            <v>-288.08</v>
          </cell>
          <cell r="G391">
            <v>1</v>
          </cell>
          <cell r="H391" t="str">
            <v>2006-01-31</v>
          </cell>
        </row>
        <row r="392">
          <cell r="A392">
            <v>480000</v>
          </cell>
          <cell r="B392">
            <v>1015</v>
          </cell>
          <cell r="C392">
            <v>-131.96</v>
          </cell>
          <cell r="D392" t="str">
            <v>202</v>
          </cell>
          <cell r="E392" t="str">
            <v>455</v>
          </cell>
          <cell r="F392">
            <v>-44.95</v>
          </cell>
          <cell r="G392">
            <v>1</v>
          </cell>
          <cell r="H392" t="str">
            <v>2006-01-31</v>
          </cell>
        </row>
        <row r="393">
          <cell r="A393">
            <v>480000</v>
          </cell>
          <cell r="B393">
            <v>1015</v>
          </cell>
          <cell r="C393">
            <v>0</v>
          </cell>
          <cell r="D393" t="str">
            <v>202</v>
          </cell>
          <cell r="E393" t="str">
            <v>455</v>
          </cell>
          <cell r="F393">
            <v>0</v>
          </cell>
          <cell r="G393">
            <v>1</v>
          </cell>
          <cell r="H393" t="str">
            <v>2006-01-31</v>
          </cell>
        </row>
        <row r="394">
          <cell r="A394">
            <v>480000</v>
          </cell>
          <cell r="B394">
            <v>1015</v>
          </cell>
          <cell r="C394">
            <v>-34.22</v>
          </cell>
          <cell r="D394" t="str">
            <v>202</v>
          </cell>
          <cell r="E394" t="str">
            <v>455</v>
          </cell>
          <cell r="F394">
            <v>-11.62</v>
          </cell>
          <cell r="G394">
            <v>1</v>
          </cell>
          <cell r="H394" t="str">
            <v>2006-01-31</v>
          </cell>
        </row>
        <row r="395">
          <cell r="A395">
            <v>480000</v>
          </cell>
          <cell r="B395">
            <v>1015</v>
          </cell>
          <cell r="C395">
            <v>-203.25</v>
          </cell>
          <cell r="D395" t="str">
            <v>202</v>
          </cell>
          <cell r="E395" t="str">
            <v>455</v>
          </cell>
          <cell r="F395">
            <v>-68.849999999999994</v>
          </cell>
          <cell r="G395">
            <v>1</v>
          </cell>
          <cell r="H395" t="str">
            <v>2006-01-31</v>
          </cell>
        </row>
        <row r="396">
          <cell r="A396">
            <v>480001</v>
          </cell>
          <cell r="B396">
            <v>1015</v>
          </cell>
          <cell r="C396">
            <v>-2239.71</v>
          </cell>
          <cell r="D396" t="str">
            <v>202</v>
          </cell>
          <cell r="E396" t="str">
            <v>455</v>
          </cell>
          <cell r="F396">
            <v>-90</v>
          </cell>
          <cell r="G396">
            <v>1</v>
          </cell>
          <cell r="H396" t="str">
            <v>2006-01-31</v>
          </cell>
        </row>
        <row r="397">
          <cell r="A397">
            <v>481004</v>
          </cell>
          <cell r="B397">
            <v>1015</v>
          </cell>
          <cell r="C397">
            <v>-23023.4</v>
          </cell>
          <cell r="D397" t="str">
            <v>202</v>
          </cell>
          <cell r="E397" t="str">
            <v>455</v>
          </cell>
          <cell r="F397">
            <v>-9457.7099999999991</v>
          </cell>
          <cell r="G397">
            <v>1</v>
          </cell>
          <cell r="H397" t="str">
            <v>2006-01-31</v>
          </cell>
        </row>
        <row r="398">
          <cell r="A398">
            <v>481004</v>
          </cell>
          <cell r="B398">
            <v>1015</v>
          </cell>
          <cell r="C398">
            <v>-1452.67</v>
          </cell>
          <cell r="D398" t="str">
            <v>202</v>
          </cell>
          <cell r="E398" t="str">
            <v>455</v>
          </cell>
          <cell r="F398">
            <v>-594.34</v>
          </cell>
          <cell r="G398">
            <v>1</v>
          </cell>
          <cell r="H398" t="str">
            <v>2006-01-31</v>
          </cell>
        </row>
        <row r="399">
          <cell r="A399">
            <v>481004</v>
          </cell>
          <cell r="B399">
            <v>1015</v>
          </cell>
          <cell r="C399">
            <v>-1173.98</v>
          </cell>
          <cell r="D399" t="str">
            <v>202</v>
          </cell>
          <cell r="E399" t="str">
            <v>455</v>
          </cell>
          <cell r="F399">
            <v>-485.94</v>
          </cell>
          <cell r="G399">
            <v>1</v>
          </cell>
          <cell r="H399" t="str">
            <v>2006-01-31</v>
          </cell>
        </row>
        <row r="400">
          <cell r="A400">
            <v>481004</v>
          </cell>
          <cell r="B400">
            <v>1015</v>
          </cell>
          <cell r="C400">
            <v>-89.8</v>
          </cell>
          <cell r="D400" t="str">
            <v>202</v>
          </cell>
          <cell r="E400" t="str">
            <v>455</v>
          </cell>
          <cell r="F400">
            <v>-32.22</v>
          </cell>
          <cell r="G400">
            <v>1</v>
          </cell>
          <cell r="H400" t="str">
            <v>2006-01-31</v>
          </cell>
        </row>
        <row r="401">
          <cell r="A401">
            <v>481004</v>
          </cell>
          <cell r="B401">
            <v>1015</v>
          </cell>
          <cell r="C401">
            <v>-676.04</v>
          </cell>
          <cell r="D401" t="str">
            <v>202</v>
          </cell>
          <cell r="E401" t="str">
            <v>455</v>
          </cell>
          <cell r="F401">
            <v>-289.83999999999997</v>
          </cell>
          <cell r="G401">
            <v>1</v>
          </cell>
          <cell r="H401" t="str">
            <v>2006-01-31</v>
          </cell>
        </row>
        <row r="402">
          <cell r="A402">
            <v>481002</v>
          </cell>
          <cell r="B402">
            <v>1015</v>
          </cell>
          <cell r="C402">
            <v>0</v>
          </cell>
          <cell r="D402" t="str">
            <v>202</v>
          </cell>
          <cell r="E402" t="str">
            <v>456</v>
          </cell>
          <cell r="F402">
            <v>0</v>
          </cell>
          <cell r="G402">
            <v>1</v>
          </cell>
          <cell r="H402" t="str">
            <v>2006-01-31</v>
          </cell>
        </row>
        <row r="403">
          <cell r="A403">
            <v>481002</v>
          </cell>
          <cell r="B403">
            <v>1015</v>
          </cell>
          <cell r="C403">
            <v>0</v>
          </cell>
          <cell r="D403" t="str">
            <v>202</v>
          </cell>
          <cell r="E403" t="str">
            <v>456</v>
          </cell>
          <cell r="F403">
            <v>0</v>
          </cell>
          <cell r="G403">
            <v>1</v>
          </cell>
          <cell r="H403" t="str">
            <v>2006-01-31</v>
          </cell>
        </row>
        <row r="404">
          <cell r="A404">
            <v>481002</v>
          </cell>
          <cell r="B404">
            <v>1015</v>
          </cell>
          <cell r="C404">
            <v>2204.27</v>
          </cell>
          <cell r="D404" t="str">
            <v>202</v>
          </cell>
          <cell r="E404" t="str">
            <v>457</v>
          </cell>
          <cell r="F404">
            <v>12810</v>
          </cell>
          <cell r="G404">
            <v>1</v>
          </cell>
          <cell r="H404" t="str">
            <v>2006-01-31</v>
          </cell>
        </row>
        <row r="405">
          <cell r="A405">
            <v>481002</v>
          </cell>
          <cell r="B405">
            <v>1015</v>
          </cell>
          <cell r="C405">
            <v>-2114.04</v>
          </cell>
          <cell r="D405" t="str">
            <v>202</v>
          </cell>
          <cell r="E405" t="str">
            <v>457</v>
          </cell>
          <cell r="F405">
            <v>-12640</v>
          </cell>
          <cell r="G405">
            <v>1</v>
          </cell>
          <cell r="H405" t="str">
            <v>2006-01-31</v>
          </cell>
        </row>
        <row r="406">
          <cell r="A406">
            <v>481002</v>
          </cell>
          <cell r="B406">
            <v>1015</v>
          </cell>
          <cell r="C406">
            <v>-112.54</v>
          </cell>
          <cell r="D406" t="str">
            <v>202</v>
          </cell>
          <cell r="E406" t="str">
            <v>457</v>
          </cell>
          <cell r="F406">
            <v>-332.75</v>
          </cell>
          <cell r="G406">
            <v>1</v>
          </cell>
          <cell r="H406" t="str">
            <v>2006-01-31</v>
          </cell>
        </row>
        <row r="407">
          <cell r="A407">
            <v>481002</v>
          </cell>
          <cell r="B407">
            <v>1015</v>
          </cell>
          <cell r="C407">
            <v>-425.33</v>
          </cell>
          <cell r="D407" t="str">
            <v>202</v>
          </cell>
          <cell r="E407" t="str">
            <v>457</v>
          </cell>
          <cell r="F407">
            <v>-2618</v>
          </cell>
          <cell r="G407">
            <v>1</v>
          </cell>
          <cell r="H407" t="str">
            <v>2006-01-31</v>
          </cell>
        </row>
        <row r="408">
          <cell r="A408">
            <v>481005</v>
          </cell>
          <cell r="B408">
            <v>1015</v>
          </cell>
          <cell r="C408">
            <v>-3507.08</v>
          </cell>
          <cell r="D408" t="str">
            <v>202</v>
          </cell>
          <cell r="E408" t="str">
            <v>457</v>
          </cell>
          <cell r="F408">
            <v>-15016</v>
          </cell>
          <cell r="G408">
            <v>1</v>
          </cell>
          <cell r="H408" t="str">
            <v>2006-01-31</v>
          </cell>
        </row>
        <row r="409">
          <cell r="A409">
            <v>481005</v>
          </cell>
          <cell r="B409">
            <v>1015</v>
          </cell>
          <cell r="C409">
            <v>4433.05</v>
          </cell>
          <cell r="D409" t="str">
            <v>202</v>
          </cell>
          <cell r="E409" t="str">
            <v>457</v>
          </cell>
          <cell r="F409">
            <v>24040</v>
          </cell>
          <cell r="G409">
            <v>1</v>
          </cell>
          <cell r="H409" t="str">
            <v>2006-01-31</v>
          </cell>
        </row>
        <row r="410">
          <cell r="A410">
            <v>481005</v>
          </cell>
          <cell r="B410">
            <v>1015</v>
          </cell>
          <cell r="C410">
            <v>-1301.82</v>
          </cell>
          <cell r="D410" t="str">
            <v>202</v>
          </cell>
          <cell r="E410" t="str">
            <v>457</v>
          </cell>
          <cell r="F410">
            <v>-9021.82</v>
          </cell>
          <cell r="G410">
            <v>1</v>
          </cell>
          <cell r="H410" t="str">
            <v>2006-01-31</v>
          </cell>
        </row>
        <row r="411">
          <cell r="A411">
            <v>481005</v>
          </cell>
          <cell r="B411">
            <v>1015</v>
          </cell>
          <cell r="C411">
            <v>-891.57</v>
          </cell>
          <cell r="D411" t="str">
            <v>202</v>
          </cell>
          <cell r="E411" t="str">
            <v>457</v>
          </cell>
          <cell r="F411">
            <v>-4197.92</v>
          </cell>
          <cell r="G411">
            <v>1</v>
          </cell>
          <cell r="H411" t="str">
            <v>2006-01-31</v>
          </cell>
        </row>
        <row r="412">
          <cell r="A412">
            <v>481005</v>
          </cell>
          <cell r="B412">
            <v>1015</v>
          </cell>
          <cell r="C412">
            <v>-202.58</v>
          </cell>
          <cell r="D412" t="str">
            <v>202</v>
          </cell>
          <cell r="E412" t="str">
            <v>457</v>
          </cell>
          <cell r="F412">
            <v>-1480.08</v>
          </cell>
          <cell r="G412">
            <v>1</v>
          </cell>
          <cell r="H412" t="str">
            <v>2006-01-31</v>
          </cell>
        </row>
        <row r="413">
          <cell r="A413">
            <v>481003</v>
          </cell>
          <cell r="B413">
            <v>1015</v>
          </cell>
          <cell r="C413">
            <v>-927.75</v>
          </cell>
          <cell r="D413" t="str">
            <v>200</v>
          </cell>
          <cell r="F413">
            <v>-79.08</v>
          </cell>
          <cell r="G413">
            <v>1</v>
          </cell>
          <cell r="H413" t="str">
            <v>2006-01-31</v>
          </cell>
        </row>
        <row r="414">
          <cell r="A414">
            <v>481003</v>
          </cell>
          <cell r="B414">
            <v>1015</v>
          </cell>
          <cell r="C414">
            <v>-5295.94</v>
          </cell>
          <cell r="D414" t="str">
            <v>200</v>
          </cell>
          <cell r="F414">
            <v>-427.79</v>
          </cell>
          <cell r="G414">
            <v>1</v>
          </cell>
          <cell r="H414" t="str">
            <v>2006-01-31</v>
          </cell>
        </row>
        <row r="415">
          <cell r="A415">
            <v>481003</v>
          </cell>
          <cell r="B415">
            <v>1015</v>
          </cell>
          <cell r="C415">
            <v>536.92999999999995</v>
          </cell>
          <cell r="D415" t="str">
            <v>200</v>
          </cell>
          <cell r="F415">
            <v>0</v>
          </cell>
          <cell r="G415">
            <v>1</v>
          </cell>
          <cell r="H415" t="str">
            <v>2006-01-31</v>
          </cell>
        </row>
        <row r="416">
          <cell r="A416">
            <v>481003</v>
          </cell>
          <cell r="B416">
            <v>1015</v>
          </cell>
          <cell r="C416">
            <v>-92347.11</v>
          </cell>
          <cell r="D416" t="str">
            <v>200</v>
          </cell>
          <cell r="F416">
            <v>-8202.8799999999992</v>
          </cell>
          <cell r="G416">
            <v>1</v>
          </cell>
          <cell r="H416" t="str">
            <v>2006-01-31</v>
          </cell>
        </row>
        <row r="417">
          <cell r="A417">
            <v>481003</v>
          </cell>
          <cell r="B417">
            <v>1515</v>
          </cell>
          <cell r="C417">
            <v>-962.27</v>
          </cell>
          <cell r="D417" t="str">
            <v>200</v>
          </cell>
          <cell r="F417">
            <v>-77.66</v>
          </cell>
          <cell r="G417">
            <v>1</v>
          </cell>
          <cell r="H417" t="str">
            <v>2006-01-31</v>
          </cell>
        </row>
        <row r="418">
          <cell r="A418">
            <v>481000</v>
          </cell>
          <cell r="B418">
            <v>1015</v>
          </cell>
          <cell r="C418">
            <v>-383313.26</v>
          </cell>
          <cell r="D418" t="str">
            <v>203</v>
          </cell>
          <cell r="E418" t="str">
            <v>402</v>
          </cell>
          <cell r="F418">
            <v>0</v>
          </cell>
          <cell r="G418">
            <v>1</v>
          </cell>
          <cell r="H418" t="str">
            <v>2006-01-31</v>
          </cell>
        </row>
        <row r="419">
          <cell r="A419">
            <v>481000</v>
          </cell>
          <cell r="B419">
            <v>1015</v>
          </cell>
          <cell r="C419">
            <v>-65174.16</v>
          </cell>
          <cell r="D419" t="str">
            <v>203</v>
          </cell>
          <cell r="E419" t="str">
            <v>402</v>
          </cell>
          <cell r="F419">
            <v>0</v>
          </cell>
          <cell r="G419">
            <v>1</v>
          </cell>
          <cell r="H419" t="str">
            <v>2006-01-31</v>
          </cell>
        </row>
        <row r="420">
          <cell r="A420">
            <v>481000</v>
          </cell>
          <cell r="B420">
            <v>1015</v>
          </cell>
          <cell r="C420">
            <v>-3670.98</v>
          </cell>
          <cell r="D420" t="str">
            <v>203</v>
          </cell>
          <cell r="E420" t="str">
            <v>402</v>
          </cell>
          <cell r="F420">
            <v>0</v>
          </cell>
          <cell r="G420">
            <v>1</v>
          </cell>
          <cell r="H420" t="str">
            <v>2006-01-31</v>
          </cell>
        </row>
        <row r="421">
          <cell r="A421">
            <v>481000</v>
          </cell>
          <cell r="B421">
            <v>1015</v>
          </cell>
          <cell r="C421">
            <v>-13913.02</v>
          </cell>
          <cell r="D421" t="str">
            <v>203</v>
          </cell>
          <cell r="E421" t="str">
            <v>402</v>
          </cell>
          <cell r="F421">
            <v>0</v>
          </cell>
          <cell r="G421">
            <v>1</v>
          </cell>
          <cell r="H421" t="str">
            <v>2006-01-31</v>
          </cell>
        </row>
        <row r="422">
          <cell r="A422">
            <v>481000</v>
          </cell>
          <cell r="B422">
            <v>1015</v>
          </cell>
          <cell r="C422">
            <v>-16785.78</v>
          </cell>
          <cell r="D422" t="str">
            <v>203</v>
          </cell>
          <cell r="E422" t="str">
            <v>402</v>
          </cell>
          <cell r="F422">
            <v>0</v>
          </cell>
          <cell r="G422">
            <v>1</v>
          </cell>
          <cell r="H422" t="str">
            <v>2006-01-31</v>
          </cell>
        </row>
        <row r="423">
          <cell r="A423">
            <v>481000</v>
          </cell>
          <cell r="B423">
            <v>1015</v>
          </cell>
          <cell r="C423">
            <v>-4299.03</v>
          </cell>
          <cell r="D423" t="str">
            <v>203</v>
          </cell>
          <cell r="E423" t="str">
            <v>402</v>
          </cell>
          <cell r="F423">
            <v>0</v>
          </cell>
          <cell r="G423">
            <v>1</v>
          </cell>
          <cell r="H423" t="str">
            <v>2006-01-31</v>
          </cell>
        </row>
        <row r="424">
          <cell r="A424">
            <v>481000</v>
          </cell>
          <cell r="B424">
            <v>1015</v>
          </cell>
          <cell r="C424">
            <v>-7452.55</v>
          </cell>
          <cell r="D424" t="str">
            <v>203</v>
          </cell>
          <cell r="E424" t="str">
            <v>402</v>
          </cell>
          <cell r="F424">
            <v>0</v>
          </cell>
          <cell r="G424">
            <v>1</v>
          </cell>
          <cell r="H424" t="str">
            <v>2006-01-31</v>
          </cell>
        </row>
        <row r="425">
          <cell r="A425">
            <v>481000</v>
          </cell>
          <cell r="B425">
            <v>1015</v>
          </cell>
          <cell r="C425">
            <v>-24205.95</v>
          </cell>
          <cell r="D425" t="str">
            <v>203</v>
          </cell>
          <cell r="E425" t="str">
            <v>402</v>
          </cell>
          <cell r="F425">
            <v>0</v>
          </cell>
          <cell r="G425">
            <v>1</v>
          </cell>
          <cell r="H425" t="str">
            <v>2006-01-31</v>
          </cell>
        </row>
        <row r="426">
          <cell r="A426">
            <v>481000</v>
          </cell>
          <cell r="B426">
            <v>1015</v>
          </cell>
          <cell r="C426">
            <v>-11461.62</v>
          </cell>
          <cell r="D426" t="str">
            <v>203</v>
          </cell>
          <cell r="E426" t="str">
            <v>402</v>
          </cell>
          <cell r="F426">
            <v>0</v>
          </cell>
          <cell r="G426">
            <v>1</v>
          </cell>
          <cell r="H426" t="str">
            <v>2006-01-31</v>
          </cell>
        </row>
        <row r="427">
          <cell r="A427">
            <v>481000</v>
          </cell>
          <cell r="B427">
            <v>1015</v>
          </cell>
          <cell r="C427">
            <v>-5042.33</v>
          </cell>
          <cell r="D427" t="str">
            <v>203</v>
          </cell>
          <cell r="E427" t="str">
            <v>402</v>
          </cell>
          <cell r="F427">
            <v>0</v>
          </cell>
          <cell r="G427">
            <v>1</v>
          </cell>
          <cell r="H427" t="str">
            <v>2006-01-31</v>
          </cell>
        </row>
        <row r="428">
          <cell r="A428">
            <v>481000</v>
          </cell>
          <cell r="B428">
            <v>1015</v>
          </cell>
          <cell r="C428">
            <v>-412.85</v>
          </cell>
          <cell r="D428" t="str">
            <v>203</v>
          </cell>
          <cell r="E428" t="str">
            <v>402</v>
          </cell>
          <cell r="F428">
            <v>0</v>
          </cell>
          <cell r="G428">
            <v>1</v>
          </cell>
          <cell r="H428" t="str">
            <v>2006-01-31</v>
          </cell>
        </row>
        <row r="429">
          <cell r="A429">
            <v>481000</v>
          </cell>
          <cell r="B429">
            <v>1015</v>
          </cell>
          <cell r="C429">
            <v>-60759.42</v>
          </cell>
          <cell r="D429" t="str">
            <v>203</v>
          </cell>
          <cell r="E429" t="str">
            <v>402</v>
          </cell>
          <cell r="F429">
            <v>0</v>
          </cell>
          <cell r="G429">
            <v>1</v>
          </cell>
          <cell r="H429" t="str">
            <v>2006-01-31</v>
          </cell>
        </row>
        <row r="430">
          <cell r="A430">
            <v>481004</v>
          </cell>
          <cell r="B430">
            <v>1015</v>
          </cell>
          <cell r="C430">
            <v>75052.41</v>
          </cell>
          <cell r="D430" t="str">
            <v>203</v>
          </cell>
          <cell r="E430" t="str">
            <v>402</v>
          </cell>
          <cell r="F430">
            <v>0</v>
          </cell>
          <cell r="G430">
            <v>1</v>
          </cell>
          <cell r="H430" t="str">
            <v>2006-01-31</v>
          </cell>
        </row>
        <row r="431">
          <cell r="A431">
            <v>481004</v>
          </cell>
          <cell r="B431">
            <v>1015</v>
          </cell>
          <cell r="C431">
            <v>-106970.17</v>
          </cell>
          <cell r="D431" t="str">
            <v>203</v>
          </cell>
          <cell r="E431" t="str">
            <v>402</v>
          </cell>
          <cell r="F431">
            <v>0</v>
          </cell>
          <cell r="G431">
            <v>1</v>
          </cell>
          <cell r="H431" t="str">
            <v>2006-01-31</v>
          </cell>
        </row>
        <row r="432">
          <cell r="A432">
            <v>481004</v>
          </cell>
          <cell r="B432">
            <v>1015</v>
          </cell>
          <cell r="C432">
            <v>-16748.45</v>
          </cell>
          <cell r="D432" t="str">
            <v>203</v>
          </cell>
          <cell r="E432" t="str">
            <v>402</v>
          </cell>
          <cell r="F432">
            <v>0</v>
          </cell>
          <cell r="G432">
            <v>1</v>
          </cell>
          <cell r="H432" t="str">
            <v>2006-01-31</v>
          </cell>
        </row>
        <row r="433">
          <cell r="A433">
            <v>481004</v>
          </cell>
          <cell r="B433">
            <v>1015</v>
          </cell>
          <cell r="C433">
            <v>-10063.5</v>
          </cell>
          <cell r="D433" t="str">
            <v>203</v>
          </cell>
          <cell r="E433" t="str">
            <v>402</v>
          </cell>
          <cell r="F433">
            <v>0</v>
          </cell>
          <cell r="G433">
            <v>1</v>
          </cell>
          <cell r="H433" t="str">
            <v>2006-01-31</v>
          </cell>
        </row>
        <row r="434">
          <cell r="A434">
            <v>481004</v>
          </cell>
          <cell r="B434">
            <v>1015</v>
          </cell>
          <cell r="C434">
            <v>-33483.86</v>
          </cell>
          <cell r="D434" t="str">
            <v>203</v>
          </cell>
          <cell r="E434" t="str">
            <v>402</v>
          </cell>
          <cell r="F434">
            <v>0</v>
          </cell>
          <cell r="G434">
            <v>1</v>
          </cell>
          <cell r="H434" t="str">
            <v>2006-01-31</v>
          </cell>
        </row>
        <row r="435">
          <cell r="A435">
            <v>481004</v>
          </cell>
          <cell r="B435">
            <v>1015</v>
          </cell>
          <cell r="C435">
            <v>-23546.27</v>
          </cell>
          <cell r="D435" t="str">
            <v>203</v>
          </cell>
          <cell r="E435" t="str">
            <v>402</v>
          </cell>
          <cell r="F435">
            <v>0</v>
          </cell>
          <cell r="G435">
            <v>1</v>
          </cell>
          <cell r="H435" t="str">
            <v>2006-01-31</v>
          </cell>
        </row>
        <row r="436">
          <cell r="A436">
            <v>481004</v>
          </cell>
          <cell r="B436">
            <v>1015</v>
          </cell>
          <cell r="C436">
            <v>-29524.400000000001</v>
          </cell>
          <cell r="D436" t="str">
            <v>203</v>
          </cell>
          <cell r="E436" t="str">
            <v>402</v>
          </cell>
          <cell r="F436">
            <v>0</v>
          </cell>
          <cell r="G436">
            <v>1</v>
          </cell>
          <cell r="H436" t="str">
            <v>2006-01-31</v>
          </cell>
        </row>
        <row r="437">
          <cell r="A437">
            <v>481004</v>
          </cell>
          <cell r="B437">
            <v>1015</v>
          </cell>
          <cell r="C437">
            <v>-74757.84</v>
          </cell>
          <cell r="D437" t="str">
            <v>203</v>
          </cell>
          <cell r="E437" t="str">
            <v>402</v>
          </cell>
          <cell r="F437">
            <v>0</v>
          </cell>
          <cell r="G437">
            <v>1</v>
          </cell>
          <cell r="H437" t="str">
            <v>2006-01-31</v>
          </cell>
        </row>
        <row r="438">
          <cell r="A438">
            <v>481004</v>
          </cell>
          <cell r="B438">
            <v>1015</v>
          </cell>
          <cell r="C438">
            <v>-29671.14</v>
          </cell>
          <cell r="D438" t="str">
            <v>203</v>
          </cell>
          <cell r="E438" t="str">
            <v>402</v>
          </cell>
          <cell r="F438">
            <v>0</v>
          </cell>
          <cell r="G438">
            <v>1</v>
          </cell>
          <cell r="H438" t="str">
            <v>2006-01-31</v>
          </cell>
        </row>
        <row r="439">
          <cell r="A439">
            <v>481004</v>
          </cell>
          <cell r="B439">
            <v>1015</v>
          </cell>
          <cell r="C439">
            <v>-6680.8</v>
          </cell>
          <cell r="D439" t="str">
            <v>203</v>
          </cell>
          <cell r="E439" t="str">
            <v>402</v>
          </cell>
          <cell r="F439">
            <v>0</v>
          </cell>
          <cell r="G439">
            <v>1</v>
          </cell>
          <cell r="H439" t="str">
            <v>2006-01-31</v>
          </cell>
        </row>
        <row r="440">
          <cell r="A440">
            <v>481004</v>
          </cell>
          <cell r="B440">
            <v>1015</v>
          </cell>
          <cell r="C440">
            <v>-6933.44</v>
          </cell>
          <cell r="D440" t="str">
            <v>203</v>
          </cell>
          <cell r="E440" t="str">
            <v>402</v>
          </cell>
          <cell r="F440">
            <v>0</v>
          </cell>
          <cell r="G440">
            <v>1</v>
          </cell>
          <cell r="H440" t="str">
            <v>2006-01-31</v>
          </cell>
        </row>
        <row r="441">
          <cell r="A441">
            <v>481004</v>
          </cell>
          <cell r="B441">
            <v>1015</v>
          </cell>
          <cell r="C441">
            <v>-297599.14</v>
          </cell>
          <cell r="D441" t="str">
            <v>203</v>
          </cell>
          <cell r="E441" t="str">
            <v>402</v>
          </cell>
          <cell r="F441">
            <v>0</v>
          </cell>
          <cell r="G441">
            <v>1</v>
          </cell>
          <cell r="H441" t="str">
            <v>2006-01-31</v>
          </cell>
        </row>
        <row r="442">
          <cell r="A442">
            <v>481000</v>
          </cell>
          <cell r="B442">
            <v>1015</v>
          </cell>
          <cell r="C442">
            <v>0</v>
          </cell>
          <cell r="D442" t="str">
            <v>203</v>
          </cell>
          <cell r="E442" t="str">
            <v>403</v>
          </cell>
          <cell r="F442">
            <v>0</v>
          </cell>
          <cell r="G442">
            <v>1</v>
          </cell>
          <cell r="H442" t="str">
            <v>2006-01-31</v>
          </cell>
        </row>
        <row r="443">
          <cell r="A443">
            <v>481000</v>
          </cell>
          <cell r="B443">
            <v>1015</v>
          </cell>
          <cell r="C443">
            <v>-1635.26</v>
          </cell>
          <cell r="D443" t="str">
            <v>203</v>
          </cell>
          <cell r="E443" t="str">
            <v>403</v>
          </cell>
          <cell r="F443">
            <v>0</v>
          </cell>
          <cell r="G443">
            <v>1</v>
          </cell>
          <cell r="H443" t="str">
            <v>2006-01-31</v>
          </cell>
        </row>
        <row r="444">
          <cell r="A444">
            <v>481004</v>
          </cell>
          <cell r="B444">
            <v>1015</v>
          </cell>
          <cell r="C444">
            <v>0</v>
          </cell>
          <cell r="D444" t="str">
            <v>203</v>
          </cell>
          <cell r="E444" t="str">
            <v>403</v>
          </cell>
          <cell r="F444">
            <v>0</v>
          </cell>
          <cell r="G444">
            <v>1</v>
          </cell>
          <cell r="H444" t="str">
            <v>2006-01-31</v>
          </cell>
        </row>
        <row r="445">
          <cell r="A445">
            <v>481000</v>
          </cell>
          <cell r="B445">
            <v>1015</v>
          </cell>
          <cell r="C445">
            <v>-200633.4</v>
          </cell>
          <cell r="D445" t="str">
            <v>203</v>
          </cell>
          <cell r="E445" t="str">
            <v>404</v>
          </cell>
          <cell r="F445">
            <v>0</v>
          </cell>
          <cell r="G445">
            <v>1</v>
          </cell>
          <cell r="H445" t="str">
            <v>2006-01-31</v>
          </cell>
        </row>
        <row r="446">
          <cell r="A446">
            <v>481000</v>
          </cell>
          <cell r="B446">
            <v>1015</v>
          </cell>
          <cell r="C446">
            <v>-201397.54</v>
          </cell>
          <cell r="D446" t="str">
            <v>203</v>
          </cell>
          <cell r="E446" t="str">
            <v>404</v>
          </cell>
          <cell r="F446">
            <v>0</v>
          </cell>
          <cell r="G446">
            <v>1</v>
          </cell>
          <cell r="H446" t="str">
            <v>2006-01-31</v>
          </cell>
        </row>
        <row r="447">
          <cell r="A447">
            <v>481004</v>
          </cell>
          <cell r="B447">
            <v>1015</v>
          </cell>
          <cell r="C447">
            <v>0</v>
          </cell>
          <cell r="D447" t="str">
            <v>203</v>
          </cell>
          <cell r="E447" t="str">
            <v>404</v>
          </cell>
          <cell r="F447">
            <v>0</v>
          </cell>
          <cell r="G447">
            <v>1</v>
          </cell>
          <cell r="H447" t="str">
            <v>2006-01-31</v>
          </cell>
        </row>
        <row r="448">
          <cell r="A448">
            <v>480000</v>
          </cell>
          <cell r="B448">
            <v>1015</v>
          </cell>
          <cell r="C448">
            <v>-1400122.49</v>
          </cell>
          <cell r="D448" t="str">
            <v>203</v>
          </cell>
          <cell r="E448" t="str">
            <v>407</v>
          </cell>
          <cell r="F448">
            <v>0</v>
          </cell>
          <cell r="G448">
            <v>1</v>
          </cell>
          <cell r="H448" t="str">
            <v>2006-01-31</v>
          </cell>
        </row>
        <row r="449">
          <cell r="A449">
            <v>480000</v>
          </cell>
          <cell r="B449">
            <v>1015</v>
          </cell>
          <cell r="C449">
            <v>-758361.41</v>
          </cell>
          <cell r="D449" t="str">
            <v>203</v>
          </cell>
          <cell r="E449" t="str">
            <v>407</v>
          </cell>
          <cell r="F449">
            <v>0</v>
          </cell>
          <cell r="G449">
            <v>1</v>
          </cell>
          <cell r="H449" t="str">
            <v>2006-01-31</v>
          </cell>
        </row>
        <row r="450">
          <cell r="A450">
            <v>480000</v>
          </cell>
          <cell r="B450">
            <v>1015</v>
          </cell>
          <cell r="C450">
            <v>-432737.8</v>
          </cell>
          <cell r="D450" t="str">
            <v>203</v>
          </cell>
          <cell r="E450" t="str">
            <v>407</v>
          </cell>
          <cell r="F450">
            <v>0</v>
          </cell>
          <cell r="G450">
            <v>1</v>
          </cell>
          <cell r="H450" t="str">
            <v>2006-01-31</v>
          </cell>
        </row>
        <row r="451">
          <cell r="A451">
            <v>480000</v>
          </cell>
          <cell r="B451">
            <v>1015</v>
          </cell>
          <cell r="C451">
            <v>-1079347.43</v>
          </cell>
          <cell r="D451" t="str">
            <v>203</v>
          </cell>
          <cell r="E451" t="str">
            <v>407</v>
          </cell>
          <cell r="F451">
            <v>0</v>
          </cell>
          <cell r="G451">
            <v>1</v>
          </cell>
          <cell r="H451" t="str">
            <v>2006-01-31</v>
          </cell>
        </row>
        <row r="452">
          <cell r="A452">
            <v>480000</v>
          </cell>
          <cell r="B452">
            <v>1015</v>
          </cell>
          <cell r="C452">
            <v>-717543.25</v>
          </cell>
          <cell r="D452" t="str">
            <v>203</v>
          </cell>
          <cell r="E452" t="str">
            <v>407</v>
          </cell>
          <cell r="F452">
            <v>0</v>
          </cell>
          <cell r="G452">
            <v>1</v>
          </cell>
          <cell r="H452" t="str">
            <v>2006-01-31</v>
          </cell>
        </row>
        <row r="453">
          <cell r="A453">
            <v>480000</v>
          </cell>
          <cell r="B453">
            <v>1015</v>
          </cell>
          <cell r="C453">
            <v>-518084.89</v>
          </cell>
          <cell r="D453" t="str">
            <v>203</v>
          </cell>
          <cell r="E453" t="str">
            <v>407</v>
          </cell>
          <cell r="F453">
            <v>0</v>
          </cell>
          <cell r="G453">
            <v>1</v>
          </cell>
          <cell r="H453" t="str">
            <v>2006-01-31</v>
          </cell>
        </row>
        <row r="454">
          <cell r="A454">
            <v>480000</v>
          </cell>
          <cell r="B454">
            <v>1015</v>
          </cell>
          <cell r="C454">
            <v>-1502574.64</v>
          </cell>
          <cell r="D454" t="str">
            <v>203</v>
          </cell>
          <cell r="E454" t="str">
            <v>407</v>
          </cell>
          <cell r="F454">
            <v>0</v>
          </cell>
          <cell r="G454">
            <v>1</v>
          </cell>
          <cell r="H454" t="str">
            <v>2006-01-31</v>
          </cell>
        </row>
        <row r="455">
          <cell r="A455">
            <v>480000</v>
          </cell>
          <cell r="B455">
            <v>1015</v>
          </cell>
          <cell r="C455">
            <v>-607828.37</v>
          </cell>
          <cell r="D455" t="str">
            <v>203</v>
          </cell>
          <cell r="E455" t="str">
            <v>407</v>
          </cell>
          <cell r="F455">
            <v>0</v>
          </cell>
          <cell r="G455">
            <v>1</v>
          </cell>
          <cell r="H455" t="str">
            <v>2006-01-31</v>
          </cell>
        </row>
        <row r="456">
          <cell r="A456">
            <v>480000</v>
          </cell>
          <cell r="B456">
            <v>1015</v>
          </cell>
          <cell r="C456">
            <v>-221424.47</v>
          </cell>
          <cell r="D456" t="str">
            <v>203</v>
          </cell>
          <cell r="E456" t="str">
            <v>407</v>
          </cell>
          <cell r="F456">
            <v>0</v>
          </cell>
          <cell r="G456">
            <v>1</v>
          </cell>
          <cell r="H456" t="str">
            <v>2006-01-31</v>
          </cell>
        </row>
        <row r="457">
          <cell r="A457">
            <v>480000</v>
          </cell>
          <cell r="B457">
            <v>1015</v>
          </cell>
          <cell r="C457">
            <v>-42546.97</v>
          </cell>
          <cell r="D457" t="str">
            <v>203</v>
          </cell>
          <cell r="E457" t="str">
            <v>407</v>
          </cell>
          <cell r="F457">
            <v>0</v>
          </cell>
          <cell r="G457">
            <v>1</v>
          </cell>
          <cell r="H457" t="str">
            <v>2006-01-31</v>
          </cell>
        </row>
        <row r="458">
          <cell r="A458">
            <v>480000</v>
          </cell>
          <cell r="B458">
            <v>1015</v>
          </cell>
          <cell r="C458">
            <v>-4056591.73</v>
          </cell>
          <cell r="D458" t="str">
            <v>203</v>
          </cell>
          <cell r="E458" t="str">
            <v>407</v>
          </cell>
          <cell r="F458">
            <v>0</v>
          </cell>
          <cell r="G458">
            <v>1</v>
          </cell>
          <cell r="H458" t="str">
            <v>2006-01-31</v>
          </cell>
        </row>
        <row r="459">
          <cell r="A459">
            <v>480001</v>
          </cell>
          <cell r="B459">
            <v>1015</v>
          </cell>
          <cell r="C459">
            <v>589318.75</v>
          </cell>
          <cell r="D459" t="str">
            <v>203</v>
          </cell>
          <cell r="E459" t="str">
            <v>407</v>
          </cell>
          <cell r="F459">
            <v>0</v>
          </cell>
          <cell r="G459">
            <v>1</v>
          </cell>
          <cell r="H459" t="str">
            <v>2006-01-31</v>
          </cell>
        </row>
        <row r="460">
          <cell r="A460">
            <v>481004</v>
          </cell>
          <cell r="B460">
            <v>1015</v>
          </cell>
          <cell r="C460">
            <v>-854059.79</v>
          </cell>
          <cell r="D460" t="str">
            <v>203</v>
          </cell>
          <cell r="E460" t="str">
            <v>407</v>
          </cell>
          <cell r="F460">
            <v>0</v>
          </cell>
          <cell r="G460">
            <v>1</v>
          </cell>
          <cell r="H460" t="str">
            <v>2006-01-31</v>
          </cell>
        </row>
        <row r="461">
          <cell r="A461">
            <v>481004</v>
          </cell>
          <cell r="B461">
            <v>1015</v>
          </cell>
          <cell r="C461">
            <v>-304319.34000000003</v>
          </cell>
          <cell r="D461" t="str">
            <v>203</v>
          </cell>
          <cell r="E461" t="str">
            <v>407</v>
          </cell>
          <cell r="F461">
            <v>0</v>
          </cell>
          <cell r="G461">
            <v>1</v>
          </cell>
          <cell r="H461" t="str">
            <v>2006-01-31</v>
          </cell>
        </row>
        <row r="462">
          <cell r="A462">
            <v>481004</v>
          </cell>
          <cell r="B462">
            <v>1015</v>
          </cell>
          <cell r="C462">
            <v>-153584.82999999999</v>
          </cell>
          <cell r="D462" t="str">
            <v>203</v>
          </cell>
          <cell r="E462" t="str">
            <v>407</v>
          </cell>
          <cell r="F462">
            <v>0</v>
          </cell>
          <cell r="G462">
            <v>1</v>
          </cell>
          <cell r="H462" t="str">
            <v>2006-01-31</v>
          </cell>
        </row>
        <row r="463">
          <cell r="A463">
            <v>481004</v>
          </cell>
          <cell r="B463">
            <v>1015</v>
          </cell>
          <cell r="C463">
            <v>-496289.66</v>
          </cell>
          <cell r="D463" t="str">
            <v>203</v>
          </cell>
          <cell r="E463" t="str">
            <v>407</v>
          </cell>
          <cell r="F463">
            <v>0</v>
          </cell>
          <cell r="G463">
            <v>1</v>
          </cell>
          <cell r="H463" t="str">
            <v>2006-01-31</v>
          </cell>
        </row>
        <row r="464">
          <cell r="A464">
            <v>481004</v>
          </cell>
          <cell r="B464">
            <v>1015</v>
          </cell>
          <cell r="C464">
            <v>-228905.89</v>
          </cell>
          <cell r="D464" t="str">
            <v>203</v>
          </cell>
          <cell r="E464" t="str">
            <v>407</v>
          </cell>
          <cell r="F464">
            <v>0</v>
          </cell>
          <cell r="G464">
            <v>1</v>
          </cell>
          <cell r="H464" t="str">
            <v>2006-01-31</v>
          </cell>
        </row>
        <row r="465">
          <cell r="A465">
            <v>481004</v>
          </cell>
          <cell r="B465">
            <v>1015</v>
          </cell>
          <cell r="C465">
            <v>-205230.54</v>
          </cell>
          <cell r="D465" t="str">
            <v>203</v>
          </cell>
          <cell r="E465" t="str">
            <v>407</v>
          </cell>
          <cell r="F465">
            <v>0</v>
          </cell>
          <cell r="G465">
            <v>1</v>
          </cell>
          <cell r="H465" t="str">
            <v>2006-01-31</v>
          </cell>
        </row>
        <row r="466">
          <cell r="A466">
            <v>481004</v>
          </cell>
          <cell r="B466">
            <v>1015</v>
          </cell>
          <cell r="C466">
            <v>-560223.73</v>
          </cell>
          <cell r="D466" t="str">
            <v>203</v>
          </cell>
          <cell r="E466" t="str">
            <v>407</v>
          </cell>
          <cell r="F466">
            <v>0</v>
          </cell>
          <cell r="G466">
            <v>1</v>
          </cell>
          <cell r="H466" t="str">
            <v>2006-01-31</v>
          </cell>
        </row>
        <row r="467">
          <cell r="A467">
            <v>481004</v>
          </cell>
          <cell r="B467">
            <v>1015</v>
          </cell>
          <cell r="C467">
            <v>-233846.62</v>
          </cell>
          <cell r="D467" t="str">
            <v>203</v>
          </cell>
          <cell r="E467" t="str">
            <v>407</v>
          </cell>
          <cell r="F467">
            <v>0</v>
          </cell>
          <cell r="G467">
            <v>1</v>
          </cell>
          <cell r="H467" t="str">
            <v>2006-01-31</v>
          </cell>
        </row>
        <row r="468">
          <cell r="A468">
            <v>481004</v>
          </cell>
          <cell r="B468">
            <v>1015</v>
          </cell>
          <cell r="C468">
            <v>-103020.37</v>
          </cell>
          <cell r="D468" t="str">
            <v>203</v>
          </cell>
          <cell r="E468" t="str">
            <v>407</v>
          </cell>
          <cell r="F468">
            <v>0</v>
          </cell>
          <cell r="G468">
            <v>1</v>
          </cell>
          <cell r="H468" t="str">
            <v>2006-01-31</v>
          </cell>
        </row>
        <row r="469">
          <cell r="A469">
            <v>481004</v>
          </cell>
          <cell r="B469">
            <v>1015</v>
          </cell>
          <cell r="C469">
            <v>-37767.17</v>
          </cell>
          <cell r="D469" t="str">
            <v>203</v>
          </cell>
          <cell r="E469" t="str">
            <v>407</v>
          </cell>
          <cell r="F469">
            <v>0</v>
          </cell>
          <cell r="G469">
            <v>1</v>
          </cell>
          <cell r="H469" t="str">
            <v>2006-01-31</v>
          </cell>
        </row>
        <row r="470">
          <cell r="A470">
            <v>481004</v>
          </cell>
          <cell r="B470">
            <v>1015</v>
          </cell>
          <cell r="C470">
            <v>-1661444.36</v>
          </cell>
          <cell r="D470" t="str">
            <v>203</v>
          </cell>
          <cell r="E470" t="str">
            <v>407</v>
          </cell>
          <cell r="F470">
            <v>0</v>
          </cell>
          <cell r="G470">
            <v>1</v>
          </cell>
          <cell r="H470" t="str">
            <v>2006-01-31</v>
          </cell>
        </row>
        <row r="471">
          <cell r="A471">
            <v>480000</v>
          </cell>
          <cell r="B471">
            <v>1015</v>
          </cell>
          <cell r="C471">
            <v>-199.19</v>
          </cell>
          <cell r="D471" t="str">
            <v>203</v>
          </cell>
          <cell r="E471" t="str">
            <v>408</v>
          </cell>
          <cell r="F471">
            <v>0</v>
          </cell>
          <cell r="G471">
            <v>1</v>
          </cell>
          <cell r="H471" t="str">
            <v>2006-01-31</v>
          </cell>
        </row>
        <row r="472">
          <cell r="A472">
            <v>480000</v>
          </cell>
          <cell r="B472">
            <v>1015</v>
          </cell>
          <cell r="C472">
            <v>-13711.79</v>
          </cell>
          <cell r="D472" t="str">
            <v>203</v>
          </cell>
          <cell r="E472" t="str">
            <v>408</v>
          </cell>
          <cell r="F472">
            <v>0</v>
          </cell>
          <cell r="G472">
            <v>1</v>
          </cell>
          <cell r="H472" t="str">
            <v>2006-01-31</v>
          </cell>
        </row>
        <row r="473">
          <cell r="A473">
            <v>480000</v>
          </cell>
          <cell r="B473">
            <v>1015</v>
          </cell>
          <cell r="C473">
            <v>-509.64</v>
          </cell>
          <cell r="D473" t="str">
            <v>203</v>
          </cell>
          <cell r="E473" t="str">
            <v>408</v>
          </cell>
          <cell r="F473">
            <v>0</v>
          </cell>
          <cell r="G473">
            <v>1</v>
          </cell>
          <cell r="H473" t="str">
            <v>2006-01-31</v>
          </cell>
        </row>
        <row r="474">
          <cell r="A474">
            <v>480000</v>
          </cell>
          <cell r="B474">
            <v>1015</v>
          </cell>
          <cell r="C474">
            <v>-18116.759999999998</v>
          </cell>
          <cell r="D474" t="str">
            <v>203</v>
          </cell>
          <cell r="E474" t="str">
            <v>408</v>
          </cell>
          <cell r="F474">
            <v>0</v>
          </cell>
          <cell r="G474">
            <v>1</v>
          </cell>
          <cell r="H474" t="str">
            <v>2006-01-31</v>
          </cell>
        </row>
        <row r="475">
          <cell r="A475">
            <v>480000</v>
          </cell>
          <cell r="B475">
            <v>1015</v>
          </cell>
          <cell r="C475">
            <v>-15294.08</v>
          </cell>
          <cell r="D475" t="str">
            <v>203</v>
          </cell>
          <cell r="E475" t="str">
            <v>408</v>
          </cell>
          <cell r="F475">
            <v>0</v>
          </cell>
          <cell r="G475">
            <v>1</v>
          </cell>
          <cell r="H475" t="str">
            <v>2006-01-31</v>
          </cell>
        </row>
        <row r="476">
          <cell r="A476">
            <v>480000</v>
          </cell>
          <cell r="B476">
            <v>1015</v>
          </cell>
          <cell r="C476">
            <v>-232.08</v>
          </cell>
          <cell r="D476" t="str">
            <v>203</v>
          </cell>
          <cell r="E476" t="str">
            <v>408</v>
          </cell>
          <cell r="F476">
            <v>0</v>
          </cell>
          <cell r="G476">
            <v>1</v>
          </cell>
          <cell r="H476" t="str">
            <v>2006-01-31</v>
          </cell>
        </row>
        <row r="477">
          <cell r="A477">
            <v>480000</v>
          </cell>
          <cell r="B477">
            <v>1015</v>
          </cell>
          <cell r="C477">
            <v>-4524.21</v>
          </cell>
          <cell r="D477" t="str">
            <v>203</v>
          </cell>
          <cell r="E477" t="str">
            <v>408</v>
          </cell>
          <cell r="F477">
            <v>0</v>
          </cell>
          <cell r="G477">
            <v>1</v>
          </cell>
          <cell r="H477" t="str">
            <v>2006-01-31</v>
          </cell>
        </row>
        <row r="478">
          <cell r="A478">
            <v>480000</v>
          </cell>
          <cell r="B478">
            <v>1015</v>
          </cell>
          <cell r="C478">
            <v>-77.81</v>
          </cell>
          <cell r="D478" t="str">
            <v>203</v>
          </cell>
          <cell r="E478" t="str">
            <v>408</v>
          </cell>
          <cell r="F478">
            <v>0</v>
          </cell>
          <cell r="G478">
            <v>1</v>
          </cell>
          <cell r="H478" t="str">
            <v>2006-01-31</v>
          </cell>
        </row>
        <row r="479">
          <cell r="A479">
            <v>480000</v>
          </cell>
          <cell r="B479">
            <v>1015</v>
          </cell>
          <cell r="C479">
            <v>-54.47</v>
          </cell>
          <cell r="D479" t="str">
            <v>203</v>
          </cell>
          <cell r="E479" t="str">
            <v>408</v>
          </cell>
          <cell r="F479">
            <v>0</v>
          </cell>
          <cell r="G479">
            <v>1</v>
          </cell>
          <cell r="H479" t="str">
            <v>2006-01-31</v>
          </cell>
        </row>
        <row r="480">
          <cell r="A480">
            <v>480000</v>
          </cell>
          <cell r="B480">
            <v>1015</v>
          </cell>
          <cell r="C480">
            <v>-100.11</v>
          </cell>
          <cell r="D480" t="str">
            <v>203</v>
          </cell>
          <cell r="E480" t="str">
            <v>408</v>
          </cell>
          <cell r="F480">
            <v>0</v>
          </cell>
          <cell r="G480">
            <v>1</v>
          </cell>
          <cell r="H480" t="str">
            <v>2006-01-31</v>
          </cell>
        </row>
        <row r="481">
          <cell r="A481">
            <v>480000</v>
          </cell>
          <cell r="B481">
            <v>1015</v>
          </cell>
          <cell r="C481">
            <v>-19280.669999999998</v>
          </cell>
          <cell r="D481" t="str">
            <v>203</v>
          </cell>
          <cell r="E481" t="str">
            <v>408</v>
          </cell>
          <cell r="F481">
            <v>0</v>
          </cell>
          <cell r="G481">
            <v>1</v>
          </cell>
          <cell r="H481" t="str">
            <v>2006-01-31</v>
          </cell>
        </row>
        <row r="482">
          <cell r="A482">
            <v>480001</v>
          </cell>
          <cell r="B482">
            <v>1015</v>
          </cell>
          <cell r="C482">
            <v>439.28</v>
          </cell>
          <cell r="D482" t="str">
            <v>203</v>
          </cell>
          <cell r="E482" t="str">
            <v>408</v>
          </cell>
          <cell r="F482">
            <v>0</v>
          </cell>
          <cell r="G482">
            <v>1</v>
          </cell>
          <cell r="H482" t="str">
            <v>2006-01-31</v>
          </cell>
        </row>
        <row r="483">
          <cell r="A483">
            <v>481004</v>
          </cell>
          <cell r="B483">
            <v>1015</v>
          </cell>
          <cell r="C483">
            <v>-10.49</v>
          </cell>
          <cell r="D483" t="str">
            <v>203</v>
          </cell>
          <cell r="E483" t="str">
            <v>408</v>
          </cell>
          <cell r="F483">
            <v>0</v>
          </cell>
          <cell r="G483">
            <v>1</v>
          </cell>
          <cell r="H483" t="str">
            <v>2006-01-31</v>
          </cell>
        </row>
        <row r="484">
          <cell r="A484">
            <v>481004</v>
          </cell>
          <cell r="B484">
            <v>1015</v>
          </cell>
          <cell r="C484">
            <v>-7607.43</v>
          </cell>
          <cell r="D484" t="str">
            <v>203</v>
          </cell>
          <cell r="E484" t="str">
            <v>408</v>
          </cell>
          <cell r="F484">
            <v>0</v>
          </cell>
          <cell r="G484">
            <v>1</v>
          </cell>
          <cell r="H484" t="str">
            <v>2006-01-31</v>
          </cell>
        </row>
        <row r="485">
          <cell r="A485">
            <v>481004</v>
          </cell>
          <cell r="B485">
            <v>1015</v>
          </cell>
          <cell r="C485">
            <v>-1205.6500000000001</v>
          </cell>
          <cell r="D485" t="str">
            <v>203</v>
          </cell>
          <cell r="E485" t="str">
            <v>408</v>
          </cell>
          <cell r="F485">
            <v>0</v>
          </cell>
          <cell r="G485">
            <v>1</v>
          </cell>
          <cell r="H485" t="str">
            <v>2006-01-31</v>
          </cell>
        </row>
        <row r="486">
          <cell r="A486">
            <v>481004</v>
          </cell>
          <cell r="B486">
            <v>1015</v>
          </cell>
          <cell r="C486">
            <v>-11878.78</v>
          </cell>
          <cell r="D486" t="str">
            <v>203</v>
          </cell>
          <cell r="E486" t="str">
            <v>408</v>
          </cell>
          <cell r="F486">
            <v>0</v>
          </cell>
          <cell r="G486">
            <v>1</v>
          </cell>
          <cell r="H486" t="str">
            <v>2006-01-31</v>
          </cell>
        </row>
        <row r="487">
          <cell r="A487">
            <v>481004</v>
          </cell>
          <cell r="B487">
            <v>1015</v>
          </cell>
          <cell r="C487">
            <v>-9116.49</v>
          </cell>
          <cell r="D487" t="str">
            <v>203</v>
          </cell>
          <cell r="E487" t="str">
            <v>408</v>
          </cell>
          <cell r="F487">
            <v>0</v>
          </cell>
          <cell r="G487">
            <v>1</v>
          </cell>
          <cell r="H487" t="str">
            <v>2006-01-31</v>
          </cell>
        </row>
        <row r="488">
          <cell r="A488">
            <v>481004</v>
          </cell>
          <cell r="B488">
            <v>1015</v>
          </cell>
          <cell r="C488">
            <v>-59.15</v>
          </cell>
          <cell r="D488" t="str">
            <v>203</v>
          </cell>
          <cell r="E488" t="str">
            <v>408</v>
          </cell>
          <cell r="F488">
            <v>0</v>
          </cell>
          <cell r="G488">
            <v>1</v>
          </cell>
          <cell r="H488" t="str">
            <v>2006-01-31</v>
          </cell>
        </row>
        <row r="489">
          <cell r="A489">
            <v>481004</v>
          </cell>
          <cell r="B489">
            <v>1015</v>
          </cell>
          <cell r="C489">
            <v>-241.22</v>
          </cell>
          <cell r="D489" t="str">
            <v>203</v>
          </cell>
          <cell r="E489" t="str">
            <v>408</v>
          </cell>
          <cell r="F489">
            <v>0</v>
          </cell>
          <cell r="G489">
            <v>1</v>
          </cell>
          <cell r="H489" t="str">
            <v>2006-01-31</v>
          </cell>
        </row>
        <row r="490">
          <cell r="A490">
            <v>481004</v>
          </cell>
          <cell r="B490">
            <v>1015</v>
          </cell>
          <cell r="C490">
            <v>-44.86</v>
          </cell>
          <cell r="D490" t="str">
            <v>203</v>
          </cell>
          <cell r="E490" t="str">
            <v>408</v>
          </cell>
          <cell r="F490">
            <v>0</v>
          </cell>
          <cell r="G490">
            <v>1</v>
          </cell>
          <cell r="H490" t="str">
            <v>2006-01-31</v>
          </cell>
        </row>
        <row r="491">
          <cell r="A491">
            <v>481004</v>
          </cell>
          <cell r="B491">
            <v>1015</v>
          </cell>
          <cell r="C491">
            <v>-875.22</v>
          </cell>
          <cell r="D491" t="str">
            <v>203</v>
          </cell>
          <cell r="E491" t="str">
            <v>408</v>
          </cell>
          <cell r="F491">
            <v>0</v>
          </cell>
          <cell r="G491">
            <v>1</v>
          </cell>
          <cell r="H491" t="str">
            <v>2006-01-31</v>
          </cell>
        </row>
        <row r="492">
          <cell r="A492">
            <v>481004</v>
          </cell>
          <cell r="B492">
            <v>1015</v>
          </cell>
          <cell r="C492">
            <v>-2668.18</v>
          </cell>
          <cell r="D492" t="str">
            <v>203</v>
          </cell>
          <cell r="E492" t="str">
            <v>408</v>
          </cell>
          <cell r="F492">
            <v>0</v>
          </cell>
          <cell r="G492">
            <v>1</v>
          </cell>
          <cell r="H492" t="str">
            <v>2006-01-31</v>
          </cell>
        </row>
        <row r="493">
          <cell r="A493">
            <v>481002</v>
          </cell>
          <cell r="B493">
            <v>1015</v>
          </cell>
          <cell r="C493">
            <v>0</v>
          </cell>
          <cell r="D493" t="str">
            <v>203</v>
          </cell>
          <cell r="E493" t="str">
            <v>409</v>
          </cell>
          <cell r="F493">
            <v>0</v>
          </cell>
          <cell r="G493">
            <v>1</v>
          </cell>
          <cell r="H493" t="str">
            <v>2006-01-31</v>
          </cell>
        </row>
        <row r="494">
          <cell r="A494">
            <v>481002</v>
          </cell>
          <cell r="B494">
            <v>1015</v>
          </cell>
          <cell r="C494">
            <v>32989.5</v>
          </cell>
          <cell r="D494" t="str">
            <v>203</v>
          </cell>
          <cell r="E494" t="str">
            <v>411</v>
          </cell>
          <cell r="F494">
            <v>0</v>
          </cell>
          <cell r="G494">
            <v>1</v>
          </cell>
          <cell r="H494" t="str">
            <v>2006-01-31</v>
          </cell>
        </row>
        <row r="495">
          <cell r="A495">
            <v>481002</v>
          </cell>
          <cell r="B495">
            <v>1015</v>
          </cell>
          <cell r="C495">
            <v>-1712.14</v>
          </cell>
          <cell r="D495" t="str">
            <v>203</v>
          </cell>
          <cell r="E495" t="str">
            <v>411</v>
          </cell>
          <cell r="F495">
            <v>0</v>
          </cell>
          <cell r="G495">
            <v>1</v>
          </cell>
          <cell r="H495" t="str">
            <v>2006-01-31</v>
          </cell>
        </row>
        <row r="496">
          <cell r="A496">
            <v>481002</v>
          </cell>
          <cell r="B496">
            <v>1015</v>
          </cell>
          <cell r="C496">
            <v>-1126.92</v>
          </cell>
          <cell r="D496" t="str">
            <v>203</v>
          </cell>
          <cell r="E496" t="str">
            <v>411</v>
          </cell>
          <cell r="F496">
            <v>0</v>
          </cell>
          <cell r="G496">
            <v>1</v>
          </cell>
          <cell r="H496" t="str">
            <v>2006-01-31</v>
          </cell>
        </row>
        <row r="497">
          <cell r="A497">
            <v>481002</v>
          </cell>
          <cell r="B497">
            <v>1015</v>
          </cell>
          <cell r="C497">
            <v>-1429.56</v>
          </cell>
          <cell r="D497" t="str">
            <v>203</v>
          </cell>
          <cell r="E497" t="str">
            <v>411</v>
          </cell>
          <cell r="F497">
            <v>0</v>
          </cell>
          <cell r="G497">
            <v>1</v>
          </cell>
          <cell r="H497" t="str">
            <v>2006-01-31</v>
          </cell>
        </row>
        <row r="498">
          <cell r="A498">
            <v>481002</v>
          </cell>
          <cell r="B498">
            <v>1015</v>
          </cell>
          <cell r="C498">
            <v>-1200.7</v>
          </cell>
          <cell r="D498" t="str">
            <v>203</v>
          </cell>
          <cell r="E498" t="str">
            <v>411</v>
          </cell>
          <cell r="F498">
            <v>0</v>
          </cell>
          <cell r="G498">
            <v>1</v>
          </cell>
          <cell r="H498" t="str">
            <v>2006-01-31</v>
          </cell>
        </row>
        <row r="499">
          <cell r="A499">
            <v>481002</v>
          </cell>
          <cell r="B499">
            <v>1015</v>
          </cell>
          <cell r="C499">
            <v>-0.39</v>
          </cell>
          <cell r="D499" t="str">
            <v>203</v>
          </cell>
          <cell r="E499" t="str">
            <v>411</v>
          </cell>
          <cell r="F499">
            <v>0</v>
          </cell>
          <cell r="G499">
            <v>1</v>
          </cell>
          <cell r="H499" t="str">
            <v>2006-01-31</v>
          </cell>
        </row>
        <row r="500">
          <cell r="A500">
            <v>481002</v>
          </cell>
          <cell r="B500">
            <v>1015</v>
          </cell>
          <cell r="C500">
            <v>-1388.07</v>
          </cell>
          <cell r="D500" t="str">
            <v>203</v>
          </cell>
          <cell r="E500" t="str">
            <v>411</v>
          </cell>
          <cell r="F500">
            <v>0</v>
          </cell>
          <cell r="G500">
            <v>1</v>
          </cell>
          <cell r="H500" t="str">
            <v>2006-01-31</v>
          </cell>
        </row>
        <row r="501">
          <cell r="A501">
            <v>481002</v>
          </cell>
          <cell r="B501">
            <v>1015</v>
          </cell>
          <cell r="C501">
            <v>-577.63</v>
          </cell>
          <cell r="D501" t="str">
            <v>203</v>
          </cell>
          <cell r="E501" t="str">
            <v>411</v>
          </cell>
          <cell r="F501">
            <v>0</v>
          </cell>
          <cell r="G501">
            <v>1</v>
          </cell>
          <cell r="H501" t="str">
            <v>2006-01-31</v>
          </cell>
        </row>
        <row r="502">
          <cell r="A502">
            <v>481002</v>
          </cell>
          <cell r="B502">
            <v>1015</v>
          </cell>
          <cell r="C502">
            <v>-17177.599999999999</v>
          </cell>
          <cell r="D502" t="str">
            <v>203</v>
          </cell>
          <cell r="E502" t="str">
            <v>411</v>
          </cell>
          <cell r="F502">
            <v>0</v>
          </cell>
          <cell r="G502">
            <v>1</v>
          </cell>
          <cell r="H502" t="str">
            <v>2006-01-31</v>
          </cell>
        </row>
        <row r="503">
          <cell r="A503">
            <v>481005</v>
          </cell>
          <cell r="B503">
            <v>1015</v>
          </cell>
          <cell r="C503">
            <v>-61257.85</v>
          </cell>
          <cell r="D503" t="str">
            <v>203</v>
          </cell>
          <cell r="E503" t="str">
            <v>411</v>
          </cell>
          <cell r="F503">
            <v>0</v>
          </cell>
          <cell r="G503">
            <v>1</v>
          </cell>
          <cell r="H503" t="str">
            <v>2006-01-31</v>
          </cell>
        </row>
        <row r="504">
          <cell r="A504">
            <v>481005</v>
          </cell>
          <cell r="B504">
            <v>1015</v>
          </cell>
          <cell r="C504">
            <v>-148.44</v>
          </cell>
          <cell r="D504" t="str">
            <v>203</v>
          </cell>
          <cell r="E504" t="str">
            <v>411</v>
          </cell>
          <cell r="F504">
            <v>0</v>
          </cell>
          <cell r="G504">
            <v>1</v>
          </cell>
          <cell r="H504" t="str">
            <v>2006-01-31</v>
          </cell>
        </row>
        <row r="505">
          <cell r="A505">
            <v>481005</v>
          </cell>
          <cell r="B505">
            <v>1015</v>
          </cell>
          <cell r="C505">
            <v>-1303.78</v>
          </cell>
          <cell r="D505" t="str">
            <v>203</v>
          </cell>
          <cell r="E505" t="str">
            <v>411</v>
          </cell>
          <cell r="F505">
            <v>0</v>
          </cell>
          <cell r="G505">
            <v>1</v>
          </cell>
          <cell r="H505" t="str">
            <v>2006-01-31</v>
          </cell>
        </row>
        <row r="506">
          <cell r="A506">
            <v>481005</v>
          </cell>
          <cell r="B506">
            <v>1015</v>
          </cell>
          <cell r="C506">
            <v>-302.49</v>
          </cell>
          <cell r="D506" t="str">
            <v>203</v>
          </cell>
          <cell r="E506" t="str">
            <v>411</v>
          </cell>
          <cell r="F506">
            <v>0</v>
          </cell>
          <cell r="G506">
            <v>1</v>
          </cell>
          <cell r="H506" t="str">
            <v>2006-01-31</v>
          </cell>
        </row>
        <row r="507">
          <cell r="A507">
            <v>481005</v>
          </cell>
          <cell r="B507">
            <v>1015</v>
          </cell>
          <cell r="C507">
            <v>-1125.57</v>
          </cell>
          <cell r="D507" t="str">
            <v>203</v>
          </cell>
          <cell r="E507" t="str">
            <v>411</v>
          </cell>
          <cell r="F507">
            <v>0</v>
          </cell>
          <cell r="G507">
            <v>1</v>
          </cell>
          <cell r="H507" t="str">
            <v>2006-01-31</v>
          </cell>
        </row>
        <row r="508">
          <cell r="A508">
            <v>481005</v>
          </cell>
          <cell r="B508">
            <v>1015</v>
          </cell>
          <cell r="C508">
            <v>-262.70999999999998</v>
          </cell>
          <cell r="D508" t="str">
            <v>203</v>
          </cell>
          <cell r="E508" t="str">
            <v>411</v>
          </cell>
          <cell r="F508">
            <v>0</v>
          </cell>
          <cell r="G508">
            <v>1</v>
          </cell>
          <cell r="H508" t="str">
            <v>2006-01-31</v>
          </cell>
        </row>
        <row r="509">
          <cell r="A509">
            <v>481005</v>
          </cell>
          <cell r="B509">
            <v>1015</v>
          </cell>
          <cell r="C509">
            <v>-510.96</v>
          </cell>
          <cell r="D509" t="str">
            <v>203</v>
          </cell>
          <cell r="E509" t="str">
            <v>411</v>
          </cell>
          <cell r="F509">
            <v>0</v>
          </cell>
          <cell r="G509">
            <v>1</v>
          </cell>
          <cell r="H509" t="str">
            <v>2006-01-31</v>
          </cell>
        </row>
        <row r="510">
          <cell r="A510">
            <v>481005</v>
          </cell>
          <cell r="B510">
            <v>1015</v>
          </cell>
          <cell r="C510">
            <v>-1836.35</v>
          </cell>
          <cell r="D510" t="str">
            <v>203</v>
          </cell>
          <cell r="E510" t="str">
            <v>411</v>
          </cell>
          <cell r="F510">
            <v>0</v>
          </cell>
          <cell r="G510">
            <v>1</v>
          </cell>
          <cell r="H510" t="str">
            <v>2006-01-31</v>
          </cell>
        </row>
        <row r="511">
          <cell r="A511">
            <v>481005</v>
          </cell>
          <cell r="B511">
            <v>1015</v>
          </cell>
          <cell r="C511">
            <v>-415.47</v>
          </cell>
          <cell r="D511" t="str">
            <v>203</v>
          </cell>
          <cell r="E511" t="str">
            <v>411</v>
          </cell>
          <cell r="F511">
            <v>0</v>
          </cell>
          <cell r="G511">
            <v>1</v>
          </cell>
          <cell r="H511" t="str">
            <v>2006-01-31</v>
          </cell>
        </row>
        <row r="512">
          <cell r="A512">
            <v>481005</v>
          </cell>
          <cell r="B512">
            <v>1015</v>
          </cell>
          <cell r="C512">
            <v>-3658.54</v>
          </cell>
          <cell r="D512" t="str">
            <v>203</v>
          </cell>
          <cell r="E512" t="str">
            <v>411</v>
          </cell>
          <cell r="F512">
            <v>0</v>
          </cell>
          <cell r="G512">
            <v>1</v>
          </cell>
          <cell r="H512" t="str">
            <v>2006-01-31</v>
          </cell>
        </row>
        <row r="513">
          <cell r="A513">
            <v>481002</v>
          </cell>
          <cell r="B513">
            <v>1015</v>
          </cell>
          <cell r="C513">
            <v>3954.74</v>
          </cell>
          <cell r="D513" t="str">
            <v>203</v>
          </cell>
          <cell r="E513" t="str">
            <v>414</v>
          </cell>
          <cell r="F513">
            <v>0</v>
          </cell>
          <cell r="G513">
            <v>1</v>
          </cell>
          <cell r="H513" t="str">
            <v>2006-01-31</v>
          </cell>
        </row>
        <row r="514">
          <cell r="A514">
            <v>481002</v>
          </cell>
          <cell r="B514">
            <v>1015</v>
          </cell>
          <cell r="C514">
            <v>0</v>
          </cell>
          <cell r="D514" t="str">
            <v>203</v>
          </cell>
          <cell r="E514" t="str">
            <v>414</v>
          </cell>
          <cell r="F514">
            <v>0</v>
          </cell>
          <cell r="G514">
            <v>1</v>
          </cell>
          <cell r="H514" t="str">
            <v>2006-01-31</v>
          </cell>
        </row>
        <row r="515">
          <cell r="A515">
            <v>481002</v>
          </cell>
          <cell r="B515">
            <v>1015</v>
          </cell>
          <cell r="C515">
            <v>-1627.64</v>
          </cell>
          <cell r="D515" t="str">
            <v>203</v>
          </cell>
          <cell r="E515" t="str">
            <v>414</v>
          </cell>
          <cell r="F515">
            <v>0</v>
          </cell>
          <cell r="G515">
            <v>1</v>
          </cell>
          <cell r="H515" t="str">
            <v>2006-01-31</v>
          </cell>
        </row>
        <row r="516">
          <cell r="A516">
            <v>481002</v>
          </cell>
          <cell r="B516">
            <v>1015</v>
          </cell>
          <cell r="C516">
            <v>-97.94</v>
          </cell>
          <cell r="D516" t="str">
            <v>203</v>
          </cell>
          <cell r="E516" t="str">
            <v>414</v>
          </cell>
          <cell r="F516">
            <v>0</v>
          </cell>
          <cell r="G516">
            <v>1</v>
          </cell>
          <cell r="H516" t="str">
            <v>2006-01-31</v>
          </cell>
        </row>
        <row r="517">
          <cell r="A517">
            <v>481002</v>
          </cell>
          <cell r="B517">
            <v>1015</v>
          </cell>
          <cell r="C517">
            <v>-2108.4899999999998</v>
          </cell>
          <cell r="D517" t="str">
            <v>203</v>
          </cell>
          <cell r="E517" t="str">
            <v>414</v>
          </cell>
          <cell r="F517">
            <v>0</v>
          </cell>
          <cell r="G517">
            <v>1</v>
          </cell>
          <cell r="H517" t="str">
            <v>2006-01-31</v>
          </cell>
        </row>
        <row r="518">
          <cell r="A518">
            <v>481005</v>
          </cell>
          <cell r="B518">
            <v>1015</v>
          </cell>
          <cell r="C518">
            <v>-6557.17</v>
          </cell>
          <cell r="D518" t="str">
            <v>203</v>
          </cell>
          <cell r="E518" t="str">
            <v>414</v>
          </cell>
          <cell r="F518">
            <v>0</v>
          </cell>
          <cell r="G518">
            <v>1</v>
          </cell>
          <cell r="H518" t="str">
            <v>2006-01-31</v>
          </cell>
        </row>
        <row r="519">
          <cell r="A519">
            <v>481005</v>
          </cell>
          <cell r="B519">
            <v>1015</v>
          </cell>
          <cell r="C519">
            <v>-181.88</v>
          </cell>
          <cell r="D519" t="str">
            <v>203</v>
          </cell>
          <cell r="E519" t="str">
            <v>414</v>
          </cell>
          <cell r="F519">
            <v>0</v>
          </cell>
          <cell r="G519">
            <v>1</v>
          </cell>
          <cell r="H519" t="str">
            <v>2006-01-31</v>
          </cell>
        </row>
        <row r="520">
          <cell r="A520">
            <v>481000</v>
          </cell>
          <cell r="B520">
            <v>1015</v>
          </cell>
          <cell r="C520">
            <v>0</v>
          </cell>
          <cell r="D520" t="str">
            <v>203</v>
          </cell>
          <cell r="E520" t="str">
            <v>451</v>
          </cell>
          <cell r="F520">
            <v>0</v>
          </cell>
          <cell r="G520">
            <v>1</v>
          </cell>
          <cell r="H520" t="str">
            <v>2006-01-31</v>
          </cell>
        </row>
        <row r="521">
          <cell r="A521">
            <v>481004</v>
          </cell>
          <cell r="B521">
            <v>1015</v>
          </cell>
          <cell r="C521">
            <v>0</v>
          </cell>
          <cell r="D521" t="str">
            <v>203</v>
          </cell>
          <cell r="E521" t="str">
            <v>451</v>
          </cell>
          <cell r="F521">
            <v>0</v>
          </cell>
          <cell r="G521">
            <v>1</v>
          </cell>
          <cell r="H521" t="str">
            <v>2006-01-31</v>
          </cell>
        </row>
        <row r="522">
          <cell r="A522">
            <v>480001</v>
          </cell>
          <cell r="B522">
            <v>1015</v>
          </cell>
          <cell r="C522">
            <v>0</v>
          </cell>
          <cell r="D522" t="str">
            <v>203</v>
          </cell>
          <cell r="E522" t="str">
            <v>453</v>
          </cell>
          <cell r="F522">
            <v>0</v>
          </cell>
          <cell r="G522">
            <v>1</v>
          </cell>
          <cell r="H522" t="str">
            <v>2006-01-31</v>
          </cell>
        </row>
        <row r="523">
          <cell r="A523">
            <v>480001</v>
          </cell>
          <cell r="B523">
            <v>1015</v>
          </cell>
          <cell r="C523">
            <v>0</v>
          </cell>
          <cell r="D523" t="str">
            <v>203</v>
          </cell>
          <cell r="E523" t="str">
            <v>455</v>
          </cell>
          <cell r="F523">
            <v>0</v>
          </cell>
          <cell r="G523">
            <v>1</v>
          </cell>
          <cell r="H523" t="str">
            <v>2006-01-31</v>
          </cell>
        </row>
        <row r="524">
          <cell r="A524">
            <v>481002</v>
          </cell>
          <cell r="B524">
            <v>1015</v>
          </cell>
          <cell r="C524">
            <v>0</v>
          </cell>
          <cell r="D524" t="str">
            <v>203</v>
          </cell>
          <cell r="E524" t="str">
            <v>456</v>
          </cell>
          <cell r="F524">
            <v>0</v>
          </cell>
          <cell r="G524">
            <v>1</v>
          </cell>
          <cell r="H524" t="str">
            <v>2006-01-31</v>
          </cell>
        </row>
        <row r="525">
          <cell r="A525">
            <v>481002</v>
          </cell>
          <cell r="B525">
            <v>1015</v>
          </cell>
          <cell r="C525">
            <v>-3689.42</v>
          </cell>
          <cell r="D525" t="str">
            <v>203</v>
          </cell>
          <cell r="E525" t="str">
            <v>457</v>
          </cell>
          <cell r="F525">
            <v>0</v>
          </cell>
          <cell r="G525">
            <v>1</v>
          </cell>
          <cell r="H525" t="str">
            <v>2006-01-31</v>
          </cell>
        </row>
        <row r="526">
          <cell r="A526">
            <v>481005</v>
          </cell>
          <cell r="B526">
            <v>1015</v>
          </cell>
          <cell r="C526">
            <v>-5925.3</v>
          </cell>
          <cell r="D526" t="str">
            <v>203</v>
          </cell>
          <cell r="E526" t="str">
            <v>457</v>
          </cell>
          <cell r="F526">
            <v>0</v>
          </cell>
          <cell r="G526">
            <v>1</v>
          </cell>
          <cell r="H526" t="str">
            <v>2006-01-31</v>
          </cell>
        </row>
        <row r="527">
          <cell r="A527">
            <v>489300</v>
          </cell>
          <cell r="B527">
            <v>1015</v>
          </cell>
          <cell r="C527">
            <v>-60469.26</v>
          </cell>
          <cell r="D527" t="str">
            <v>250</v>
          </cell>
          <cell r="E527" t="str">
            <v>405</v>
          </cell>
          <cell r="F527">
            <v>-326858</v>
          </cell>
          <cell r="G527">
            <v>1</v>
          </cell>
          <cell r="H527" t="str">
            <v>2006-01-31</v>
          </cell>
        </row>
        <row r="528">
          <cell r="A528">
            <v>489300</v>
          </cell>
          <cell r="B528">
            <v>1015</v>
          </cell>
          <cell r="C528">
            <v>63496.85</v>
          </cell>
          <cell r="D528" t="str">
            <v>250</v>
          </cell>
          <cell r="E528" t="str">
            <v>405</v>
          </cell>
          <cell r="F528">
            <v>355462</v>
          </cell>
          <cell r="G528">
            <v>1</v>
          </cell>
          <cell r="H528" t="str">
            <v>2006-01-31</v>
          </cell>
        </row>
        <row r="529">
          <cell r="A529">
            <v>489300</v>
          </cell>
          <cell r="B529">
            <v>1015</v>
          </cell>
          <cell r="C529">
            <v>-1.75</v>
          </cell>
          <cell r="D529" t="str">
            <v>250</v>
          </cell>
          <cell r="E529" t="str">
            <v>405</v>
          </cell>
          <cell r="F529">
            <v>0</v>
          </cell>
          <cell r="G529">
            <v>1</v>
          </cell>
          <cell r="H529" t="str">
            <v>2006-01-31</v>
          </cell>
        </row>
        <row r="530">
          <cell r="A530">
            <v>489300</v>
          </cell>
          <cell r="B530">
            <v>1015</v>
          </cell>
          <cell r="C530">
            <v>0.73</v>
          </cell>
          <cell r="D530" t="str">
            <v>250</v>
          </cell>
          <cell r="E530" t="str">
            <v>405</v>
          </cell>
          <cell r="F530">
            <v>0</v>
          </cell>
          <cell r="G530">
            <v>1</v>
          </cell>
          <cell r="H530" t="str">
            <v>2006-01-31</v>
          </cell>
        </row>
        <row r="531">
          <cell r="A531">
            <v>489300</v>
          </cell>
          <cell r="B531">
            <v>1015</v>
          </cell>
          <cell r="C531">
            <v>-2952.95</v>
          </cell>
          <cell r="D531" t="str">
            <v>250</v>
          </cell>
          <cell r="E531" t="str">
            <v>405</v>
          </cell>
          <cell r="F531">
            <v>0</v>
          </cell>
          <cell r="G531">
            <v>1</v>
          </cell>
          <cell r="H531" t="str">
            <v>2006-01-31</v>
          </cell>
        </row>
        <row r="532">
          <cell r="A532">
            <v>489300</v>
          </cell>
          <cell r="B532">
            <v>1015</v>
          </cell>
          <cell r="C532">
            <v>-115391.58</v>
          </cell>
          <cell r="D532" t="str">
            <v>250</v>
          </cell>
          <cell r="E532" t="str">
            <v>405</v>
          </cell>
          <cell r="F532">
            <v>-648164</v>
          </cell>
          <cell r="G532">
            <v>1</v>
          </cell>
          <cell r="H532" t="str">
            <v>2006-01-31</v>
          </cell>
        </row>
        <row r="533">
          <cell r="A533">
            <v>489304</v>
          </cell>
          <cell r="B533">
            <v>1015</v>
          </cell>
          <cell r="C533">
            <v>-32558.23</v>
          </cell>
          <cell r="D533" t="str">
            <v>250</v>
          </cell>
          <cell r="E533" t="str">
            <v>405</v>
          </cell>
          <cell r="F533">
            <v>-178720</v>
          </cell>
          <cell r="G533">
            <v>1</v>
          </cell>
          <cell r="H533" t="str">
            <v>2006-01-31</v>
          </cell>
        </row>
        <row r="534">
          <cell r="A534">
            <v>489304</v>
          </cell>
          <cell r="B534">
            <v>1015</v>
          </cell>
          <cell r="C534">
            <v>51894.73</v>
          </cell>
          <cell r="D534" t="str">
            <v>250</v>
          </cell>
          <cell r="E534" t="str">
            <v>405</v>
          </cell>
          <cell r="F534">
            <v>292702</v>
          </cell>
          <cell r="G534">
            <v>1</v>
          </cell>
          <cell r="H534" t="str">
            <v>2006-01-31</v>
          </cell>
        </row>
        <row r="535">
          <cell r="A535">
            <v>489300</v>
          </cell>
          <cell r="B535">
            <v>1015</v>
          </cell>
          <cell r="C535">
            <v>-79549.09</v>
          </cell>
          <cell r="D535" t="str">
            <v>250</v>
          </cell>
          <cell r="E535" t="str">
            <v>405</v>
          </cell>
          <cell r="F535">
            <v>-328298</v>
          </cell>
          <cell r="G535">
            <v>1</v>
          </cell>
          <cell r="H535" t="str">
            <v>2006-01-31</v>
          </cell>
        </row>
        <row r="536">
          <cell r="A536">
            <v>489300</v>
          </cell>
          <cell r="B536">
            <v>1015</v>
          </cell>
          <cell r="C536">
            <v>77113.789999999994</v>
          </cell>
          <cell r="D536" t="str">
            <v>250</v>
          </cell>
          <cell r="E536" t="str">
            <v>405</v>
          </cell>
          <cell r="F536">
            <v>315019</v>
          </cell>
          <cell r="G536">
            <v>1</v>
          </cell>
          <cell r="H536" t="str">
            <v>2006-01-31</v>
          </cell>
        </row>
        <row r="537">
          <cell r="A537">
            <v>489300</v>
          </cell>
          <cell r="B537">
            <v>1015</v>
          </cell>
          <cell r="C537">
            <v>-482.4</v>
          </cell>
          <cell r="D537" t="str">
            <v>250</v>
          </cell>
          <cell r="E537" t="str">
            <v>405</v>
          </cell>
          <cell r="F537">
            <v>0</v>
          </cell>
          <cell r="G537">
            <v>1</v>
          </cell>
          <cell r="H537" t="str">
            <v>2006-01-31</v>
          </cell>
        </row>
        <row r="538">
          <cell r="A538">
            <v>489300</v>
          </cell>
          <cell r="B538">
            <v>1015</v>
          </cell>
          <cell r="C538">
            <v>-27583.200000000001</v>
          </cell>
          <cell r="D538" t="str">
            <v>250</v>
          </cell>
          <cell r="E538" t="str">
            <v>405</v>
          </cell>
          <cell r="F538">
            <v>0</v>
          </cell>
          <cell r="G538">
            <v>1</v>
          </cell>
          <cell r="H538" t="str">
            <v>2006-01-31</v>
          </cell>
        </row>
        <row r="539">
          <cell r="A539">
            <v>489300</v>
          </cell>
          <cell r="B539">
            <v>1015</v>
          </cell>
          <cell r="C539">
            <v>-115872.74</v>
          </cell>
          <cell r="D539" t="str">
            <v>250</v>
          </cell>
          <cell r="E539" t="str">
            <v>405</v>
          </cell>
          <cell r="F539">
            <v>-523905</v>
          </cell>
          <cell r="G539">
            <v>1</v>
          </cell>
          <cell r="H539" t="str">
            <v>2006-01-31</v>
          </cell>
        </row>
        <row r="540">
          <cell r="A540">
            <v>489304</v>
          </cell>
          <cell r="B540">
            <v>1015</v>
          </cell>
          <cell r="C540">
            <v>-42930.05</v>
          </cell>
          <cell r="D540" t="str">
            <v>250</v>
          </cell>
          <cell r="E540" t="str">
            <v>405</v>
          </cell>
          <cell r="F540">
            <v>-224361</v>
          </cell>
          <cell r="G540">
            <v>1</v>
          </cell>
          <cell r="H540" t="str">
            <v>2006-01-31</v>
          </cell>
        </row>
        <row r="541">
          <cell r="A541">
            <v>489304</v>
          </cell>
          <cell r="B541">
            <v>1015</v>
          </cell>
          <cell r="C541">
            <v>41609.22</v>
          </cell>
          <cell r="D541" t="str">
            <v>250</v>
          </cell>
          <cell r="E541" t="str">
            <v>405</v>
          </cell>
          <cell r="F541">
            <v>215946</v>
          </cell>
          <cell r="G541">
            <v>1</v>
          </cell>
          <cell r="H541" t="str">
            <v>2006-01-31</v>
          </cell>
        </row>
        <row r="542">
          <cell r="A542">
            <v>489304</v>
          </cell>
          <cell r="B542">
            <v>1015</v>
          </cell>
          <cell r="C542">
            <v>-2850.27</v>
          </cell>
          <cell r="D542" t="str">
            <v>250</v>
          </cell>
          <cell r="E542" t="str">
            <v>405</v>
          </cell>
          <cell r="F542">
            <v>-7060</v>
          </cell>
          <cell r="G542">
            <v>1</v>
          </cell>
          <cell r="H542" t="str">
            <v>2006-01-31</v>
          </cell>
        </row>
        <row r="543">
          <cell r="A543">
            <v>489300</v>
          </cell>
          <cell r="B543">
            <v>1015</v>
          </cell>
          <cell r="C543">
            <v>-202946.29</v>
          </cell>
          <cell r="D543" t="str">
            <v>250</v>
          </cell>
          <cell r="E543" t="str">
            <v>415</v>
          </cell>
          <cell r="F543">
            <v>-1421071</v>
          </cell>
          <cell r="G543">
            <v>1</v>
          </cell>
          <cell r="H543" t="str">
            <v>2006-01-31</v>
          </cell>
        </row>
        <row r="544">
          <cell r="A544">
            <v>489300</v>
          </cell>
          <cell r="B544">
            <v>1015</v>
          </cell>
          <cell r="C544">
            <v>202186.96</v>
          </cell>
          <cell r="D544" t="str">
            <v>250</v>
          </cell>
          <cell r="E544" t="str">
            <v>415</v>
          </cell>
          <cell r="F544">
            <v>1415434</v>
          </cell>
          <cell r="G544">
            <v>1</v>
          </cell>
          <cell r="H544" t="str">
            <v>2006-01-31</v>
          </cell>
        </row>
        <row r="545">
          <cell r="A545">
            <v>489300</v>
          </cell>
          <cell r="B545">
            <v>1015</v>
          </cell>
          <cell r="C545">
            <v>-40795.550000000003</v>
          </cell>
          <cell r="D545" t="str">
            <v>250</v>
          </cell>
          <cell r="E545" t="str">
            <v>415</v>
          </cell>
          <cell r="F545">
            <v>0</v>
          </cell>
          <cell r="G545">
            <v>1</v>
          </cell>
          <cell r="H545" t="str">
            <v>2006-01-31</v>
          </cell>
        </row>
        <row r="546">
          <cell r="A546">
            <v>489300</v>
          </cell>
          <cell r="B546">
            <v>1015</v>
          </cell>
          <cell r="C546">
            <v>-250228.92</v>
          </cell>
          <cell r="D546" t="str">
            <v>250</v>
          </cell>
          <cell r="E546" t="str">
            <v>415</v>
          </cell>
          <cell r="F546">
            <v>-1679168</v>
          </cell>
          <cell r="G546">
            <v>1</v>
          </cell>
          <cell r="H546" t="str">
            <v>2006-01-31</v>
          </cell>
        </row>
        <row r="547">
          <cell r="A547">
            <v>489300</v>
          </cell>
          <cell r="B547">
            <v>4015</v>
          </cell>
          <cell r="C547">
            <v>0</v>
          </cell>
          <cell r="D547" t="str">
            <v>250</v>
          </cell>
          <cell r="E547" t="str">
            <v>415</v>
          </cell>
          <cell r="F547">
            <v>0</v>
          </cell>
          <cell r="G547">
            <v>1</v>
          </cell>
          <cell r="H547" t="str">
            <v>2006-01-31</v>
          </cell>
        </row>
        <row r="548">
          <cell r="A548">
            <v>489304</v>
          </cell>
          <cell r="B548">
            <v>1015</v>
          </cell>
          <cell r="C548">
            <v>-83924.68</v>
          </cell>
          <cell r="D548" t="str">
            <v>250</v>
          </cell>
          <cell r="E548" t="str">
            <v>415</v>
          </cell>
          <cell r="F548">
            <v>-487278</v>
          </cell>
          <cell r="G548">
            <v>1</v>
          </cell>
          <cell r="H548" t="str">
            <v>2006-01-31</v>
          </cell>
        </row>
        <row r="549">
          <cell r="A549">
            <v>489304</v>
          </cell>
          <cell r="B549">
            <v>1015</v>
          </cell>
          <cell r="C549">
            <v>93089.77</v>
          </cell>
          <cell r="D549" t="str">
            <v>250</v>
          </cell>
          <cell r="E549" t="str">
            <v>415</v>
          </cell>
          <cell r="F549">
            <v>542164</v>
          </cell>
          <cell r="G549">
            <v>1</v>
          </cell>
          <cell r="H549" t="str">
            <v>2006-01-31</v>
          </cell>
        </row>
        <row r="550">
          <cell r="A550">
            <v>489304</v>
          </cell>
          <cell r="B550">
            <v>1015</v>
          </cell>
          <cell r="C550">
            <v>-42497.79</v>
          </cell>
          <cell r="D550" t="str">
            <v>250</v>
          </cell>
          <cell r="E550" t="str">
            <v>415</v>
          </cell>
          <cell r="F550">
            <v>-278430</v>
          </cell>
          <cell r="G550">
            <v>1</v>
          </cell>
          <cell r="H550" t="str">
            <v>2006-01-31</v>
          </cell>
        </row>
        <row r="551">
          <cell r="A551">
            <v>489300</v>
          </cell>
          <cell r="B551">
            <v>1015</v>
          </cell>
          <cell r="C551">
            <v>0</v>
          </cell>
          <cell r="D551" t="str">
            <v>250</v>
          </cell>
          <cell r="E551" t="str">
            <v>416</v>
          </cell>
          <cell r="F551">
            <v>0</v>
          </cell>
          <cell r="G551">
            <v>1</v>
          </cell>
          <cell r="H551" t="str">
            <v>2006-01-31</v>
          </cell>
        </row>
        <row r="552">
          <cell r="A552">
            <v>489300</v>
          </cell>
          <cell r="B552">
            <v>1015</v>
          </cell>
          <cell r="C552">
            <v>0</v>
          </cell>
          <cell r="D552" t="str">
            <v>250</v>
          </cell>
          <cell r="E552" t="str">
            <v>416</v>
          </cell>
          <cell r="F552">
            <v>0</v>
          </cell>
          <cell r="G552">
            <v>1</v>
          </cell>
          <cell r="H552" t="str">
            <v>2006-01-31</v>
          </cell>
        </row>
        <row r="553">
          <cell r="A553">
            <v>489304</v>
          </cell>
          <cell r="B553">
            <v>1015</v>
          </cell>
          <cell r="C553">
            <v>-1903.51</v>
          </cell>
          <cell r="D553" t="str">
            <v>250</v>
          </cell>
          <cell r="E553" t="str">
            <v>416</v>
          </cell>
          <cell r="F553">
            <v>-3600</v>
          </cell>
          <cell r="G553">
            <v>1</v>
          </cell>
          <cell r="H553" t="str">
            <v>2006-01-31</v>
          </cell>
        </row>
        <row r="554">
          <cell r="A554">
            <v>489304</v>
          </cell>
          <cell r="B554">
            <v>1015</v>
          </cell>
          <cell r="C554">
            <v>1909.38</v>
          </cell>
          <cell r="D554" t="str">
            <v>250</v>
          </cell>
          <cell r="E554" t="str">
            <v>416</v>
          </cell>
          <cell r="F554">
            <v>3615</v>
          </cell>
          <cell r="G554">
            <v>1</v>
          </cell>
          <cell r="H554" t="str">
            <v>2006-01-31</v>
          </cell>
        </row>
        <row r="555">
          <cell r="A555">
            <v>489304</v>
          </cell>
          <cell r="B555">
            <v>1015</v>
          </cell>
          <cell r="C555">
            <v>-1909.38</v>
          </cell>
          <cell r="D555" t="str">
            <v>250</v>
          </cell>
          <cell r="E555" t="str">
            <v>416</v>
          </cell>
          <cell r="F555">
            <v>-3615</v>
          </cell>
          <cell r="G555">
            <v>1</v>
          </cell>
          <cell r="H555" t="str">
            <v>2006-01-31</v>
          </cell>
        </row>
        <row r="556">
          <cell r="A556">
            <v>489300</v>
          </cell>
          <cell r="B556">
            <v>1015</v>
          </cell>
          <cell r="C556">
            <v>-4356.42</v>
          </cell>
          <cell r="D556" t="str">
            <v>250</v>
          </cell>
          <cell r="E556" t="str">
            <v>458</v>
          </cell>
          <cell r="F556">
            <v>-34272</v>
          </cell>
          <cell r="G556">
            <v>1</v>
          </cell>
          <cell r="H556" t="str">
            <v>2006-01-31</v>
          </cell>
        </row>
        <row r="557">
          <cell r="A557">
            <v>489300</v>
          </cell>
          <cell r="B557">
            <v>1015</v>
          </cell>
          <cell r="C557">
            <v>6014.8</v>
          </cell>
          <cell r="D557" t="str">
            <v>250</v>
          </cell>
          <cell r="E557" t="str">
            <v>458</v>
          </cell>
          <cell r="F557">
            <v>71145</v>
          </cell>
          <cell r="G557">
            <v>1</v>
          </cell>
          <cell r="H557" t="str">
            <v>2006-01-31</v>
          </cell>
        </row>
        <row r="558">
          <cell r="A558">
            <v>489300</v>
          </cell>
          <cell r="B558">
            <v>1015</v>
          </cell>
          <cell r="C558">
            <v>-3026.42</v>
          </cell>
          <cell r="D558" t="str">
            <v>250</v>
          </cell>
          <cell r="E558" t="str">
            <v>458</v>
          </cell>
          <cell r="F558">
            <v>0</v>
          </cell>
          <cell r="G558">
            <v>1</v>
          </cell>
          <cell r="H558" t="str">
            <v>2006-01-31</v>
          </cell>
        </row>
        <row r="559">
          <cell r="A559">
            <v>489300</v>
          </cell>
          <cell r="B559">
            <v>1015</v>
          </cell>
          <cell r="C559">
            <v>-6014.8</v>
          </cell>
          <cell r="D559" t="str">
            <v>250</v>
          </cell>
          <cell r="E559" t="str">
            <v>458</v>
          </cell>
          <cell r="F559">
            <v>-71145</v>
          </cell>
          <cell r="G559">
            <v>1</v>
          </cell>
          <cell r="H559" t="str">
            <v>2006-01-31</v>
          </cell>
        </row>
        <row r="560">
          <cell r="A560">
            <v>489304</v>
          </cell>
          <cell r="B560">
            <v>1015</v>
          </cell>
          <cell r="C560">
            <v>-1559.9</v>
          </cell>
          <cell r="D560" t="str">
            <v>250</v>
          </cell>
          <cell r="E560" t="str">
            <v>458</v>
          </cell>
          <cell r="F560">
            <v>-4863</v>
          </cell>
          <cell r="G560">
            <v>1</v>
          </cell>
          <cell r="H560" t="str">
            <v>2006-01-31</v>
          </cell>
        </row>
        <row r="561">
          <cell r="A561">
            <v>489304</v>
          </cell>
          <cell r="B561">
            <v>1015</v>
          </cell>
          <cell r="C561">
            <v>1580.6</v>
          </cell>
          <cell r="D561" t="str">
            <v>250</v>
          </cell>
          <cell r="E561" t="str">
            <v>458</v>
          </cell>
          <cell r="F561">
            <v>4932</v>
          </cell>
          <cell r="G561">
            <v>1</v>
          </cell>
          <cell r="H561" t="str">
            <v>2006-01-31</v>
          </cell>
        </row>
        <row r="562">
          <cell r="A562">
            <v>489304</v>
          </cell>
          <cell r="B562">
            <v>1015</v>
          </cell>
          <cell r="C562">
            <v>-1580.6</v>
          </cell>
          <cell r="D562" t="str">
            <v>250</v>
          </cell>
          <cell r="E562" t="str">
            <v>458</v>
          </cell>
          <cell r="F562">
            <v>-4932</v>
          </cell>
          <cell r="G562">
            <v>1</v>
          </cell>
          <cell r="H562" t="str">
            <v>2006-01-31</v>
          </cell>
        </row>
        <row r="563">
          <cell r="A563">
            <v>489300</v>
          </cell>
          <cell r="B563">
            <v>1015</v>
          </cell>
          <cell r="C563">
            <v>-2047.51</v>
          </cell>
          <cell r="D563" t="str">
            <v>250</v>
          </cell>
          <cell r="E563" t="str">
            <v>459</v>
          </cell>
          <cell r="F563">
            <v>-7900</v>
          </cell>
          <cell r="G563">
            <v>1</v>
          </cell>
          <cell r="H563" t="str">
            <v>2006-01-31</v>
          </cell>
        </row>
        <row r="564">
          <cell r="A564">
            <v>489300</v>
          </cell>
          <cell r="B564">
            <v>1015</v>
          </cell>
          <cell r="C564">
            <v>2224.54</v>
          </cell>
          <cell r="D564" t="str">
            <v>250</v>
          </cell>
          <cell r="E564" t="str">
            <v>459</v>
          </cell>
          <cell r="F564">
            <v>9464</v>
          </cell>
          <cell r="G564">
            <v>1</v>
          </cell>
          <cell r="H564" t="str">
            <v>2006-01-31</v>
          </cell>
        </row>
        <row r="565">
          <cell r="A565">
            <v>489300</v>
          </cell>
          <cell r="B565">
            <v>1015</v>
          </cell>
          <cell r="C565">
            <v>-2224.54</v>
          </cell>
          <cell r="D565" t="str">
            <v>250</v>
          </cell>
          <cell r="E565" t="str">
            <v>459</v>
          </cell>
          <cell r="F565">
            <v>-9464</v>
          </cell>
          <cell r="G565">
            <v>1</v>
          </cell>
          <cell r="H565" t="str">
            <v>2006-01-31</v>
          </cell>
        </row>
        <row r="566">
          <cell r="A566">
            <v>489304</v>
          </cell>
          <cell r="B566">
            <v>1015</v>
          </cell>
          <cell r="C566">
            <v>0</v>
          </cell>
          <cell r="D566" t="str">
            <v>250</v>
          </cell>
          <cell r="E566" t="str">
            <v>459</v>
          </cell>
          <cell r="F566">
            <v>0</v>
          </cell>
          <cell r="G566">
            <v>1</v>
          </cell>
          <cell r="H566" t="str">
            <v>2006-01-31</v>
          </cell>
        </row>
        <row r="567">
          <cell r="A567">
            <v>489304</v>
          </cell>
          <cell r="B567">
            <v>1015</v>
          </cell>
          <cell r="C567">
            <v>0</v>
          </cell>
          <cell r="D567" t="str">
            <v>250</v>
          </cell>
          <cell r="E567" t="str">
            <v>459</v>
          </cell>
          <cell r="F567">
            <v>0</v>
          </cell>
          <cell r="G567">
            <v>1</v>
          </cell>
          <cell r="H567" t="str">
            <v>2006-01-31</v>
          </cell>
        </row>
        <row r="568">
          <cell r="A568">
            <v>480000</v>
          </cell>
          <cell r="B568">
            <v>1015</v>
          </cell>
          <cell r="C568">
            <v>-406551.69</v>
          </cell>
          <cell r="D568" t="str">
            <v>205</v>
          </cell>
          <cell r="E568" t="str">
            <v>407</v>
          </cell>
          <cell r="F568">
            <v>0</v>
          </cell>
          <cell r="G568">
            <v>1</v>
          </cell>
          <cell r="H568" t="str">
            <v>2006-01-31</v>
          </cell>
        </row>
        <row r="569">
          <cell r="A569">
            <v>480000</v>
          </cell>
          <cell r="B569">
            <v>1015</v>
          </cell>
          <cell r="C569">
            <v>-290381.90999999997</v>
          </cell>
          <cell r="D569" t="str">
            <v>205</v>
          </cell>
          <cell r="E569" t="str">
            <v>407</v>
          </cell>
          <cell r="F569">
            <v>0</v>
          </cell>
          <cell r="G569">
            <v>1</v>
          </cell>
          <cell r="H569" t="str">
            <v>2006-01-31</v>
          </cell>
        </row>
        <row r="570">
          <cell r="A570">
            <v>480000</v>
          </cell>
          <cell r="B570">
            <v>1015</v>
          </cell>
          <cell r="C570">
            <v>-175048.29</v>
          </cell>
          <cell r="D570" t="str">
            <v>205</v>
          </cell>
          <cell r="E570" t="str">
            <v>407</v>
          </cell>
          <cell r="F570">
            <v>0</v>
          </cell>
          <cell r="G570">
            <v>1</v>
          </cell>
          <cell r="H570" t="str">
            <v>2006-01-31</v>
          </cell>
        </row>
        <row r="571">
          <cell r="A571">
            <v>480000</v>
          </cell>
          <cell r="B571">
            <v>1015</v>
          </cell>
          <cell r="C571">
            <v>-455448.99</v>
          </cell>
          <cell r="D571" t="str">
            <v>205</v>
          </cell>
          <cell r="E571" t="str">
            <v>407</v>
          </cell>
          <cell r="F571">
            <v>0</v>
          </cell>
          <cell r="G571">
            <v>1</v>
          </cell>
          <cell r="H571" t="str">
            <v>2006-01-31</v>
          </cell>
        </row>
        <row r="572">
          <cell r="A572">
            <v>480000</v>
          </cell>
          <cell r="B572">
            <v>1015</v>
          </cell>
          <cell r="C572">
            <v>-316372</v>
          </cell>
          <cell r="D572" t="str">
            <v>205</v>
          </cell>
          <cell r="E572" t="str">
            <v>407</v>
          </cell>
          <cell r="F572">
            <v>0</v>
          </cell>
          <cell r="G572">
            <v>1</v>
          </cell>
          <cell r="H572" t="str">
            <v>2006-01-31</v>
          </cell>
        </row>
        <row r="573">
          <cell r="A573">
            <v>480000</v>
          </cell>
          <cell r="B573">
            <v>1015</v>
          </cell>
          <cell r="C573">
            <v>-246603.36</v>
          </cell>
          <cell r="D573" t="str">
            <v>205</v>
          </cell>
          <cell r="E573" t="str">
            <v>407</v>
          </cell>
          <cell r="F573">
            <v>0</v>
          </cell>
          <cell r="G573">
            <v>1</v>
          </cell>
          <cell r="H573" t="str">
            <v>2006-01-31</v>
          </cell>
        </row>
        <row r="574">
          <cell r="A574">
            <v>480000</v>
          </cell>
          <cell r="B574">
            <v>1015</v>
          </cell>
          <cell r="C574">
            <v>-667826.69999999995</v>
          </cell>
          <cell r="D574" t="str">
            <v>205</v>
          </cell>
          <cell r="E574" t="str">
            <v>407</v>
          </cell>
          <cell r="F574">
            <v>0</v>
          </cell>
          <cell r="G574">
            <v>1</v>
          </cell>
          <cell r="H574" t="str">
            <v>2006-01-31</v>
          </cell>
        </row>
        <row r="575">
          <cell r="A575">
            <v>480000</v>
          </cell>
          <cell r="B575">
            <v>1015</v>
          </cell>
          <cell r="C575">
            <v>-229065.78</v>
          </cell>
          <cell r="D575" t="str">
            <v>205</v>
          </cell>
          <cell r="E575" t="str">
            <v>407</v>
          </cell>
          <cell r="F575">
            <v>0</v>
          </cell>
          <cell r="G575">
            <v>1</v>
          </cell>
          <cell r="H575" t="str">
            <v>2006-01-31</v>
          </cell>
        </row>
        <row r="576">
          <cell r="A576">
            <v>480000</v>
          </cell>
          <cell r="B576">
            <v>1015</v>
          </cell>
          <cell r="C576">
            <v>-80290.94</v>
          </cell>
          <cell r="D576" t="str">
            <v>205</v>
          </cell>
          <cell r="E576" t="str">
            <v>407</v>
          </cell>
          <cell r="F576">
            <v>0</v>
          </cell>
          <cell r="G576">
            <v>1</v>
          </cell>
          <cell r="H576" t="str">
            <v>2006-01-31</v>
          </cell>
        </row>
        <row r="577">
          <cell r="A577">
            <v>480000</v>
          </cell>
          <cell r="B577">
            <v>1015</v>
          </cell>
          <cell r="C577">
            <v>-13263.26</v>
          </cell>
          <cell r="D577" t="str">
            <v>205</v>
          </cell>
          <cell r="E577" t="str">
            <v>407</v>
          </cell>
          <cell r="F577">
            <v>0</v>
          </cell>
          <cell r="G577">
            <v>1</v>
          </cell>
          <cell r="H577" t="str">
            <v>2006-01-31</v>
          </cell>
        </row>
        <row r="578">
          <cell r="A578">
            <v>480000</v>
          </cell>
          <cell r="B578">
            <v>1015</v>
          </cell>
          <cell r="C578">
            <v>-602135.54</v>
          </cell>
          <cell r="D578" t="str">
            <v>205</v>
          </cell>
          <cell r="E578" t="str">
            <v>407</v>
          </cell>
          <cell r="F578">
            <v>0</v>
          </cell>
          <cell r="G578">
            <v>1</v>
          </cell>
          <cell r="H578" t="str">
            <v>2006-01-31</v>
          </cell>
        </row>
        <row r="579">
          <cell r="A579">
            <v>480001</v>
          </cell>
          <cell r="B579">
            <v>1015</v>
          </cell>
          <cell r="C579">
            <v>670343.12</v>
          </cell>
          <cell r="D579" t="str">
            <v>205</v>
          </cell>
          <cell r="E579" t="str">
            <v>407</v>
          </cell>
          <cell r="F579">
            <v>0</v>
          </cell>
          <cell r="G579">
            <v>1</v>
          </cell>
          <cell r="H579" t="str">
            <v>2006-01-31</v>
          </cell>
        </row>
        <row r="580">
          <cell r="A580">
            <v>481004</v>
          </cell>
          <cell r="B580">
            <v>1015</v>
          </cell>
          <cell r="C580">
            <v>-119767.06</v>
          </cell>
          <cell r="D580" t="str">
            <v>205</v>
          </cell>
          <cell r="E580" t="str">
            <v>407</v>
          </cell>
          <cell r="F580">
            <v>0</v>
          </cell>
          <cell r="G580">
            <v>1</v>
          </cell>
          <cell r="H580" t="str">
            <v>2006-01-31</v>
          </cell>
        </row>
        <row r="581">
          <cell r="A581">
            <v>481004</v>
          </cell>
          <cell r="B581">
            <v>1015</v>
          </cell>
          <cell r="C581">
            <v>-55647.15</v>
          </cell>
          <cell r="D581" t="str">
            <v>205</v>
          </cell>
          <cell r="E581" t="str">
            <v>407</v>
          </cell>
          <cell r="F581">
            <v>0</v>
          </cell>
          <cell r="G581">
            <v>1</v>
          </cell>
          <cell r="H581" t="str">
            <v>2006-01-31</v>
          </cell>
        </row>
        <row r="582">
          <cell r="A582">
            <v>481004</v>
          </cell>
          <cell r="B582">
            <v>1015</v>
          </cell>
          <cell r="C582">
            <v>-31546.43</v>
          </cell>
          <cell r="D582" t="str">
            <v>205</v>
          </cell>
          <cell r="E582" t="str">
            <v>407</v>
          </cell>
          <cell r="F582">
            <v>0</v>
          </cell>
          <cell r="G582">
            <v>1</v>
          </cell>
          <cell r="H582" t="str">
            <v>2006-01-31</v>
          </cell>
        </row>
        <row r="583">
          <cell r="A583">
            <v>481004</v>
          </cell>
          <cell r="B583">
            <v>1015</v>
          </cell>
          <cell r="C583">
            <v>-108957.57</v>
          </cell>
          <cell r="D583" t="str">
            <v>205</v>
          </cell>
          <cell r="E583" t="str">
            <v>407</v>
          </cell>
          <cell r="F583">
            <v>0</v>
          </cell>
          <cell r="G583">
            <v>1</v>
          </cell>
          <cell r="H583" t="str">
            <v>2006-01-31</v>
          </cell>
        </row>
        <row r="584">
          <cell r="A584">
            <v>481004</v>
          </cell>
          <cell r="B584">
            <v>1015</v>
          </cell>
          <cell r="C584">
            <v>-58645.19</v>
          </cell>
          <cell r="D584" t="str">
            <v>205</v>
          </cell>
          <cell r="E584" t="str">
            <v>407</v>
          </cell>
          <cell r="F584">
            <v>0</v>
          </cell>
          <cell r="G584">
            <v>1</v>
          </cell>
          <cell r="H584" t="str">
            <v>2006-01-31</v>
          </cell>
        </row>
        <row r="585">
          <cell r="A585">
            <v>481004</v>
          </cell>
          <cell r="B585">
            <v>1015</v>
          </cell>
          <cell r="C585">
            <v>-53065.64</v>
          </cell>
          <cell r="D585" t="str">
            <v>205</v>
          </cell>
          <cell r="E585" t="str">
            <v>407</v>
          </cell>
          <cell r="F585">
            <v>0</v>
          </cell>
          <cell r="G585">
            <v>1</v>
          </cell>
          <cell r="H585" t="str">
            <v>2006-01-31</v>
          </cell>
        </row>
        <row r="586">
          <cell r="A586">
            <v>481004</v>
          </cell>
          <cell r="B586">
            <v>1015</v>
          </cell>
          <cell r="C586">
            <v>-121209.64</v>
          </cell>
          <cell r="D586" t="str">
            <v>205</v>
          </cell>
          <cell r="E586" t="str">
            <v>407</v>
          </cell>
          <cell r="F586">
            <v>0</v>
          </cell>
          <cell r="G586">
            <v>1</v>
          </cell>
          <cell r="H586" t="str">
            <v>2006-01-31</v>
          </cell>
        </row>
        <row r="587">
          <cell r="A587">
            <v>481004</v>
          </cell>
          <cell r="B587">
            <v>1015</v>
          </cell>
          <cell r="C587">
            <v>-45857.96</v>
          </cell>
          <cell r="D587" t="str">
            <v>205</v>
          </cell>
          <cell r="E587" t="str">
            <v>407</v>
          </cell>
          <cell r="F587">
            <v>0</v>
          </cell>
          <cell r="G587">
            <v>1</v>
          </cell>
          <cell r="H587" t="str">
            <v>2006-01-31</v>
          </cell>
        </row>
        <row r="588">
          <cell r="A588">
            <v>481004</v>
          </cell>
          <cell r="B588">
            <v>1015</v>
          </cell>
          <cell r="C588">
            <v>-18047.77</v>
          </cell>
          <cell r="D588" t="str">
            <v>205</v>
          </cell>
          <cell r="E588" t="str">
            <v>407</v>
          </cell>
          <cell r="F588">
            <v>0</v>
          </cell>
          <cell r="G588">
            <v>1</v>
          </cell>
          <cell r="H588" t="str">
            <v>2006-01-31</v>
          </cell>
        </row>
        <row r="589">
          <cell r="A589">
            <v>481004</v>
          </cell>
          <cell r="B589">
            <v>1015</v>
          </cell>
          <cell r="C589">
            <v>-6035.61</v>
          </cell>
          <cell r="D589" t="str">
            <v>205</v>
          </cell>
          <cell r="E589" t="str">
            <v>407</v>
          </cell>
          <cell r="F589">
            <v>0</v>
          </cell>
          <cell r="G589">
            <v>1</v>
          </cell>
          <cell r="H589" t="str">
            <v>2006-01-31</v>
          </cell>
        </row>
        <row r="590">
          <cell r="A590">
            <v>481004</v>
          </cell>
          <cell r="B590">
            <v>1015</v>
          </cell>
          <cell r="C590">
            <v>-138971.64000000001</v>
          </cell>
          <cell r="D590" t="str">
            <v>205</v>
          </cell>
          <cell r="E590" t="str">
            <v>407</v>
          </cell>
          <cell r="F590">
            <v>0</v>
          </cell>
          <cell r="G590">
            <v>1</v>
          </cell>
          <cell r="H590" t="str">
            <v>2006-01-31</v>
          </cell>
        </row>
        <row r="591">
          <cell r="A591">
            <v>480000</v>
          </cell>
          <cell r="B591">
            <v>1015</v>
          </cell>
          <cell r="C591">
            <v>-142.57</v>
          </cell>
          <cell r="D591" t="str">
            <v>205</v>
          </cell>
          <cell r="E591" t="str">
            <v>408</v>
          </cell>
          <cell r="F591">
            <v>0</v>
          </cell>
          <cell r="G591">
            <v>1</v>
          </cell>
          <cell r="H591" t="str">
            <v>2006-01-31</v>
          </cell>
        </row>
        <row r="592">
          <cell r="A592">
            <v>480000</v>
          </cell>
          <cell r="B592">
            <v>1015</v>
          </cell>
          <cell r="C592">
            <v>-15701.04</v>
          </cell>
          <cell r="D592" t="str">
            <v>205</v>
          </cell>
          <cell r="E592" t="str">
            <v>408</v>
          </cell>
          <cell r="F592">
            <v>0</v>
          </cell>
          <cell r="G592">
            <v>1</v>
          </cell>
          <cell r="H592" t="str">
            <v>2006-01-31</v>
          </cell>
        </row>
        <row r="593">
          <cell r="A593">
            <v>480000</v>
          </cell>
          <cell r="B593">
            <v>1015</v>
          </cell>
          <cell r="C593">
            <v>-617.55999999999995</v>
          </cell>
          <cell r="D593" t="str">
            <v>205</v>
          </cell>
          <cell r="E593" t="str">
            <v>408</v>
          </cell>
          <cell r="F593">
            <v>0</v>
          </cell>
          <cell r="G593">
            <v>1</v>
          </cell>
          <cell r="H593" t="str">
            <v>2006-01-31</v>
          </cell>
        </row>
        <row r="594">
          <cell r="A594">
            <v>480000</v>
          </cell>
          <cell r="B594">
            <v>1015</v>
          </cell>
          <cell r="C594">
            <v>-20018.87</v>
          </cell>
          <cell r="D594" t="str">
            <v>205</v>
          </cell>
          <cell r="E594" t="str">
            <v>408</v>
          </cell>
          <cell r="F594">
            <v>0</v>
          </cell>
          <cell r="G594">
            <v>1</v>
          </cell>
          <cell r="H594" t="str">
            <v>2006-01-31</v>
          </cell>
        </row>
        <row r="595">
          <cell r="A595">
            <v>480000</v>
          </cell>
          <cell r="B595">
            <v>1015</v>
          </cell>
          <cell r="C595">
            <v>-19335.169999999998</v>
          </cell>
          <cell r="D595" t="str">
            <v>205</v>
          </cell>
          <cell r="E595" t="str">
            <v>408</v>
          </cell>
          <cell r="F595">
            <v>0</v>
          </cell>
          <cell r="G595">
            <v>1</v>
          </cell>
          <cell r="H595" t="str">
            <v>2006-01-31</v>
          </cell>
        </row>
        <row r="596">
          <cell r="A596">
            <v>480000</v>
          </cell>
          <cell r="B596">
            <v>1015</v>
          </cell>
          <cell r="C596">
            <v>-248.77</v>
          </cell>
          <cell r="D596" t="str">
            <v>205</v>
          </cell>
          <cell r="E596" t="str">
            <v>408</v>
          </cell>
          <cell r="F596">
            <v>0</v>
          </cell>
          <cell r="G596">
            <v>1</v>
          </cell>
          <cell r="H596" t="str">
            <v>2006-01-31</v>
          </cell>
        </row>
        <row r="597">
          <cell r="A597">
            <v>480000</v>
          </cell>
          <cell r="B597">
            <v>1015</v>
          </cell>
          <cell r="C597">
            <v>-4495.29</v>
          </cell>
          <cell r="D597" t="str">
            <v>205</v>
          </cell>
          <cell r="E597" t="str">
            <v>408</v>
          </cell>
          <cell r="F597">
            <v>0</v>
          </cell>
          <cell r="G597">
            <v>1</v>
          </cell>
          <cell r="H597" t="str">
            <v>2006-01-31</v>
          </cell>
        </row>
        <row r="598">
          <cell r="A598">
            <v>480000</v>
          </cell>
          <cell r="B598">
            <v>1015</v>
          </cell>
          <cell r="C598">
            <v>-60.68</v>
          </cell>
          <cell r="D598" t="str">
            <v>205</v>
          </cell>
          <cell r="E598" t="str">
            <v>408</v>
          </cell>
          <cell r="F598">
            <v>0</v>
          </cell>
          <cell r="G598">
            <v>1</v>
          </cell>
          <cell r="H598" t="str">
            <v>2006-01-31</v>
          </cell>
        </row>
        <row r="599">
          <cell r="A599">
            <v>480000</v>
          </cell>
          <cell r="B599">
            <v>1015</v>
          </cell>
          <cell r="C599">
            <v>-44.4</v>
          </cell>
          <cell r="D599" t="str">
            <v>205</v>
          </cell>
          <cell r="E599" t="str">
            <v>408</v>
          </cell>
          <cell r="F599">
            <v>0</v>
          </cell>
          <cell r="G599">
            <v>1</v>
          </cell>
          <cell r="H599" t="str">
            <v>2006-01-31</v>
          </cell>
        </row>
        <row r="600">
          <cell r="A600">
            <v>480000</v>
          </cell>
          <cell r="B600">
            <v>1015</v>
          </cell>
          <cell r="C600">
            <v>-73.930000000000007</v>
          </cell>
          <cell r="D600" t="str">
            <v>205</v>
          </cell>
          <cell r="E600" t="str">
            <v>408</v>
          </cell>
          <cell r="F600">
            <v>0</v>
          </cell>
          <cell r="G600">
            <v>1</v>
          </cell>
          <cell r="H600" t="str">
            <v>2006-01-31</v>
          </cell>
        </row>
        <row r="601">
          <cell r="A601">
            <v>480000</v>
          </cell>
          <cell r="B601">
            <v>1015</v>
          </cell>
          <cell r="C601">
            <v>-9831.23</v>
          </cell>
          <cell r="D601" t="str">
            <v>205</v>
          </cell>
          <cell r="E601" t="str">
            <v>408</v>
          </cell>
          <cell r="F601">
            <v>0</v>
          </cell>
          <cell r="G601">
            <v>1</v>
          </cell>
          <cell r="H601" t="str">
            <v>2006-01-31</v>
          </cell>
        </row>
        <row r="602">
          <cell r="A602">
            <v>480001</v>
          </cell>
          <cell r="B602">
            <v>1015</v>
          </cell>
          <cell r="C602">
            <v>42896.19</v>
          </cell>
          <cell r="D602" t="str">
            <v>205</v>
          </cell>
          <cell r="E602" t="str">
            <v>408</v>
          </cell>
          <cell r="F602">
            <v>0</v>
          </cell>
          <cell r="G602">
            <v>1</v>
          </cell>
          <cell r="H602" t="str">
            <v>2006-01-31</v>
          </cell>
        </row>
        <row r="603">
          <cell r="A603">
            <v>481004</v>
          </cell>
          <cell r="B603">
            <v>1015</v>
          </cell>
          <cell r="C603">
            <v>2.33</v>
          </cell>
          <cell r="D603" t="str">
            <v>205</v>
          </cell>
          <cell r="E603" t="str">
            <v>408</v>
          </cell>
          <cell r="F603">
            <v>0</v>
          </cell>
          <cell r="G603">
            <v>1</v>
          </cell>
          <cell r="H603" t="str">
            <v>2006-01-31</v>
          </cell>
        </row>
        <row r="604">
          <cell r="A604">
            <v>481004</v>
          </cell>
          <cell r="B604">
            <v>1015</v>
          </cell>
          <cell r="C604">
            <v>-7855.84</v>
          </cell>
          <cell r="D604" t="str">
            <v>205</v>
          </cell>
          <cell r="E604" t="str">
            <v>408</v>
          </cell>
          <cell r="F604">
            <v>0</v>
          </cell>
          <cell r="G604">
            <v>1</v>
          </cell>
          <cell r="H604" t="str">
            <v>2006-01-31</v>
          </cell>
        </row>
        <row r="605">
          <cell r="A605">
            <v>481004</v>
          </cell>
          <cell r="B605">
            <v>1015</v>
          </cell>
          <cell r="C605">
            <v>-870.68</v>
          </cell>
          <cell r="D605" t="str">
            <v>205</v>
          </cell>
          <cell r="E605" t="str">
            <v>408</v>
          </cell>
          <cell r="F605">
            <v>0</v>
          </cell>
          <cell r="G605">
            <v>1</v>
          </cell>
          <cell r="H605" t="str">
            <v>2006-01-31</v>
          </cell>
        </row>
        <row r="606">
          <cell r="A606">
            <v>481004</v>
          </cell>
          <cell r="B606">
            <v>1015</v>
          </cell>
          <cell r="C606">
            <v>-12137.23</v>
          </cell>
          <cell r="D606" t="str">
            <v>205</v>
          </cell>
          <cell r="E606" t="str">
            <v>408</v>
          </cell>
          <cell r="F606">
            <v>0</v>
          </cell>
          <cell r="G606">
            <v>1</v>
          </cell>
          <cell r="H606" t="str">
            <v>2006-01-31</v>
          </cell>
        </row>
        <row r="607">
          <cell r="A607">
            <v>481004</v>
          </cell>
          <cell r="B607">
            <v>1015</v>
          </cell>
          <cell r="C607">
            <v>-11375.89</v>
          </cell>
          <cell r="D607" t="str">
            <v>205</v>
          </cell>
          <cell r="E607" t="str">
            <v>408</v>
          </cell>
          <cell r="F607">
            <v>0</v>
          </cell>
          <cell r="G607">
            <v>1</v>
          </cell>
          <cell r="H607" t="str">
            <v>2006-01-31</v>
          </cell>
        </row>
        <row r="608">
          <cell r="A608">
            <v>481004</v>
          </cell>
          <cell r="B608">
            <v>1015</v>
          </cell>
          <cell r="C608">
            <v>-57.89</v>
          </cell>
          <cell r="D608" t="str">
            <v>205</v>
          </cell>
          <cell r="E608" t="str">
            <v>408</v>
          </cell>
          <cell r="F608">
            <v>0</v>
          </cell>
          <cell r="G608">
            <v>1</v>
          </cell>
          <cell r="H608" t="str">
            <v>2006-01-31</v>
          </cell>
        </row>
        <row r="609">
          <cell r="A609">
            <v>481004</v>
          </cell>
          <cell r="B609">
            <v>1015</v>
          </cell>
          <cell r="C609">
            <v>-270.05</v>
          </cell>
          <cell r="D609" t="str">
            <v>205</v>
          </cell>
          <cell r="E609" t="str">
            <v>408</v>
          </cell>
          <cell r="F609">
            <v>0</v>
          </cell>
          <cell r="G609">
            <v>1</v>
          </cell>
          <cell r="H609" t="str">
            <v>2006-01-31</v>
          </cell>
        </row>
        <row r="610">
          <cell r="A610">
            <v>481004</v>
          </cell>
          <cell r="B610">
            <v>1015</v>
          </cell>
          <cell r="C610">
            <v>-1.22</v>
          </cell>
          <cell r="D610" t="str">
            <v>205</v>
          </cell>
          <cell r="E610" t="str">
            <v>408</v>
          </cell>
          <cell r="F610">
            <v>0</v>
          </cell>
          <cell r="G610">
            <v>1</v>
          </cell>
          <cell r="H610" t="str">
            <v>2006-01-31</v>
          </cell>
        </row>
        <row r="611">
          <cell r="A611">
            <v>481004</v>
          </cell>
          <cell r="B611">
            <v>1015</v>
          </cell>
          <cell r="C611">
            <v>-848.46</v>
          </cell>
          <cell r="D611" t="str">
            <v>205</v>
          </cell>
          <cell r="E611" t="str">
            <v>408</v>
          </cell>
          <cell r="F611">
            <v>0</v>
          </cell>
          <cell r="G611">
            <v>1</v>
          </cell>
          <cell r="H611" t="str">
            <v>2006-01-31</v>
          </cell>
        </row>
        <row r="612">
          <cell r="A612">
            <v>481004</v>
          </cell>
          <cell r="B612">
            <v>1015</v>
          </cell>
          <cell r="C612">
            <v>-1533.75</v>
          </cell>
          <cell r="D612" t="str">
            <v>205</v>
          </cell>
          <cell r="E612" t="str">
            <v>408</v>
          </cell>
          <cell r="F612">
            <v>0</v>
          </cell>
          <cell r="G612">
            <v>1</v>
          </cell>
          <cell r="H612" t="str">
            <v>2006-01-31</v>
          </cell>
        </row>
        <row r="613">
          <cell r="A613">
            <v>480000</v>
          </cell>
          <cell r="B613">
            <v>1015</v>
          </cell>
          <cell r="C613">
            <v>-10874.44</v>
          </cell>
          <cell r="D613" t="str">
            <v>205</v>
          </cell>
          <cell r="E613" t="str">
            <v>453</v>
          </cell>
          <cell r="F613">
            <v>0</v>
          </cell>
          <cell r="G613">
            <v>1</v>
          </cell>
          <cell r="H613" t="str">
            <v>2006-01-31</v>
          </cell>
        </row>
        <row r="614">
          <cell r="A614">
            <v>480000</v>
          </cell>
          <cell r="B614">
            <v>1015</v>
          </cell>
          <cell r="C614">
            <v>-417.51</v>
          </cell>
          <cell r="D614" t="str">
            <v>205</v>
          </cell>
          <cell r="E614" t="str">
            <v>453</v>
          </cell>
          <cell r="F614">
            <v>0</v>
          </cell>
          <cell r="G614">
            <v>1</v>
          </cell>
          <cell r="H614" t="str">
            <v>2006-01-31</v>
          </cell>
        </row>
        <row r="615">
          <cell r="A615">
            <v>480000</v>
          </cell>
          <cell r="B615">
            <v>1015</v>
          </cell>
          <cell r="C615">
            <v>-9991.93</v>
          </cell>
          <cell r="D615" t="str">
            <v>205</v>
          </cell>
          <cell r="E615" t="str">
            <v>453</v>
          </cell>
          <cell r="F615">
            <v>0</v>
          </cell>
          <cell r="G615">
            <v>1</v>
          </cell>
          <cell r="H615" t="str">
            <v>2006-01-31</v>
          </cell>
        </row>
        <row r="616">
          <cell r="A616">
            <v>480000</v>
          </cell>
          <cell r="B616">
            <v>1015</v>
          </cell>
          <cell r="C616">
            <v>-13665.58</v>
          </cell>
          <cell r="D616" t="str">
            <v>205</v>
          </cell>
          <cell r="E616" t="str">
            <v>453</v>
          </cell>
          <cell r="F616">
            <v>0</v>
          </cell>
          <cell r="G616">
            <v>1</v>
          </cell>
          <cell r="H616" t="str">
            <v>2006-01-31</v>
          </cell>
        </row>
        <row r="617">
          <cell r="A617">
            <v>480000</v>
          </cell>
          <cell r="B617">
            <v>1015</v>
          </cell>
          <cell r="C617">
            <v>-23911.81</v>
          </cell>
          <cell r="D617" t="str">
            <v>205</v>
          </cell>
          <cell r="E617" t="str">
            <v>453</v>
          </cell>
          <cell r="F617">
            <v>0</v>
          </cell>
          <cell r="G617">
            <v>1</v>
          </cell>
          <cell r="H617" t="str">
            <v>2006-01-31</v>
          </cell>
        </row>
        <row r="618">
          <cell r="A618">
            <v>480000</v>
          </cell>
          <cell r="B618">
            <v>1015</v>
          </cell>
          <cell r="C618">
            <v>-11689.09</v>
          </cell>
          <cell r="D618" t="str">
            <v>205</v>
          </cell>
          <cell r="E618" t="str">
            <v>453</v>
          </cell>
          <cell r="F618">
            <v>0</v>
          </cell>
          <cell r="G618">
            <v>1</v>
          </cell>
          <cell r="H618" t="str">
            <v>2006-01-31</v>
          </cell>
        </row>
        <row r="619">
          <cell r="A619">
            <v>480000</v>
          </cell>
          <cell r="B619">
            <v>1015</v>
          </cell>
          <cell r="C619">
            <v>-10679.16</v>
          </cell>
          <cell r="D619" t="str">
            <v>205</v>
          </cell>
          <cell r="E619" t="str">
            <v>453</v>
          </cell>
          <cell r="F619">
            <v>0</v>
          </cell>
          <cell r="G619">
            <v>1</v>
          </cell>
          <cell r="H619" t="str">
            <v>2006-01-31</v>
          </cell>
        </row>
        <row r="620">
          <cell r="A620">
            <v>480000</v>
          </cell>
          <cell r="B620">
            <v>1015</v>
          </cell>
          <cell r="C620">
            <v>-217.61</v>
          </cell>
          <cell r="D620" t="str">
            <v>205</v>
          </cell>
          <cell r="E620" t="str">
            <v>453</v>
          </cell>
          <cell r="F620">
            <v>0</v>
          </cell>
          <cell r="G620">
            <v>1</v>
          </cell>
          <cell r="H620" t="str">
            <v>2006-01-31</v>
          </cell>
        </row>
        <row r="621">
          <cell r="A621">
            <v>480000</v>
          </cell>
          <cell r="B621">
            <v>1015</v>
          </cell>
          <cell r="C621">
            <v>-7151.25</v>
          </cell>
          <cell r="D621" t="str">
            <v>205</v>
          </cell>
          <cell r="E621" t="str">
            <v>453</v>
          </cell>
          <cell r="F621">
            <v>0</v>
          </cell>
          <cell r="G621">
            <v>1</v>
          </cell>
          <cell r="H621" t="str">
            <v>2006-01-31</v>
          </cell>
        </row>
        <row r="622">
          <cell r="A622">
            <v>480000</v>
          </cell>
          <cell r="B622">
            <v>1015</v>
          </cell>
          <cell r="C622">
            <v>-346.36</v>
          </cell>
          <cell r="D622" t="str">
            <v>205</v>
          </cell>
          <cell r="E622" t="str">
            <v>453</v>
          </cell>
          <cell r="F622">
            <v>0</v>
          </cell>
          <cell r="G622">
            <v>1</v>
          </cell>
          <cell r="H622" t="str">
            <v>2006-01-31</v>
          </cell>
        </row>
        <row r="623">
          <cell r="A623">
            <v>480000</v>
          </cell>
          <cell r="B623">
            <v>1015</v>
          </cell>
          <cell r="C623">
            <v>-31074.400000000001</v>
          </cell>
          <cell r="D623" t="str">
            <v>205</v>
          </cell>
          <cell r="E623" t="str">
            <v>453</v>
          </cell>
          <cell r="F623">
            <v>0</v>
          </cell>
          <cell r="G623">
            <v>1</v>
          </cell>
          <cell r="H623" t="str">
            <v>2006-01-31</v>
          </cell>
        </row>
        <row r="624">
          <cell r="A624">
            <v>480001</v>
          </cell>
          <cell r="B624">
            <v>1015</v>
          </cell>
          <cell r="C624">
            <v>32469.279999999999</v>
          </cell>
          <cell r="D624" t="str">
            <v>205</v>
          </cell>
          <cell r="E624" t="str">
            <v>453</v>
          </cell>
          <cell r="F624">
            <v>0</v>
          </cell>
          <cell r="G624">
            <v>1</v>
          </cell>
          <cell r="H624" t="str">
            <v>2006-01-31</v>
          </cell>
        </row>
        <row r="625">
          <cell r="A625">
            <v>481004</v>
          </cell>
          <cell r="B625">
            <v>1015</v>
          </cell>
          <cell r="C625">
            <v>-4269.2299999999996</v>
          </cell>
          <cell r="D625" t="str">
            <v>205</v>
          </cell>
          <cell r="E625" t="str">
            <v>453</v>
          </cell>
          <cell r="F625">
            <v>0</v>
          </cell>
          <cell r="G625">
            <v>1</v>
          </cell>
          <cell r="H625" t="str">
            <v>2006-01-31</v>
          </cell>
        </row>
        <row r="626">
          <cell r="A626">
            <v>481004</v>
          </cell>
          <cell r="B626">
            <v>1015</v>
          </cell>
          <cell r="C626">
            <v>-134.94999999999999</v>
          </cell>
          <cell r="D626" t="str">
            <v>205</v>
          </cell>
          <cell r="E626" t="str">
            <v>453</v>
          </cell>
          <cell r="F626">
            <v>0</v>
          </cell>
          <cell r="G626">
            <v>1</v>
          </cell>
          <cell r="H626" t="str">
            <v>2006-01-31</v>
          </cell>
        </row>
        <row r="627">
          <cell r="A627">
            <v>481004</v>
          </cell>
          <cell r="B627">
            <v>1015</v>
          </cell>
          <cell r="C627">
            <v>-11282.41</v>
          </cell>
          <cell r="D627" t="str">
            <v>205</v>
          </cell>
          <cell r="E627" t="str">
            <v>453</v>
          </cell>
          <cell r="F627">
            <v>0</v>
          </cell>
          <cell r="G627">
            <v>1</v>
          </cell>
          <cell r="H627" t="str">
            <v>2006-01-31</v>
          </cell>
        </row>
        <row r="628">
          <cell r="A628">
            <v>481004</v>
          </cell>
          <cell r="B628">
            <v>1015</v>
          </cell>
          <cell r="C628">
            <v>-6419.41</v>
          </cell>
          <cell r="D628" t="str">
            <v>205</v>
          </cell>
          <cell r="E628" t="str">
            <v>453</v>
          </cell>
          <cell r="F628">
            <v>0</v>
          </cell>
          <cell r="G628">
            <v>1</v>
          </cell>
          <cell r="H628" t="str">
            <v>2006-01-31</v>
          </cell>
        </row>
        <row r="629">
          <cell r="A629">
            <v>481004</v>
          </cell>
          <cell r="B629">
            <v>1015</v>
          </cell>
          <cell r="C629">
            <v>-7118.06</v>
          </cell>
          <cell r="D629" t="str">
            <v>205</v>
          </cell>
          <cell r="E629" t="str">
            <v>453</v>
          </cell>
          <cell r="F629">
            <v>0</v>
          </cell>
          <cell r="G629">
            <v>1</v>
          </cell>
          <cell r="H629" t="str">
            <v>2006-01-31</v>
          </cell>
        </row>
        <row r="630">
          <cell r="A630">
            <v>481004</v>
          </cell>
          <cell r="B630">
            <v>1015</v>
          </cell>
          <cell r="C630">
            <v>-2994.66</v>
          </cell>
          <cell r="D630" t="str">
            <v>205</v>
          </cell>
          <cell r="E630" t="str">
            <v>453</v>
          </cell>
          <cell r="F630">
            <v>0</v>
          </cell>
          <cell r="G630">
            <v>1</v>
          </cell>
          <cell r="H630" t="str">
            <v>2006-01-31</v>
          </cell>
        </row>
        <row r="631">
          <cell r="A631">
            <v>481004</v>
          </cell>
          <cell r="B631">
            <v>1015</v>
          </cell>
          <cell r="C631">
            <v>-4507.8</v>
          </cell>
          <cell r="D631" t="str">
            <v>205</v>
          </cell>
          <cell r="E631" t="str">
            <v>453</v>
          </cell>
          <cell r="F631">
            <v>0</v>
          </cell>
          <cell r="G631">
            <v>1</v>
          </cell>
          <cell r="H631" t="str">
            <v>2006-01-31</v>
          </cell>
        </row>
        <row r="632">
          <cell r="A632">
            <v>481004</v>
          </cell>
          <cell r="B632">
            <v>1015</v>
          </cell>
          <cell r="C632">
            <v>-34.94</v>
          </cell>
          <cell r="D632" t="str">
            <v>205</v>
          </cell>
          <cell r="E632" t="str">
            <v>453</v>
          </cell>
          <cell r="F632">
            <v>0</v>
          </cell>
          <cell r="G632">
            <v>1</v>
          </cell>
          <cell r="H632" t="str">
            <v>2006-01-31</v>
          </cell>
        </row>
        <row r="633">
          <cell r="A633">
            <v>481004</v>
          </cell>
          <cell r="B633">
            <v>1015</v>
          </cell>
          <cell r="C633">
            <v>-4624.22</v>
          </cell>
          <cell r="D633" t="str">
            <v>205</v>
          </cell>
          <cell r="E633" t="str">
            <v>453</v>
          </cell>
          <cell r="F633">
            <v>0</v>
          </cell>
          <cell r="G633">
            <v>1</v>
          </cell>
          <cell r="H633" t="str">
            <v>2006-01-31</v>
          </cell>
        </row>
        <row r="634">
          <cell r="A634">
            <v>481004</v>
          </cell>
          <cell r="B634">
            <v>1015</v>
          </cell>
          <cell r="C634">
            <v>-104.56</v>
          </cell>
          <cell r="D634" t="str">
            <v>205</v>
          </cell>
          <cell r="E634" t="str">
            <v>453</v>
          </cell>
          <cell r="F634">
            <v>0</v>
          </cell>
          <cell r="G634">
            <v>1</v>
          </cell>
          <cell r="H634" t="str">
            <v>2006-01-31</v>
          </cell>
        </row>
        <row r="635">
          <cell r="A635">
            <v>481004</v>
          </cell>
          <cell r="B635">
            <v>1015</v>
          </cell>
          <cell r="C635">
            <v>-13059.9</v>
          </cell>
          <cell r="D635" t="str">
            <v>205</v>
          </cell>
          <cell r="E635" t="str">
            <v>453</v>
          </cell>
          <cell r="F635">
            <v>0</v>
          </cell>
          <cell r="G635">
            <v>1</v>
          </cell>
          <cell r="H635" t="str">
            <v>2006-01-31</v>
          </cell>
        </row>
        <row r="636">
          <cell r="A636">
            <v>480000</v>
          </cell>
          <cell r="B636">
            <v>1015</v>
          </cell>
          <cell r="C636">
            <v>-7079.35</v>
          </cell>
          <cell r="D636" t="str">
            <v>205</v>
          </cell>
          <cell r="E636" t="str">
            <v>455</v>
          </cell>
          <cell r="F636">
            <v>0</v>
          </cell>
          <cell r="G636">
            <v>1</v>
          </cell>
          <cell r="H636" t="str">
            <v>2006-01-31</v>
          </cell>
        </row>
        <row r="637">
          <cell r="A637">
            <v>480000</v>
          </cell>
          <cell r="B637">
            <v>1015</v>
          </cell>
          <cell r="C637">
            <v>-151.72999999999999</v>
          </cell>
          <cell r="D637" t="str">
            <v>205</v>
          </cell>
          <cell r="E637" t="str">
            <v>455</v>
          </cell>
          <cell r="F637">
            <v>0</v>
          </cell>
          <cell r="G637">
            <v>1</v>
          </cell>
          <cell r="H637" t="str">
            <v>2006-01-31</v>
          </cell>
        </row>
        <row r="638">
          <cell r="A638">
            <v>480000</v>
          </cell>
          <cell r="B638">
            <v>1015</v>
          </cell>
          <cell r="C638">
            <v>-22.2</v>
          </cell>
          <cell r="D638" t="str">
            <v>205</v>
          </cell>
          <cell r="E638" t="str">
            <v>455</v>
          </cell>
          <cell r="F638">
            <v>0</v>
          </cell>
          <cell r="G638">
            <v>1</v>
          </cell>
          <cell r="H638" t="str">
            <v>2006-01-31</v>
          </cell>
        </row>
        <row r="639">
          <cell r="A639">
            <v>480000</v>
          </cell>
          <cell r="B639">
            <v>1015</v>
          </cell>
          <cell r="C639">
            <v>0</v>
          </cell>
          <cell r="D639" t="str">
            <v>205</v>
          </cell>
          <cell r="E639" t="str">
            <v>455</v>
          </cell>
          <cell r="F639">
            <v>0</v>
          </cell>
          <cell r="G639">
            <v>1</v>
          </cell>
          <cell r="H639" t="str">
            <v>2006-01-31</v>
          </cell>
        </row>
        <row r="640">
          <cell r="A640">
            <v>480000</v>
          </cell>
          <cell r="B640">
            <v>1015</v>
          </cell>
          <cell r="C640">
            <v>-5.68</v>
          </cell>
          <cell r="D640" t="str">
            <v>205</v>
          </cell>
          <cell r="E640" t="str">
            <v>455</v>
          </cell>
          <cell r="F640">
            <v>0</v>
          </cell>
          <cell r="G640">
            <v>1</v>
          </cell>
          <cell r="H640" t="str">
            <v>2006-01-31</v>
          </cell>
        </row>
        <row r="641">
          <cell r="A641">
            <v>480000</v>
          </cell>
          <cell r="B641">
            <v>1015</v>
          </cell>
          <cell r="C641">
            <v>-17.760000000000002</v>
          </cell>
          <cell r="D641" t="str">
            <v>205</v>
          </cell>
          <cell r="E641" t="str">
            <v>455</v>
          </cell>
          <cell r="F641">
            <v>0</v>
          </cell>
          <cell r="G641">
            <v>1</v>
          </cell>
          <cell r="H641" t="str">
            <v>2006-01-31</v>
          </cell>
        </row>
        <row r="642">
          <cell r="A642">
            <v>480001</v>
          </cell>
          <cell r="B642">
            <v>1015</v>
          </cell>
          <cell r="C642">
            <v>12654.68</v>
          </cell>
          <cell r="D642" t="str">
            <v>205</v>
          </cell>
          <cell r="E642" t="str">
            <v>455</v>
          </cell>
          <cell r="F642">
            <v>0</v>
          </cell>
          <cell r="G642">
            <v>1</v>
          </cell>
          <cell r="H642" t="str">
            <v>2006-01-31</v>
          </cell>
        </row>
        <row r="643">
          <cell r="A643">
            <v>481004</v>
          </cell>
          <cell r="B643">
            <v>1015</v>
          </cell>
          <cell r="C643">
            <v>-4905.83</v>
          </cell>
          <cell r="D643" t="str">
            <v>205</v>
          </cell>
          <cell r="E643" t="str">
            <v>455</v>
          </cell>
          <cell r="F643">
            <v>0</v>
          </cell>
          <cell r="G643">
            <v>1</v>
          </cell>
          <cell r="H643" t="str">
            <v>2006-01-31</v>
          </cell>
        </row>
        <row r="644">
          <cell r="A644">
            <v>481004</v>
          </cell>
          <cell r="B644">
            <v>1015</v>
          </cell>
          <cell r="C644">
            <v>-340.03</v>
          </cell>
          <cell r="D644" t="str">
            <v>205</v>
          </cell>
          <cell r="E644" t="str">
            <v>455</v>
          </cell>
          <cell r="F644">
            <v>0</v>
          </cell>
          <cell r="G644">
            <v>1</v>
          </cell>
          <cell r="H644" t="str">
            <v>2006-01-31</v>
          </cell>
        </row>
        <row r="645">
          <cell r="A645">
            <v>481004</v>
          </cell>
          <cell r="B645">
            <v>1015</v>
          </cell>
          <cell r="C645">
            <v>-67.83</v>
          </cell>
          <cell r="D645" t="str">
            <v>205</v>
          </cell>
          <cell r="E645" t="str">
            <v>455</v>
          </cell>
          <cell r="F645">
            <v>0</v>
          </cell>
          <cell r="G645">
            <v>1</v>
          </cell>
          <cell r="H645" t="str">
            <v>2006-01-31</v>
          </cell>
        </row>
        <row r="646">
          <cell r="A646">
            <v>481004</v>
          </cell>
          <cell r="B646">
            <v>1015</v>
          </cell>
          <cell r="C646">
            <v>-23.06</v>
          </cell>
          <cell r="D646" t="str">
            <v>205</v>
          </cell>
          <cell r="E646" t="str">
            <v>455</v>
          </cell>
          <cell r="F646">
            <v>0</v>
          </cell>
          <cell r="G646">
            <v>1</v>
          </cell>
          <cell r="H646" t="str">
            <v>2006-01-31</v>
          </cell>
        </row>
        <row r="647">
          <cell r="A647">
            <v>481004</v>
          </cell>
          <cell r="B647">
            <v>1015</v>
          </cell>
          <cell r="C647">
            <v>-41.21</v>
          </cell>
          <cell r="D647" t="str">
            <v>205</v>
          </cell>
          <cell r="E647" t="str">
            <v>455</v>
          </cell>
          <cell r="F647">
            <v>0</v>
          </cell>
          <cell r="G647">
            <v>1</v>
          </cell>
          <cell r="H647" t="str">
            <v>2006-01-31</v>
          </cell>
        </row>
        <row r="648">
          <cell r="A648">
            <v>481000</v>
          </cell>
          <cell r="B648">
            <v>1015</v>
          </cell>
          <cell r="C648">
            <v>0</v>
          </cell>
          <cell r="D648" t="str">
            <v>210</v>
          </cell>
          <cell r="E648" t="str">
            <v>402</v>
          </cell>
          <cell r="F648">
            <v>0</v>
          </cell>
          <cell r="G648">
            <v>2</v>
          </cell>
          <cell r="H648" t="str">
            <v>2006-02-28</v>
          </cell>
        </row>
        <row r="649">
          <cell r="A649">
            <v>481000</v>
          </cell>
          <cell r="B649">
            <v>1015</v>
          </cell>
          <cell r="C649">
            <v>4980289.62</v>
          </cell>
          <cell r="D649" t="str">
            <v>210</v>
          </cell>
          <cell r="E649" t="str">
            <v>402</v>
          </cell>
          <cell r="F649">
            <v>927877</v>
          </cell>
          <cell r="G649">
            <v>2</v>
          </cell>
          <cell r="H649" t="str">
            <v>2006-02-28</v>
          </cell>
        </row>
        <row r="650">
          <cell r="A650">
            <v>481000</v>
          </cell>
          <cell r="B650">
            <v>1015</v>
          </cell>
          <cell r="C650">
            <v>-4980289.62</v>
          </cell>
          <cell r="D650" t="str">
            <v>210</v>
          </cell>
          <cell r="E650" t="str">
            <v>402</v>
          </cell>
          <cell r="F650">
            <v>-927877</v>
          </cell>
          <cell r="G650">
            <v>2</v>
          </cell>
          <cell r="H650" t="str">
            <v>2006-02-28</v>
          </cell>
        </row>
        <row r="651">
          <cell r="A651">
            <v>481004</v>
          </cell>
          <cell r="B651">
            <v>1015</v>
          </cell>
          <cell r="C651">
            <v>0</v>
          </cell>
          <cell r="D651" t="str">
            <v>210</v>
          </cell>
          <cell r="E651" t="str">
            <v>402</v>
          </cell>
          <cell r="F651">
            <v>0</v>
          </cell>
          <cell r="G651">
            <v>2</v>
          </cell>
          <cell r="H651" t="str">
            <v>2006-02-28</v>
          </cell>
        </row>
        <row r="652">
          <cell r="A652">
            <v>481004</v>
          </cell>
          <cell r="B652">
            <v>1015</v>
          </cell>
          <cell r="C652">
            <v>-4327182.79</v>
          </cell>
          <cell r="D652" t="str">
            <v>210</v>
          </cell>
          <cell r="E652" t="str">
            <v>402</v>
          </cell>
          <cell r="F652">
            <v>-842511</v>
          </cell>
          <cell r="G652">
            <v>2</v>
          </cell>
          <cell r="H652" t="str">
            <v>2006-02-28</v>
          </cell>
        </row>
        <row r="653">
          <cell r="A653">
            <v>481004</v>
          </cell>
          <cell r="B653">
            <v>1015</v>
          </cell>
          <cell r="C653">
            <v>4327182.79</v>
          </cell>
          <cell r="D653" t="str">
            <v>210</v>
          </cell>
          <cell r="E653" t="str">
            <v>402</v>
          </cell>
          <cell r="F653">
            <v>842511</v>
          </cell>
          <cell r="G653">
            <v>2</v>
          </cell>
          <cell r="H653" t="str">
            <v>2006-02-28</v>
          </cell>
        </row>
        <row r="654">
          <cell r="A654">
            <v>481000</v>
          </cell>
          <cell r="B654">
            <v>1015</v>
          </cell>
          <cell r="C654">
            <v>0</v>
          </cell>
          <cell r="D654" t="str">
            <v>210</v>
          </cell>
          <cell r="E654" t="str">
            <v>403</v>
          </cell>
          <cell r="F654">
            <v>0</v>
          </cell>
          <cell r="G654">
            <v>2</v>
          </cell>
          <cell r="H654" t="str">
            <v>2006-02-28</v>
          </cell>
        </row>
        <row r="655">
          <cell r="A655">
            <v>481000</v>
          </cell>
          <cell r="B655">
            <v>1015</v>
          </cell>
          <cell r="C655">
            <v>0</v>
          </cell>
          <cell r="D655" t="str">
            <v>210</v>
          </cell>
          <cell r="E655" t="str">
            <v>403</v>
          </cell>
          <cell r="F655">
            <v>0</v>
          </cell>
          <cell r="G655">
            <v>2</v>
          </cell>
          <cell r="H655" t="str">
            <v>2006-02-28</v>
          </cell>
        </row>
        <row r="656">
          <cell r="A656">
            <v>481000</v>
          </cell>
          <cell r="B656">
            <v>1015</v>
          </cell>
          <cell r="C656">
            <v>0</v>
          </cell>
          <cell r="D656" t="str">
            <v>210</v>
          </cell>
          <cell r="E656" t="str">
            <v>403</v>
          </cell>
          <cell r="F656">
            <v>0</v>
          </cell>
          <cell r="G656">
            <v>2</v>
          </cell>
          <cell r="H656" t="str">
            <v>2006-02-28</v>
          </cell>
        </row>
        <row r="657">
          <cell r="A657">
            <v>481004</v>
          </cell>
          <cell r="B657">
            <v>1015</v>
          </cell>
          <cell r="C657">
            <v>0</v>
          </cell>
          <cell r="D657" t="str">
            <v>210</v>
          </cell>
          <cell r="E657" t="str">
            <v>403</v>
          </cell>
          <cell r="F657">
            <v>0</v>
          </cell>
          <cell r="G657">
            <v>2</v>
          </cell>
          <cell r="H657" t="str">
            <v>2006-02-28</v>
          </cell>
        </row>
        <row r="658">
          <cell r="A658">
            <v>481004</v>
          </cell>
          <cell r="B658">
            <v>1015</v>
          </cell>
          <cell r="C658">
            <v>0</v>
          </cell>
          <cell r="D658" t="str">
            <v>210</v>
          </cell>
          <cell r="E658" t="str">
            <v>403</v>
          </cell>
          <cell r="F658">
            <v>0</v>
          </cell>
          <cell r="G658">
            <v>2</v>
          </cell>
          <cell r="H658" t="str">
            <v>2006-02-28</v>
          </cell>
        </row>
        <row r="659">
          <cell r="A659">
            <v>481004</v>
          </cell>
          <cell r="B659">
            <v>1015</v>
          </cell>
          <cell r="C659">
            <v>0</v>
          </cell>
          <cell r="D659" t="str">
            <v>210</v>
          </cell>
          <cell r="E659" t="str">
            <v>403</v>
          </cell>
          <cell r="F659">
            <v>0</v>
          </cell>
          <cell r="G659">
            <v>2</v>
          </cell>
          <cell r="H659" t="str">
            <v>2006-02-28</v>
          </cell>
        </row>
        <row r="660">
          <cell r="A660">
            <v>481000</v>
          </cell>
          <cell r="B660">
            <v>1015</v>
          </cell>
          <cell r="C660">
            <v>0</v>
          </cell>
          <cell r="D660" t="str">
            <v>210</v>
          </cell>
          <cell r="E660" t="str">
            <v>404</v>
          </cell>
          <cell r="F660">
            <v>0</v>
          </cell>
          <cell r="G660">
            <v>2</v>
          </cell>
          <cell r="H660" t="str">
            <v>2006-02-28</v>
          </cell>
        </row>
        <row r="661">
          <cell r="A661">
            <v>481000</v>
          </cell>
          <cell r="B661">
            <v>1015</v>
          </cell>
          <cell r="C661">
            <v>0</v>
          </cell>
          <cell r="D661" t="str">
            <v>210</v>
          </cell>
          <cell r="E661" t="str">
            <v>404</v>
          </cell>
          <cell r="F661">
            <v>0</v>
          </cell>
          <cell r="G661">
            <v>2</v>
          </cell>
          <cell r="H661" t="str">
            <v>2006-02-28</v>
          </cell>
        </row>
        <row r="662">
          <cell r="A662">
            <v>481000</v>
          </cell>
          <cell r="B662">
            <v>1015</v>
          </cell>
          <cell r="C662">
            <v>0</v>
          </cell>
          <cell r="D662" t="str">
            <v>210</v>
          </cell>
          <cell r="E662" t="str">
            <v>404</v>
          </cell>
          <cell r="F662">
            <v>0</v>
          </cell>
          <cell r="G662">
            <v>2</v>
          </cell>
          <cell r="H662" t="str">
            <v>2006-02-28</v>
          </cell>
        </row>
        <row r="663">
          <cell r="A663">
            <v>481004</v>
          </cell>
          <cell r="B663">
            <v>1015</v>
          </cell>
          <cell r="C663">
            <v>0</v>
          </cell>
          <cell r="D663" t="str">
            <v>210</v>
          </cell>
          <cell r="E663" t="str">
            <v>404</v>
          </cell>
          <cell r="F663">
            <v>0</v>
          </cell>
          <cell r="G663">
            <v>2</v>
          </cell>
          <cell r="H663" t="str">
            <v>2006-02-28</v>
          </cell>
        </row>
        <row r="664">
          <cell r="A664">
            <v>481004</v>
          </cell>
          <cell r="B664">
            <v>1015</v>
          </cell>
          <cell r="C664">
            <v>0</v>
          </cell>
          <cell r="D664" t="str">
            <v>210</v>
          </cell>
          <cell r="E664" t="str">
            <v>404</v>
          </cell>
          <cell r="F664">
            <v>0</v>
          </cell>
          <cell r="G664">
            <v>2</v>
          </cell>
          <cell r="H664" t="str">
            <v>2006-02-28</v>
          </cell>
        </row>
        <row r="665">
          <cell r="A665">
            <v>481004</v>
          </cell>
          <cell r="B665">
            <v>1015</v>
          </cell>
          <cell r="C665">
            <v>0</v>
          </cell>
          <cell r="D665" t="str">
            <v>210</v>
          </cell>
          <cell r="E665" t="str">
            <v>404</v>
          </cell>
          <cell r="F665">
            <v>0</v>
          </cell>
          <cell r="G665">
            <v>2</v>
          </cell>
          <cell r="H665" t="str">
            <v>2006-02-28</v>
          </cell>
        </row>
        <row r="666">
          <cell r="A666">
            <v>480000</v>
          </cell>
          <cell r="B666">
            <v>1015</v>
          </cell>
          <cell r="C666">
            <v>0.01</v>
          </cell>
          <cell r="D666" t="str">
            <v>210</v>
          </cell>
          <cell r="E666" t="str">
            <v>407</v>
          </cell>
          <cell r="F666">
            <v>0</v>
          </cell>
          <cell r="G666">
            <v>2</v>
          </cell>
          <cell r="H666" t="str">
            <v>2006-02-28</v>
          </cell>
        </row>
        <row r="667">
          <cell r="A667">
            <v>480000</v>
          </cell>
          <cell r="B667">
            <v>1015</v>
          </cell>
          <cell r="C667">
            <v>17.47</v>
          </cell>
          <cell r="D667" t="str">
            <v>210</v>
          </cell>
          <cell r="E667" t="str">
            <v>407</v>
          </cell>
          <cell r="F667">
            <v>2</v>
          </cell>
          <cell r="G667">
            <v>2</v>
          </cell>
          <cell r="H667" t="str">
            <v>2006-02-28</v>
          </cell>
        </row>
        <row r="668">
          <cell r="A668">
            <v>480000</v>
          </cell>
          <cell r="B668">
            <v>1015</v>
          </cell>
          <cell r="C668">
            <v>1131.82</v>
          </cell>
          <cell r="D668" t="str">
            <v>210</v>
          </cell>
          <cell r="E668" t="str">
            <v>407</v>
          </cell>
          <cell r="F668">
            <v>162.6</v>
          </cell>
          <cell r="G668">
            <v>2</v>
          </cell>
          <cell r="H668" t="str">
            <v>2006-02-28</v>
          </cell>
        </row>
        <row r="669">
          <cell r="A669">
            <v>480000</v>
          </cell>
          <cell r="B669">
            <v>1015</v>
          </cell>
          <cell r="C669">
            <v>685.28</v>
          </cell>
          <cell r="D669" t="str">
            <v>210</v>
          </cell>
          <cell r="E669" t="str">
            <v>407</v>
          </cell>
          <cell r="F669">
            <v>94.8</v>
          </cell>
          <cell r="G669">
            <v>2</v>
          </cell>
          <cell r="H669" t="str">
            <v>2006-02-28</v>
          </cell>
        </row>
        <row r="670">
          <cell r="A670">
            <v>480000</v>
          </cell>
          <cell r="B670">
            <v>1015</v>
          </cell>
          <cell r="C670">
            <v>263.76</v>
          </cell>
          <cell r="D670" t="str">
            <v>210</v>
          </cell>
          <cell r="E670" t="str">
            <v>407</v>
          </cell>
          <cell r="F670">
            <v>31.4</v>
          </cell>
          <cell r="G670">
            <v>2</v>
          </cell>
          <cell r="H670" t="str">
            <v>2006-02-28</v>
          </cell>
        </row>
        <row r="671">
          <cell r="A671">
            <v>480000</v>
          </cell>
          <cell r="B671">
            <v>1015</v>
          </cell>
          <cell r="C671">
            <v>2029.03</v>
          </cell>
          <cell r="D671" t="str">
            <v>210</v>
          </cell>
          <cell r="E671" t="str">
            <v>407</v>
          </cell>
          <cell r="F671">
            <v>283.7</v>
          </cell>
          <cell r="G671">
            <v>2</v>
          </cell>
          <cell r="H671" t="str">
            <v>2006-02-28</v>
          </cell>
        </row>
        <row r="672">
          <cell r="A672">
            <v>480000</v>
          </cell>
          <cell r="B672">
            <v>1015</v>
          </cell>
          <cell r="C672">
            <v>611.46</v>
          </cell>
          <cell r="D672" t="str">
            <v>210</v>
          </cell>
          <cell r="E672" t="str">
            <v>407</v>
          </cell>
          <cell r="F672">
            <v>88.1</v>
          </cell>
          <cell r="G672">
            <v>2</v>
          </cell>
          <cell r="H672" t="str">
            <v>2006-02-28</v>
          </cell>
        </row>
        <row r="673">
          <cell r="A673">
            <v>480000</v>
          </cell>
          <cell r="B673">
            <v>1015</v>
          </cell>
          <cell r="C673">
            <v>49.79</v>
          </cell>
          <cell r="D673" t="str">
            <v>210</v>
          </cell>
          <cell r="E673" t="str">
            <v>407</v>
          </cell>
          <cell r="F673">
            <v>7.3</v>
          </cell>
          <cell r="G673">
            <v>2</v>
          </cell>
          <cell r="H673" t="str">
            <v>2006-02-28</v>
          </cell>
        </row>
        <row r="674">
          <cell r="A674">
            <v>480001</v>
          </cell>
          <cell r="B674">
            <v>1015</v>
          </cell>
          <cell r="C674">
            <v>-23167.99</v>
          </cell>
          <cell r="D674" t="str">
            <v>210</v>
          </cell>
          <cell r="E674" t="str">
            <v>407</v>
          </cell>
          <cell r="F674">
            <v>-3497</v>
          </cell>
          <cell r="G674">
            <v>2</v>
          </cell>
          <cell r="H674" t="str">
            <v>2006-02-28</v>
          </cell>
        </row>
        <row r="675">
          <cell r="A675">
            <v>481004</v>
          </cell>
          <cell r="B675">
            <v>1015</v>
          </cell>
          <cell r="C675">
            <v>5639.33</v>
          </cell>
          <cell r="D675" t="str">
            <v>210</v>
          </cell>
          <cell r="E675" t="str">
            <v>407</v>
          </cell>
          <cell r="F675">
            <v>915.7</v>
          </cell>
          <cell r="G675">
            <v>2</v>
          </cell>
          <cell r="H675" t="str">
            <v>2006-02-28</v>
          </cell>
        </row>
        <row r="676">
          <cell r="A676">
            <v>481004</v>
          </cell>
          <cell r="B676">
            <v>1015</v>
          </cell>
          <cell r="C676">
            <v>973.45</v>
          </cell>
          <cell r="D676" t="str">
            <v>210</v>
          </cell>
          <cell r="E676" t="str">
            <v>407</v>
          </cell>
          <cell r="F676">
            <v>137.19999999999999</v>
          </cell>
          <cell r="G676">
            <v>2</v>
          </cell>
          <cell r="H676" t="str">
            <v>2006-02-28</v>
          </cell>
        </row>
        <row r="677">
          <cell r="A677">
            <v>481004</v>
          </cell>
          <cell r="B677">
            <v>1015</v>
          </cell>
          <cell r="C677">
            <v>957.26</v>
          </cell>
          <cell r="D677" t="str">
            <v>210</v>
          </cell>
          <cell r="E677" t="str">
            <v>407</v>
          </cell>
          <cell r="F677">
            <v>132.30000000000001</v>
          </cell>
          <cell r="G677">
            <v>2</v>
          </cell>
          <cell r="H677" t="str">
            <v>2006-02-28</v>
          </cell>
        </row>
        <row r="678">
          <cell r="A678">
            <v>481004</v>
          </cell>
          <cell r="B678">
            <v>1015</v>
          </cell>
          <cell r="C678">
            <v>6235.68</v>
          </cell>
          <cell r="D678" t="str">
            <v>210</v>
          </cell>
          <cell r="E678" t="str">
            <v>407</v>
          </cell>
          <cell r="F678">
            <v>1000.5</v>
          </cell>
          <cell r="G678">
            <v>2</v>
          </cell>
          <cell r="H678" t="str">
            <v>2006-02-28</v>
          </cell>
        </row>
        <row r="679">
          <cell r="A679">
            <v>481004</v>
          </cell>
          <cell r="B679">
            <v>1015</v>
          </cell>
          <cell r="C679">
            <v>3011.15</v>
          </cell>
          <cell r="D679" t="str">
            <v>210</v>
          </cell>
          <cell r="E679" t="str">
            <v>407</v>
          </cell>
          <cell r="F679">
            <v>447.4</v>
          </cell>
          <cell r="G679">
            <v>2</v>
          </cell>
          <cell r="H679" t="str">
            <v>2006-02-28</v>
          </cell>
        </row>
        <row r="680">
          <cell r="A680">
            <v>481004</v>
          </cell>
          <cell r="B680">
            <v>1015</v>
          </cell>
          <cell r="C680">
            <v>534.69000000000005</v>
          </cell>
          <cell r="D680" t="str">
            <v>210</v>
          </cell>
          <cell r="E680" t="str">
            <v>407</v>
          </cell>
          <cell r="F680">
            <v>72.2</v>
          </cell>
          <cell r="G680">
            <v>2</v>
          </cell>
          <cell r="H680" t="str">
            <v>2006-02-28</v>
          </cell>
        </row>
        <row r="681">
          <cell r="A681">
            <v>481004</v>
          </cell>
          <cell r="B681">
            <v>1015</v>
          </cell>
          <cell r="C681">
            <v>1027.81</v>
          </cell>
          <cell r="D681" t="str">
            <v>210</v>
          </cell>
          <cell r="E681" t="str">
            <v>407</v>
          </cell>
          <cell r="F681">
            <v>121.9</v>
          </cell>
          <cell r="G681">
            <v>2</v>
          </cell>
          <cell r="H681" t="str">
            <v>2006-02-28</v>
          </cell>
        </row>
        <row r="682">
          <cell r="A682">
            <v>480001</v>
          </cell>
          <cell r="B682">
            <v>1015</v>
          </cell>
          <cell r="C682">
            <v>0</v>
          </cell>
          <cell r="D682" t="str">
            <v>210</v>
          </cell>
          <cell r="E682" t="str">
            <v>408</v>
          </cell>
          <cell r="F682">
            <v>0</v>
          </cell>
          <cell r="G682">
            <v>2</v>
          </cell>
          <cell r="H682" t="str">
            <v>2006-02-28</v>
          </cell>
        </row>
        <row r="683">
          <cell r="A683">
            <v>481002</v>
          </cell>
          <cell r="B683">
            <v>1015</v>
          </cell>
          <cell r="C683">
            <v>0</v>
          </cell>
          <cell r="D683" t="str">
            <v>210</v>
          </cell>
          <cell r="E683" t="str">
            <v>409</v>
          </cell>
          <cell r="F683">
            <v>0</v>
          </cell>
          <cell r="G683">
            <v>2</v>
          </cell>
          <cell r="H683" t="str">
            <v>2006-02-28</v>
          </cell>
        </row>
        <row r="684">
          <cell r="A684">
            <v>481002</v>
          </cell>
          <cell r="B684">
            <v>1015</v>
          </cell>
          <cell r="C684">
            <v>0</v>
          </cell>
          <cell r="D684" t="str">
            <v>210</v>
          </cell>
          <cell r="E684" t="str">
            <v>409</v>
          </cell>
          <cell r="F684">
            <v>0</v>
          </cell>
          <cell r="G684">
            <v>2</v>
          </cell>
          <cell r="H684" t="str">
            <v>2006-02-28</v>
          </cell>
        </row>
        <row r="685">
          <cell r="A685">
            <v>481002</v>
          </cell>
          <cell r="B685">
            <v>1015</v>
          </cell>
          <cell r="C685">
            <v>0</v>
          </cell>
          <cell r="D685" t="str">
            <v>210</v>
          </cell>
          <cell r="E685" t="str">
            <v>409</v>
          </cell>
          <cell r="F685">
            <v>0</v>
          </cell>
          <cell r="G685">
            <v>2</v>
          </cell>
          <cell r="H685" t="str">
            <v>2006-02-28</v>
          </cell>
        </row>
        <row r="686">
          <cell r="A686">
            <v>481002</v>
          </cell>
          <cell r="B686">
            <v>1015</v>
          </cell>
          <cell r="C686">
            <v>0</v>
          </cell>
          <cell r="D686" t="str">
            <v>210</v>
          </cell>
          <cell r="E686" t="str">
            <v>411</v>
          </cell>
          <cell r="F686">
            <v>0</v>
          </cell>
          <cell r="G686">
            <v>2</v>
          </cell>
          <cell r="H686" t="str">
            <v>2006-02-28</v>
          </cell>
        </row>
        <row r="687">
          <cell r="A687">
            <v>481002</v>
          </cell>
          <cell r="B687">
            <v>1015</v>
          </cell>
          <cell r="C687">
            <v>0</v>
          </cell>
          <cell r="D687" t="str">
            <v>210</v>
          </cell>
          <cell r="E687" t="str">
            <v>411</v>
          </cell>
          <cell r="F687">
            <v>0</v>
          </cell>
          <cell r="G687">
            <v>2</v>
          </cell>
          <cell r="H687" t="str">
            <v>2006-02-28</v>
          </cell>
        </row>
        <row r="688">
          <cell r="A688">
            <v>481002</v>
          </cell>
          <cell r="B688">
            <v>1015</v>
          </cell>
          <cell r="C688">
            <v>0</v>
          </cell>
          <cell r="D688" t="str">
            <v>210</v>
          </cell>
          <cell r="E688" t="str">
            <v>411</v>
          </cell>
          <cell r="F688">
            <v>0</v>
          </cell>
          <cell r="G688">
            <v>2</v>
          </cell>
          <cell r="H688" t="str">
            <v>2006-02-28</v>
          </cell>
        </row>
        <row r="689">
          <cell r="A689">
            <v>481005</v>
          </cell>
          <cell r="B689">
            <v>1015</v>
          </cell>
          <cell r="C689">
            <v>0</v>
          </cell>
          <cell r="D689" t="str">
            <v>210</v>
          </cell>
          <cell r="E689" t="str">
            <v>411</v>
          </cell>
          <cell r="F689">
            <v>0</v>
          </cell>
          <cell r="G689">
            <v>2</v>
          </cell>
          <cell r="H689" t="str">
            <v>2006-02-28</v>
          </cell>
        </row>
        <row r="690">
          <cell r="A690">
            <v>481005</v>
          </cell>
          <cell r="B690">
            <v>1015</v>
          </cell>
          <cell r="C690">
            <v>0</v>
          </cell>
          <cell r="D690" t="str">
            <v>210</v>
          </cell>
          <cell r="E690" t="str">
            <v>411</v>
          </cell>
          <cell r="F690">
            <v>0</v>
          </cell>
          <cell r="G690">
            <v>2</v>
          </cell>
          <cell r="H690" t="str">
            <v>2006-02-28</v>
          </cell>
        </row>
        <row r="691">
          <cell r="A691">
            <v>481005</v>
          </cell>
          <cell r="B691">
            <v>1015</v>
          </cell>
          <cell r="C691">
            <v>0</v>
          </cell>
          <cell r="D691" t="str">
            <v>210</v>
          </cell>
          <cell r="E691" t="str">
            <v>411</v>
          </cell>
          <cell r="F691">
            <v>0</v>
          </cell>
          <cell r="G691">
            <v>2</v>
          </cell>
          <cell r="H691" t="str">
            <v>2006-02-28</v>
          </cell>
        </row>
        <row r="692">
          <cell r="A692">
            <v>481002</v>
          </cell>
          <cell r="B692">
            <v>1015</v>
          </cell>
          <cell r="C692">
            <v>0</v>
          </cell>
          <cell r="D692" t="str">
            <v>210</v>
          </cell>
          <cell r="E692" t="str">
            <v>412</v>
          </cell>
          <cell r="F692">
            <v>0</v>
          </cell>
          <cell r="G692">
            <v>2</v>
          </cell>
          <cell r="H692" t="str">
            <v>2006-02-28</v>
          </cell>
        </row>
        <row r="693">
          <cell r="A693">
            <v>481002</v>
          </cell>
          <cell r="B693">
            <v>1015</v>
          </cell>
          <cell r="C693">
            <v>0</v>
          </cell>
          <cell r="D693" t="str">
            <v>210</v>
          </cell>
          <cell r="E693" t="str">
            <v>412</v>
          </cell>
          <cell r="F693">
            <v>0</v>
          </cell>
          <cell r="G693">
            <v>2</v>
          </cell>
          <cell r="H693" t="str">
            <v>2006-02-28</v>
          </cell>
        </row>
        <row r="694">
          <cell r="A694">
            <v>481002</v>
          </cell>
          <cell r="B694">
            <v>1015</v>
          </cell>
          <cell r="C694">
            <v>0</v>
          </cell>
          <cell r="D694" t="str">
            <v>210</v>
          </cell>
          <cell r="E694" t="str">
            <v>412</v>
          </cell>
          <cell r="F694">
            <v>0</v>
          </cell>
          <cell r="G694">
            <v>2</v>
          </cell>
          <cell r="H694" t="str">
            <v>2006-02-28</v>
          </cell>
        </row>
        <row r="695">
          <cell r="A695">
            <v>481002</v>
          </cell>
          <cell r="B695">
            <v>1015</v>
          </cell>
          <cell r="C695">
            <v>0</v>
          </cell>
          <cell r="D695" t="str">
            <v>210</v>
          </cell>
          <cell r="E695" t="str">
            <v>414</v>
          </cell>
          <cell r="F695">
            <v>0</v>
          </cell>
          <cell r="G695">
            <v>2</v>
          </cell>
          <cell r="H695" t="str">
            <v>2006-02-28</v>
          </cell>
        </row>
        <row r="696">
          <cell r="A696">
            <v>481002</v>
          </cell>
          <cell r="B696">
            <v>1015</v>
          </cell>
          <cell r="C696">
            <v>0</v>
          </cell>
          <cell r="D696" t="str">
            <v>210</v>
          </cell>
          <cell r="E696" t="str">
            <v>414</v>
          </cell>
          <cell r="F696">
            <v>0</v>
          </cell>
          <cell r="G696">
            <v>2</v>
          </cell>
          <cell r="H696" t="str">
            <v>2006-02-28</v>
          </cell>
        </row>
        <row r="697">
          <cell r="A697">
            <v>481002</v>
          </cell>
          <cell r="B697">
            <v>1015</v>
          </cell>
          <cell r="C697">
            <v>0</v>
          </cell>
          <cell r="D697" t="str">
            <v>210</v>
          </cell>
          <cell r="E697" t="str">
            <v>414</v>
          </cell>
          <cell r="F697">
            <v>0</v>
          </cell>
          <cell r="G697">
            <v>2</v>
          </cell>
          <cell r="H697" t="str">
            <v>2006-02-28</v>
          </cell>
        </row>
        <row r="698">
          <cell r="A698">
            <v>481005</v>
          </cell>
          <cell r="B698">
            <v>1015</v>
          </cell>
          <cell r="C698">
            <v>0</v>
          </cell>
          <cell r="D698" t="str">
            <v>210</v>
          </cell>
          <cell r="E698" t="str">
            <v>414</v>
          </cell>
          <cell r="F698">
            <v>0</v>
          </cell>
          <cell r="G698">
            <v>2</v>
          </cell>
          <cell r="H698" t="str">
            <v>2006-02-28</v>
          </cell>
        </row>
        <row r="699">
          <cell r="A699">
            <v>481005</v>
          </cell>
          <cell r="B699">
            <v>1015</v>
          </cell>
          <cell r="C699">
            <v>0</v>
          </cell>
          <cell r="D699" t="str">
            <v>210</v>
          </cell>
          <cell r="E699" t="str">
            <v>414</v>
          </cell>
          <cell r="F699">
            <v>0</v>
          </cell>
          <cell r="G699">
            <v>2</v>
          </cell>
          <cell r="H699" t="str">
            <v>2006-02-28</v>
          </cell>
        </row>
        <row r="700">
          <cell r="A700">
            <v>481005</v>
          </cell>
          <cell r="B700">
            <v>1015</v>
          </cell>
          <cell r="C700">
            <v>0</v>
          </cell>
          <cell r="D700" t="str">
            <v>210</v>
          </cell>
          <cell r="E700" t="str">
            <v>414</v>
          </cell>
          <cell r="F700">
            <v>0</v>
          </cell>
          <cell r="G700">
            <v>2</v>
          </cell>
          <cell r="H700" t="str">
            <v>2006-02-28</v>
          </cell>
        </row>
        <row r="701">
          <cell r="A701">
            <v>481000</v>
          </cell>
          <cell r="B701">
            <v>1015</v>
          </cell>
          <cell r="C701">
            <v>0</v>
          </cell>
          <cell r="D701" t="str">
            <v>210</v>
          </cell>
          <cell r="E701" t="str">
            <v>451</v>
          </cell>
          <cell r="F701">
            <v>0</v>
          </cell>
          <cell r="G701">
            <v>2</v>
          </cell>
          <cell r="H701" t="str">
            <v>2006-02-28</v>
          </cell>
        </row>
        <row r="702">
          <cell r="A702">
            <v>481000</v>
          </cell>
          <cell r="B702">
            <v>1015</v>
          </cell>
          <cell r="C702">
            <v>124454.62</v>
          </cell>
          <cell r="D702" t="str">
            <v>210</v>
          </cell>
          <cell r="E702" t="str">
            <v>451</v>
          </cell>
          <cell r="F702">
            <v>20592</v>
          </cell>
          <cell r="G702">
            <v>2</v>
          </cell>
          <cell r="H702" t="str">
            <v>2006-02-28</v>
          </cell>
        </row>
        <row r="703">
          <cell r="A703">
            <v>481000</v>
          </cell>
          <cell r="B703">
            <v>1015</v>
          </cell>
          <cell r="C703">
            <v>-124454.62</v>
          </cell>
          <cell r="D703" t="str">
            <v>210</v>
          </cell>
          <cell r="E703" t="str">
            <v>451</v>
          </cell>
          <cell r="F703">
            <v>-20592</v>
          </cell>
          <cell r="G703">
            <v>2</v>
          </cell>
          <cell r="H703" t="str">
            <v>2006-02-28</v>
          </cell>
        </row>
        <row r="704">
          <cell r="A704">
            <v>481004</v>
          </cell>
          <cell r="B704">
            <v>1015</v>
          </cell>
          <cell r="C704">
            <v>0</v>
          </cell>
          <cell r="D704" t="str">
            <v>210</v>
          </cell>
          <cell r="E704" t="str">
            <v>451</v>
          </cell>
          <cell r="F704">
            <v>0</v>
          </cell>
          <cell r="G704">
            <v>2</v>
          </cell>
          <cell r="H704" t="str">
            <v>2006-02-28</v>
          </cell>
        </row>
        <row r="705">
          <cell r="A705">
            <v>481004</v>
          </cell>
          <cell r="B705">
            <v>1015</v>
          </cell>
          <cell r="C705">
            <v>-13438.52</v>
          </cell>
          <cell r="D705" t="str">
            <v>210</v>
          </cell>
          <cell r="E705" t="str">
            <v>451</v>
          </cell>
          <cell r="F705">
            <v>-2125</v>
          </cell>
          <cell r="G705">
            <v>2</v>
          </cell>
          <cell r="H705" t="str">
            <v>2006-02-28</v>
          </cell>
        </row>
        <row r="706">
          <cell r="A706">
            <v>481004</v>
          </cell>
          <cell r="B706">
            <v>1015</v>
          </cell>
          <cell r="C706">
            <v>13438.52</v>
          </cell>
          <cell r="D706" t="str">
            <v>210</v>
          </cell>
          <cell r="E706" t="str">
            <v>451</v>
          </cell>
          <cell r="F706">
            <v>2125</v>
          </cell>
          <cell r="G706">
            <v>2</v>
          </cell>
          <cell r="H706" t="str">
            <v>2006-02-28</v>
          </cell>
        </row>
        <row r="707">
          <cell r="A707">
            <v>480001</v>
          </cell>
          <cell r="B707">
            <v>1015</v>
          </cell>
          <cell r="C707">
            <v>-11147.89</v>
          </cell>
          <cell r="D707" t="str">
            <v>210</v>
          </cell>
          <cell r="E707" t="str">
            <v>453</v>
          </cell>
          <cell r="F707">
            <v>-1822</v>
          </cell>
          <cell r="G707">
            <v>2</v>
          </cell>
          <cell r="H707" t="str">
            <v>2006-02-28</v>
          </cell>
        </row>
        <row r="708">
          <cell r="A708">
            <v>481004</v>
          </cell>
          <cell r="B708">
            <v>1015</v>
          </cell>
          <cell r="C708">
            <v>3660.24</v>
          </cell>
          <cell r="D708" t="str">
            <v>210</v>
          </cell>
          <cell r="E708" t="str">
            <v>453</v>
          </cell>
          <cell r="F708">
            <v>591.4</v>
          </cell>
          <cell r="G708">
            <v>2</v>
          </cell>
          <cell r="H708" t="str">
            <v>2006-02-28</v>
          </cell>
        </row>
        <row r="709">
          <cell r="A709">
            <v>481004</v>
          </cell>
          <cell r="B709">
            <v>1015</v>
          </cell>
          <cell r="C709">
            <v>7487.65</v>
          </cell>
          <cell r="D709" t="str">
            <v>210</v>
          </cell>
          <cell r="E709" t="str">
            <v>453</v>
          </cell>
          <cell r="F709">
            <v>1230.5</v>
          </cell>
          <cell r="G709">
            <v>2</v>
          </cell>
          <cell r="H709" t="str">
            <v>2006-02-28</v>
          </cell>
        </row>
        <row r="710">
          <cell r="A710">
            <v>480001</v>
          </cell>
          <cell r="B710">
            <v>1015</v>
          </cell>
          <cell r="C710">
            <v>0</v>
          </cell>
          <cell r="D710" t="str">
            <v>210</v>
          </cell>
          <cell r="E710" t="str">
            <v>455</v>
          </cell>
          <cell r="F710">
            <v>0</v>
          </cell>
          <cell r="G710">
            <v>2</v>
          </cell>
          <cell r="H710" t="str">
            <v>2006-02-28</v>
          </cell>
        </row>
        <row r="711">
          <cell r="A711">
            <v>481002</v>
          </cell>
          <cell r="B711">
            <v>1015</v>
          </cell>
          <cell r="C711">
            <v>0</v>
          </cell>
          <cell r="D711" t="str">
            <v>210</v>
          </cell>
          <cell r="E711" t="str">
            <v>456</v>
          </cell>
          <cell r="F711">
            <v>0</v>
          </cell>
          <cell r="G711">
            <v>2</v>
          </cell>
          <cell r="H711" t="str">
            <v>2006-02-28</v>
          </cell>
        </row>
        <row r="712">
          <cell r="A712">
            <v>481002</v>
          </cell>
          <cell r="B712">
            <v>1015</v>
          </cell>
          <cell r="C712">
            <v>0</v>
          </cell>
          <cell r="D712" t="str">
            <v>210</v>
          </cell>
          <cell r="E712" t="str">
            <v>456</v>
          </cell>
          <cell r="F712">
            <v>0</v>
          </cell>
          <cell r="G712">
            <v>2</v>
          </cell>
          <cell r="H712" t="str">
            <v>2006-02-28</v>
          </cell>
        </row>
        <row r="713">
          <cell r="A713">
            <v>481002</v>
          </cell>
          <cell r="B713">
            <v>1015</v>
          </cell>
          <cell r="C713">
            <v>0</v>
          </cell>
          <cell r="D713" t="str">
            <v>210</v>
          </cell>
          <cell r="E713" t="str">
            <v>456</v>
          </cell>
          <cell r="F713">
            <v>0</v>
          </cell>
          <cell r="G713">
            <v>2</v>
          </cell>
          <cell r="H713" t="str">
            <v>2006-02-28</v>
          </cell>
        </row>
        <row r="714">
          <cell r="A714">
            <v>481002</v>
          </cell>
          <cell r="B714">
            <v>1015</v>
          </cell>
          <cell r="C714">
            <v>0</v>
          </cell>
          <cell r="D714" t="str">
            <v>210</v>
          </cell>
          <cell r="E714" t="str">
            <v>457</v>
          </cell>
          <cell r="F714">
            <v>0</v>
          </cell>
          <cell r="G714">
            <v>2</v>
          </cell>
          <cell r="H714" t="str">
            <v>2006-02-28</v>
          </cell>
        </row>
        <row r="715">
          <cell r="A715">
            <v>481002</v>
          </cell>
          <cell r="B715">
            <v>1015</v>
          </cell>
          <cell r="C715">
            <v>0</v>
          </cell>
          <cell r="D715" t="str">
            <v>210</v>
          </cell>
          <cell r="E715" t="str">
            <v>457</v>
          </cell>
          <cell r="F715">
            <v>0</v>
          </cell>
          <cell r="G715">
            <v>2</v>
          </cell>
          <cell r="H715" t="str">
            <v>2006-02-28</v>
          </cell>
        </row>
        <row r="716">
          <cell r="A716">
            <v>481002</v>
          </cell>
          <cell r="B716">
            <v>1015</v>
          </cell>
          <cell r="C716">
            <v>0</v>
          </cell>
          <cell r="D716" t="str">
            <v>210</v>
          </cell>
          <cell r="E716" t="str">
            <v>457</v>
          </cell>
          <cell r="F716">
            <v>0</v>
          </cell>
          <cell r="G716">
            <v>2</v>
          </cell>
          <cell r="H716" t="str">
            <v>2006-02-28</v>
          </cell>
        </row>
        <row r="717">
          <cell r="A717">
            <v>481005</v>
          </cell>
          <cell r="B717">
            <v>1015</v>
          </cell>
          <cell r="C717">
            <v>0</v>
          </cell>
          <cell r="D717" t="str">
            <v>210</v>
          </cell>
          <cell r="E717" t="str">
            <v>457</v>
          </cell>
          <cell r="F717">
            <v>0</v>
          </cell>
          <cell r="G717">
            <v>2</v>
          </cell>
          <cell r="H717" t="str">
            <v>2006-02-28</v>
          </cell>
        </row>
        <row r="718">
          <cell r="A718">
            <v>481005</v>
          </cell>
          <cell r="B718">
            <v>1015</v>
          </cell>
          <cell r="C718">
            <v>0</v>
          </cell>
          <cell r="D718" t="str">
            <v>210</v>
          </cell>
          <cell r="E718" t="str">
            <v>457</v>
          </cell>
          <cell r="F718">
            <v>0</v>
          </cell>
          <cell r="G718">
            <v>2</v>
          </cell>
          <cell r="H718" t="str">
            <v>2006-02-28</v>
          </cell>
        </row>
        <row r="719">
          <cell r="A719">
            <v>481005</v>
          </cell>
          <cell r="B719">
            <v>1015</v>
          </cell>
          <cell r="C719">
            <v>0</v>
          </cell>
          <cell r="D719" t="str">
            <v>210</v>
          </cell>
          <cell r="E719" t="str">
            <v>457</v>
          </cell>
          <cell r="F719">
            <v>0</v>
          </cell>
          <cell r="G719">
            <v>2</v>
          </cell>
          <cell r="H719" t="str">
            <v>2006-02-28</v>
          </cell>
        </row>
        <row r="720">
          <cell r="A720">
            <v>481000</v>
          </cell>
          <cell r="B720">
            <v>1015</v>
          </cell>
          <cell r="C720">
            <v>0</v>
          </cell>
          <cell r="D720" t="str">
            <v>204</v>
          </cell>
          <cell r="E720" t="str">
            <v>402</v>
          </cell>
          <cell r="F720">
            <v>0</v>
          </cell>
          <cell r="G720">
            <v>2</v>
          </cell>
          <cell r="H720" t="str">
            <v>2006-02-28</v>
          </cell>
        </row>
        <row r="721">
          <cell r="A721">
            <v>481000</v>
          </cell>
          <cell r="B721">
            <v>1015</v>
          </cell>
          <cell r="C721">
            <v>1847966.95</v>
          </cell>
          <cell r="D721" t="str">
            <v>204</v>
          </cell>
          <cell r="E721" t="str">
            <v>402</v>
          </cell>
          <cell r="F721">
            <v>0</v>
          </cell>
          <cell r="G721">
            <v>2</v>
          </cell>
          <cell r="H721" t="str">
            <v>2006-02-28</v>
          </cell>
        </row>
        <row r="722">
          <cell r="A722">
            <v>481000</v>
          </cell>
          <cell r="B722">
            <v>1015</v>
          </cell>
          <cell r="C722">
            <v>-276372.34999999998</v>
          </cell>
          <cell r="D722" t="str">
            <v>204</v>
          </cell>
          <cell r="E722" t="str">
            <v>402</v>
          </cell>
          <cell r="F722">
            <v>0</v>
          </cell>
          <cell r="G722">
            <v>2</v>
          </cell>
          <cell r="H722" t="str">
            <v>2006-02-28</v>
          </cell>
        </row>
        <row r="723">
          <cell r="A723">
            <v>481000</v>
          </cell>
          <cell r="B723">
            <v>1015</v>
          </cell>
          <cell r="C723">
            <v>-10517.93</v>
          </cell>
          <cell r="D723" t="str">
            <v>204</v>
          </cell>
          <cell r="E723" t="str">
            <v>402</v>
          </cell>
          <cell r="F723">
            <v>0</v>
          </cell>
          <cell r="G723">
            <v>2</v>
          </cell>
          <cell r="H723" t="str">
            <v>2006-02-28</v>
          </cell>
        </row>
        <row r="724">
          <cell r="A724">
            <v>481000</v>
          </cell>
          <cell r="B724">
            <v>1015</v>
          </cell>
          <cell r="C724">
            <v>-28178.32</v>
          </cell>
          <cell r="D724" t="str">
            <v>204</v>
          </cell>
          <cell r="E724" t="str">
            <v>402</v>
          </cell>
          <cell r="F724">
            <v>0</v>
          </cell>
          <cell r="G724">
            <v>2</v>
          </cell>
          <cell r="H724" t="str">
            <v>2006-02-28</v>
          </cell>
        </row>
        <row r="725">
          <cell r="A725">
            <v>481000</v>
          </cell>
          <cell r="B725">
            <v>1015</v>
          </cell>
          <cell r="C725">
            <v>-323198.43</v>
          </cell>
          <cell r="D725" t="str">
            <v>204</v>
          </cell>
          <cell r="E725" t="str">
            <v>402</v>
          </cell>
          <cell r="F725">
            <v>0</v>
          </cell>
          <cell r="G725">
            <v>2</v>
          </cell>
          <cell r="H725" t="str">
            <v>2006-02-28</v>
          </cell>
        </row>
        <row r="726">
          <cell r="A726">
            <v>481000</v>
          </cell>
          <cell r="B726">
            <v>1015</v>
          </cell>
          <cell r="C726">
            <v>-391823.75</v>
          </cell>
          <cell r="D726" t="str">
            <v>204</v>
          </cell>
          <cell r="E726" t="str">
            <v>402</v>
          </cell>
          <cell r="F726">
            <v>0</v>
          </cell>
          <cell r="G726">
            <v>2</v>
          </cell>
          <cell r="H726" t="str">
            <v>2006-02-28</v>
          </cell>
        </row>
        <row r="727">
          <cell r="A727">
            <v>481000</v>
          </cell>
          <cell r="B727">
            <v>1015</v>
          </cell>
          <cell r="C727">
            <v>-489457</v>
          </cell>
          <cell r="D727" t="str">
            <v>204</v>
          </cell>
          <cell r="E727" t="str">
            <v>402</v>
          </cell>
          <cell r="F727">
            <v>0</v>
          </cell>
          <cell r="G727">
            <v>2</v>
          </cell>
          <cell r="H727" t="str">
            <v>2006-02-28</v>
          </cell>
        </row>
        <row r="728">
          <cell r="A728">
            <v>481000</v>
          </cell>
          <cell r="B728">
            <v>1015</v>
          </cell>
          <cell r="C728">
            <v>-121204.8</v>
          </cell>
          <cell r="D728" t="str">
            <v>204</v>
          </cell>
          <cell r="E728" t="str">
            <v>402</v>
          </cell>
          <cell r="F728">
            <v>0</v>
          </cell>
          <cell r="G728">
            <v>2</v>
          </cell>
          <cell r="H728" t="str">
            <v>2006-02-28</v>
          </cell>
        </row>
        <row r="729">
          <cell r="A729">
            <v>481000</v>
          </cell>
          <cell r="B729">
            <v>1015</v>
          </cell>
          <cell r="C729">
            <v>-76730.98</v>
          </cell>
          <cell r="D729" t="str">
            <v>204</v>
          </cell>
          <cell r="E729" t="str">
            <v>402</v>
          </cell>
          <cell r="F729">
            <v>0</v>
          </cell>
          <cell r="G729">
            <v>2</v>
          </cell>
          <cell r="H729" t="str">
            <v>2006-02-28</v>
          </cell>
        </row>
        <row r="730">
          <cell r="A730">
            <v>481000</v>
          </cell>
          <cell r="B730">
            <v>1015</v>
          </cell>
          <cell r="C730">
            <v>-73693.2</v>
          </cell>
          <cell r="D730" t="str">
            <v>204</v>
          </cell>
          <cell r="E730" t="str">
            <v>402</v>
          </cell>
          <cell r="F730">
            <v>0</v>
          </cell>
          <cell r="G730">
            <v>2</v>
          </cell>
          <cell r="H730" t="str">
            <v>2006-02-28</v>
          </cell>
        </row>
        <row r="731">
          <cell r="A731">
            <v>481000</v>
          </cell>
          <cell r="B731">
            <v>1015</v>
          </cell>
          <cell r="C731">
            <v>-105502.5</v>
          </cell>
          <cell r="D731" t="str">
            <v>204</v>
          </cell>
          <cell r="E731" t="str">
            <v>402</v>
          </cell>
          <cell r="F731">
            <v>0</v>
          </cell>
          <cell r="G731">
            <v>2</v>
          </cell>
          <cell r="H731" t="str">
            <v>2006-02-28</v>
          </cell>
        </row>
        <row r="732">
          <cell r="A732">
            <v>481000</v>
          </cell>
          <cell r="B732">
            <v>1015</v>
          </cell>
          <cell r="C732">
            <v>-68993.759999999995</v>
          </cell>
          <cell r="D732" t="str">
            <v>204</v>
          </cell>
          <cell r="E732" t="str">
            <v>402</v>
          </cell>
          <cell r="F732">
            <v>0</v>
          </cell>
          <cell r="G732">
            <v>2</v>
          </cell>
          <cell r="H732" t="str">
            <v>2006-02-28</v>
          </cell>
        </row>
        <row r="733">
          <cell r="A733">
            <v>481000</v>
          </cell>
          <cell r="B733">
            <v>1015</v>
          </cell>
          <cell r="C733">
            <v>-78566.289999999994</v>
          </cell>
          <cell r="D733" t="str">
            <v>204</v>
          </cell>
          <cell r="E733" t="str">
            <v>402</v>
          </cell>
          <cell r="F733">
            <v>0</v>
          </cell>
          <cell r="G733">
            <v>2</v>
          </cell>
          <cell r="H733" t="str">
            <v>2006-02-28</v>
          </cell>
        </row>
        <row r="734">
          <cell r="A734">
            <v>481000</v>
          </cell>
          <cell r="B734">
            <v>1015</v>
          </cell>
          <cell r="C734">
            <v>-185531.44</v>
          </cell>
          <cell r="D734" t="str">
            <v>204</v>
          </cell>
          <cell r="E734" t="str">
            <v>402</v>
          </cell>
          <cell r="F734">
            <v>0</v>
          </cell>
          <cell r="G734">
            <v>2</v>
          </cell>
          <cell r="H734" t="str">
            <v>2006-02-28</v>
          </cell>
        </row>
        <row r="735">
          <cell r="A735">
            <v>481000</v>
          </cell>
          <cell r="B735">
            <v>1015</v>
          </cell>
          <cell r="C735">
            <v>-7.44</v>
          </cell>
          <cell r="D735" t="str">
            <v>204</v>
          </cell>
          <cell r="E735" t="str">
            <v>402</v>
          </cell>
          <cell r="F735">
            <v>0</v>
          </cell>
          <cell r="G735">
            <v>2</v>
          </cell>
          <cell r="H735" t="str">
            <v>2006-02-28</v>
          </cell>
        </row>
        <row r="736">
          <cell r="A736">
            <v>481004</v>
          </cell>
          <cell r="B736">
            <v>1015</v>
          </cell>
          <cell r="C736">
            <v>0</v>
          </cell>
          <cell r="D736" t="str">
            <v>204</v>
          </cell>
          <cell r="E736" t="str">
            <v>402</v>
          </cell>
          <cell r="F736">
            <v>0</v>
          </cell>
          <cell r="G736">
            <v>2</v>
          </cell>
          <cell r="H736" t="str">
            <v>2006-02-28</v>
          </cell>
        </row>
        <row r="737">
          <cell r="A737">
            <v>481004</v>
          </cell>
          <cell r="B737">
            <v>1015</v>
          </cell>
          <cell r="C737">
            <v>2558429.36</v>
          </cell>
          <cell r="D737" t="str">
            <v>204</v>
          </cell>
          <cell r="E737" t="str">
            <v>402</v>
          </cell>
          <cell r="F737">
            <v>0</v>
          </cell>
          <cell r="G737">
            <v>2</v>
          </cell>
          <cell r="H737" t="str">
            <v>2006-02-28</v>
          </cell>
        </row>
        <row r="738">
          <cell r="A738">
            <v>481004</v>
          </cell>
          <cell r="B738">
            <v>1015</v>
          </cell>
          <cell r="C738">
            <v>-4716987.3499999996</v>
          </cell>
          <cell r="D738" t="str">
            <v>204</v>
          </cell>
          <cell r="E738" t="str">
            <v>402</v>
          </cell>
          <cell r="F738">
            <v>0</v>
          </cell>
          <cell r="G738">
            <v>2</v>
          </cell>
          <cell r="H738" t="str">
            <v>2006-02-28</v>
          </cell>
        </row>
        <row r="739">
          <cell r="A739">
            <v>481004</v>
          </cell>
          <cell r="B739">
            <v>1015</v>
          </cell>
          <cell r="C739">
            <v>-70530.429999999993</v>
          </cell>
          <cell r="D739" t="str">
            <v>204</v>
          </cell>
          <cell r="E739" t="str">
            <v>402</v>
          </cell>
          <cell r="F739">
            <v>0</v>
          </cell>
          <cell r="G739">
            <v>2</v>
          </cell>
          <cell r="H739" t="str">
            <v>2006-02-28</v>
          </cell>
        </row>
        <row r="740">
          <cell r="A740">
            <v>481004</v>
          </cell>
          <cell r="B740">
            <v>1015</v>
          </cell>
          <cell r="C740">
            <v>-48060.4</v>
          </cell>
          <cell r="D740" t="str">
            <v>204</v>
          </cell>
          <cell r="E740" t="str">
            <v>402</v>
          </cell>
          <cell r="F740">
            <v>0</v>
          </cell>
          <cell r="G740">
            <v>2</v>
          </cell>
          <cell r="H740" t="str">
            <v>2006-02-28</v>
          </cell>
        </row>
        <row r="741">
          <cell r="A741">
            <v>481004</v>
          </cell>
          <cell r="B741">
            <v>1015</v>
          </cell>
          <cell r="C741">
            <v>-237268.32</v>
          </cell>
          <cell r="D741" t="str">
            <v>204</v>
          </cell>
          <cell r="E741" t="str">
            <v>402</v>
          </cell>
          <cell r="F741">
            <v>0</v>
          </cell>
          <cell r="G741">
            <v>2</v>
          </cell>
          <cell r="H741" t="str">
            <v>2006-02-28</v>
          </cell>
        </row>
        <row r="742">
          <cell r="A742">
            <v>481004</v>
          </cell>
          <cell r="B742">
            <v>1015</v>
          </cell>
          <cell r="C742">
            <v>-1258572.68</v>
          </cell>
          <cell r="D742" t="str">
            <v>204</v>
          </cell>
          <cell r="E742" t="str">
            <v>402</v>
          </cell>
          <cell r="F742">
            <v>0</v>
          </cell>
          <cell r="G742">
            <v>2</v>
          </cell>
          <cell r="H742" t="str">
            <v>2006-02-28</v>
          </cell>
        </row>
        <row r="743">
          <cell r="A743">
            <v>481004</v>
          </cell>
          <cell r="B743">
            <v>1015</v>
          </cell>
          <cell r="C743">
            <v>-439719.11</v>
          </cell>
          <cell r="D743" t="str">
            <v>204</v>
          </cell>
          <cell r="E743" t="str">
            <v>402</v>
          </cell>
          <cell r="F743">
            <v>0</v>
          </cell>
          <cell r="G743">
            <v>2</v>
          </cell>
          <cell r="H743" t="str">
            <v>2006-02-28</v>
          </cell>
        </row>
        <row r="744">
          <cell r="A744">
            <v>481004</v>
          </cell>
          <cell r="B744">
            <v>1015</v>
          </cell>
          <cell r="C744">
            <v>-210912.9</v>
          </cell>
          <cell r="D744" t="str">
            <v>204</v>
          </cell>
          <cell r="E744" t="str">
            <v>402</v>
          </cell>
          <cell r="F744">
            <v>0</v>
          </cell>
          <cell r="G744">
            <v>2</v>
          </cell>
          <cell r="H744" t="str">
            <v>2006-02-28</v>
          </cell>
        </row>
        <row r="745">
          <cell r="A745">
            <v>481004</v>
          </cell>
          <cell r="B745">
            <v>1015</v>
          </cell>
          <cell r="C745">
            <v>-62622.26</v>
          </cell>
          <cell r="D745" t="str">
            <v>204</v>
          </cell>
          <cell r="E745" t="str">
            <v>402</v>
          </cell>
          <cell r="F745">
            <v>0</v>
          </cell>
          <cell r="G745">
            <v>2</v>
          </cell>
          <cell r="H745" t="str">
            <v>2006-02-28</v>
          </cell>
        </row>
        <row r="746">
          <cell r="A746">
            <v>481004</v>
          </cell>
          <cell r="B746">
            <v>1015</v>
          </cell>
          <cell r="C746">
            <v>-179273.13</v>
          </cell>
          <cell r="D746" t="str">
            <v>204</v>
          </cell>
          <cell r="E746" t="str">
            <v>402</v>
          </cell>
          <cell r="F746">
            <v>0</v>
          </cell>
          <cell r="G746">
            <v>2</v>
          </cell>
          <cell r="H746" t="str">
            <v>2006-02-28</v>
          </cell>
        </row>
        <row r="747">
          <cell r="A747">
            <v>481004</v>
          </cell>
          <cell r="B747">
            <v>1015</v>
          </cell>
          <cell r="C747">
            <v>-237035</v>
          </cell>
          <cell r="D747" t="str">
            <v>204</v>
          </cell>
          <cell r="E747" t="str">
            <v>402</v>
          </cell>
          <cell r="F747">
            <v>0</v>
          </cell>
          <cell r="G747">
            <v>2</v>
          </cell>
          <cell r="H747" t="str">
            <v>2006-02-28</v>
          </cell>
        </row>
        <row r="748">
          <cell r="A748">
            <v>481004</v>
          </cell>
          <cell r="B748">
            <v>1015</v>
          </cell>
          <cell r="C748">
            <v>-228327.56</v>
          </cell>
          <cell r="D748" t="str">
            <v>204</v>
          </cell>
          <cell r="E748" t="str">
            <v>402</v>
          </cell>
          <cell r="F748">
            <v>0</v>
          </cell>
          <cell r="G748">
            <v>2</v>
          </cell>
          <cell r="H748" t="str">
            <v>2006-02-28</v>
          </cell>
        </row>
        <row r="749">
          <cell r="A749">
            <v>481004</v>
          </cell>
          <cell r="B749">
            <v>1015</v>
          </cell>
          <cell r="C749">
            <v>-371422.81</v>
          </cell>
          <cell r="D749" t="str">
            <v>204</v>
          </cell>
          <cell r="E749" t="str">
            <v>402</v>
          </cell>
          <cell r="F749">
            <v>0</v>
          </cell>
          <cell r="G749">
            <v>2</v>
          </cell>
          <cell r="H749" t="str">
            <v>2006-02-28</v>
          </cell>
        </row>
        <row r="750">
          <cell r="A750">
            <v>481004</v>
          </cell>
          <cell r="B750">
            <v>1015</v>
          </cell>
          <cell r="C750">
            <v>-225027.15</v>
          </cell>
          <cell r="D750" t="str">
            <v>204</v>
          </cell>
          <cell r="E750" t="str">
            <v>402</v>
          </cell>
          <cell r="F750">
            <v>0</v>
          </cell>
          <cell r="G750">
            <v>2</v>
          </cell>
          <cell r="H750" t="str">
            <v>2006-02-28</v>
          </cell>
        </row>
        <row r="751">
          <cell r="A751">
            <v>481004</v>
          </cell>
          <cell r="B751">
            <v>1015</v>
          </cell>
          <cell r="C751">
            <v>-46359.64</v>
          </cell>
          <cell r="D751" t="str">
            <v>204</v>
          </cell>
          <cell r="E751" t="str">
            <v>402</v>
          </cell>
          <cell r="F751">
            <v>0</v>
          </cell>
          <cell r="G751">
            <v>2</v>
          </cell>
          <cell r="H751" t="str">
            <v>2006-02-28</v>
          </cell>
        </row>
        <row r="752">
          <cell r="A752">
            <v>481004</v>
          </cell>
          <cell r="B752">
            <v>1015</v>
          </cell>
          <cell r="C752">
            <v>-13163.22</v>
          </cell>
          <cell r="D752" t="str">
            <v>204</v>
          </cell>
          <cell r="E752" t="str">
            <v>402</v>
          </cell>
          <cell r="F752">
            <v>0</v>
          </cell>
          <cell r="G752">
            <v>2</v>
          </cell>
          <cell r="H752" t="str">
            <v>2006-02-28</v>
          </cell>
        </row>
        <row r="753">
          <cell r="A753">
            <v>481000</v>
          </cell>
          <cell r="B753">
            <v>1015</v>
          </cell>
          <cell r="C753">
            <v>0</v>
          </cell>
          <cell r="D753" t="str">
            <v>204</v>
          </cell>
          <cell r="E753" t="str">
            <v>403</v>
          </cell>
          <cell r="F753">
            <v>0</v>
          </cell>
          <cell r="G753">
            <v>2</v>
          </cell>
          <cell r="H753" t="str">
            <v>2006-02-28</v>
          </cell>
        </row>
        <row r="754">
          <cell r="A754">
            <v>481000</v>
          </cell>
          <cell r="B754">
            <v>1015</v>
          </cell>
          <cell r="C754">
            <v>0</v>
          </cell>
          <cell r="D754" t="str">
            <v>204</v>
          </cell>
          <cell r="E754" t="str">
            <v>403</v>
          </cell>
          <cell r="F754">
            <v>0</v>
          </cell>
          <cell r="G754">
            <v>2</v>
          </cell>
          <cell r="H754" t="str">
            <v>2006-02-28</v>
          </cell>
        </row>
        <row r="755">
          <cell r="A755">
            <v>481000</v>
          </cell>
          <cell r="B755">
            <v>1015</v>
          </cell>
          <cell r="C755">
            <v>0</v>
          </cell>
          <cell r="D755" t="str">
            <v>204</v>
          </cell>
          <cell r="E755" t="str">
            <v>403</v>
          </cell>
          <cell r="F755">
            <v>0</v>
          </cell>
          <cell r="G755">
            <v>2</v>
          </cell>
          <cell r="H755" t="str">
            <v>2006-02-28</v>
          </cell>
        </row>
        <row r="756">
          <cell r="A756">
            <v>481000</v>
          </cell>
          <cell r="B756">
            <v>1015</v>
          </cell>
          <cell r="C756">
            <v>-2948.85</v>
          </cell>
          <cell r="D756" t="str">
            <v>204</v>
          </cell>
          <cell r="E756" t="str">
            <v>403</v>
          </cell>
          <cell r="F756">
            <v>0</v>
          </cell>
          <cell r="G756">
            <v>2</v>
          </cell>
          <cell r="H756" t="str">
            <v>2006-02-28</v>
          </cell>
        </row>
        <row r="757">
          <cell r="A757">
            <v>481004</v>
          </cell>
          <cell r="B757">
            <v>1015</v>
          </cell>
          <cell r="C757">
            <v>0</v>
          </cell>
          <cell r="D757" t="str">
            <v>204</v>
          </cell>
          <cell r="E757" t="str">
            <v>403</v>
          </cell>
          <cell r="F757">
            <v>0</v>
          </cell>
          <cell r="G757">
            <v>2</v>
          </cell>
          <cell r="H757" t="str">
            <v>2006-02-28</v>
          </cell>
        </row>
        <row r="758">
          <cell r="A758">
            <v>481004</v>
          </cell>
          <cell r="B758">
            <v>1015</v>
          </cell>
          <cell r="C758">
            <v>0</v>
          </cell>
          <cell r="D758" t="str">
            <v>204</v>
          </cell>
          <cell r="E758" t="str">
            <v>403</v>
          </cell>
          <cell r="F758">
            <v>0</v>
          </cell>
          <cell r="G758">
            <v>2</v>
          </cell>
          <cell r="H758" t="str">
            <v>2006-02-28</v>
          </cell>
        </row>
        <row r="759">
          <cell r="A759">
            <v>481004</v>
          </cell>
          <cell r="B759">
            <v>1015</v>
          </cell>
          <cell r="C759">
            <v>0</v>
          </cell>
          <cell r="D759" t="str">
            <v>204</v>
          </cell>
          <cell r="E759" t="str">
            <v>403</v>
          </cell>
          <cell r="F759">
            <v>0</v>
          </cell>
          <cell r="G759">
            <v>2</v>
          </cell>
          <cell r="H759" t="str">
            <v>2006-02-28</v>
          </cell>
        </row>
        <row r="760">
          <cell r="A760">
            <v>481000</v>
          </cell>
          <cell r="B760">
            <v>1015</v>
          </cell>
          <cell r="C760">
            <v>0</v>
          </cell>
          <cell r="D760" t="str">
            <v>204</v>
          </cell>
          <cell r="E760" t="str">
            <v>404</v>
          </cell>
          <cell r="F760">
            <v>0</v>
          </cell>
          <cell r="G760">
            <v>2</v>
          </cell>
          <cell r="H760" t="str">
            <v>2006-02-28</v>
          </cell>
        </row>
        <row r="761">
          <cell r="A761">
            <v>481000</v>
          </cell>
          <cell r="B761">
            <v>1015</v>
          </cell>
          <cell r="C761">
            <v>2154583.52</v>
          </cell>
          <cell r="D761" t="str">
            <v>204</v>
          </cell>
          <cell r="E761" t="str">
            <v>404</v>
          </cell>
          <cell r="F761">
            <v>0</v>
          </cell>
          <cell r="G761">
            <v>2</v>
          </cell>
          <cell r="H761" t="str">
            <v>2006-02-28</v>
          </cell>
        </row>
        <row r="762">
          <cell r="A762">
            <v>481000</v>
          </cell>
          <cell r="B762">
            <v>1015</v>
          </cell>
          <cell r="C762">
            <v>-1731674.25</v>
          </cell>
          <cell r="D762" t="str">
            <v>204</v>
          </cell>
          <cell r="E762" t="str">
            <v>404</v>
          </cell>
          <cell r="F762">
            <v>0</v>
          </cell>
          <cell r="G762">
            <v>2</v>
          </cell>
          <cell r="H762" t="str">
            <v>2006-02-28</v>
          </cell>
        </row>
        <row r="763">
          <cell r="A763">
            <v>481000</v>
          </cell>
          <cell r="B763">
            <v>1015</v>
          </cell>
          <cell r="C763">
            <v>-2154583.52</v>
          </cell>
          <cell r="D763" t="str">
            <v>204</v>
          </cell>
          <cell r="E763" t="str">
            <v>404</v>
          </cell>
          <cell r="F763">
            <v>0</v>
          </cell>
          <cell r="G763">
            <v>2</v>
          </cell>
          <cell r="H763" t="str">
            <v>2006-02-28</v>
          </cell>
        </row>
        <row r="764">
          <cell r="A764">
            <v>481004</v>
          </cell>
          <cell r="B764">
            <v>1015</v>
          </cell>
          <cell r="C764">
            <v>0</v>
          </cell>
          <cell r="D764" t="str">
            <v>204</v>
          </cell>
          <cell r="E764" t="str">
            <v>404</v>
          </cell>
          <cell r="F764">
            <v>0</v>
          </cell>
          <cell r="G764">
            <v>2</v>
          </cell>
          <cell r="H764" t="str">
            <v>2006-02-28</v>
          </cell>
        </row>
        <row r="765">
          <cell r="A765">
            <v>481004</v>
          </cell>
          <cell r="B765">
            <v>1015</v>
          </cell>
          <cell r="C765">
            <v>0</v>
          </cell>
          <cell r="D765" t="str">
            <v>204</v>
          </cell>
          <cell r="E765" t="str">
            <v>404</v>
          </cell>
          <cell r="F765">
            <v>0</v>
          </cell>
          <cell r="G765">
            <v>2</v>
          </cell>
          <cell r="H765" t="str">
            <v>2006-02-28</v>
          </cell>
        </row>
        <row r="766">
          <cell r="A766">
            <v>481004</v>
          </cell>
          <cell r="B766">
            <v>1015</v>
          </cell>
          <cell r="C766">
            <v>0</v>
          </cell>
          <cell r="D766" t="str">
            <v>204</v>
          </cell>
          <cell r="E766" t="str">
            <v>404</v>
          </cell>
          <cell r="F766">
            <v>0</v>
          </cell>
          <cell r="G766">
            <v>2</v>
          </cell>
          <cell r="H766" t="str">
            <v>2006-02-28</v>
          </cell>
        </row>
        <row r="767">
          <cell r="A767">
            <v>480000</v>
          </cell>
          <cell r="B767">
            <v>1015</v>
          </cell>
          <cell r="C767">
            <v>650.29</v>
          </cell>
          <cell r="D767" t="str">
            <v>204</v>
          </cell>
          <cell r="E767" t="str">
            <v>407</v>
          </cell>
          <cell r="F767">
            <v>0</v>
          </cell>
          <cell r="G767">
            <v>2</v>
          </cell>
          <cell r="H767" t="str">
            <v>2006-02-28</v>
          </cell>
        </row>
        <row r="768">
          <cell r="A768">
            <v>480000</v>
          </cell>
          <cell r="B768">
            <v>1015</v>
          </cell>
          <cell r="C768">
            <v>-3202889.95</v>
          </cell>
          <cell r="D768" t="str">
            <v>204</v>
          </cell>
          <cell r="E768" t="str">
            <v>407</v>
          </cell>
          <cell r="F768">
            <v>0</v>
          </cell>
          <cell r="G768">
            <v>2</v>
          </cell>
          <cell r="H768" t="str">
            <v>2006-02-28</v>
          </cell>
        </row>
        <row r="769">
          <cell r="A769">
            <v>480000</v>
          </cell>
          <cell r="B769">
            <v>1015</v>
          </cell>
          <cell r="C769">
            <v>-3913851.05</v>
          </cell>
          <cell r="D769" t="str">
            <v>204</v>
          </cell>
          <cell r="E769" t="str">
            <v>407</v>
          </cell>
          <cell r="F769">
            <v>0</v>
          </cell>
          <cell r="G769">
            <v>2</v>
          </cell>
          <cell r="H769" t="str">
            <v>2006-02-28</v>
          </cell>
        </row>
        <row r="770">
          <cell r="A770">
            <v>480000</v>
          </cell>
          <cell r="B770">
            <v>1015</v>
          </cell>
          <cell r="C770">
            <v>-4681547.7699999996</v>
          </cell>
          <cell r="D770" t="str">
            <v>204</v>
          </cell>
          <cell r="E770" t="str">
            <v>407</v>
          </cell>
          <cell r="F770">
            <v>0</v>
          </cell>
          <cell r="G770">
            <v>2</v>
          </cell>
          <cell r="H770" t="str">
            <v>2006-02-28</v>
          </cell>
        </row>
        <row r="771">
          <cell r="A771">
            <v>480000</v>
          </cell>
          <cell r="B771">
            <v>1015</v>
          </cell>
          <cell r="C771">
            <v>-11058564.57</v>
          </cell>
          <cell r="D771" t="str">
            <v>204</v>
          </cell>
          <cell r="E771" t="str">
            <v>407</v>
          </cell>
          <cell r="F771">
            <v>0</v>
          </cell>
          <cell r="G771">
            <v>2</v>
          </cell>
          <cell r="H771" t="str">
            <v>2006-02-28</v>
          </cell>
        </row>
        <row r="772">
          <cell r="A772">
            <v>480000</v>
          </cell>
          <cell r="B772">
            <v>1015</v>
          </cell>
          <cell r="C772">
            <v>-7243514.8099999996</v>
          </cell>
          <cell r="D772" t="str">
            <v>204</v>
          </cell>
          <cell r="E772" t="str">
            <v>407</v>
          </cell>
          <cell r="F772">
            <v>0</v>
          </cell>
          <cell r="G772">
            <v>2</v>
          </cell>
          <cell r="H772" t="str">
            <v>2006-02-28</v>
          </cell>
        </row>
        <row r="773">
          <cell r="A773">
            <v>480000</v>
          </cell>
          <cell r="B773">
            <v>1015</v>
          </cell>
          <cell r="C773">
            <v>-3850365.76</v>
          </cell>
          <cell r="D773" t="str">
            <v>204</v>
          </cell>
          <cell r="E773" t="str">
            <v>407</v>
          </cell>
          <cell r="F773">
            <v>0</v>
          </cell>
          <cell r="G773">
            <v>2</v>
          </cell>
          <cell r="H773" t="str">
            <v>2006-02-28</v>
          </cell>
        </row>
        <row r="774">
          <cell r="A774">
            <v>480000</v>
          </cell>
          <cell r="B774">
            <v>1015</v>
          </cell>
          <cell r="C774">
            <v>-6071953.0700000003</v>
          </cell>
          <cell r="D774" t="str">
            <v>204</v>
          </cell>
          <cell r="E774" t="str">
            <v>407</v>
          </cell>
          <cell r="F774">
            <v>0</v>
          </cell>
          <cell r="G774">
            <v>2</v>
          </cell>
          <cell r="H774" t="str">
            <v>2006-02-28</v>
          </cell>
        </row>
        <row r="775">
          <cell r="A775">
            <v>480000</v>
          </cell>
          <cell r="B775">
            <v>1015</v>
          </cell>
          <cell r="C775">
            <v>-7599367.0300000003</v>
          </cell>
          <cell r="D775" t="str">
            <v>204</v>
          </cell>
          <cell r="E775" t="str">
            <v>407</v>
          </cell>
          <cell r="F775">
            <v>0</v>
          </cell>
          <cell r="G775">
            <v>2</v>
          </cell>
          <cell r="H775" t="str">
            <v>2006-02-28</v>
          </cell>
        </row>
        <row r="776">
          <cell r="A776">
            <v>480000</v>
          </cell>
          <cell r="B776">
            <v>1015</v>
          </cell>
          <cell r="C776">
            <v>-4581925.8</v>
          </cell>
          <cell r="D776" t="str">
            <v>204</v>
          </cell>
          <cell r="E776" t="str">
            <v>407</v>
          </cell>
          <cell r="F776">
            <v>0</v>
          </cell>
          <cell r="G776">
            <v>2</v>
          </cell>
          <cell r="H776" t="str">
            <v>2006-02-28</v>
          </cell>
        </row>
        <row r="777">
          <cell r="A777">
            <v>480000</v>
          </cell>
          <cell r="B777">
            <v>1015</v>
          </cell>
          <cell r="C777">
            <v>-3288571.07</v>
          </cell>
          <cell r="D777" t="str">
            <v>204</v>
          </cell>
          <cell r="E777" t="str">
            <v>407</v>
          </cell>
          <cell r="F777">
            <v>0</v>
          </cell>
          <cell r="G777">
            <v>2</v>
          </cell>
          <cell r="H777" t="str">
            <v>2006-02-28</v>
          </cell>
        </row>
        <row r="778">
          <cell r="A778">
            <v>480000</v>
          </cell>
          <cell r="B778">
            <v>1015</v>
          </cell>
          <cell r="C778">
            <v>-7913602.6799999997</v>
          </cell>
          <cell r="D778" t="str">
            <v>204</v>
          </cell>
          <cell r="E778" t="str">
            <v>407</v>
          </cell>
          <cell r="F778">
            <v>0</v>
          </cell>
          <cell r="G778">
            <v>2</v>
          </cell>
          <cell r="H778" t="str">
            <v>2006-02-28</v>
          </cell>
        </row>
        <row r="779">
          <cell r="A779">
            <v>480000</v>
          </cell>
          <cell r="B779">
            <v>1015</v>
          </cell>
          <cell r="C779">
            <v>-6743159.8399999999</v>
          </cell>
          <cell r="D779" t="str">
            <v>204</v>
          </cell>
          <cell r="E779" t="str">
            <v>407</v>
          </cell>
          <cell r="F779">
            <v>0</v>
          </cell>
          <cell r="G779">
            <v>2</v>
          </cell>
          <cell r="H779" t="str">
            <v>2006-02-28</v>
          </cell>
        </row>
        <row r="780">
          <cell r="A780">
            <v>480000</v>
          </cell>
          <cell r="B780">
            <v>1015</v>
          </cell>
          <cell r="C780">
            <v>-138173.81</v>
          </cell>
          <cell r="D780" t="str">
            <v>204</v>
          </cell>
          <cell r="E780" t="str">
            <v>407</v>
          </cell>
          <cell r="F780">
            <v>0</v>
          </cell>
          <cell r="G780">
            <v>2</v>
          </cell>
          <cell r="H780" t="str">
            <v>2006-02-28</v>
          </cell>
        </row>
        <row r="781">
          <cell r="A781">
            <v>480000</v>
          </cell>
          <cell r="B781">
            <v>1015</v>
          </cell>
          <cell r="C781">
            <v>-84527.89</v>
          </cell>
          <cell r="D781" t="str">
            <v>204</v>
          </cell>
          <cell r="E781" t="str">
            <v>407</v>
          </cell>
          <cell r="F781">
            <v>0</v>
          </cell>
          <cell r="G781">
            <v>2</v>
          </cell>
          <cell r="H781" t="str">
            <v>2006-02-28</v>
          </cell>
        </row>
        <row r="782">
          <cell r="A782">
            <v>480001</v>
          </cell>
          <cell r="B782">
            <v>1015</v>
          </cell>
          <cell r="C782">
            <v>14903770.689999999</v>
          </cell>
          <cell r="D782" t="str">
            <v>204</v>
          </cell>
          <cell r="E782" t="str">
            <v>407</v>
          </cell>
          <cell r="F782">
            <v>0</v>
          </cell>
          <cell r="G782">
            <v>2</v>
          </cell>
          <cell r="H782" t="str">
            <v>2006-02-28</v>
          </cell>
        </row>
        <row r="783">
          <cell r="A783">
            <v>481004</v>
          </cell>
          <cell r="B783">
            <v>1015</v>
          </cell>
          <cell r="C783">
            <v>-704560.55</v>
          </cell>
          <cell r="D783" t="str">
            <v>204</v>
          </cell>
          <cell r="E783" t="str">
            <v>407</v>
          </cell>
          <cell r="F783">
            <v>0</v>
          </cell>
          <cell r="G783">
            <v>2</v>
          </cell>
          <cell r="H783" t="str">
            <v>2006-02-28</v>
          </cell>
        </row>
        <row r="784">
          <cell r="A784">
            <v>481004</v>
          </cell>
          <cell r="B784">
            <v>1015</v>
          </cell>
          <cell r="C784">
            <v>-1410765.25</v>
          </cell>
          <cell r="D784" t="str">
            <v>204</v>
          </cell>
          <cell r="E784" t="str">
            <v>407</v>
          </cell>
          <cell r="F784">
            <v>0</v>
          </cell>
          <cell r="G784">
            <v>2</v>
          </cell>
          <cell r="H784" t="str">
            <v>2006-02-28</v>
          </cell>
        </row>
        <row r="785">
          <cell r="A785">
            <v>481004</v>
          </cell>
          <cell r="B785">
            <v>1015</v>
          </cell>
          <cell r="C785">
            <v>-1321593.6200000001</v>
          </cell>
          <cell r="D785" t="str">
            <v>204</v>
          </cell>
          <cell r="E785" t="str">
            <v>407</v>
          </cell>
          <cell r="F785">
            <v>0</v>
          </cell>
          <cell r="G785">
            <v>2</v>
          </cell>
          <cell r="H785" t="str">
            <v>2006-02-28</v>
          </cell>
        </row>
        <row r="786">
          <cell r="A786">
            <v>481004</v>
          </cell>
          <cell r="B786">
            <v>1015</v>
          </cell>
          <cell r="C786">
            <v>-6082002.6500000004</v>
          </cell>
          <cell r="D786" t="str">
            <v>204</v>
          </cell>
          <cell r="E786" t="str">
            <v>407</v>
          </cell>
          <cell r="F786">
            <v>0</v>
          </cell>
          <cell r="G786">
            <v>2</v>
          </cell>
          <cell r="H786" t="str">
            <v>2006-02-28</v>
          </cell>
        </row>
        <row r="787">
          <cell r="A787">
            <v>481004</v>
          </cell>
          <cell r="B787">
            <v>1015</v>
          </cell>
          <cell r="C787">
            <v>-5067816.21</v>
          </cell>
          <cell r="D787" t="str">
            <v>204</v>
          </cell>
          <cell r="E787" t="str">
            <v>407</v>
          </cell>
          <cell r="F787">
            <v>0</v>
          </cell>
          <cell r="G787">
            <v>2</v>
          </cell>
          <cell r="H787" t="str">
            <v>2006-02-28</v>
          </cell>
        </row>
        <row r="788">
          <cell r="A788">
            <v>481004</v>
          </cell>
          <cell r="B788">
            <v>1015</v>
          </cell>
          <cell r="C788">
            <v>-1592438.89</v>
          </cell>
          <cell r="D788" t="str">
            <v>204</v>
          </cell>
          <cell r="E788" t="str">
            <v>407</v>
          </cell>
          <cell r="F788">
            <v>0</v>
          </cell>
          <cell r="G788">
            <v>2</v>
          </cell>
          <cell r="H788" t="str">
            <v>2006-02-28</v>
          </cell>
        </row>
        <row r="789">
          <cell r="A789">
            <v>481004</v>
          </cell>
          <cell r="B789">
            <v>1015</v>
          </cell>
          <cell r="C789">
            <v>-2013562.45</v>
          </cell>
          <cell r="D789" t="str">
            <v>204</v>
          </cell>
          <cell r="E789" t="str">
            <v>407</v>
          </cell>
          <cell r="F789">
            <v>0</v>
          </cell>
          <cell r="G789">
            <v>2</v>
          </cell>
          <cell r="H789" t="str">
            <v>2006-02-28</v>
          </cell>
        </row>
        <row r="790">
          <cell r="A790">
            <v>481004</v>
          </cell>
          <cell r="B790">
            <v>1015</v>
          </cell>
          <cell r="C790">
            <v>-3029511.59</v>
          </cell>
          <cell r="D790" t="str">
            <v>204</v>
          </cell>
          <cell r="E790" t="str">
            <v>407</v>
          </cell>
          <cell r="F790">
            <v>0</v>
          </cell>
          <cell r="G790">
            <v>2</v>
          </cell>
          <cell r="H790" t="str">
            <v>2006-02-28</v>
          </cell>
        </row>
        <row r="791">
          <cell r="A791">
            <v>481004</v>
          </cell>
          <cell r="B791">
            <v>1015</v>
          </cell>
          <cell r="C791">
            <v>-1568175.26</v>
          </cell>
          <cell r="D791" t="str">
            <v>204</v>
          </cell>
          <cell r="E791" t="str">
            <v>407</v>
          </cell>
          <cell r="F791">
            <v>0</v>
          </cell>
          <cell r="G791">
            <v>2</v>
          </cell>
          <cell r="H791" t="str">
            <v>2006-02-28</v>
          </cell>
        </row>
        <row r="792">
          <cell r="A792">
            <v>481004</v>
          </cell>
          <cell r="B792">
            <v>1015</v>
          </cell>
          <cell r="C792">
            <v>-1547556.57</v>
          </cell>
          <cell r="D792" t="str">
            <v>204</v>
          </cell>
          <cell r="E792" t="str">
            <v>407</v>
          </cell>
          <cell r="F792">
            <v>0</v>
          </cell>
          <cell r="G792">
            <v>2</v>
          </cell>
          <cell r="H792" t="str">
            <v>2006-02-28</v>
          </cell>
        </row>
        <row r="793">
          <cell r="A793">
            <v>481004</v>
          </cell>
          <cell r="B793">
            <v>1015</v>
          </cell>
          <cell r="C793">
            <v>-3011594.59</v>
          </cell>
          <cell r="D793" t="str">
            <v>204</v>
          </cell>
          <cell r="E793" t="str">
            <v>407</v>
          </cell>
          <cell r="F793">
            <v>0</v>
          </cell>
          <cell r="G793">
            <v>2</v>
          </cell>
          <cell r="H793" t="str">
            <v>2006-02-28</v>
          </cell>
        </row>
        <row r="794">
          <cell r="A794">
            <v>481004</v>
          </cell>
          <cell r="B794">
            <v>1015</v>
          </cell>
          <cell r="C794">
            <v>-2608830.79</v>
          </cell>
          <cell r="D794" t="str">
            <v>204</v>
          </cell>
          <cell r="E794" t="str">
            <v>407</v>
          </cell>
          <cell r="F794">
            <v>0</v>
          </cell>
          <cell r="G794">
            <v>2</v>
          </cell>
          <cell r="H794" t="str">
            <v>2006-02-28</v>
          </cell>
        </row>
        <row r="795">
          <cell r="A795">
            <v>481004</v>
          </cell>
          <cell r="B795">
            <v>1015</v>
          </cell>
          <cell r="C795">
            <v>-149001.75</v>
          </cell>
          <cell r="D795" t="str">
            <v>204</v>
          </cell>
          <cell r="E795" t="str">
            <v>407</v>
          </cell>
          <cell r="F795">
            <v>0</v>
          </cell>
          <cell r="G795">
            <v>2</v>
          </cell>
          <cell r="H795" t="str">
            <v>2006-02-28</v>
          </cell>
        </row>
        <row r="796">
          <cell r="A796">
            <v>481004</v>
          </cell>
          <cell r="B796">
            <v>1015</v>
          </cell>
          <cell r="C796">
            <v>-43754.71</v>
          </cell>
          <cell r="D796" t="str">
            <v>204</v>
          </cell>
          <cell r="E796" t="str">
            <v>407</v>
          </cell>
          <cell r="F796">
            <v>0</v>
          </cell>
          <cell r="G796">
            <v>2</v>
          </cell>
          <cell r="H796" t="str">
            <v>2006-02-28</v>
          </cell>
        </row>
        <row r="797">
          <cell r="A797">
            <v>480000</v>
          </cell>
          <cell r="B797">
            <v>1015</v>
          </cell>
          <cell r="C797">
            <v>-546.96</v>
          </cell>
          <cell r="D797" t="str">
            <v>204</v>
          </cell>
          <cell r="E797" t="str">
            <v>408</v>
          </cell>
          <cell r="F797">
            <v>0</v>
          </cell>
          <cell r="G797">
            <v>2</v>
          </cell>
          <cell r="H797" t="str">
            <v>2006-02-28</v>
          </cell>
        </row>
        <row r="798">
          <cell r="A798">
            <v>480000</v>
          </cell>
          <cell r="B798">
            <v>1015</v>
          </cell>
          <cell r="C798">
            <v>-181.91</v>
          </cell>
          <cell r="D798" t="str">
            <v>204</v>
          </cell>
          <cell r="E798" t="str">
            <v>408</v>
          </cell>
          <cell r="F798">
            <v>0</v>
          </cell>
          <cell r="G798">
            <v>2</v>
          </cell>
          <cell r="H798" t="str">
            <v>2006-02-28</v>
          </cell>
        </row>
        <row r="799">
          <cell r="A799">
            <v>480000</v>
          </cell>
          <cell r="B799">
            <v>1015</v>
          </cell>
          <cell r="C799">
            <v>-613.22</v>
          </cell>
          <cell r="D799" t="str">
            <v>204</v>
          </cell>
          <cell r="E799" t="str">
            <v>408</v>
          </cell>
          <cell r="F799">
            <v>0</v>
          </cell>
          <cell r="G799">
            <v>2</v>
          </cell>
          <cell r="H799" t="str">
            <v>2006-02-28</v>
          </cell>
        </row>
        <row r="800">
          <cell r="A800">
            <v>480000</v>
          </cell>
          <cell r="B800">
            <v>1015</v>
          </cell>
          <cell r="C800">
            <v>-109507.12</v>
          </cell>
          <cell r="D800" t="str">
            <v>204</v>
          </cell>
          <cell r="E800" t="str">
            <v>408</v>
          </cell>
          <cell r="F800">
            <v>0</v>
          </cell>
          <cell r="G800">
            <v>2</v>
          </cell>
          <cell r="H800" t="str">
            <v>2006-02-28</v>
          </cell>
        </row>
        <row r="801">
          <cell r="A801">
            <v>480000</v>
          </cell>
          <cell r="B801">
            <v>1015</v>
          </cell>
          <cell r="C801">
            <v>-634.17999999999995</v>
          </cell>
          <cell r="D801" t="str">
            <v>204</v>
          </cell>
          <cell r="E801" t="str">
            <v>408</v>
          </cell>
          <cell r="F801">
            <v>0</v>
          </cell>
          <cell r="G801">
            <v>2</v>
          </cell>
          <cell r="H801" t="str">
            <v>2006-02-28</v>
          </cell>
        </row>
        <row r="802">
          <cell r="A802">
            <v>480000</v>
          </cell>
          <cell r="B802">
            <v>1015</v>
          </cell>
          <cell r="C802">
            <v>-909.48</v>
          </cell>
          <cell r="D802" t="str">
            <v>204</v>
          </cell>
          <cell r="E802" t="str">
            <v>408</v>
          </cell>
          <cell r="F802">
            <v>0</v>
          </cell>
          <cell r="G802">
            <v>2</v>
          </cell>
          <cell r="H802" t="str">
            <v>2006-02-28</v>
          </cell>
        </row>
        <row r="803">
          <cell r="A803">
            <v>480000</v>
          </cell>
          <cell r="B803">
            <v>1015</v>
          </cell>
          <cell r="C803">
            <v>-86979.839999999997</v>
          </cell>
          <cell r="D803" t="str">
            <v>204</v>
          </cell>
          <cell r="E803" t="str">
            <v>408</v>
          </cell>
          <cell r="F803">
            <v>0</v>
          </cell>
          <cell r="G803">
            <v>2</v>
          </cell>
          <cell r="H803" t="str">
            <v>2006-02-28</v>
          </cell>
        </row>
        <row r="804">
          <cell r="A804">
            <v>480000</v>
          </cell>
          <cell r="B804">
            <v>1015</v>
          </cell>
          <cell r="C804">
            <v>-244184.88</v>
          </cell>
          <cell r="D804" t="str">
            <v>204</v>
          </cell>
          <cell r="E804" t="str">
            <v>408</v>
          </cell>
          <cell r="F804">
            <v>0</v>
          </cell>
          <cell r="G804">
            <v>2</v>
          </cell>
          <cell r="H804" t="str">
            <v>2006-02-28</v>
          </cell>
        </row>
        <row r="805">
          <cell r="A805">
            <v>480000</v>
          </cell>
          <cell r="B805">
            <v>1015</v>
          </cell>
          <cell r="C805">
            <v>-1334.18</v>
          </cell>
          <cell r="D805" t="str">
            <v>204</v>
          </cell>
          <cell r="E805" t="str">
            <v>408</v>
          </cell>
          <cell r="F805">
            <v>0</v>
          </cell>
          <cell r="G805">
            <v>2</v>
          </cell>
          <cell r="H805" t="str">
            <v>2006-02-28</v>
          </cell>
        </row>
        <row r="806">
          <cell r="A806">
            <v>480000</v>
          </cell>
          <cell r="B806">
            <v>1015</v>
          </cell>
          <cell r="C806">
            <v>-447.71</v>
          </cell>
          <cell r="D806" t="str">
            <v>204</v>
          </cell>
          <cell r="E806" t="str">
            <v>408</v>
          </cell>
          <cell r="F806">
            <v>0</v>
          </cell>
          <cell r="G806">
            <v>2</v>
          </cell>
          <cell r="H806" t="str">
            <v>2006-02-28</v>
          </cell>
        </row>
        <row r="807">
          <cell r="A807">
            <v>480000</v>
          </cell>
          <cell r="B807">
            <v>1015</v>
          </cell>
          <cell r="C807">
            <v>-471.64</v>
          </cell>
          <cell r="D807" t="str">
            <v>204</v>
          </cell>
          <cell r="E807" t="str">
            <v>408</v>
          </cell>
          <cell r="F807">
            <v>0</v>
          </cell>
          <cell r="G807">
            <v>2</v>
          </cell>
          <cell r="H807" t="str">
            <v>2006-02-28</v>
          </cell>
        </row>
        <row r="808">
          <cell r="A808">
            <v>480000</v>
          </cell>
          <cell r="B808">
            <v>1015</v>
          </cell>
          <cell r="C808">
            <v>-26429.7</v>
          </cell>
          <cell r="D808" t="str">
            <v>204</v>
          </cell>
          <cell r="E808" t="str">
            <v>408</v>
          </cell>
          <cell r="F808">
            <v>0</v>
          </cell>
          <cell r="G808">
            <v>2</v>
          </cell>
          <cell r="H808" t="str">
            <v>2006-02-28</v>
          </cell>
        </row>
        <row r="809">
          <cell r="A809">
            <v>480000</v>
          </cell>
          <cell r="B809">
            <v>1015</v>
          </cell>
          <cell r="C809">
            <v>-124.87</v>
          </cell>
          <cell r="D809" t="str">
            <v>204</v>
          </cell>
          <cell r="E809" t="str">
            <v>408</v>
          </cell>
          <cell r="F809">
            <v>0</v>
          </cell>
          <cell r="G809">
            <v>2</v>
          </cell>
          <cell r="H809" t="str">
            <v>2006-02-28</v>
          </cell>
        </row>
        <row r="810">
          <cell r="A810">
            <v>480000</v>
          </cell>
          <cell r="B810">
            <v>1015</v>
          </cell>
          <cell r="C810">
            <v>-249.66</v>
          </cell>
          <cell r="D810" t="str">
            <v>204</v>
          </cell>
          <cell r="E810" t="str">
            <v>408</v>
          </cell>
          <cell r="F810">
            <v>0</v>
          </cell>
          <cell r="G810">
            <v>2</v>
          </cell>
          <cell r="H810" t="str">
            <v>2006-02-28</v>
          </cell>
        </row>
        <row r="811">
          <cell r="A811">
            <v>480001</v>
          </cell>
          <cell r="B811">
            <v>1015</v>
          </cell>
          <cell r="C811">
            <v>134689.44</v>
          </cell>
          <cell r="D811" t="str">
            <v>204</v>
          </cell>
          <cell r="E811" t="str">
            <v>408</v>
          </cell>
          <cell r="F811">
            <v>0</v>
          </cell>
          <cell r="G811">
            <v>2</v>
          </cell>
          <cell r="H811" t="str">
            <v>2006-02-28</v>
          </cell>
        </row>
        <row r="812">
          <cell r="A812">
            <v>481004</v>
          </cell>
          <cell r="B812">
            <v>1015</v>
          </cell>
          <cell r="C812">
            <v>0.01</v>
          </cell>
          <cell r="D812" t="str">
            <v>204</v>
          </cell>
          <cell r="E812" t="str">
            <v>408</v>
          </cell>
          <cell r="F812">
            <v>0</v>
          </cell>
          <cell r="G812">
            <v>2</v>
          </cell>
          <cell r="H812" t="str">
            <v>2006-02-28</v>
          </cell>
        </row>
        <row r="813">
          <cell r="A813">
            <v>481004</v>
          </cell>
          <cell r="B813">
            <v>1015</v>
          </cell>
          <cell r="C813">
            <v>-14176.28</v>
          </cell>
          <cell r="D813" t="str">
            <v>204</v>
          </cell>
          <cell r="E813" t="str">
            <v>408</v>
          </cell>
          <cell r="F813">
            <v>0</v>
          </cell>
          <cell r="G813">
            <v>2</v>
          </cell>
          <cell r="H813" t="str">
            <v>2006-02-28</v>
          </cell>
        </row>
        <row r="814">
          <cell r="A814">
            <v>481004</v>
          </cell>
          <cell r="B814">
            <v>1015</v>
          </cell>
          <cell r="C814">
            <v>-296.62</v>
          </cell>
          <cell r="D814" t="str">
            <v>204</v>
          </cell>
          <cell r="E814" t="str">
            <v>408</v>
          </cell>
          <cell r="F814">
            <v>0</v>
          </cell>
          <cell r="G814">
            <v>2</v>
          </cell>
          <cell r="H814" t="str">
            <v>2006-02-28</v>
          </cell>
        </row>
        <row r="815">
          <cell r="A815">
            <v>481004</v>
          </cell>
          <cell r="B815">
            <v>1015</v>
          </cell>
          <cell r="C815">
            <v>-57341.48</v>
          </cell>
          <cell r="D815" t="str">
            <v>204</v>
          </cell>
          <cell r="E815" t="str">
            <v>408</v>
          </cell>
          <cell r="F815">
            <v>0</v>
          </cell>
          <cell r="G815">
            <v>2</v>
          </cell>
          <cell r="H815" t="str">
            <v>2006-02-28</v>
          </cell>
        </row>
        <row r="816">
          <cell r="A816">
            <v>481004</v>
          </cell>
          <cell r="B816">
            <v>1015</v>
          </cell>
          <cell r="C816">
            <v>-152882.01</v>
          </cell>
          <cell r="D816" t="str">
            <v>204</v>
          </cell>
          <cell r="E816" t="str">
            <v>408</v>
          </cell>
          <cell r="F816">
            <v>0</v>
          </cell>
          <cell r="G816">
            <v>2</v>
          </cell>
          <cell r="H816" t="str">
            <v>2006-02-28</v>
          </cell>
        </row>
        <row r="817">
          <cell r="A817">
            <v>481004</v>
          </cell>
          <cell r="B817">
            <v>1015</v>
          </cell>
          <cell r="C817">
            <v>-823.09</v>
          </cell>
          <cell r="D817" t="str">
            <v>204</v>
          </cell>
          <cell r="E817" t="str">
            <v>408</v>
          </cell>
          <cell r="F817">
            <v>0</v>
          </cell>
          <cell r="G817">
            <v>2</v>
          </cell>
          <cell r="H817" t="str">
            <v>2006-02-28</v>
          </cell>
        </row>
        <row r="818">
          <cell r="A818">
            <v>481004</v>
          </cell>
          <cell r="B818">
            <v>1015</v>
          </cell>
          <cell r="C818">
            <v>-1149.19</v>
          </cell>
          <cell r="D818" t="str">
            <v>204</v>
          </cell>
          <cell r="E818" t="str">
            <v>408</v>
          </cell>
          <cell r="F818">
            <v>0</v>
          </cell>
          <cell r="G818">
            <v>2</v>
          </cell>
          <cell r="H818" t="str">
            <v>2006-02-28</v>
          </cell>
        </row>
        <row r="819">
          <cell r="A819">
            <v>481004</v>
          </cell>
          <cell r="B819">
            <v>1015</v>
          </cell>
          <cell r="C819">
            <v>-61.28</v>
          </cell>
          <cell r="D819" t="str">
            <v>204</v>
          </cell>
          <cell r="E819" t="str">
            <v>408</v>
          </cell>
          <cell r="F819">
            <v>0</v>
          </cell>
          <cell r="G819">
            <v>2</v>
          </cell>
          <cell r="H819" t="str">
            <v>2006-02-28</v>
          </cell>
        </row>
        <row r="820">
          <cell r="A820">
            <v>481004</v>
          </cell>
          <cell r="B820">
            <v>1015</v>
          </cell>
          <cell r="C820">
            <v>-5773.61</v>
          </cell>
          <cell r="D820" t="str">
            <v>204</v>
          </cell>
          <cell r="E820" t="str">
            <v>408</v>
          </cell>
          <cell r="F820">
            <v>0</v>
          </cell>
          <cell r="G820">
            <v>2</v>
          </cell>
          <cell r="H820" t="str">
            <v>2006-02-28</v>
          </cell>
        </row>
        <row r="821">
          <cell r="A821">
            <v>481004</v>
          </cell>
          <cell r="B821">
            <v>1015</v>
          </cell>
          <cell r="C821">
            <v>-785.54</v>
          </cell>
          <cell r="D821" t="str">
            <v>204</v>
          </cell>
          <cell r="E821" t="str">
            <v>408</v>
          </cell>
          <cell r="F821">
            <v>0</v>
          </cell>
          <cell r="G821">
            <v>2</v>
          </cell>
          <cell r="H821" t="str">
            <v>2006-02-28</v>
          </cell>
        </row>
        <row r="822">
          <cell r="A822">
            <v>481002</v>
          </cell>
          <cell r="B822">
            <v>1015</v>
          </cell>
          <cell r="C822">
            <v>0</v>
          </cell>
          <cell r="D822" t="str">
            <v>204</v>
          </cell>
          <cell r="E822" t="str">
            <v>409</v>
          </cell>
          <cell r="F822">
            <v>0</v>
          </cell>
          <cell r="G822">
            <v>2</v>
          </cell>
          <cell r="H822" t="str">
            <v>2006-02-28</v>
          </cell>
        </row>
        <row r="823">
          <cell r="A823">
            <v>481002</v>
          </cell>
          <cell r="B823">
            <v>1015</v>
          </cell>
          <cell r="C823">
            <v>0</v>
          </cell>
          <cell r="D823" t="str">
            <v>204</v>
          </cell>
          <cell r="E823" t="str">
            <v>409</v>
          </cell>
          <cell r="F823">
            <v>0</v>
          </cell>
          <cell r="G823">
            <v>2</v>
          </cell>
          <cell r="H823" t="str">
            <v>2006-02-28</v>
          </cell>
        </row>
        <row r="824">
          <cell r="A824">
            <v>481002</v>
          </cell>
          <cell r="B824">
            <v>1015</v>
          </cell>
          <cell r="C824">
            <v>0</v>
          </cell>
          <cell r="D824" t="str">
            <v>204</v>
          </cell>
          <cell r="E824" t="str">
            <v>409</v>
          </cell>
          <cell r="F824">
            <v>0</v>
          </cell>
          <cell r="G824">
            <v>2</v>
          </cell>
          <cell r="H824" t="str">
            <v>2006-02-28</v>
          </cell>
        </row>
        <row r="825">
          <cell r="A825">
            <v>481002</v>
          </cell>
          <cell r="B825">
            <v>1015</v>
          </cell>
          <cell r="C825">
            <v>0</v>
          </cell>
          <cell r="D825" t="str">
            <v>204</v>
          </cell>
          <cell r="E825" t="str">
            <v>411</v>
          </cell>
          <cell r="F825">
            <v>0</v>
          </cell>
          <cell r="G825">
            <v>2</v>
          </cell>
          <cell r="H825" t="str">
            <v>2006-02-28</v>
          </cell>
        </row>
        <row r="826">
          <cell r="A826">
            <v>481002</v>
          </cell>
          <cell r="B826">
            <v>1015</v>
          </cell>
          <cell r="C826">
            <v>-2002370.44</v>
          </cell>
          <cell r="D826" t="str">
            <v>204</v>
          </cell>
          <cell r="E826" t="str">
            <v>411</v>
          </cell>
          <cell r="F826">
            <v>0</v>
          </cell>
          <cell r="G826">
            <v>2</v>
          </cell>
          <cell r="H826" t="str">
            <v>2006-02-28</v>
          </cell>
        </row>
        <row r="827">
          <cell r="A827">
            <v>481002</v>
          </cell>
          <cell r="B827">
            <v>1015</v>
          </cell>
          <cell r="C827">
            <v>2830249.47</v>
          </cell>
          <cell r="D827" t="str">
            <v>204</v>
          </cell>
          <cell r="E827" t="str">
            <v>411</v>
          </cell>
          <cell r="F827">
            <v>0</v>
          </cell>
          <cell r="G827">
            <v>2</v>
          </cell>
          <cell r="H827" t="str">
            <v>2006-02-28</v>
          </cell>
        </row>
        <row r="828">
          <cell r="A828">
            <v>481002</v>
          </cell>
          <cell r="B828">
            <v>1015</v>
          </cell>
          <cell r="C828">
            <v>-333399.49</v>
          </cell>
          <cell r="D828" t="str">
            <v>204</v>
          </cell>
          <cell r="E828" t="str">
            <v>411</v>
          </cell>
          <cell r="F828">
            <v>0</v>
          </cell>
          <cell r="G828">
            <v>2</v>
          </cell>
          <cell r="H828" t="str">
            <v>2006-02-28</v>
          </cell>
        </row>
        <row r="829">
          <cell r="A829">
            <v>481002</v>
          </cell>
          <cell r="B829">
            <v>1015</v>
          </cell>
          <cell r="C829">
            <v>-479641.88</v>
          </cell>
          <cell r="D829" t="str">
            <v>204</v>
          </cell>
          <cell r="E829" t="str">
            <v>411</v>
          </cell>
          <cell r="F829">
            <v>0</v>
          </cell>
          <cell r="G829">
            <v>2</v>
          </cell>
          <cell r="H829" t="str">
            <v>2006-02-28</v>
          </cell>
        </row>
        <row r="830">
          <cell r="A830">
            <v>481002</v>
          </cell>
          <cell r="B830">
            <v>1015</v>
          </cell>
          <cell r="C830">
            <v>-9149.2900000000009</v>
          </cell>
          <cell r="D830" t="str">
            <v>204</v>
          </cell>
          <cell r="E830" t="str">
            <v>411</v>
          </cell>
          <cell r="F830">
            <v>0</v>
          </cell>
          <cell r="G830">
            <v>2</v>
          </cell>
          <cell r="H830" t="str">
            <v>2006-02-28</v>
          </cell>
        </row>
        <row r="831">
          <cell r="A831">
            <v>481002</v>
          </cell>
          <cell r="B831">
            <v>1015</v>
          </cell>
          <cell r="C831">
            <v>-67587.210000000006</v>
          </cell>
          <cell r="D831" t="str">
            <v>204</v>
          </cell>
          <cell r="E831" t="str">
            <v>411</v>
          </cell>
          <cell r="F831">
            <v>0</v>
          </cell>
          <cell r="G831">
            <v>2</v>
          </cell>
          <cell r="H831" t="str">
            <v>2006-02-28</v>
          </cell>
        </row>
        <row r="832">
          <cell r="A832">
            <v>481002</v>
          </cell>
          <cell r="B832">
            <v>1015</v>
          </cell>
          <cell r="C832">
            <v>-26976.79</v>
          </cell>
          <cell r="D832" t="str">
            <v>204</v>
          </cell>
          <cell r="E832" t="str">
            <v>411</v>
          </cell>
          <cell r="F832">
            <v>0</v>
          </cell>
          <cell r="G832">
            <v>2</v>
          </cell>
          <cell r="H832" t="str">
            <v>2006-02-28</v>
          </cell>
        </row>
        <row r="833">
          <cell r="A833">
            <v>481002</v>
          </cell>
          <cell r="B833">
            <v>1015</v>
          </cell>
          <cell r="C833">
            <v>-69000.97</v>
          </cell>
          <cell r="D833" t="str">
            <v>204</v>
          </cell>
          <cell r="E833" t="str">
            <v>411</v>
          </cell>
          <cell r="F833">
            <v>0</v>
          </cell>
          <cell r="G833">
            <v>2</v>
          </cell>
          <cell r="H833" t="str">
            <v>2006-02-28</v>
          </cell>
        </row>
        <row r="834">
          <cell r="A834">
            <v>481002</v>
          </cell>
          <cell r="B834">
            <v>1015</v>
          </cell>
          <cell r="C834">
            <v>-14408.7</v>
          </cell>
          <cell r="D834" t="str">
            <v>204</v>
          </cell>
          <cell r="E834" t="str">
            <v>411</v>
          </cell>
          <cell r="F834">
            <v>0</v>
          </cell>
          <cell r="G834">
            <v>2</v>
          </cell>
          <cell r="H834" t="str">
            <v>2006-02-28</v>
          </cell>
        </row>
        <row r="835">
          <cell r="A835">
            <v>481002</v>
          </cell>
          <cell r="B835">
            <v>1015</v>
          </cell>
          <cell r="C835">
            <v>-44189.760000000002</v>
          </cell>
          <cell r="D835" t="str">
            <v>204</v>
          </cell>
          <cell r="E835" t="str">
            <v>411</v>
          </cell>
          <cell r="F835">
            <v>0</v>
          </cell>
          <cell r="G835">
            <v>2</v>
          </cell>
          <cell r="H835" t="str">
            <v>2006-02-28</v>
          </cell>
        </row>
        <row r="836">
          <cell r="A836">
            <v>481005</v>
          </cell>
          <cell r="B836">
            <v>1015</v>
          </cell>
          <cell r="C836">
            <v>0</v>
          </cell>
          <cell r="D836" t="str">
            <v>204</v>
          </cell>
          <cell r="E836" t="str">
            <v>411</v>
          </cell>
          <cell r="F836">
            <v>0</v>
          </cell>
          <cell r="G836">
            <v>2</v>
          </cell>
          <cell r="H836" t="str">
            <v>2006-02-28</v>
          </cell>
        </row>
        <row r="837">
          <cell r="A837">
            <v>481005</v>
          </cell>
          <cell r="B837">
            <v>1015</v>
          </cell>
          <cell r="C837">
            <v>3271782.48</v>
          </cell>
          <cell r="D837" t="str">
            <v>204</v>
          </cell>
          <cell r="E837" t="str">
            <v>411</v>
          </cell>
          <cell r="F837">
            <v>0</v>
          </cell>
          <cell r="G837">
            <v>2</v>
          </cell>
          <cell r="H837" t="str">
            <v>2006-02-28</v>
          </cell>
        </row>
        <row r="838">
          <cell r="A838">
            <v>481005</v>
          </cell>
          <cell r="B838">
            <v>1015</v>
          </cell>
          <cell r="C838">
            <v>-3484460.34</v>
          </cell>
          <cell r="D838" t="str">
            <v>204</v>
          </cell>
          <cell r="E838" t="str">
            <v>411</v>
          </cell>
          <cell r="F838">
            <v>0</v>
          </cell>
          <cell r="G838">
            <v>2</v>
          </cell>
          <cell r="H838" t="str">
            <v>2006-02-28</v>
          </cell>
        </row>
        <row r="839">
          <cell r="A839">
            <v>481005</v>
          </cell>
          <cell r="B839">
            <v>1015</v>
          </cell>
          <cell r="C839">
            <v>-999.82</v>
          </cell>
          <cell r="D839" t="str">
            <v>204</v>
          </cell>
          <cell r="E839" t="str">
            <v>411</v>
          </cell>
          <cell r="F839">
            <v>0</v>
          </cell>
          <cell r="G839">
            <v>2</v>
          </cell>
          <cell r="H839" t="str">
            <v>2006-02-28</v>
          </cell>
        </row>
        <row r="840">
          <cell r="A840">
            <v>481005</v>
          </cell>
          <cell r="B840">
            <v>1015</v>
          </cell>
          <cell r="C840">
            <v>-13905.24</v>
          </cell>
          <cell r="D840" t="str">
            <v>204</v>
          </cell>
          <cell r="E840" t="str">
            <v>411</v>
          </cell>
          <cell r="F840">
            <v>0</v>
          </cell>
          <cell r="G840">
            <v>2</v>
          </cell>
          <cell r="H840" t="str">
            <v>2006-02-28</v>
          </cell>
        </row>
        <row r="841">
          <cell r="A841">
            <v>481005</v>
          </cell>
          <cell r="B841">
            <v>1015</v>
          </cell>
          <cell r="C841">
            <v>-353029.89</v>
          </cell>
          <cell r="D841" t="str">
            <v>204</v>
          </cell>
          <cell r="E841" t="str">
            <v>411</v>
          </cell>
          <cell r="F841">
            <v>0</v>
          </cell>
          <cell r="G841">
            <v>2</v>
          </cell>
          <cell r="H841" t="str">
            <v>2006-02-28</v>
          </cell>
        </row>
        <row r="842">
          <cell r="A842">
            <v>481005</v>
          </cell>
          <cell r="B842">
            <v>1015</v>
          </cell>
          <cell r="C842">
            <v>-12491.58</v>
          </cell>
          <cell r="D842" t="str">
            <v>204</v>
          </cell>
          <cell r="E842" t="str">
            <v>411</v>
          </cell>
          <cell r="F842">
            <v>0</v>
          </cell>
          <cell r="G842">
            <v>2</v>
          </cell>
          <cell r="H842" t="str">
            <v>2006-02-28</v>
          </cell>
        </row>
        <row r="843">
          <cell r="A843">
            <v>481005</v>
          </cell>
          <cell r="B843">
            <v>1015</v>
          </cell>
          <cell r="C843">
            <v>-58449.7</v>
          </cell>
          <cell r="D843" t="str">
            <v>204</v>
          </cell>
          <cell r="E843" t="str">
            <v>411</v>
          </cell>
          <cell r="F843">
            <v>0</v>
          </cell>
          <cell r="G843">
            <v>2</v>
          </cell>
          <cell r="H843" t="str">
            <v>2006-02-28</v>
          </cell>
        </row>
        <row r="844">
          <cell r="A844">
            <v>481005</v>
          </cell>
          <cell r="B844">
            <v>1015</v>
          </cell>
          <cell r="C844">
            <v>-15882.76</v>
          </cell>
          <cell r="D844" t="str">
            <v>204</v>
          </cell>
          <cell r="E844" t="str">
            <v>411</v>
          </cell>
          <cell r="F844">
            <v>0</v>
          </cell>
          <cell r="G844">
            <v>2</v>
          </cell>
          <cell r="H844" t="str">
            <v>2006-02-28</v>
          </cell>
        </row>
        <row r="845">
          <cell r="A845">
            <v>481005</v>
          </cell>
          <cell r="B845">
            <v>1015</v>
          </cell>
          <cell r="C845">
            <v>-11203.22</v>
          </cell>
          <cell r="D845" t="str">
            <v>204</v>
          </cell>
          <cell r="E845" t="str">
            <v>411</v>
          </cell>
          <cell r="F845">
            <v>0</v>
          </cell>
          <cell r="G845">
            <v>2</v>
          </cell>
          <cell r="H845" t="str">
            <v>2006-02-28</v>
          </cell>
        </row>
        <row r="846">
          <cell r="A846">
            <v>481005</v>
          </cell>
          <cell r="B846">
            <v>1015</v>
          </cell>
          <cell r="C846">
            <v>-23457.45</v>
          </cell>
          <cell r="D846" t="str">
            <v>204</v>
          </cell>
          <cell r="E846" t="str">
            <v>411</v>
          </cell>
          <cell r="F846">
            <v>0</v>
          </cell>
          <cell r="G846">
            <v>2</v>
          </cell>
          <cell r="H846" t="str">
            <v>2006-02-28</v>
          </cell>
        </row>
        <row r="847">
          <cell r="A847">
            <v>481005</v>
          </cell>
          <cell r="B847">
            <v>1015</v>
          </cell>
          <cell r="C847">
            <v>-29249.040000000001</v>
          </cell>
          <cell r="D847" t="str">
            <v>204</v>
          </cell>
          <cell r="E847" t="str">
            <v>411</v>
          </cell>
          <cell r="F847">
            <v>0</v>
          </cell>
          <cell r="G847">
            <v>2</v>
          </cell>
          <cell r="H847" t="str">
            <v>2006-02-28</v>
          </cell>
        </row>
        <row r="848">
          <cell r="A848">
            <v>481005</v>
          </cell>
          <cell r="B848">
            <v>1015</v>
          </cell>
          <cell r="C848">
            <v>-58420.45</v>
          </cell>
          <cell r="D848" t="str">
            <v>204</v>
          </cell>
          <cell r="E848" t="str">
            <v>411</v>
          </cell>
          <cell r="F848">
            <v>0</v>
          </cell>
          <cell r="G848">
            <v>2</v>
          </cell>
          <cell r="H848" t="str">
            <v>2006-02-28</v>
          </cell>
        </row>
        <row r="849">
          <cell r="A849">
            <v>481005</v>
          </cell>
          <cell r="B849">
            <v>1015</v>
          </cell>
          <cell r="C849">
            <v>-16420.97</v>
          </cell>
          <cell r="D849" t="str">
            <v>204</v>
          </cell>
          <cell r="E849" t="str">
            <v>411</v>
          </cell>
          <cell r="F849">
            <v>0</v>
          </cell>
          <cell r="G849">
            <v>2</v>
          </cell>
          <cell r="H849" t="str">
            <v>2006-02-28</v>
          </cell>
        </row>
        <row r="850">
          <cell r="A850">
            <v>481002</v>
          </cell>
          <cell r="B850">
            <v>1015</v>
          </cell>
          <cell r="C850">
            <v>0</v>
          </cell>
          <cell r="D850" t="str">
            <v>204</v>
          </cell>
          <cell r="E850" t="str">
            <v>414</v>
          </cell>
          <cell r="F850">
            <v>0</v>
          </cell>
          <cell r="G850">
            <v>2</v>
          </cell>
          <cell r="H850" t="str">
            <v>2006-02-28</v>
          </cell>
        </row>
        <row r="851">
          <cell r="A851">
            <v>481002</v>
          </cell>
          <cell r="B851">
            <v>1015</v>
          </cell>
          <cell r="C851">
            <v>-239664.23</v>
          </cell>
          <cell r="D851" t="str">
            <v>204</v>
          </cell>
          <cell r="E851" t="str">
            <v>414</v>
          </cell>
          <cell r="F851">
            <v>0</v>
          </cell>
          <cell r="G851">
            <v>2</v>
          </cell>
          <cell r="H851" t="str">
            <v>2006-02-28</v>
          </cell>
        </row>
        <row r="852">
          <cell r="A852">
            <v>481002</v>
          </cell>
          <cell r="B852">
            <v>1015</v>
          </cell>
          <cell r="C852">
            <v>325283.12</v>
          </cell>
          <cell r="D852" t="str">
            <v>204</v>
          </cell>
          <cell r="E852" t="str">
            <v>414</v>
          </cell>
          <cell r="F852">
            <v>0</v>
          </cell>
          <cell r="G852">
            <v>2</v>
          </cell>
          <cell r="H852" t="str">
            <v>2006-02-28</v>
          </cell>
        </row>
        <row r="853">
          <cell r="A853">
            <v>481002</v>
          </cell>
          <cell r="B853">
            <v>1015</v>
          </cell>
          <cell r="C853">
            <v>-60029.47</v>
          </cell>
          <cell r="D853" t="str">
            <v>204</v>
          </cell>
          <cell r="E853" t="str">
            <v>414</v>
          </cell>
          <cell r="F853">
            <v>0</v>
          </cell>
          <cell r="G853">
            <v>2</v>
          </cell>
          <cell r="H853" t="str">
            <v>2006-02-28</v>
          </cell>
        </row>
        <row r="854">
          <cell r="A854">
            <v>481002</v>
          </cell>
          <cell r="B854">
            <v>1015</v>
          </cell>
          <cell r="C854">
            <v>-64375.92</v>
          </cell>
          <cell r="D854" t="str">
            <v>204</v>
          </cell>
          <cell r="E854" t="str">
            <v>414</v>
          </cell>
          <cell r="F854">
            <v>0</v>
          </cell>
          <cell r="G854">
            <v>2</v>
          </cell>
          <cell r="H854" t="str">
            <v>2006-02-28</v>
          </cell>
        </row>
        <row r="855">
          <cell r="A855">
            <v>481005</v>
          </cell>
          <cell r="B855">
            <v>1015</v>
          </cell>
          <cell r="C855">
            <v>0</v>
          </cell>
          <cell r="D855" t="str">
            <v>204</v>
          </cell>
          <cell r="E855" t="str">
            <v>414</v>
          </cell>
          <cell r="F855">
            <v>0</v>
          </cell>
          <cell r="G855">
            <v>2</v>
          </cell>
          <cell r="H855" t="str">
            <v>2006-02-28</v>
          </cell>
        </row>
        <row r="856">
          <cell r="A856">
            <v>481005</v>
          </cell>
          <cell r="B856">
            <v>1015</v>
          </cell>
          <cell r="C856">
            <v>343059.63</v>
          </cell>
          <cell r="D856" t="str">
            <v>204</v>
          </cell>
          <cell r="E856" t="str">
            <v>414</v>
          </cell>
          <cell r="F856">
            <v>0</v>
          </cell>
          <cell r="G856">
            <v>2</v>
          </cell>
          <cell r="H856" t="str">
            <v>2006-02-28</v>
          </cell>
        </row>
        <row r="857">
          <cell r="A857">
            <v>481005</v>
          </cell>
          <cell r="B857">
            <v>1015</v>
          </cell>
          <cell r="C857">
            <v>-360370.95</v>
          </cell>
          <cell r="D857" t="str">
            <v>204</v>
          </cell>
          <cell r="E857" t="str">
            <v>414</v>
          </cell>
          <cell r="F857">
            <v>0</v>
          </cell>
          <cell r="G857">
            <v>2</v>
          </cell>
          <cell r="H857" t="str">
            <v>2006-02-28</v>
          </cell>
        </row>
        <row r="858">
          <cell r="A858">
            <v>481005</v>
          </cell>
          <cell r="B858">
            <v>1015</v>
          </cell>
          <cell r="C858">
            <v>-44303.29</v>
          </cell>
          <cell r="D858" t="str">
            <v>204</v>
          </cell>
          <cell r="E858" t="str">
            <v>414</v>
          </cell>
          <cell r="F858">
            <v>0</v>
          </cell>
          <cell r="G858">
            <v>2</v>
          </cell>
          <cell r="H858" t="str">
            <v>2006-02-28</v>
          </cell>
        </row>
        <row r="859">
          <cell r="A859">
            <v>481005</v>
          </cell>
          <cell r="B859">
            <v>1015</v>
          </cell>
          <cell r="C859">
            <v>-7156.16</v>
          </cell>
          <cell r="D859" t="str">
            <v>204</v>
          </cell>
          <cell r="E859" t="str">
            <v>414</v>
          </cell>
          <cell r="F859">
            <v>0</v>
          </cell>
          <cell r="G859">
            <v>2</v>
          </cell>
          <cell r="H859" t="str">
            <v>2006-02-28</v>
          </cell>
        </row>
        <row r="860">
          <cell r="A860">
            <v>481000</v>
          </cell>
          <cell r="B860">
            <v>1015</v>
          </cell>
          <cell r="C860">
            <v>0</v>
          </cell>
          <cell r="D860" t="str">
            <v>204</v>
          </cell>
          <cell r="E860" t="str">
            <v>451</v>
          </cell>
          <cell r="F860">
            <v>0</v>
          </cell>
          <cell r="G860">
            <v>2</v>
          </cell>
          <cell r="H860" t="str">
            <v>2006-02-28</v>
          </cell>
        </row>
        <row r="861">
          <cell r="A861">
            <v>481000</v>
          </cell>
          <cell r="B861">
            <v>1015</v>
          </cell>
          <cell r="C861">
            <v>3490.69</v>
          </cell>
          <cell r="D861" t="str">
            <v>204</v>
          </cell>
          <cell r="E861" t="str">
            <v>451</v>
          </cell>
          <cell r="F861">
            <v>0</v>
          </cell>
          <cell r="G861">
            <v>2</v>
          </cell>
          <cell r="H861" t="str">
            <v>2006-02-28</v>
          </cell>
        </row>
        <row r="862">
          <cell r="A862">
            <v>481000</v>
          </cell>
          <cell r="B862">
            <v>1015</v>
          </cell>
          <cell r="C862">
            <v>-1473.64</v>
          </cell>
          <cell r="D862" t="str">
            <v>204</v>
          </cell>
          <cell r="E862" t="str">
            <v>451</v>
          </cell>
          <cell r="F862">
            <v>0</v>
          </cell>
          <cell r="G862">
            <v>2</v>
          </cell>
          <cell r="H862" t="str">
            <v>2006-02-28</v>
          </cell>
        </row>
        <row r="863">
          <cell r="A863">
            <v>481000</v>
          </cell>
          <cell r="B863">
            <v>1015</v>
          </cell>
          <cell r="C863">
            <v>-1877.36</v>
          </cell>
          <cell r="D863" t="str">
            <v>204</v>
          </cell>
          <cell r="E863" t="str">
            <v>451</v>
          </cell>
          <cell r="F863">
            <v>0</v>
          </cell>
          <cell r="G863">
            <v>2</v>
          </cell>
          <cell r="H863" t="str">
            <v>2006-02-28</v>
          </cell>
        </row>
        <row r="864">
          <cell r="A864">
            <v>481000</v>
          </cell>
          <cell r="B864">
            <v>1015</v>
          </cell>
          <cell r="C864">
            <v>-139.69</v>
          </cell>
          <cell r="D864" t="str">
            <v>204</v>
          </cell>
          <cell r="E864" t="str">
            <v>451</v>
          </cell>
          <cell r="F864">
            <v>0</v>
          </cell>
          <cell r="G864">
            <v>2</v>
          </cell>
          <cell r="H864" t="str">
            <v>2006-02-28</v>
          </cell>
        </row>
        <row r="865">
          <cell r="A865">
            <v>481004</v>
          </cell>
          <cell r="B865">
            <v>1015</v>
          </cell>
          <cell r="C865">
            <v>0</v>
          </cell>
          <cell r="D865" t="str">
            <v>204</v>
          </cell>
          <cell r="E865" t="str">
            <v>451</v>
          </cell>
          <cell r="F865">
            <v>0</v>
          </cell>
          <cell r="G865">
            <v>2</v>
          </cell>
          <cell r="H865" t="str">
            <v>2006-02-28</v>
          </cell>
        </row>
        <row r="866">
          <cell r="A866">
            <v>481004</v>
          </cell>
          <cell r="B866">
            <v>1015</v>
          </cell>
          <cell r="C866">
            <v>28259.55</v>
          </cell>
          <cell r="D866" t="str">
            <v>204</v>
          </cell>
          <cell r="E866" t="str">
            <v>451</v>
          </cell>
          <cell r="F866">
            <v>0</v>
          </cell>
          <cell r="G866">
            <v>2</v>
          </cell>
          <cell r="H866" t="str">
            <v>2006-02-28</v>
          </cell>
        </row>
        <row r="867">
          <cell r="A867">
            <v>481004</v>
          </cell>
          <cell r="B867">
            <v>1015</v>
          </cell>
          <cell r="C867">
            <v>-11213.17</v>
          </cell>
          <cell r="D867" t="str">
            <v>204</v>
          </cell>
          <cell r="E867" t="str">
            <v>451</v>
          </cell>
          <cell r="F867">
            <v>0</v>
          </cell>
          <cell r="G867">
            <v>2</v>
          </cell>
          <cell r="H867" t="str">
            <v>2006-02-28</v>
          </cell>
        </row>
        <row r="868">
          <cell r="A868">
            <v>481004</v>
          </cell>
          <cell r="B868">
            <v>1015</v>
          </cell>
          <cell r="C868">
            <v>-44085.37</v>
          </cell>
          <cell r="D868" t="str">
            <v>204</v>
          </cell>
          <cell r="E868" t="str">
            <v>451</v>
          </cell>
          <cell r="F868">
            <v>0</v>
          </cell>
          <cell r="G868">
            <v>2</v>
          </cell>
          <cell r="H868" t="str">
            <v>2006-02-28</v>
          </cell>
        </row>
        <row r="869">
          <cell r="A869">
            <v>481004</v>
          </cell>
          <cell r="B869">
            <v>1015</v>
          </cell>
          <cell r="C869">
            <v>-9333.67</v>
          </cell>
          <cell r="D869" t="str">
            <v>204</v>
          </cell>
          <cell r="E869" t="str">
            <v>451</v>
          </cell>
          <cell r="F869">
            <v>0</v>
          </cell>
          <cell r="G869">
            <v>2</v>
          </cell>
          <cell r="H869" t="str">
            <v>2006-02-28</v>
          </cell>
        </row>
        <row r="870">
          <cell r="A870">
            <v>481004</v>
          </cell>
          <cell r="B870">
            <v>1015</v>
          </cell>
          <cell r="C870">
            <v>-65961.350000000006</v>
          </cell>
          <cell r="D870" t="str">
            <v>204</v>
          </cell>
          <cell r="E870" t="str">
            <v>451</v>
          </cell>
          <cell r="F870">
            <v>0</v>
          </cell>
          <cell r="G870">
            <v>2</v>
          </cell>
          <cell r="H870" t="str">
            <v>2006-02-28</v>
          </cell>
        </row>
        <row r="871">
          <cell r="A871">
            <v>481004</v>
          </cell>
          <cell r="B871">
            <v>1015</v>
          </cell>
          <cell r="C871">
            <v>-10135.969999999999</v>
          </cell>
          <cell r="D871" t="str">
            <v>204</v>
          </cell>
          <cell r="E871" t="str">
            <v>451</v>
          </cell>
          <cell r="F871">
            <v>0</v>
          </cell>
          <cell r="G871">
            <v>2</v>
          </cell>
          <cell r="H871" t="str">
            <v>2006-02-28</v>
          </cell>
        </row>
        <row r="872">
          <cell r="A872">
            <v>481004</v>
          </cell>
          <cell r="B872">
            <v>1015</v>
          </cell>
          <cell r="C872">
            <v>-7468.41</v>
          </cell>
          <cell r="D872" t="str">
            <v>204</v>
          </cell>
          <cell r="E872" t="str">
            <v>451</v>
          </cell>
          <cell r="F872">
            <v>0</v>
          </cell>
          <cell r="G872">
            <v>2</v>
          </cell>
          <cell r="H872" t="str">
            <v>2006-02-28</v>
          </cell>
        </row>
        <row r="873">
          <cell r="A873">
            <v>481004</v>
          </cell>
          <cell r="B873">
            <v>1015</v>
          </cell>
          <cell r="C873">
            <v>-73105.91</v>
          </cell>
          <cell r="D873" t="str">
            <v>204</v>
          </cell>
          <cell r="E873" t="str">
            <v>451</v>
          </cell>
          <cell r="F873">
            <v>0</v>
          </cell>
          <cell r="G873">
            <v>2</v>
          </cell>
          <cell r="H873" t="str">
            <v>2006-02-28</v>
          </cell>
        </row>
        <row r="874">
          <cell r="A874">
            <v>481004</v>
          </cell>
          <cell r="B874">
            <v>1015</v>
          </cell>
          <cell r="C874">
            <v>-2367.1799999999998</v>
          </cell>
          <cell r="D874" t="str">
            <v>204</v>
          </cell>
          <cell r="E874" t="str">
            <v>451</v>
          </cell>
          <cell r="F874">
            <v>0</v>
          </cell>
          <cell r="G874">
            <v>2</v>
          </cell>
          <cell r="H874" t="str">
            <v>2006-02-28</v>
          </cell>
        </row>
        <row r="875">
          <cell r="A875">
            <v>481004</v>
          </cell>
          <cell r="B875">
            <v>1015</v>
          </cell>
          <cell r="C875">
            <v>-19967.419999999998</v>
          </cell>
          <cell r="D875" t="str">
            <v>204</v>
          </cell>
          <cell r="E875" t="str">
            <v>451</v>
          </cell>
          <cell r="F875">
            <v>0</v>
          </cell>
          <cell r="G875">
            <v>2</v>
          </cell>
          <cell r="H875" t="str">
            <v>2006-02-28</v>
          </cell>
        </row>
        <row r="876">
          <cell r="A876">
            <v>481004</v>
          </cell>
          <cell r="B876">
            <v>1015</v>
          </cell>
          <cell r="C876">
            <v>-46840.65</v>
          </cell>
          <cell r="D876" t="str">
            <v>204</v>
          </cell>
          <cell r="E876" t="str">
            <v>451</v>
          </cell>
          <cell r="F876">
            <v>0</v>
          </cell>
          <cell r="G876">
            <v>2</v>
          </cell>
          <cell r="H876" t="str">
            <v>2006-02-28</v>
          </cell>
        </row>
        <row r="877">
          <cell r="A877">
            <v>481004</v>
          </cell>
          <cell r="B877">
            <v>1015</v>
          </cell>
          <cell r="C877">
            <v>-1125.45</v>
          </cell>
          <cell r="D877" t="str">
            <v>204</v>
          </cell>
          <cell r="E877" t="str">
            <v>451</v>
          </cell>
          <cell r="F877">
            <v>0</v>
          </cell>
          <cell r="G877">
            <v>2</v>
          </cell>
          <cell r="H877" t="str">
            <v>2006-02-28</v>
          </cell>
        </row>
        <row r="878">
          <cell r="A878">
            <v>480000</v>
          </cell>
          <cell r="B878">
            <v>1015</v>
          </cell>
          <cell r="C878">
            <v>-194695.05</v>
          </cell>
          <cell r="D878" t="str">
            <v>204</v>
          </cell>
          <cell r="E878" t="str">
            <v>453</v>
          </cell>
          <cell r="F878">
            <v>0</v>
          </cell>
          <cell r="G878">
            <v>2</v>
          </cell>
          <cell r="H878" t="str">
            <v>2006-02-28</v>
          </cell>
        </row>
        <row r="879">
          <cell r="A879">
            <v>480000</v>
          </cell>
          <cell r="B879">
            <v>1015</v>
          </cell>
          <cell r="C879">
            <v>-5056.54</v>
          </cell>
          <cell r="D879" t="str">
            <v>204</v>
          </cell>
          <cell r="E879" t="str">
            <v>453</v>
          </cell>
          <cell r="F879">
            <v>0</v>
          </cell>
          <cell r="G879">
            <v>2</v>
          </cell>
          <cell r="H879" t="str">
            <v>2006-02-28</v>
          </cell>
        </row>
        <row r="880">
          <cell r="A880">
            <v>480000</v>
          </cell>
          <cell r="B880">
            <v>1015</v>
          </cell>
          <cell r="C880">
            <v>-289093.11</v>
          </cell>
          <cell r="D880" t="str">
            <v>204</v>
          </cell>
          <cell r="E880" t="str">
            <v>453</v>
          </cell>
          <cell r="F880">
            <v>0</v>
          </cell>
          <cell r="G880">
            <v>2</v>
          </cell>
          <cell r="H880" t="str">
            <v>2006-02-28</v>
          </cell>
        </row>
        <row r="881">
          <cell r="A881">
            <v>480000</v>
          </cell>
          <cell r="B881">
            <v>1015</v>
          </cell>
          <cell r="C881">
            <v>-7017.48</v>
          </cell>
          <cell r="D881" t="str">
            <v>204</v>
          </cell>
          <cell r="E881" t="str">
            <v>453</v>
          </cell>
          <cell r="F881">
            <v>0</v>
          </cell>
          <cell r="G881">
            <v>2</v>
          </cell>
          <cell r="H881" t="str">
            <v>2006-02-28</v>
          </cell>
        </row>
        <row r="882">
          <cell r="A882">
            <v>480000</v>
          </cell>
          <cell r="B882">
            <v>1015</v>
          </cell>
          <cell r="C882">
            <v>-481107.88</v>
          </cell>
          <cell r="D882" t="str">
            <v>204</v>
          </cell>
          <cell r="E882" t="str">
            <v>453</v>
          </cell>
          <cell r="F882">
            <v>0</v>
          </cell>
          <cell r="G882">
            <v>2</v>
          </cell>
          <cell r="H882" t="str">
            <v>2006-02-28</v>
          </cell>
        </row>
        <row r="883">
          <cell r="A883">
            <v>480000</v>
          </cell>
          <cell r="B883">
            <v>1015</v>
          </cell>
          <cell r="C883">
            <v>-184786.42</v>
          </cell>
          <cell r="D883" t="str">
            <v>204</v>
          </cell>
          <cell r="E883" t="str">
            <v>453</v>
          </cell>
          <cell r="F883">
            <v>0</v>
          </cell>
          <cell r="G883">
            <v>2</v>
          </cell>
          <cell r="H883" t="str">
            <v>2006-02-28</v>
          </cell>
        </row>
        <row r="884">
          <cell r="A884">
            <v>480000</v>
          </cell>
          <cell r="B884">
            <v>1015</v>
          </cell>
          <cell r="C884">
            <v>-9322.3700000000008</v>
          </cell>
          <cell r="D884" t="str">
            <v>204</v>
          </cell>
          <cell r="E884" t="str">
            <v>453</v>
          </cell>
          <cell r="F884">
            <v>0</v>
          </cell>
          <cell r="G884">
            <v>2</v>
          </cell>
          <cell r="H884" t="str">
            <v>2006-02-28</v>
          </cell>
        </row>
        <row r="885">
          <cell r="A885">
            <v>480000</v>
          </cell>
          <cell r="B885">
            <v>1015</v>
          </cell>
          <cell r="C885">
            <v>-390530.82</v>
          </cell>
          <cell r="D885" t="str">
            <v>204</v>
          </cell>
          <cell r="E885" t="str">
            <v>453</v>
          </cell>
          <cell r="F885">
            <v>0</v>
          </cell>
          <cell r="G885">
            <v>2</v>
          </cell>
          <cell r="H885" t="str">
            <v>2006-02-28</v>
          </cell>
        </row>
        <row r="886">
          <cell r="A886">
            <v>480000</v>
          </cell>
          <cell r="B886">
            <v>1015</v>
          </cell>
          <cell r="C886">
            <v>-3532.92</v>
          </cell>
          <cell r="D886" t="str">
            <v>204</v>
          </cell>
          <cell r="E886" t="str">
            <v>453</v>
          </cell>
          <cell r="F886">
            <v>0</v>
          </cell>
          <cell r="G886">
            <v>2</v>
          </cell>
          <cell r="H886" t="str">
            <v>2006-02-28</v>
          </cell>
        </row>
        <row r="887">
          <cell r="A887">
            <v>480000</v>
          </cell>
          <cell r="B887">
            <v>1015</v>
          </cell>
          <cell r="C887">
            <v>-552358.06000000006</v>
          </cell>
          <cell r="D887" t="str">
            <v>204</v>
          </cell>
          <cell r="E887" t="str">
            <v>453</v>
          </cell>
          <cell r="F887">
            <v>0</v>
          </cell>
          <cell r="G887">
            <v>2</v>
          </cell>
          <cell r="H887" t="str">
            <v>2006-02-28</v>
          </cell>
        </row>
        <row r="888">
          <cell r="A888">
            <v>480000</v>
          </cell>
          <cell r="B888">
            <v>1015</v>
          </cell>
          <cell r="C888">
            <v>-7696.38</v>
          </cell>
          <cell r="D888" t="str">
            <v>204</v>
          </cell>
          <cell r="E888" t="str">
            <v>453</v>
          </cell>
          <cell r="F888">
            <v>0</v>
          </cell>
          <cell r="G888">
            <v>2</v>
          </cell>
          <cell r="H888" t="str">
            <v>2006-02-28</v>
          </cell>
        </row>
        <row r="889">
          <cell r="A889">
            <v>480000</v>
          </cell>
          <cell r="B889">
            <v>1015</v>
          </cell>
          <cell r="C889">
            <v>-305577.75</v>
          </cell>
          <cell r="D889" t="str">
            <v>204</v>
          </cell>
          <cell r="E889" t="str">
            <v>453</v>
          </cell>
          <cell r="F889">
            <v>0</v>
          </cell>
          <cell r="G889">
            <v>2</v>
          </cell>
          <cell r="H889" t="str">
            <v>2006-02-28</v>
          </cell>
        </row>
        <row r="890">
          <cell r="A890">
            <v>480000</v>
          </cell>
          <cell r="B890">
            <v>1015</v>
          </cell>
          <cell r="C890">
            <v>-1400.88</v>
          </cell>
          <cell r="D890" t="str">
            <v>204</v>
          </cell>
          <cell r="E890" t="str">
            <v>453</v>
          </cell>
          <cell r="F890">
            <v>0</v>
          </cell>
          <cell r="G890">
            <v>2</v>
          </cell>
          <cell r="H890" t="str">
            <v>2006-02-28</v>
          </cell>
        </row>
        <row r="891">
          <cell r="A891">
            <v>480000</v>
          </cell>
          <cell r="B891">
            <v>1015</v>
          </cell>
          <cell r="C891">
            <v>-1257.73</v>
          </cell>
          <cell r="D891" t="str">
            <v>204</v>
          </cell>
          <cell r="E891" t="str">
            <v>453</v>
          </cell>
          <cell r="F891">
            <v>0</v>
          </cell>
          <cell r="G891">
            <v>2</v>
          </cell>
          <cell r="H891" t="str">
            <v>2006-02-28</v>
          </cell>
        </row>
        <row r="892">
          <cell r="A892">
            <v>480001</v>
          </cell>
          <cell r="B892">
            <v>1015</v>
          </cell>
          <cell r="C892">
            <v>470369.59</v>
          </cell>
          <cell r="D892" t="str">
            <v>204</v>
          </cell>
          <cell r="E892" t="str">
            <v>453</v>
          </cell>
          <cell r="F892">
            <v>0</v>
          </cell>
          <cell r="G892">
            <v>2</v>
          </cell>
          <cell r="H892" t="str">
            <v>2006-02-28</v>
          </cell>
        </row>
        <row r="893">
          <cell r="A893">
            <v>481004</v>
          </cell>
          <cell r="B893">
            <v>1015</v>
          </cell>
          <cell r="C893">
            <v>-56443.1</v>
          </cell>
          <cell r="D893" t="str">
            <v>204</v>
          </cell>
          <cell r="E893" t="str">
            <v>453</v>
          </cell>
          <cell r="F893">
            <v>0</v>
          </cell>
          <cell r="G893">
            <v>2</v>
          </cell>
          <cell r="H893" t="str">
            <v>2006-02-28</v>
          </cell>
        </row>
        <row r="894">
          <cell r="A894">
            <v>481004</v>
          </cell>
          <cell r="B894">
            <v>1015</v>
          </cell>
          <cell r="C894">
            <v>-3030.62</v>
          </cell>
          <cell r="D894" t="str">
            <v>204</v>
          </cell>
          <cell r="E894" t="str">
            <v>453</v>
          </cell>
          <cell r="F894">
            <v>0</v>
          </cell>
          <cell r="G894">
            <v>2</v>
          </cell>
          <cell r="H894" t="str">
            <v>2006-02-28</v>
          </cell>
        </row>
        <row r="895">
          <cell r="A895">
            <v>481004</v>
          </cell>
          <cell r="B895">
            <v>1015</v>
          </cell>
          <cell r="C895">
            <v>-166142.12</v>
          </cell>
          <cell r="D895" t="str">
            <v>204</v>
          </cell>
          <cell r="E895" t="str">
            <v>453</v>
          </cell>
          <cell r="F895">
            <v>0</v>
          </cell>
          <cell r="G895">
            <v>2</v>
          </cell>
          <cell r="H895" t="str">
            <v>2006-02-28</v>
          </cell>
        </row>
        <row r="896">
          <cell r="A896">
            <v>481004</v>
          </cell>
          <cell r="B896">
            <v>1015</v>
          </cell>
          <cell r="C896">
            <v>-72128.38</v>
          </cell>
          <cell r="D896" t="str">
            <v>204</v>
          </cell>
          <cell r="E896" t="str">
            <v>453</v>
          </cell>
          <cell r="F896">
            <v>0</v>
          </cell>
          <cell r="G896">
            <v>2</v>
          </cell>
          <cell r="H896" t="str">
            <v>2006-02-28</v>
          </cell>
        </row>
        <row r="897">
          <cell r="A897">
            <v>481004</v>
          </cell>
          <cell r="B897">
            <v>1015</v>
          </cell>
          <cell r="C897">
            <v>-308233.71000000002</v>
          </cell>
          <cell r="D897" t="str">
            <v>204</v>
          </cell>
          <cell r="E897" t="str">
            <v>453</v>
          </cell>
          <cell r="F897">
            <v>0</v>
          </cell>
          <cell r="G897">
            <v>2</v>
          </cell>
          <cell r="H897" t="str">
            <v>2006-02-28</v>
          </cell>
        </row>
        <row r="898">
          <cell r="A898">
            <v>481004</v>
          </cell>
          <cell r="B898">
            <v>1015</v>
          </cell>
          <cell r="C898">
            <v>-93531.62</v>
          </cell>
          <cell r="D898" t="str">
            <v>204</v>
          </cell>
          <cell r="E898" t="str">
            <v>453</v>
          </cell>
          <cell r="F898">
            <v>0</v>
          </cell>
          <cell r="G898">
            <v>2</v>
          </cell>
          <cell r="H898" t="str">
            <v>2006-02-28</v>
          </cell>
        </row>
        <row r="899">
          <cell r="A899">
            <v>481004</v>
          </cell>
          <cell r="B899">
            <v>1015</v>
          </cell>
          <cell r="C899">
            <v>-6886.76</v>
          </cell>
          <cell r="D899" t="str">
            <v>204</v>
          </cell>
          <cell r="E899" t="str">
            <v>453</v>
          </cell>
          <cell r="F899">
            <v>0</v>
          </cell>
          <cell r="G899">
            <v>2</v>
          </cell>
          <cell r="H899" t="str">
            <v>2006-02-28</v>
          </cell>
        </row>
        <row r="900">
          <cell r="A900">
            <v>481004</v>
          </cell>
          <cell r="B900">
            <v>1015</v>
          </cell>
          <cell r="C900">
            <v>-420445.15</v>
          </cell>
          <cell r="D900" t="str">
            <v>204</v>
          </cell>
          <cell r="E900" t="str">
            <v>453</v>
          </cell>
          <cell r="F900">
            <v>0</v>
          </cell>
          <cell r="G900">
            <v>2</v>
          </cell>
          <cell r="H900" t="str">
            <v>2006-02-28</v>
          </cell>
        </row>
        <row r="901">
          <cell r="A901">
            <v>481004</v>
          </cell>
          <cell r="B901">
            <v>1015</v>
          </cell>
          <cell r="C901">
            <v>-9449.42</v>
          </cell>
          <cell r="D901" t="str">
            <v>204</v>
          </cell>
          <cell r="E901" t="str">
            <v>453</v>
          </cell>
          <cell r="F901">
            <v>0</v>
          </cell>
          <cell r="G901">
            <v>2</v>
          </cell>
          <cell r="H901" t="str">
            <v>2006-02-28</v>
          </cell>
        </row>
        <row r="902">
          <cell r="A902">
            <v>481004</v>
          </cell>
          <cell r="B902">
            <v>1015</v>
          </cell>
          <cell r="C902">
            <v>-200247.14</v>
          </cell>
          <cell r="D902" t="str">
            <v>204</v>
          </cell>
          <cell r="E902" t="str">
            <v>453</v>
          </cell>
          <cell r="F902">
            <v>0</v>
          </cell>
          <cell r="G902">
            <v>2</v>
          </cell>
          <cell r="H902" t="str">
            <v>2006-02-28</v>
          </cell>
        </row>
        <row r="903">
          <cell r="A903">
            <v>481004</v>
          </cell>
          <cell r="B903">
            <v>1015</v>
          </cell>
          <cell r="C903">
            <v>-18778.560000000001</v>
          </cell>
          <cell r="D903" t="str">
            <v>204</v>
          </cell>
          <cell r="E903" t="str">
            <v>453</v>
          </cell>
          <cell r="F903">
            <v>0</v>
          </cell>
          <cell r="G903">
            <v>2</v>
          </cell>
          <cell r="H903" t="str">
            <v>2006-02-28</v>
          </cell>
        </row>
        <row r="904">
          <cell r="A904">
            <v>481004</v>
          </cell>
          <cell r="B904">
            <v>1015</v>
          </cell>
          <cell r="C904">
            <v>-217372.01</v>
          </cell>
          <cell r="D904" t="str">
            <v>204</v>
          </cell>
          <cell r="E904" t="str">
            <v>453</v>
          </cell>
          <cell r="F904">
            <v>0</v>
          </cell>
          <cell r="G904">
            <v>2</v>
          </cell>
          <cell r="H904" t="str">
            <v>2006-02-28</v>
          </cell>
        </row>
        <row r="905">
          <cell r="A905">
            <v>481004</v>
          </cell>
          <cell r="B905">
            <v>1015</v>
          </cell>
          <cell r="C905">
            <v>-7032.49</v>
          </cell>
          <cell r="D905" t="str">
            <v>204</v>
          </cell>
          <cell r="E905" t="str">
            <v>453</v>
          </cell>
          <cell r="F905">
            <v>0</v>
          </cell>
          <cell r="G905">
            <v>2</v>
          </cell>
          <cell r="H905" t="str">
            <v>2006-02-28</v>
          </cell>
        </row>
        <row r="906">
          <cell r="A906">
            <v>481004</v>
          </cell>
          <cell r="B906">
            <v>1015</v>
          </cell>
          <cell r="C906">
            <v>-1100.1199999999999</v>
          </cell>
          <cell r="D906" t="str">
            <v>204</v>
          </cell>
          <cell r="E906" t="str">
            <v>453</v>
          </cell>
          <cell r="F906">
            <v>0</v>
          </cell>
          <cell r="G906">
            <v>2</v>
          </cell>
          <cell r="H906" t="str">
            <v>2006-02-28</v>
          </cell>
        </row>
        <row r="907">
          <cell r="A907">
            <v>480000</v>
          </cell>
          <cell r="B907">
            <v>1015</v>
          </cell>
          <cell r="C907">
            <v>-374.31</v>
          </cell>
          <cell r="D907" t="str">
            <v>204</v>
          </cell>
          <cell r="E907" t="str">
            <v>455</v>
          </cell>
          <cell r="F907">
            <v>0</v>
          </cell>
          <cell r="G907">
            <v>2</v>
          </cell>
          <cell r="H907" t="str">
            <v>2006-02-28</v>
          </cell>
        </row>
        <row r="908">
          <cell r="A908">
            <v>480000</v>
          </cell>
          <cell r="B908">
            <v>1015</v>
          </cell>
          <cell r="C908">
            <v>-25.28</v>
          </cell>
          <cell r="D908" t="str">
            <v>204</v>
          </cell>
          <cell r="E908" t="str">
            <v>455</v>
          </cell>
          <cell r="F908">
            <v>0</v>
          </cell>
          <cell r="G908">
            <v>2</v>
          </cell>
          <cell r="H908" t="str">
            <v>2006-02-28</v>
          </cell>
        </row>
        <row r="909">
          <cell r="A909">
            <v>480000</v>
          </cell>
          <cell r="B909">
            <v>1015</v>
          </cell>
          <cell r="C909">
            <v>-98541.68</v>
          </cell>
          <cell r="D909" t="str">
            <v>204</v>
          </cell>
          <cell r="E909" t="str">
            <v>455</v>
          </cell>
          <cell r="F909">
            <v>0</v>
          </cell>
          <cell r="G909">
            <v>2</v>
          </cell>
          <cell r="H909" t="str">
            <v>2006-02-28</v>
          </cell>
        </row>
        <row r="910">
          <cell r="A910">
            <v>480000</v>
          </cell>
          <cell r="B910">
            <v>1015</v>
          </cell>
          <cell r="C910">
            <v>-1449.13</v>
          </cell>
          <cell r="D910" t="str">
            <v>204</v>
          </cell>
          <cell r="E910" t="str">
            <v>455</v>
          </cell>
          <cell r="F910">
            <v>0</v>
          </cell>
          <cell r="G910">
            <v>2</v>
          </cell>
          <cell r="H910" t="str">
            <v>2006-02-28</v>
          </cell>
        </row>
        <row r="911">
          <cell r="A911">
            <v>480000</v>
          </cell>
          <cell r="B911">
            <v>1015</v>
          </cell>
          <cell r="C911">
            <v>-26.94</v>
          </cell>
          <cell r="D911" t="str">
            <v>204</v>
          </cell>
          <cell r="E911" t="str">
            <v>455</v>
          </cell>
          <cell r="F911">
            <v>0</v>
          </cell>
          <cell r="G911">
            <v>2</v>
          </cell>
          <cell r="H911" t="str">
            <v>2006-02-28</v>
          </cell>
        </row>
        <row r="912">
          <cell r="A912">
            <v>480000</v>
          </cell>
          <cell r="B912">
            <v>1015</v>
          </cell>
          <cell r="C912">
            <v>-618.74</v>
          </cell>
          <cell r="D912" t="str">
            <v>204</v>
          </cell>
          <cell r="E912" t="str">
            <v>455</v>
          </cell>
          <cell r="F912">
            <v>0</v>
          </cell>
          <cell r="G912">
            <v>2</v>
          </cell>
          <cell r="H912" t="str">
            <v>2006-02-28</v>
          </cell>
        </row>
        <row r="913">
          <cell r="A913">
            <v>480000</v>
          </cell>
          <cell r="B913">
            <v>1015</v>
          </cell>
          <cell r="C913">
            <v>-159.4</v>
          </cell>
          <cell r="D913" t="str">
            <v>204</v>
          </cell>
          <cell r="E913" t="str">
            <v>455</v>
          </cell>
          <cell r="F913">
            <v>0</v>
          </cell>
          <cell r="G913">
            <v>2</v>
          </cell>
          <cell r="H913" t="str">
            <v>2006-02-28</v>
          </cell>
        </row>
        <row r="914">
          <cell r="A914">
            <v>480000</v>
          </cell>
          <cell r="B914">
            <v>1015</v>
          </cell>
          <cell r="C914">
            <v>-294.3</v>
          </cell>
          <cell r="D914" t="str">
            <v>204</v>
          </cell>
          <cell r="E914" t="str">
            <v>455</v>
          </cell>
          <cell r="F914">
            <v>0</v>
          </cell>
          <cell r="G914">
            <v>2</v>
          </cell>
          <cell r="H914" t="str">
            <v>2006-02-28</v>
          </cell>
        </row>
        <row r="915">
          <cell r="A915">
            <v>480000</v>
          </cell>
          <cell r="B915">
            <v>1015</v>
          </cell>
          <cell r="C915">
            <v>-96.13</v>
          </cell>
          <cell r="D915" t="str">
            <v>204</v>
          </cell>
          <cell r="E915" t="str">
            <v>455</v>
          </cell>
          <cell r="F915">
            <v>0</v>
          </cell>
          <cell r="G915">
            <v>2</v>
          </cell>
          <cell r="H915" t="str">
            <v>2006-02-28</v>
          </cell>
        </row>
        <row r="916">
          <cell r="A916">
            <v>480001</v>
          </cell>
          <cell r="B916">
            <v>1015</v>
          </cell>
          <cell r="C916">
            <v>25354.87</v>
          </cell>
          <cell r="D916" t="str">
            <v>204</v>
          </cell>
          <cell r="E916" t="str">
            <v>455</v>
          </cell>
          <cell r="F916">
            <v>0</v>
          </cell>
          <cell r="G916">
            <v>2</v>
          </cell>
          <cell r="H916" t="str">
            <v>2006-02-28</v>
          </cell>
        </row>
        <row r="917">
          <cell r="A917">
            <v>481004</v>
          </cell>
          <cell r="B917">
            <v>1015</v>
          </cell>
          <cell r="C917">
            <v>-98.34</v>
          </cell>
          <cell r="D917" t="str">
            <v>204</v>
          </cell>
          <cell r="E917" t="str">
            <v>455</v>
          </cell>
          <cell r="F917">
            <v>0</v>
          </cell>
          <cell r="G917">
            <v>2</v>
          </cell>
          <cell r="H917" t="str">
            <v>2006-02-28</v>
          </cell>
        </row>
        <row r="918">
          <cell r="A918">
            <v>481004</v>
          </cell>
          <cell r="B918">
            <v>1015</v>
          </cell>
          <cell r="C918">
            <v>-71247.88</v>
          </cell>
          <cell r="D918" t="str">
            <v>204</v>
          </cell>
          <cell r="E918" t="str">
            <v>455</v>
          </cell>
          <cell r="F918">
            <v>0</v>
          </cell>
          <cell r="G918">
            <v>2</v>
          </cell>
          <cell r="H918" t="str">
            <v>2006-02-28</v>
          </cell>
        </row>
        <row r="919">
          <cell r="A919">
            <v>481004</v>
          </cell>
          <cell r="B919">
            <v>1015</v>
          </cell>
          <cell r="C919">
            <v>-4284.3900000000003</v>
          </cell>
          <cell r="D919" t="str">
            <v>204</v>
          </cell>
          <cell r="E919" t="str">
            <v>455</v>
          </cell>
          <cell r="F919">
            <v>0</v>
          </cell>
          <cell r="G919">
            <v>2</v>
          </cell>
          <cell r="H919" t="str">
            <v>2006-02-28</v>
          </cell>
        </row>
        <row r="920">
          <cell r="A920">
            <v>481004</v>
          </cell>
          <cell r="B920">
            <v>1015</v>
          </cell>
          <cell r="C920">
            <v>-860.32</v>
          </cell>
          <cell r="D920" t="str">
            <v>204</v>
          </cell>
          <cell r="E920" t="str">
            <v>455</v>
          </cell>
          <cell r="F920">
            <v>0</v>
          </cell>
          <cell r="G920">
            <v>2</v>
          </cell>
          <cell r="H920" t="str">
            <v>2006-02-28</v>
          </cell>
        </row>
        <row r="921">
          <cell r="A921">
            <v>481004</v>
          </cell>
          <cell r="B921">
            <v>1015</v>
          </cell>
          <cell r="C921">
            <v>-4165.03</v>
          </cell>
          <cell r="D921" t="str">
            <v>204</v>
          </cell>
          <cell r="E921" t="str">
            <v>455</v>
          </cell>
          <cell r="F921">
            <v>0</v>
          </cell>
          <cell r="G921">
            <v>2</v>
          </cell>
          <cell r="H921" t="str">
            <v>2006-02-28</v>
          </cell>
        </row>
        <row r="922">
          <cell r="A922">
            <v>481002</v>
          </cell>
          <cell r="B922">
            <v>1015</v>
          </cell>
          <cell r="C922">
            <v>0</v>
          </cell>
          <cell r="D922" t="str">
            <v>204</v>
          </cell>
          <cell r="E922" t="str">
            <v>456</v>
          </cell>
          <cell r="F922">
            <v>0</v>
          </cell>
          <cell r="G922">
            <v>2</v>
          </cell>
          <cell r="H922" t="str">
            <v>2006-02-28</v>
          </cell>
        </row>
        <row r="923">
          <cell r="A923">
            <v>481002</v>
          </cell>
          <cell r="B923">
            <v>1015</v>
          </cell>
          <cell r="C923">
            <v>0</v>
          </cell>
          <cell r="D923" t="str">
            <v>204</v>
          </cell>
          <cell r="E923" t="str">
            <v>456</v>
          </cell>
          <cell r="F923">
            <v>0</v>
          </cell>
          <cell r="G923">
            <v>2</v>
          </cell>
          <cell r="H923" t="str">
            <v>2006-02-28</v>
          </cell>
        </row>
        <row r="924">
          <cell r="A924">
            <v>481002</v>
          </cell>
          <cell r="B924">
            <v>1015</v>
          </cell>
          <cell r="C924">
            <v>0</v>
          </cell>
          <cell r="D924" t="str">
            <v>204</v>
          </cell>
          <cell r="E924" t="str">
            <v>456</v>
          </cell>
          <cell r="F924">
            <v>0</v>
          </cell>
          <cell r="G924">
            <v>2</v>
          </cell>
          <cell r="H924" t="str">
            <v>2006-02-28</v>
          </cell>
        </row>
        <row r="925">
          <cell r="A925">
            <v>481002</v>
          </cell>
          <cell r="B925">
            <v>1015</v>
          </cell>
          <cell r="C925">
            <v>0</v>
          </cell>
          <cell r="D925" t="str">
            <v>204</v>
          </cell>
          <cell r="E925" t="str">
            <v>457</v>
          </cell>
          <cell r="F925">
            <v>0</v>
          </cell>
          <cell r="G925">
            <v>2</v>
          </cell>
          <cell r="H925" t="str">
            <v>2006-02-28</v>
          </cell>
        </row>
        <row r="926">
          <cell r="A926">
            <v>481002</v>
          </cell>
          <cell r="B926">
            <v>1015</v>
          </cell>
          <cell r="C926">
            <v>-155419.07</v>
          </cell>
          <cell r="D926" t="str">
            <v>204</v>
          </cell>
          <cell r="E926" t="str">
            <v>457</v>
          </cell>
          <cell r="F926">
            <v>0</v>
          </cell>
          <cell r="G926">
            <v>2</v>
          </cell>
          <cell r="H926" t="str">
            <v>2006-02-28</v>
          </cell>
        </row>
        <row r="927">
          <cell r="A927">
            <v>481002</v>
          </cell>
          <cell r="B927">
            <v>1015</v>
          </cell>
          <cell r="C927">
            <v>176127.42</v>
          </cell>
          <cell r="D927" t="str">
            <v>204</v>
          </cell>
          <cell r="E927" t="str">
            <v>457</v>
          </cell>
          <cell r="F927">
            <v>0</v>
          </cell>
          <cell r="G927">
            <v>2</v>
          </cell>
          <cell r="H927" t="str">
            <v>2006-02-28</v>
          </cell>
        </row>
        <row r="928">
          <cell r="A928">
            <v>481002</v>
          </cell>
          <cell r="B928">
            <v>1015</v>
          </cell>
          <cell r="C928">
            <v>-26219.63</v>
          </cell>
          <cell r="D928" t="str">
            <v>204</v>
          </cell>
          <cell r="E928" t="str">
            <v>457</v>
          </cell>
          <cell r="F928">
            <v>0</v>
          </cell>
          <cell r="G928">
            <v>2</v>
          </cell>
          <cell r="H928" t="str">
            <v>2006-02-28</v>
          </cell>
        </row>
        <row r="929">
          <cell r="A929">
            <v>481005</v>
          </cell>
          <cell r="B929">
            <v>1015</v>
          </cell>
          <cell r="C929">
            <v>0</v>
          </cell>
          <cell r="D929" t="str">
            <v>204</v>
          </cell>
          <cell r="E929" t="str">
            <v>457</v>
          </cell>
          <cell r="F929">
            <v>0</v>
          </cell>
          <cell r="G929">
            <v>2</v>
          </cell>
          <cell r="H929" t="str">
            <v>2006-02-28</v>
          </cell>
        </row>
        <row r="930">
          <cell r="A930">
            <v>481005</v>
          </cell>
          <cell r="B930">
            <v>1015</v>
          </cell>
          <cell r="C930">
            <v>153712.31</v>
          </cell>
          <cell r="D930" t="str">
            <v>204</v>
          </cell>
          <cell r="E930" t="str">
            <v>457</v>
          </cell>
          <cell r="F930">
            <v>0</v>
          </cell>
          <cell r="G930">
            <v>2</v>
          </cell>
          <cell r="H930" t="str">
            <v>2006-02-28</v>
          </cell>
        </row>
        <row r="931">
          <cell r="A931">
            <v>481005</v>
          </cell>
          <cell r="B931">
            <v>1015</v>
          </cell>
          <cell r="C931">
            <v>-130510.99</v>
          </cell>
          <cell r="D931" t="str">
            <v>204</v>
          </cell>
          <cell r="E931" t="str">
            <v>457</v>
          </cell>
          <cell r="F931">
            <v>0</v>
          </cell>
          <cell r="G931">
            <v>2</v>
          </cell>
          <cell r="H931" t="str">
            <v>2006-02-28</v>
          </cell>
        </row>
        <row r="932">
          <cell r="A932">
            <v>481005</v>
          </cell>
          <cell r="B932">
            <v>1015</v>
          </cell>
          <cell r="C932">
            <v>-23217.01</v>
          </cell>
          <cell r="D932" t="str">
            <v>204</v>
          </cell>
          <cell r="E932" t="str">
            <v>457</v>
          </cell>
          <cell r="F932">
            <v>0</v>
          </cell>
          <cell r="G932">
            <v>2</v>
          </cell>
          <cell r="H932" t="str">
            <v>2006-02-28</v>
          </cell>
        </row>
        <row r="933">
          <cell r="A933">
            <v>481005</v>
          </cell>
          <cell r="B933">
            <v>1015</v>
          </cell>
          <cell r="C933">
            <v>-64014.79</v>
          </cell>
          <cell r="D933" t="str">
            <v>204</v>
          </cell>
          <cell r="E933" t="str">
            <v>457</v>
          </cell>
          <cell r="F933">
            <v>0</v>
          </cell>
          <cell r="G933">
            <v>2</v>
          </cell>
          <cell r="H933" t="str">
            <v>2006-02-28</v>
          </cell>
        </row>
        <row r="934">
          <cell r="A934">
            <v>481005</v>
          </cell>
          <cell r="B934">
            <v>1015</v>
          </cell>
          <cell r="C934">
            <v>-39778.519999999997</v>
          </cell>
          <cell r="D934" t="str">
            <v>204</v>
          </cell>
          <cell r="E934" t="str">
            <v>457</v>
          </cell>
          <cell r="F934">
            <v>0</v>
          </cell>
          <cell r="G934">
            <v>2</v>
          </cell>
          <cell r="H934" t="str">
            <v>2006-02-28</v>
          </cell>
        </row>
        <row r="935">
          <cell r="A935">
            <v>481000</v>
          </cell>
          <cell r="B935">
            <v>1015</v>
          </cell>
          <cell r="C935">
            <v>0</v>
          </cell>
          <cell r="D935" t="str">
            <v>202</v>
          </cell>
          <cell r="E935" t="str">
            <v>402</v>
          </cell>
          <cell r="F935">
            <v>0</v>
          </cell>
          <cell r="G935">
            <v>2</v>
          </cell>
          <cell r="H935" t="str">
            <v>2006-02-28</v>
          </cell>
        </row>
        <row r="936">
          <cell r="A936">
            <v>481000</v>
          </cell>
          <cell r="B936">
            <v>1015</v>
          </cell>
          <cell r="C936">
            <v>244692.87</v>
          </cell>
          <cell r="D936" t="str">
            <v>202</v>
          </cell>
          <cell r="E936" t="str">
            <v>402</v>
          </cell>
          <cell r="F936">
            <v>405781</v>
          </cell>
          <cell r="G936">
            <v>2</v>
          </cell>
          <cell r="H936" t="str">
            <v>2006-02-28</v>
          </cell>
        </row>
        <row r="937">
          <cell r="A937">
            <v>481000</v>
          </cell>
          <cell r="B937">
            <v>1015</v>
          </cell>
          <cell r="C937">
            <v>-132392.95999999999</v>
          </cell>
          <cell r="D937" t="str">
            <v>202</v>
          </cell>
          <cell r="E937" t="str">
            <v>402</v>
          </cell>
          <cell r="F937">
            <v>-202217</v>
          </cell>
          <cell r="G937">
            <v>2</v>
          </cell>
          <cell r="H937" t="str">
            <v>2006-02-28</v>
          </cell>
        </row>
        <row r="938">
          <cell r="A938">
            <v>481000</v>
          </cell>
          <cell r="B938">
            <v>1015</v>
          </cell>
          <cell r="C938">
            <v>-740.22</v>
          </cell>
          <cell r="D938" t="str">
            <v>202</v>
          </cell>
          <cell r="E938" t="str">
            <v>402</v>
          </cell>
          <cell r="F938">
            <v>-1351.42</v>
          </cell>
          <cell r="G938">
            <v>2</v>
          </cell>
          <cell r="H938" t="str">
            <v>2006-02-28</v>
          </cell>
        </row>
        <row r="939">
          <cell r="A939">
            <v>481000</v>
          </cell>
          <cell r="B939">
            <v>1015</v>
          </cell>
          <cell r="C939">
            <v>-2158.86</v>
          </cell>
          <cell r="D939" t="str">
            <v>202</v>
          </cell>
          <cell r="E939" t="str">
            <v>402</v>
          </cell>
          <cell r="F939">
            <v>-3635.17</v>
          </cell>
          <cell r="G939">
            <v>2</v>
          </cell>
          <cell r="H939" t="str">
            <v>2006-02-28</v>
          </cell>
        </row>
        <row r="940">
          <cell r="A940">
            <v>481000</v>
          </cell>
          <cell r="B940">
            <v>1015</v>
          </cell>
          <cell r="C940">
            <v>-21023.7</v>
          </cell>
          <cell r="D940" t="str">
            <v>202</v>
          </cell>
          <cell r="E940" t="str">
            <v>402</v>
          </cell>
          <cell r="F940">
            <v>-41408.97</v>
          </cell>
          <cell r="G940">
            <v>2</v>
          </cell>
          <cell r="H940" t="str">
            <v>2006-02-28</v>
          </cell>
        </row>
        <row r="941">
          <cell r="A941">
            <v>481000</v>
          </cell>
          <cell r="B941">
            <v>1015</v>
          </cell>
          <cell r="C941">
            <v>-26226.14</v>
          </cell>
          <cell r="D941" t="str">
            <v>202</v>
          </cell>
          <cell r="E941" t="str">
            <v>402</v>
          </cell>
          <cell r="F941">
            <v>-50835.77</v>
          </cell>
          <cell r="G941">
            <v>2</v>
          </cell>
          <cell r="H941" t="str">
            <v>2006-02-28</v>
          </cell>
        </row>
        <row r="942">
          <cell r="A942">
            <v>481000</v>
          </cell>
          <cell r="B942">
            <v>1015</v>
          </cell>
          <cell r="C942">
            <v>-34738.01</v>
          </cell>
          <cell r="D942" t="str">
            <v>202</v>
          </cell>
          <cell r="E942" t="str">
            <v>402</v>
          </cell>
          <cell r="F942">
            <v>-64663.4</v>
          </cell>
          <cell r="G942">
            <v>2</v>
          </cell>
          <cell r="H942" t="str">
            <v>2006-02-28</v>
          </cell>
        </row>
        <row r="943">
          <cell r="A943">
            <v>481000</v>
          </cell>
          <cell r="B943">
            <v>1015</v>
          </cell>
          <cell r="C943">
            <v>-9470</v>
          </cell>
          <cell r="D943" t="str">
            <v>202</v>
          </cell>
          <cell r="E943" t="str">
            <v>402</v>
          </cell>
          <cell r="F943">
            <v>-16064.13</v>
          </cell>
          <cell r="G943">
            <v>2</v>
          </cell>
          <cell r="H943" t="str">
            <v>2006-02-28</v>
          </cell>
        </row>
        <row r="944">
          <cell r="A944">
            <v>481000</v>
          </cell>
          <cell r="B944">
            <v>1015</v>
          </cell>
          <cell r="C944">
            <v>-5623.37</v>
          </cell>
          <cell r="D944" t="str">
            <v>202</v>
          </cell>
          <cell r="E944" t="str">
            <v>402</v>
          </cell>
          <cell r="F944">
            <v>-10226.35</v>
          </cell>
          <cell r="G944">
            <v>2</v>
          </cell>
          <cell r="H944" t="str">
            <v>2006-02-28</v>
          </cell>
        </row>
        <row r="945">
          <cell r="A945">
            <v>481000</v>
          </cell>
          <cell r="B945">
            <v>1015</v>
          </cell>
          <cell r="C945">
            <v>-6188.95</v>
          </cell>
          <cell r="D945" t="str">
            <v>202</v>
          </cell>
          <cell r="E945" t="str">
            <v>402</v>
          </cell>
          <cell r="F945">
            <v>-10052.49</v>
          </cell>
          <cell r="G945">
            <v>2</v>
          </cell>
          <cell r="H945" t="str">
            <v>2006-02-28</v>
          </cell>
        </row>
        <row r="946">
          <cell r="A946">
            <v>481000</v>
          </cell>
          <cell r="B946">
            <v>1015</v>
          </cell>
          <cell r="C946">
            <v>-7620.72</v>
          </cell>
          <cell r="D946" t="str">
            <v>202</v>
          </cell>
          <cell r="E946" t="str">
            <v>402</v>
          </cell>
          <cell r="F946">
            <v>-14354.77</v>
          </cell>
          <cell r="G946">
            <v>2</v>
          </cell>
          <cell r="H946" t="str">
            <v>2006-02-28</v>
          </cell>
        </row>
        <row r="947">
          <cell r="A947">
            <v>481000</v>
          </cell>
          <cell r="B947">
            <v>1015</v>
          </cell>
          <cell r="C947">
            <v>-5785.8</v>
          </cell>
          <cell r="D947" t="str">
            <v>202</v>
          </cell>
          <cell r="E947" t="str">
            <v>402</v>
          </cell>
          <cell r="F947">
            <v>-9574.08</v>
          </cell>
          <cell r="G947">
            <v>2</v>
          </cell>
          <cell r="H947" t="str">
            <v>2006-02-28</v>
          </cell>
        </row>
        <row r="948">
          <cell r="A948">
            <v>481000</v>
          </cell>
          <cell r="B948">
            <v>1015</v>
          </cell>
          <cell r="C948">
            <v>-5865.95</v>
          </cell>
          <cell r="D948" t="str">
            <v>202</v>
          </cell>
          <cell r="E948" t="str">
            <v>402</v>
          </cell>
          <cell r="F948">
            <v>-10825.56</v>
          </cell>
          <cell r="G948">
            <v>2</v>
          </cell>
          <cell r="H948" t="str">
            <v>2006-02-28</v>
          </cell>
        </row>
        <row r="949">
          <cell r="A949">
            <v>481000</v>
          </cell>
          <cell r="B949">
            <v>1015</v>
          </cell>
          <cell r="C949">
            <v>-13422.97</v>
          </cell>
          <cell r="D949" t="str">
            <v>202</v>
          </cell>
          <cell r="E949" t="str">
            <v>402</v>
          </cell>
          <cell r="F949">
            <v>-26104.59</v>
          </cell>
          <cell r="G949">
            <v>2</v>
          </cell>
          <cell r="H949" t="str">
            <v>2006-02-28</v>
          </cell>
        </row>
        <row r="950">
          <cell r="A950">
            <v>481000</v>
          </cell>
          <cell r="B950">
            <v>1015</v>
          </cell>
          <cell r="C950">
            <v>-157</v>
          </cell>
          <cell r="D950" t="str">
            <v>202</v>
          </cell>
          <cell r="E950" t="str">
            <v>402</v>
          </cell>
          <cell r="F950">
            <v>-1.05</v>
          </cell>
          <cell r="G950">
            <v>2</v>
          </cell>
          <cell r="H950" t="str">
            <v>2006-02-28</v>
          </cell>
        </row>
        <row r="951">
          <cell r="A951">
            <v>481004</v>
          </cell>
          <cell r="B951">
            <v>1015</v>
          </cell>
          <cell r="C951">
            <v>0</v>
          </cell>
          <cell r="D951" t="str">
            <v>202</v>
          </cell>
          <cell r="E951" t="str">
            <v>402</v>
          </cell>
          <cell r="F951">
            <v>0</v>
          </cell>
          <cell r="G951">
            <v>2</v>
          </cell>
          <cell r="H951" t="str">
            <v>2006-02-28</v>
          </cell>
        </row>
        <row r="952">
          <cell r="A952">
            <v>481004</v>
          </cell>
          <cell r="B952">
            <v>1015</v>
          </cell>
          <cell r="C952">
            <v>-330751.77</v>
          </cell>
          <cell r="D952" t="str">
            <v>202</v>
          </cell>
          <cell r="E952" t="str">
            <v>402</v>
          </cell>
          <cell r="F952">
            <v>-29920.93</v>
          </cell>
          <cell r="G952">
            <v>2</v>
          </cell>
          <cell r="H952" t="str">
            <v>2006-02-28</v>
          </cell>
        </row>
        <row r="953">
          <cell r="A953">
            <v>481004</v>
          </cell>
          <cell r="B953">
            <v>1015</v>
          </cell>
          <cell r="C953">
            <v>164910.14000000001</v>
          </cell>
          <cell r="D953" t="str">
            <v>202</v>
          </cell>
          <cell r="E953" t="str">
            <v>402</v>
          </cell>
          <cell r="F953">
            <v>-328553.07</v>
          </cell>
          <cell r="G953">
            <v>2</v>
          </cell>
          <cell r="H953" t="str">
            <v>2006-02-28</v>
          </cell>
        </row>
        <row r="954">
          <cell r="A954">
            <v>481004</v>
          </cell>
          <cell r="B954">
            <v>1015</v>
          </cell>
          <cell r="C954">
            <v>-6106.74</v>
          </cell>
          <cell r="D954" t="str">
            <v>202</v>
          </cell>
          <cell r="E954" t="str">
            <v>402</v>
          </cell>
          <cell r="F954">
            <v>-9051.2000000000007</v>
          </cell>
          <cell r="G954">
            <v>2</v>
          </cell>
          <cell r="H954" t="str">
            <v>2006-02-28</v>
          </cell>
        </row>
        <row r="955">
          <cell r="A955">
            <v>481004</v>
          </cell>
          <cell r="B955">
            <v>1015</v>
          </cell>
          <cell r="C955">
            <v>-4283.45</v>
          </cell>
          <cell r="D955" t="str">
            <v>202</v>
          </cell>
          <cell r="E955" t="str">
            <v>402</v>
          </cell>
          <cell r="F955">
            <v>-6197.25</v>
          </cell>
          <cell r="G955">
            <v>2</v>
          </cell>
          <cell r="H955" t="str">
            <v>2006-02-28</v>
          </cell>
        </row>
        <row r="956">
          <cell r="A956">
            <v>481004</v>
          </cell>
          <cell r="B956">
            <v>1015</v>
          </cell>
          <cell r="C956">
            <v>-17440.400000000001</v>
          </cell>
          <cell r="D956" t="str">
            <v>202</v>
          </cell>
          <cell r="E956" t="str">
            <v>402</v>
          </cell>
          <cell r="F956">
            <v>-30555.119999999999</v>
          </cell>
          <cell r="G956">
            <v>2</v>
          </cell>
          <cell r="H956" t="str">
            <v>2006-02-28</v>
          </cell>
        </row>
        <row r="957">
          <cell r="A957">
            <v>481004</v>
          </cell>
          <cell r="B957">
            <v>1015</v>
          </cell>
          <cell r="C957">
            <v>-82691.960000000006</v>
          </cell>
          <cell r="D957" t="str">
            <v>202</v>
          </cell>
          <cell r="E957" t="str">
            <v>402</v>
          </cell>
          <cell r="F957">
            <v>-162104.54</v>
          </cell>
          <cell r="G957">
            <v>2</v>
          </cell>
          <cell r="H957" t="str">
            <v>2006-02-28</v>
          </cell>
        </row>
        <row r="958">
          <cell r="A958">
            <v>481004</v>
          </cell>
          <cell r="B958">
            <v>1015</v>
          </cell>
          <cell r="C958">
            <v>-34931.01</v>
          </cell>
          <cell r="D958" t="str">
            <v>202</v>
          </cell>
          <cell r="E958" t="str">
            <v>402</v>
          </cell>
          <cell r="F958">
            <v>-58219.23</v>
          </cell>
          <cell r="G958">
            <v>2</v>
          </cell>
          <cell r="H958" t="str">
            <v>2006-02-28</v>
          </cell>
        </row>
        <row r="959">
          <cell r="A959">
            <v>481004</v>
          </cell>
          <cell r="B959">
            <v>1015</v>
          </cell>
          <cell r="C959">
            <v>-16444.689999999999</v>
          </cell>
          <cell r="D959" t="str">
            <v>202</v>
          </cell>
          <cell r="E959" t="str">
            <v>402</v>
          </cell>
          <cell r="F959">
            <v>-28052.18</v>
          </cell>
          <cell r="G959">
            <v>2</v>
          </cell>
          <cell r="H959" t="str">
            <v>2006-02-28</v>
          </cell>
        </row>
        <row r="960">
          <cell r="A960">
            <v>481004</v>
          </cell>
          <cell r="B960">
            <v>1015</v>
          </cell>
          <cell r="C960">
            <v>-5168.8</v>
          </cell>
          <cell r="D960" t="str">
            <v>202</v>
          </cell>
          <cell r="E960" t="str">
            <v>402</v>
          </cell>
          <cell r="F960">
            <v>-8333.59</v>
          </cell>
          <cell r="G960">
            <v>2</v>
          </cell>
          <cell r="H960" t="str">
            <v>2006-02-28</v>
          </cell>
        </row>
        <row r="961">
          <cell r="A961">
            <v>481004</v>
          </cell>
          <cell r="B961">
            <v>1015</v>
          </cell>
          <cell r="C961">
            <v>-15060.75</v>
          </cell>
          <cell r="D961" t="str">
            <v>202</v>
          </cell>
          <cell r="E961" t="str">
            <v>402</v>
          </cell>
          <cell r="F961">
            <v>-24318.07</v>
          </cell>
          <cell r="G961">
            <v>2</v>
          </cell>
          <cell r="H961" t="str">
            <v>2006-02-28</v>
          </cell>
        </row>
        <row r="962">
          <cell r="A962">
            <v>481004</v>
          </cell>
          <cell r="B962">
            <v>1015</v>
          </cell>
          <cell r="C962">
            <v>-18987.13</v>
          </cell>
          <cell r="D962" t="str">
            <v>202</v>
          </cell>
          <cell r="E962" t="str">
            <v>402</v>
          </cell>
          <cell r="F962">
            <v>-32686.87</v>
          </cell>
          <cell r="G962">
            <v>2</v>
          </cell>
          <cell r="H962" t="str">
            <v>2006-02-28</v>
          </cell>
        </row>
        <row r="963">
          <cell r="A963">
            <v>481004</v>
          </cell>
          <cell r="B963">
            <v>1015</v>
          </cell>
          <cell r="C963">
            <v>-18745.53</v>
          </cell>
          <cell r="D963" t="str">
            <v>202</v>
          </cell>
          <cell r="E963" t="str">
            <v>402</v>
          </cell>
          <cell r="F963">
            <v>-31552.99</v>
          </cell>
          <cell r="G963">
            <v>2</v>
          </cell>
          <cell r="H963" t="str">
            <v>2006-02-28</v>
          </cell>
        </row>
        <row r="964">
          <cell r="A964">
            <v>481004</v>
          </cell>
          <cell r="B964">
            <v>1015</v>
          </cell>
          <cell r="C964">
            <v>-29970.03</v>
          </cell>
          <cell r="D964" t="str">
            <v>202</v>
          </cell>
          <cell r="E964" t="str">
            <v>402</v>
          </cell>
          <cell r="F964">
            <v>-52094.080000000002</v>
          </cell>
          <cell r="G964">
            <v>2</v>
          </cell>
          <cell r="H964" t="str">
            <v>2006-02-28</v>
          </cell>
        </row>
        <row r="965">
          <cell r="A965">
            <v>481004</v>
          </cell>
          <cell r="B965">
            <v>1015</v>
          </cell>
          <cell r="C965">
            <v>-18756.52</v>
          </cell>
          <cell r="D965" t="str">
            <v>202</v>
          </cell>
          <cell r="E965" t="str">
            <v>402</v>
          </cell>
          <cell r="F965">
            <v>-31736.61</v>
          </cell>
          <cell r="G965">
            <v>2</v>
          </cell>
          <cell r="H965" t="str">
            <v>2006-02-28</v>
          </cell>
        </row>
        <row r="966">
          <cell r="A966">
            <v>481004</v>
          </cell>
          <cell r="B966">
            <v>1015</v>
          </cell>
          <cell r="C966">
            <v>-2892.54</v>
          </cell>
          <cell r="D966" t="str">
            <v>202</v>
          </cell>
          <cell r="E966" t="str">
            <v>402</v>
          </cell>
          <cell r="F966">
            <v>-6498.14</v>
          </cell>
          <cell r="G966">
            <v>2</v>
          </cell>
          <cell r="H966" t="str">
            <v>2006-02-28</v>
          </cell>
        </row>
        <row r="967">
          <cell r="A967">
            <v>481004</v>
          </cell>
          <cell r="B967">
            <v>1015</v>
          </cell>
          <cell r="C967">
            <v>-1083.81</v>
          </cell>
          <cell r="D967" t="str">
            <v>202</v>
          </cell>
          <cell r="E967" t="str">
            <v>402</v>
          </cell>
          <cell r="F967">
            <v>-1816.59</v>
          </cell>
          <cell r="G967">
            <v>2</v>
          </cell>
          <cell r="H967" t="str">
            <v>2006-02-28</v>
          </cell>
        </row>
        <row r="968">
          <cell r="A968">
            <v>481000</v>
          </cell>
          <cell r="B968">
            <v>1015</v>
          </cell>
          <cell r="C968">
            <v>0</v>
          </cell>
          <cell r="D968" t="str">
            <v>202</v>
          </cell>
          <cell r="E968" t="str">
            <v>403</v>
          </cell>
          <cell r="F968">
            <v>0</v>
          </cell>
          <cell r="G968">
            <v>2</v>
          </cell>
          <cell r="H968" t="str">
            <v>2006-02-28</v>
          </cell>
        </row>
        <row r="969">
          <cell r="A969">
            <v>481000</v>
          </cell>
          <cell r="B969">
            <v>1015</v>
          </cell>
          <cell r="C969">
            <v>0</v>
          </cell>
          <cell r="D969" t="str">
            <v>202</v>
          </cell>
          <cell r="E969" t="str">
            <v>403</v>
          </cell>
          <cell r="F969">
            <v>0</v>
          </cell>
          <cell r="G969">
            <v>2</v>
          </cell>
          <cell r="H969" t="str">
            <v>2006-02-28</v>
          </cell>
        </row>
        <row r="970">
          <cell r="A970">
            <v>481000</v>
          </cell>
          <cell r="B970">
            <v>1015</v>
          </cell>
          <cell r="C970">
            <v>0</v>
          </cell>
          <cell r="D970" t="str">
            <v>202</v>
          </cell>
          <cell r="E970" t="str">
            <v>403</v>
          </cell>
          <cell r="F970">
            <v>0</v>
          </cell>
          <cell r="G970">
            <v>2</v>
          </cell>
          <cell r="H970" t="str">
            <v>2006-02-28</v>
          </cell>
        </row>
        <row r="971">
          <cell r="A971">
            <v>481000</v>
          </cell>
          <cell r="B971">
            <v>1015</v>
          </cell>
          <cell r="C971">
            <v>-7324.64</v>
          </cell>
          <cell r="D971" t="str">
            <v>202</v>
          </cell>
          <cell r="E971" t="str">
            <v>403</v>
          </cell>
          <cell r="F971">
            <v>0</v>
          </cell>
          <cell r="G971">
            <v>2</v>
          </cell>
          <cell r="H971" t="str">
            <v>2006-02-28</v>
          </cell>
        </row>
        <row r="972">
          <cell r="A972">
            <v>481004</v>
          </cell>
          <cell r="B972">
            <v>1015</v>
          </cell>
          <cell r="C972">
            <v>0</v>
          </cell>
          <cell r="D972" t="str">
            <v>202</v>
          </cell>
          <cell r="E972" t="str">
            <v>403</v>
          </cell>
          <cell r="F972">
            <v>0</v>
          </cell>
          <cell r="G972">
            <v>2</v>
          </cell>
          <cell r="H972" t="str">
            <v>2006-02-28</v>
          </cell>
        </row>
        <row r="973">
          <cell r="A973">
            <v>481004</v>
          </cell>
          <cell r="B973">
            <v>1015</v>
          </cell>
          <cell r="C973">
            <v>0</v>
          </cell>
          <cell r="D973" t="str">
            <v>202</v>
          </cell>
          <cell r="E973" t="str">
            <v>403</v>
          </cell>
          <cell r="F973">
            <v>0</v>
          </cell>
          <cell r="G973">
            <v>2</v>
          </cell>
          <cell r="H973" t="str">
            <v>2006-02-28</v>
          </cell>
        </row>
        <row r="974">
          <cell r="A974">
            <v>481004</v>
          </cell>
          <cell r="B974">
            <v>1015</v>
          </cell>
          <cell r="C974">
            <v>0</v>
          </cell>
          <cell r="D974" t="str">
            <v>202</v>
          </cell>
          <cell r="E974" t="str">
            <v>403</v>
          </cell>
          <cell r="F974">
            <v>0</v>
          </cell>
          <cell r="G974">
            <v>2</v>
          </cell>
          <cell r="H974" t="str">
            <v>2006-02-28</v>
          </cell>
        </row>
        <row r="975">
          <cell r="A975">
            <v>481000</v>
          </cell>
          <cell r="B975">
            <v>1015</v>
          </cell>
          <cell r="C975">
            <v>0</v>
          </cell>
          <cell r="D975" t="str">
            <v>202</v>
          </cell>
          <cell r="E975" t="str">
            <v>404</v>
          </cell>
          <cell r="F975">
            <v>0</v>
          </cell>
          <cell r="G975">
            <v>2</v>
          </cell>
          <cell r="H975" t="str">
            <v>2006-02-28</v>
          </cell>
        </row>
        <row r="976">
          <cell r="A976">
            <v>481000</v>
          </cell>
          <cell r="B976">
            <v>1015</v>
          </cell>
          <cell r="C976">
            <v>89936.31</v>
          </cell>
          <cell r="D976" t="str">
            <v>202</v>
          </cell>
          <cell r="E976" t="str">
            <v>404</v>
          </cell>
          <cell r="F976">
            <v>275690</v>
          </cell>
          <cell r="G976">
            <v>2</v>
          </cell>
          <cell r="H976" t="str">
            <v>2006-02-28</v>
          </cell>
        </row>
        <row r="977">
          <cell r="A977">
            <v>481000</v>
          </cell>
          <cell r="B977">
            <v>1015</v>
          </cell>
          <cell r="C977">
            <v>-82208.38</v>
          </cell>
          <cell r="D977" t="str">
            <v>202</v>
          </cell>
          <cell r="E977" t="str">
            <v>404</v>
          </cell>
          <cell r="F977">
            <v>-251870</v>
          </cell>
          <cell r="G977">
            <v>2</v>
          </cell>
          <cell r="H977" t="str">
            <v>2006-02-28</v>
          </cell>
        </row>
        <row r="978">
          <cell r="A978">
            <v>481000</v>
          </cell>
          <cell r="B978">
            <v>1015</v>
          </cell>
          <cell r="C978">
            <v>-89936.31</v>
          </cell>
          <cell r="D978" t="str">
            <v>202</v>
          </cell>
          <cell r="E978" t="str">
            <v>404</v>
          </cell>
          <cell r="F978">
            <v>-275690</v>
          </cell>
          <cell r="G978">
            <v>2</v>
          </cell>
          <cell r="H978" t="str">
            <v>2006-02-28</v>
          </cell>
        </row>
        <row r="979">
          <cell r="A979">
            <v>481004</v>
          </cell>
          <cell r="B979">
            <v>1015</v>
          </cell>
          <cell r="C979">
            <v>0</v>
          </cell>
          <cell r="D979" t="str">
            <v>202</v>
          </cell>
          <cell r="E979" t="str">
            <v>404</v>
          </cell>
          <cell r="F979">
            <v>0</v>
          </cell>
          <cell r="G979">
            <v>2</v>
          </cell>
          <cell r="H979" t="str">
            <v>2006-02-28</v>
          </cell>
        </row>
        <row r="980">
          <cell r="A980">
            <v>481004</v>
          </cell>
          <cell r="B980">
            <v>1015</v>
          </cell>
          <cell r="C980">
            <v>0</v>
          </cell>
          <cell r="D980" t="str">
            <v>202</v>
          </cell>
          <cell r="E980" t="str">
            <v>404</v>
          </cell>
          <cell r="F980">
            <v>0</v>
          </cell>
          <cell r="G980">
            <v>2</v>
          </cell>
          <cell r="H980" t="str">
            <v>2006-02-28</v>
          </cell>
        </row>
        <row r="981">
          <cell r="A981">
            <v>481004</v>
          </cell>
          <cell r="B981">
            <v>1015</v>
          </cell>
          <cell r="C981">
            <v>0</v>
          </cell>
          <cell r="D981" t="str">
            <v>202</v>
          </cell>
          <cell r="E981" t="str">
            <v>404</v>
          </cell>
          <cell r="F981">
            <v>0</v>
          </cell>
          <cell r="G981">
            <v>2</v>
          </cell>
          <cell r="H981" t="str">
            <v>2006-02-28</v>
          </cell>
        </row>
        <row r="982">
          <cell r="A982">
            <v>480000</v>
          </cell>
          <cell r="B982">
            <v>1015</v>
          </cell>
          <cell r="C982">
            <v>-1019782.91</v>
          </cell>
          <cell r="D982" t="str">
            <v>202</v>
          </cell>
          <cell r="E982" t="str">
            <v>407</v>
          </cell>
          <cell r="F982">
            <v>-411166.83</v>
          </cell>
          <cell r="G982">
            <v>2</v>
          </cell>
          <cell r="H982" t="str">
            <v>2006-02-28</v>
          </cell>
        </row>
        <row r="983">
          <cell r="A983">
            <v>480000</v>
          </cell>
          <cell r="B983">
            <v>1015</v>
          </cell>
          <cell r="C983">
            <v>-1240404.81</v>
          </cell>
          <cell r="D983" t="str">
            <v>202</v>
          </cell>
          <cell r="E983" t="str">
            <v>407</v>
          </cell>
          <cell r="F983">
            <v>-504249.42</v>
          </cell>
          <cell r="G983">
            <v>2</v>
          </cell>
          <cell r="H983" t="str">
            <v>2006-02-28</v>
          </cell>
        </row>
        <row r="984">
          <cell r="A984">
            <v>480000</v>
          </cell>
          <cell r="B984">
            <v>1015</v>
          </cell>
          <cell r="C984">
            <v>-1474285.38</v>
          </cell>
          <cell r="D984" t="str">
            <v>202</v>
          </cell>
          <cell r="E984" t="str">
            <v>407</v>
          </cell>
          <cell r="F984">
            <v>-604906.22</v>
          </cell>
          <cell r="G984">
            <v>2</v>
          </cell>
          <cell r="H984" t="str">
            <v>2006-02-28</v>
          </cell>
        </row>
        <row r="985">
          <cell r="A985">
            <v>480000</v>
          </cell>
          <cell r="B985">
            <v>1015</v>
          </cell>
          <cell r="C985">
            <v>-3546177.56</v>
          </cell>
          <cell r="D985" t="str">
            <v>202</v>
          </cell>
          <cell r="E985" t="str">
            <v>407</v>
          </cell>
          <cell r="F985">
            <v>-1443852.81</v>
          </cell>
          <cell r="G985">
            <v>2</v>
          </cell>
          <cell r="H985" t="str">
            <v>2006-02-28</v>
          </cell>
        </row>
        <row r="986">
          <cell r="A986">
            <v>480000</v>
          </cell>
          <cell r="B986">
            <v>1015</v>
          </cell>
          <cell r="C986">
            <v>-2347145.13</v>
          </cell>
          <cell r="D986" t="str">
            <v>202</v>
          </cell>
          <cell r="E986" t="str">
            <v>407</v>
          </cell>
          <cell r="F986">
            <v>-958012.66</v>
          </cell>
          <cell r="G986">
            <v>2</v>
          </cell>
          <cell r="H986" t="str">
            <v>2006-02-28</v>
          </cell>
        </row>
        <row r="987">
          <cell r="A987">
            <v>480000</v>
          </cell>
          <cell r="B987">
            <v>1015</v>
          </cell>
          <cell r="C987">
            <v>-1256197.5900000001</v>
          </cell>
          <cell r="D987" t="str">
            <v>202</v>
          </cell>
          <cell r="E987" t="str">
            <v>407</v>
          </cell>
          <cell r="F987">
            <v>-512010.63</v>
          </cell>
          <cell r="G987">
            <v>2</v>
          </cell>
          <cell r="H987" t="str">
            <v>2006-02-28</v>
          </cell>
        </row>
        <row r="988">
          <cell r="A988">
            <v>480000</v>
          </cell>
          <cell r="B988">
            <v>1015</v>
          </cell>
          <cell r="C988">
            <v>-2020771.32</v>
          </cell>
          <cell r="D988" t="str">
            <v>202</v>
          </cell>
          <cell r="E988" t="str">
            <v>407</v>
          </cell>
          <cell r="F988">
            <v>-814656.74</v>
          </cell>
          <cell r="G988">
            <v>2</v>
          </cell>
          <cell r="H988" t="str">
            <v>2006-02-28</v>
          </cell>
        </row>
        <row r="989">
          <cell r="A989">
            <v>480000</v>
          </cell>
          <cell r="B989">
            <v>1015</v>
          </cell>
          <cell r="C989">
            <v>-2527154.69</v>
          </cell>
          <cell r="D989" t="str">
            <v>202</v>
          </cell>
          <cell r="E989" t="str">
            <v>407</v>
          </cell>
          <cell r="F989">
            <v>-1031267.88</v>
          </cell>
          <cell r="G989">
            <v>2</v>
          </cell>
          <cell r="H989" t="str">
            <v>2006-02-28</v>
          </cell>
        </row>
        <row r="990">
          <cell r="A990">
            <v>480000</v>
          </cell>
          <cell r="B990">
            <v>1015</v>
          </cell>
          <cell r="C990">
            <v>-1533464.74</v>
          </cell>
          <cell r="D990" t="str">
            <v>202</v>
          </cell>
          <cell r="E990" t="str">
            <v>407</v>
          </cell>
          <cell r="F990">
            <v>-626356.97</v>
          </cell>
          <cell r="G990">
            <v>2</v>
          </cell>
          <cell r="H990" t="str">
            <v>2006-02-28</v>
          </cell>
        </row>
        <row r="991">
          <cell r="A991">
            <v>480000</v>
          </cell>
          <cell r="B991">
            <v>1015</v>
          </cell>
          <cell r="C991">
            <v>-1112203.73</v>
          </cell>
          <cell r="D991" t="str">
            <v>202</v>
          </cell>
          <cell r="E991" t="str">
            <v>407</v>
          </cell>
          <cell r="F991">
            <v>-451963.14</v>
          </cell>
          <cell r="G991">
            <v>2</v>
          </cell>
          <cell r="H991" t="str">
            <v>2006-02-28</v>
          </cell>
        </row>
        <row r="992">
          <cell r="A992">
            <v>480000</v>
          </cell>
          <cell r="B992">
            <v>1015</v>
          </cell>
          <cell r="C992">
            <v>-2708921.59</v>
          </cell>
          <cell r="D992" t="str">
            <v>202</v>
          </cell>
          <cell r="E992" t="str">
            <v>407</v>
          </cell>
          <cell r="F992">
            <v>-1102719.3999999999</v>
          </cell>
          <cell r="G992">
            <v>2</v>
          </cell>
          <cell r="H992" t="str">
            <v>2006-02-28</v>
          </cell>
        </row>
        <row r="993">
          <cell r="A993">
            <v>480000</v>
          </cell>
          <cell r="B993">
            <v>1015</v>
          </cell>
          <cell r="C993">
            <v>-2332464.3199999998</v>
          </cell>
          <cell r="D993" t="str">
            <v>202</v>
          </cell>
          <cell r="E993" t="str">
            <v>407</v>
          </cell>
          <cell r="F993">
            <v>-946438.38</v>
          </cell>
          <cell r="G993">
            <v>2</v>
          </cell>
          <cell r="H993" t="str">
            <v>2006-02-28</v>
          </cell>
        </row>
        <row r="994">
          <cell r="A994">
            <v>480000</v>
          </cell>
          <cell r="B994">
            <v>1015</v>
          </cell>
          <cell r="C994">
            <v>-38802.720000000001</v>
          </cell>
          <cell r="D994" t="str">
            <v>202</v>
          </cell>
          <cell r="E994" t="str">
            <v>407</v>
          </cell>
          <cell r="F994">
            <v>-19488.93</v>
          </cell>
          <cell r="G994">
            <v>2</v>
          </cell>
          <cell r="H994" t="str">
            <v>2006-02-28</v>
          </cell>
        </row>
        <row r="995">
          <cell r="A995">
            <v>480000</v>
          </cell>
          <cell r="B995">
            <v>1015</v>
          </cell>
          <cell r="C995">
            <v>-29763.67</v>
          </cell>
          <cell r="D995" t="str">
            <v>202</v>
          </cell>
          <cell r="E995" t="str">
            <v>407</v>
          </cell>
          <cell r="F995">
            <v>-11952.92</v>
          </cell>
          <cell r="G995">
            <v>2</v>
          </cell>
          <cell r="H995" t="str">
            <v>2006-02-28</v>
          </cell>
        </row>
        <row r="996">
          <cell r="A996">
            <v>480001</v>
          </cell>
          <cell r="B996">
            <v>1015</v>
          </cell>
          <cell r="C996">
            <v>1636139.53</v>
          </cell>
          <cell r="D996" t="str">
            <v>202</v>
          </cell>
          <cell r="E996" t="str">
            <v>407</v>
          </cell>
          <cell r="F996">
            <v>1102517.99</v>
          </cell>
          <cell r="G996">
            <v>2</v>
          </cell>
          <cell r="H996" t="str">
            <v>2006-02-28</v>
          </cell>
        </row>
        <row r="997">
          <cell r="A997">
            <v>481004</v>
          </cell>
          <cell r="B997">
            <v>1015</v>
          </cell>
          <cell r="C997">
            <v>-145471.57</v>
          </cell>
          <cell r="D997" t="str">
            <v>202</v>
          </cell>
          <cell r="E997" t="str">
            <v>407</v>
          </cell>
          <cell r="F997">
            <v>-90462.83</v>
          </cell>
          <cell r="G997">
            <v>2</v>
          </cell>
          <cell r="H997" t="str">
            <v>2006-02-28</v>
          </cell>
        </row>
        <row r="998">
          <cell r="A998">
            <v>481004</v>
          </cell>
          <cell r="B998">
            <v>1015</v>
          </cell>
          <cell r="C998">
            <v>-284333.25</v>
          </cell>
          <cell r="D998" t="str">
            <v>202</v>
          </cell>
          <cell r="E998" t="str">
            <v>407</v>
          </cell>
          <cell r="F998">
            <v>-182268.72</v>
          </cell>
          <cell r="G998">
            <v>2</v>
          </cell>
          <cell r="H998" t="str">
            <v>2006-02-28</v>
          </cell>
        </row>
        <row r="999">
          <cell r="A999">
            <v>481004</v>
          </cell>
          <cell r="B999">
            <v>1015</v>
          </cell>
          <cell r="C999">
            <v>-254960.55</v>
          </cell>
          <cell r="D999" t="str">
            <v>202</v>
          </cell>
          <cell r="E999" t="str">
            <v>407</v>
          </cell>
          <cell r="F999">
            <v>-170706.43</v>
          </cell>
          <cell r="G999">
            <v>2</v>
          </cell>
          <cell r="H999" t="str">
            <v>2006-02-28</v>
          </cell>
        </row>
        <row r="1000">
          <cell r="A1000">
            <v>481004</v>
          </cell>
          <cell r="B1000">
            <v>1015</v>
          </cell>
          <cell r="C1000">
            <v>-1105780.28</v>
          </cell>
          <cell r="D1000" t="str">
            <v>202</v>
          </cell>
          <cell r="E1000" t="str">
            <v>407</v>
          </cell>
          <cell r="F1000">
            <v>-793814.28</v>
          </cell>
          <cell r="G1000">
            <v>2</v>
          </cell>
          <cell r="H1000" t="str">
            <v>2006-02-28</v>
          </cell>
        </row>
        <row r="1001">
          <cell r="A1001">
            <v>481004</v>
          </cell>
          <cell r="B1001">
            <v>1015</v>
          </cell>
          <cell r="C1001">
            <v>-983165.63</v>
          </cell>
          <cell r="D1001" t="str">
            <v>202</v>
          </cell>
          <cell r="E1001" t="str">
            <v>407</v>
          </cell>
          <cell r="F1001">
            <v>-669766.17000000004</v>
          </cell>
          <cell r="G1001">
            <v>2</v>
          </cell>
          <cell r="H1001" t="str">
            <v>2006-02-28</v>
          </cell>
        </row>
        <row r="1002">
          <cell r="A1002">
            <v>481004</v>
          </cell>
          <cell r="B1002">
            <v>1015</v>
          </cell>
          <cell r="C1002">
            <v>-284304.15000000002</v>
          </cell>
          <cell r="D1002" t="str">
            <v>202</v>
          </cell>
          <cell r="E1002" t="str">
            <v>407</v>
          </cell>
          <cell r="F1002">
            <v>-211727.28</v>
          </cell>
          <cell r="G1002">
            <v>2</v>
          </cell>
          <cell r="H1002" t="str">
            <v>2006-02-28</v>
          </cell>
        </row>
        <row r="1003">
          <cell r="A1003">
            <v>481004</v>
          </cell>
          <cell r="B1003">
            <v>1015</v>
          </cell>
          <cell r="C1003">
            <v>-377057.82</v>
          </cell>
          <cell r="D1003" t="str">
            <v>202</v>
          </cell>
          <cell r="E1003" t="str">
            <v>407</v>
          </cell>
          <cell r="F1003">
            <v>-270303.27</v>
          </cell>
          <cell r="G1003">
            <v>2</v>
          </cell>
          <cell r="H1003" t="str">
            <v>2006-02-28</v>
          </cell>
        </row>
        <row r="1004">
          <cell r="A1004">
            <v>481004</v>
          </cell>
          <cell r="B1004">
            <v>1015</v>
          </cell>
          <cell r="C1004">
            <v>-604007.65</v>
          </cell>
          <cell r="D1004" t="str">
            <v>202</v>
          </cell>
          <cell r="E1004" t="str">
            <v>407</v>
          </cell>
          <cell r="F1004">
            <v>-410790.19</v>
          </cell>
          <cell r="G1004">
            <v>2</v>
          </cell>
          <cell r="H1004" t="str">
            <v>2006-02-28</v>
          </cell>
        </row>
        <row r="1005">
          <cell r="A1005">
            <v>481004</v>
          </cell>
          <cell r="B1005">
            <v>1015</v>
          </cell>
          <cell r="C1005">
            <v>-324561.25</v>
          </cell>
          <cell r="D1005" t="str">
            <v>202</v>
          </cell>
          <cell r="E1005" t="str">
            <v>407</v>
          </cell>
          <cell r="F1005">
            <v>-214886.23</v>
          </cell>
          <cell r="G1005">
            <v>2</v>
          </cell>
          <cell r="H1005" t="str">
            <v>2006-02-28</v>
          </cell>
        </row>
        <row r="1006">
          <cell r="A1006">
            <v>481004</v>
          </cell>
          <cell r="B1006">
            <v>1015</v>
          </cell>
          <cell r="C1006">
            <v>-319232.36</v>
          </cell>
          <cell r="D1006" t="str">
            <v>202</v>
          </cell>
          <cell r="E1006" t="str">
            <v>407</v>
          </cell>
          <cell r="F1006">
            <v>-213303.71</v>
          </cell>
          <cell r="G1006">
            <v>2</v>
          </cell>
          <cell r="H1006" t="str">
            <v>2006-02-28</v>
          </cell>
        </row>
        <row r="1007">
          <cell r="A1007">
            <v>481004</v>
          </cell>
          <cell r="B1007">
            <v>1015</v>
          </cell>
          <cell r="C1007">
            <v>-602431.25</v>
          </cell>
          <cell r="D1007" t="str">
            <v>202</v>
          </cell>
          <cell r="E1007" t="str">
            <v>407</v>
          </cell>
          <cell r="F1007">
            <v>-418883.54</v>
          </cell>
          <cell r="G1007">
            <v>2</v>
          </cell>
          <cell r="H1007" t="str">
            <v>2006-02-28</v>
          </cell>
        </row>
        <row r="1008">
          <cell r="A1008">
            <v>481004</v>
          </cell>
          <cell r="B1008">
            <v>1015</v>
          </cell>
          <cell r="C1008">
            <v>-515945.45</v>
          </cell>
          <cell r="D1008" t="str">
            <v>202</v>
          </cell>
          <cell r="E1008" t="str">
            <v>407</v>
          </cell>
          <cell r="F1008">
            <v>-366444.64</v>
          </cell>
          <cell r="G1008">
            <v>2</v>
          </cell>
          <cell r="H1008" t="str">
            <v>2006-02-28</v>
          </cell>
        </row>
        <row r="1009">
          <cell r="A1009">
            <v>481004</v>
          </cell>
          <cell r="B1009">
            <v>1015</v>
          </cell>
          <cell r="C1009">
            <v>-27606.46</v>
          </cell>
          <cell r="D1009" t="str">
            <v>202</v>
          </cell>
          <cell r="E1009" t="str">
            <v>407</v>
          </cell>
          <cell r="F1009">
            <v>-21139.1</v>
          </cell>
          <cell r="G1009">
            <v>2</v>
          </cell>
          <cell r="H1009" t="str">
            <v>2006-02-28</v>
          </cell>
        </row>
        <row r="1010">
          <cell r="A1010">
            <v>481004</v>
          </cell>
          <cell r="B1010">
            <v>1015</v>
          </cell>
          <cell r="C1010">
            <v>-9854.7000000000007</v>
          </cell>
          <cell r="D1010" t="str">
            <v>202</v>
          </cell>
          <cell r="E1010" t="str">
            <v>407</v>
          </cell>
          <cell r="F1010">
            <v>-6193.05</v>
          </cell>
          <cell r="G1010">
            <v>2</v>
          </cell>
          <cell r="H1010" t="str">
            <v>2006-02-28</v>
          </cell>
        </row>
        <row r="1011">
          <cell r="A1011">
            <v>480000</v>
          </cell>
          <cell r="B1011">
            <v>1015</v>
          </cell>
          <cell r="C1011">
            <v>-284.58</v>
          </cell>
          <cell r="D1011" t="str">
            <v>202</v>
          </cell>
          <cell r="E1011" t="str">
            <v>408</v>
          </cell>
          <cell r="F1011">
            <v>-70</v>
          </cell>
          <cell r="G1011">
            <v>2</v>
          </cell>
          <cell r="H1011" t="str">
            <v>2006-02-28</v>
          </cell>
        </row>
        <row r="1012">
          <cell r="A1012">
            <v>480000</v>
          </cell>
          <cell r="B1012">
            <v>1015</v>
          </cell>
          <cell r="C1012">
            <v>-94.35</v>
          </cell>
          <cell r="D1012" t="str">
            <v>202</v>
          </cell>
          <cell r="E1012" t="str">
            <v>408</v>
          </cell>
          <cell r="F1012">
            <v>-23.41</v>
          </cell>
          <cell r="G1012">
            <v>2</v>
          </cell>
          <cell r="H1012" t="str">
            <v>2006-02-28</v>
          </cell>
        </row>
        <row r="1013">
          <cell r="A1013">
            <v>480000</v>
          </cell>
          <cell r="B1013">
            <v>1015</v>
          </cell>
          <cell r="C1013">
            <v>-322.14</v>
          </cell>
          <cell r="D1013" t="str">
            <v>202</v>
          </cell>
          <cell r="E1013" t="str">
            <v>408</v>
          </cell>
          <cell r="F1013">
            <v>-78.95</v>
          </cell>
          <cell r="G1013">
            <v>2</v>
          </cell>
          <cell r="H1013" t="str">
            <v>2006-02-28</v>
          </cell>
        </row>
        <row r="1014">
          <cell r="A1014">
            <v>480000</v>
          </cell>
          <cell r="B1014">
            <v>1015</v>
          </cell>
          <cell r="C1014">
            <v>-58119.89</v>
          </cell>
          <cell r="D1014" t="str">
            <v>202</v>
          </cell>
          <cell r="E1014" t="str">
            <v>408</v>
          </cell>
          <cell r="F1014">
            <v>-14351.98</v>
          </cell>
          <cell r="G1014">
            <v>2</v>
          </cell>
          <cell r="H1014" t="str">
            <v>2006-02-28</v>
          </cell>
        </row>
        <row r="1015">
          <cell r="A1015">
            <v>480000</v>
          </cell>
          <cell r="B1015">
            <v>1015</v>
          </cell>
          <cell r="C1015">
            <v>-336.96</v>
          </cell>
          <cell r="D1015" t="str">
            <v>202</v>
          </cell>
          <cell r="E1015" t="str">
            <v>408</v>
          </cell>
          <cell r="F1015">
            <v>-82.95</v>
          </cell>
          <cell r="G1015">
            <v>2</v>
          </cell>
          <cell r="H1015" t="str">
            <v>2006-02-28</v>
          </cell>
        </row>
        <row r="1016">
          <cell r="A1016">
            <v>480000</v>
          </cell>
          <cell r="B1016">
            <v>1015</v>
          </cell>
          <cell r="C1016">
            <v>-490.97</v>
          </cell>
          <cell r="D1016" t="str">
            <v>202</v>
          </cell>
          <cell r="E1016" t="str">
            <v>408</v>
          </cell>
          <cell r="F1016">
            <v>-119.36</v>
          </cell>
          <cell r="G1016">
            <v>2</v>
          </cell>
          <cell r="H1016" t="str">
            <v>2006-02-28</v>
          </cell>
        </row>
        <row r="1017">
          <cell r="A1017">
            <v>480000</v>
          </cell>
          <cell r="B1017">
            <v>1015</v>
          </cell>
          <cell r="C1017">
            <v>-47176.4</v>
          </cell>
          <cell r="D1017" t="str">
            <v>202</v>
          </cell>
          <cell r="E1017" t="str">
            <v>408</v>
          </cell>
          <cell r="F1017">
            <v>-11668.91</v>
          </cell>
          <cell r="G1017">
            <v>2</v>
          </cell>
          <cell r="H1017" t="str">
            <v>2006-02-28</v>
          </cell>
        </row>
        <row r="1018">
          <cell r="A1018">
            <v>480000</v>
          </cell>
          <cell r="B1018">
            <v>1015</v>
          </cell>
          <cell r="C1018">
            <v>-134123.35999999999</v>
          </cell>
          <cell r="D1018" t="str">
            <v>202</v>
          </cell>
          <cell r="E1018" t="str">
            <v>408</v>
          </cell>
          <cell r="F1018">
            <v>-33122.800000000003</v>
          </cell>
          <cell r="G1018">
            <v>2</v>
          </cell>
          <cell r="H1018" t="str">
            <v>2006-02-28</v>
          </cell>
        </row>
        <row r="1019">
          <cell r="A1019">
            <v>480000</v>
          </cell>
          <cell r="B1019">
            <v>1015</v>
          </cell>
          <cell r="C1019">
            <v>-746.35</v>
          </cell>
          <cell r="D1019" t="str">
            <v>202</v>
          </cell>
          <cell r="E1019" t="str">
            <v>408</v>
          </cell>
          <cell r="F1019">
            <v>-181.47</v>
          </cell>
          <cell r="G1019">
            <v>2</v>
          </cell>
          <cell r="H1019" t="str">
            <v>2006-02-28</v>
          </cell>
        </row>
        <row r="1020">
          <cell r="A1020">
            <v>480000</v>
          </cell>
          <cell r="B1020">
            <v>1015</v>
          </cell>
          <cell r="C1020">
            <v>-253.16</v>
          </cell>
          <cell r="D1020" t="str">
            <v>202</v>
          </cell>
          <cell r="E1020" t="str">
            <v>408</v>
          </cell>
          <cell r="F1020">
            <v>-60.5</v>
          </cell>
          <cell r="G1020">
            <v>2</v>
          </cell>
          <cell r="H1020" t="str">
            <v>2006-02-28</v>
          </cell>
        </row>
        <row r="1021">
          <cell r="A1021">
            <v>480000</v>
          </cell>
          <cell r="B1021">
            <v>1015</v>
          </cell>
          <cell r="C1021">
            <v>-256.74</v>
          </cell>
          <cell r="D1021" t="str">
            <v>202</v>
          </cell>
          <cell r="E1021" t="str">
            <v>408</v>
          </cell>
          <cell r="F1021">
            <v>-63.14</v>
          </cell>
          <cell r="G1021">
            <v>2</v>
          </cell>
          <cell r="H1021" t="str">
            <v>2006-02-28</v>
          </cell>
        </row>
        <row r="1022">
          <cell r="A1022">
            <v>480000</v>
          </cell>
          <cell r="B1022">
            <v>1015</v>
          </cell>
          <cell r="C1022">
            <v>-14925.23</v>
          </cell>
          <cell r="D1022" t="str">
            <v>202</v>
          </cell>
          <cell r="E1022" t="str">
            <v>408</v>
          </cell>
          <cell r="F1022">
            <v>-3704.28</v>
          </cell>
          <cell r="G1022">
            <v>2</v>
          </cell>
          <cell r="H1022" t="str">
            <v>2006-02-28</v>
          </cell>
        </row>
        <row r="1023">
          <cell r="A1023">
            <v>480000</v>
          </cell>
          <cell r="B1023">
            <v>1015</v>
          </cell>
          <cell r="C1023">
            <v>-69.62</v>
          </cell>
          <cell r="D1023" t="str">
            <v>202</v>
          </cell>
          <cell r="E1023" t="str">
            <v>408</v>
          </cell>
          <cell r="F1023">
            <v>-17.28</v>
          </cell>
          <cell r="G1023">
            <v>2</v>
          </cell>
          <cell r="H1023" t="str">
            <v>2006-02-28</v>
          </cell>
        </row>
        <row r="1024">
          <cell r="A1024">
            <v>480000</v>
          </cell>
          <cell r="B1024">
            <v>1015</v>
          </cell>
          <cell r="C1024">
            <v>-144.1</v>
          </cell>
          <cell r="D1024" t="str">
            <v>202</v>
          </cell>
          <cell r="E1024" t="str">
            <v>408</v>
          </cell>
          <cell r="F1024">
            <v>-35.75</v>
          </cell>
          <cell r="G1024">
            <v>2</v>
          </cell>
          <cell r="H1024" t="str">
            <v>2006-02-28</v>
          </cell>
        </row>
        <row r="1025">
          <cell r="A1025">
            <v>480001</v>
          </cell>
          <cell r="B1025">
            <v>1015</v>
          </cell>
          <cell r="C1025">
            <v>49891.41</v>
          </cell>
          <cell r="D1025" t="str">
            <v>202</v>
          </cell>
          <cell r="E1025" t="str">
            <v>408</v>
          </cell>
          <cell r="F1025">
            <v>12559</v>
          </cell>
          <cell r="G1025">
            <v>2</v>
          </cell>
          <cell r="H1025" t="str">
            <v>2006-02-28</v>
          </cell>
        </row>
        <row r="1026">
          <cell r="A1026">
            <v>481004</v>
          </cell>
          <cell r="B1026">
            <v>1015</v>
          </cell>
          <cell r="C1026">
            <v>0</v>
          </cell>
          <cell r="D1026" t="str">
            <v>202</v>
          </cell>
          <cell r="E1026" t="str">
            <v>408</v>
          </cell>
          <cell r="F1026">
            <v>0</v>
          </cell>
          <cell r="G1026">
            <v>2</v>
          </cell>
          <cell r="H1026" t="str">
            <v>2006-02-28</v>
          </cell>
        </row>
        <row r="1027">
          <cell r="A1027">
            <v>481004</v>
          </cell>
          <cell r="B1027">
            <v>1015</v>
          </cell>
          <cell r="C1027">
            <v>-7495.93</v>
          </cell>
          <cell r="D1027" t="str">
            <v>202</v>
          </cell>
          <cell r="E1027" t="str">
            <v>408</v>
          </cell>
          <cell r="F1027">
            <v>-1858.45</v>
          </cell>
          <cell r="G1027">
            <v>2</v>
          </cell>
          <cell r="H1027" t="str">
            <v>2006-02-28</v>
          </cell>
        </row>
        <row r="1028">
          <cell r="A1028">
            <v>481004</v>
          </cell>
          <cell r="B1028">
            <v>1015</v>
          </cell>
          <cell r="C1028">
            <v>-154.69999999999999</v>
          </cell>
          <cell r="D1028" t="str">
            <v>202</v>
          </cell>
          <cell r="E1028" t="str">
            <v>408</v>
          </cell>
          <cell r="F1028">
            <v>-38.39</v>
          </cell>
          <cell r="G1028">
            <v>2</v>
          </cell>
          <cell r="H1028" t="str">
            <v>2006-02-28</v>
          </cell>
        </row>
        <row r="1029">
          <cell r="A1029">
            <v>481004</v>
          </cell>
          <cell r="B1029">
            <v>1015</v>
          </cell>
          <cell r="C1029">
            <v>-31048.6</v>
          </cell>
          <cell r="D1029" t="str">
            <v>202</v>
          </cell>
          <cell r="E1029" t="str">
            <v>408</v>
          </cell>
          <cell r="F1029">
            <v>-7701.32</v>
          </cell>
          <cell r="G1029">
            <v>2</v>
          </cell>
          <cell r="H1029" t="str">
            <v>2006-02-28</v>
          </cell>
        </row>
        <row r="1030">
          <cell r="A1030">
            <v>481004</v>
          </cell>
          <cell r="B1030">
            <v>1015</v>
          </cell>
          <cell r="C1030">
            <v>-83732.81</v>
          </cell>
          <cell r="D1030" t="str">
            <v>202</v>
          </cell>
          <cell r="E1030" t="str">
            <v>408</v>
          </cell>
          <cell r="F1030">
            <v>-20760.22</v>
          </cell>
          <cell r="G1030">
            <v>2</v>
          </cell>
          <cell r="H1030" t="str">
            <v>2006-02-28</v>
          </cell>
        </row>
        <row r="1031">
          <cell r="A1031">
            <v>481004</v>
          </cell>
          <cell r="B1031">
            <v>1015</v>
          </cell>
          <cell r="C1031">
            <v>-456.89</v>
          </cell>
          <cell r="D1031" t="str">
            <v>202</v>
          </cell>
          <cell r="E1031" t="str">
            <v>408</v>
          </cell>
          <cell r="F1031">
            <v>-112.18</v>
          </cell>
          <cell r="G1031">
            <v>2</v>
          </cell>
          <cell r="H1031" t="str">
            <v>2006-02-28</v>
          </cell>
        </row>
        <row r="1032">
          <cell r="A1032">
            <v>481004</v>
          </cell>
          <cell r="B1032">
            <v>1015</v>
          </cell>
          <cell r="C1032">
            <v>-632.04</v>
          </cell>
          <cell r="D1032" t="str">
            <v>202</v>
          </cell>
          <cell r="E1032" t="str">
            <v>408</v>
          </cell>
          <cell r="F1032">
            <v>-156.91999999999999</v>
          </cell>
          <cell r="G1032">
            <v>2</v>
          </cell>
          <cell r="H1032" t="str">
            <v>2006-02-28</v>
          </cell>
        </row>
        <row r="1033">
          <cell r="A1033">
            <v>481004</v>
          </cell>
          <cell r="B1033">
            <v>1015</v>
          </cell>
          <cell r="C1033">
            <v>-33.99</v>
          </cell>
          <cell r="D1033" t="str">
            <v>202</v>
          </cell>
          <cell r="E1033" t="str">
            <v>408</v>
          </cell>
          <cell r="F1033">
            <v>-8.44</v>
          </cell>
          <cell r="G1033">
            <v>2</v>
          </cell>
          <cell r="H1033" t="str">
            <v>2006-02-28</v>
          </cell>
        </row>
        <row r="1034">
          <cell r="A1034">
            <v>481004</v>
          </cell>
          <cell r="B1034">
            <v>1015</v>
          </cell>
          <cell r="C1034">
            <v>-3293.46</v>
          </cell>
          <cell r="D1034" t="str">
            <v>202</v>
          </cell>
          <cell r="E1034" t="str">
            <v>408</v>
          </cell>
          <cell r="F1034">
            <v>-814.66</v>
          </cell>
          <cell r="G1034">
            <v>2</v>
          </cell>
          <cell r="H1034" t="str">
            <v>2006-02-28</v>
          </cell>
        </row>
        <row r="1035">
          <cell r="A1035">
            <v>481004</v>
          </cell>
          <cell r="B1035">
            <v>1015</v>
          </cell>
          <cell r="C1035">
            <v>-399.14</v>
          </cell>
          <cell r="D1035" t="str">
            <v>202</v>
          </cell>
          <cell r="E1035" t="str">
            <v>408</v>
          </cell>
          <cell r="F1035">
            <v>-102.81</v>
          </cell>
          <cell r="G1035">
            <v>2</v>
          </cell>
          <cell r="H1035" t="str">
            <v>2006-02-28</v>
          </cell>
        </row>
        <row r="1036">
          <cell r="A1036">
            <v>481002</v>
          </cell>
          <cell r="B1036">
            <v>1015</v>
          </cell>
          <cell r="C1036">
            <v>0</v>
          </cell>
          <cell r="D1036" t="str">
            <v>202</v>
          </cell>
          <cell r="E1036" t="str">
            <v>409</v>
          </cell>
          <cell r="F1036">
            <v>0</v>
          </cell>
          <cell r="G1036">
            <v>2</v>
          </cell>
          <cell r="H1036" t="str">
            <v>2006-02-28</v>
          </cell>
        </row>
        <row r="1037">
          <cell r="A1037">
            <v>481002</v>
          </cell>
          <cell r="B1037">
            <v>1015</v>
          </cell>
          <cell r="C1037">
            <v>0</v>
          </cell>
          <cell r="D1037" t="str">
            <v>202</v>
          </cell>
          <cell r="E1037" t="str">
            <v>409</v>
          </cell>
          <cell r="F1037">
            <v>0</v>
          </cell>
          <cell r="G1037">
            <v>2</v>
          </cell>
          <cell r="H1037" t="str">
            <v>2006-02-28</v>
          </cell>
        </row>
        <row r="1038">
          <cell r="A1038">
            <v>481002</v>
          </cell>
          <cell r="B1038">
            <v>1015</v>
          </cell>
          <cell r="C1038">
            <v>0</v>
          </cell>
          <cell r="D1038" t="str">
            <v>202</v>
          </cell>
          <cell r="E1038" t="str">
            <v>409</v>
          </cell>
          <cell r="F1038">
            <v>0</v>
          </cell>
          <cell r="G1038">
            <v>2</v>
          </cell>
          <cell r="H1038" t="str">
            <v>2006-02-28</v>
          </cell>
        </row>
        <row r="1039">
          <cell r="A1039">
            <v>481002</v>
          </cell>
          <cell r="B1039">
            <v>1015</v>
          </cell>
          <cell r="C1039">
            <v>0</v>
          </cell>
          <cell r="D1039" t="str">
            <v>202</v>
          </cell>
          <cell r="E1039" t="str">
            <v>411</v>
          </cell>
          <cell r="F1039">
            <v>0</v>
          </cell>
          <cell r="G1039">
            <v>2</v>
          </cell>
          <cell r="H1039" t="str">
            <v>2006-02-28</v>
          </cell>
        </row>
        <row r="1040">
          <cell r="A1040">
            <v>481002</v>
          </cell>
          <cell r="B1040">
            <v>1015</v>
          </cell>
          <cell r="C1040">
            <v>-41500.22</v>
          </cell>
          <cell r="D1040" t="str">
            <v>202</v>
          </cell>
          <cell r="E1040" t="str">
            <v>411</v>
          </cell>
          <cell r="F1040">
            <v>-180372</v>
          </cell>
          <cell r="G1040">
            <v>2</v>
          </cell>
          <cell r="H1040" t="str">
            <v>2006-02-28</v>
          </cell>
        </row>
        <row r="1041">
          <cell r="A1041">
            <v>481002</v>
          </cell>
          <cell r="B1041">
            <v>1015</v>
          </cell>
          <cell r="C1041">
            <v>60130.64</v>
          </cell>
          <cell r="D1041" t="str">
            <v>202</v>
          </cell>
          <cell r="E1041" t="str">
            <v>411</v>
          </cell>
          <cell r="F1041">
            <v>265647</v>
          </cell>
          <cell r="G1041">
            <v>2</v>
          </cell>
          <cell r="H1041" t="str">
            <v>2006-02-28</v>
          </cell>
        </row>
        <row r="1042">
          <cell r="A1042">
            <v>481002</v>
          </cell>
          <cell r="B1042">
            <v>1015</v>
          </cell>
          <cell r="C1042">
            <v>-7299.43</v>
          </cell>
          <cell r="D1042" t="str">
            <v>202</v>
          </cell>
          <cell r="E1042" t="str">
            <v>411</v>
          </cell>
          <cell r="F1042">
            <v>-36433.800000000003</v>
          </cell>
          <cell r="G1042">
            <v>2</v>
          </cell>
          <cell r="H1042" t="str">
            <v>2006-02-28</v>
          </cell>
        </row>
        <row r="1043">
          <cell r="A1043">
            <v>481002</v>
          </cell>
          <cell r="B1043">
            <v>1015</v>
          </cell>
          <cell r="C1043">
            <v>-9139.68</v>
          </cell>
          <cell r="D1043" t="str">
            <v>202</v>
          </cell>
          <cell r="E1043" t="str">
            <v>411</v>
          </cell>
          <cell r="F1043">
            <v>-52420.97</v>
          </cell>
          <cell r="G1043">
            <v>2</v>
          </cell>
          <cell r="H1043" t="str">
            <v>2006-02-28</v>
          </cell>
        </row>
        <row r="1044">
          <cell r="A1044">
            <v>481002</v>
          </cell>
          <cell r="B1044">
            <v>1015</v>
          </cell>
          <cell r="C1044">
            <v>-780.79</v>
          </cell>
          <cell r="D1044" t="str">
            <v>202</v>
          </cell>
          <cell r="E1044" t="str">
            <v>411</v>
          </cell>
          <cell r="F1044">
            <v>-1063.83</v>
          </cell>
          <cell r="G1044">
            <v>2</v>
          </cell>
          <cell r="H1044" t="str">
            <v>2006-02-28</v>
          </cell>
        </row>
        <row r="1045">
          <cell r="A1045">
            <v>481002</v>
          </cell>
          <cell r="B1045">
            <v>1015</v>
          </cell>
          <cell r="C1045">
            <v>-1500.1</v>
          </cell>
          <cell r="D1045" t="str">
            <v>202</v>
          </cell>
          <cell r="E1045" t="str">
            <v>411</v>
          </cell>
          <cell r="F1045">
            <v>-8056.52</v>
          </cell>
          <cell r="G1045">
            <v>2</v>
          </cell>
          <cell r="H1045" t="str">
            <v>2006-02-28</v>
          </cell>
        </row>
        <row r="1046">
          <cell r="A1046">
            <v>481002</v>
          </cell>
          <cell r="B1046">
            <v>1015</v>
          </cell>
          <cell r="C1046">
            <v>-1442.62</v>
          </cell>
          <cell r="D1046" t="str">
            <v>202</v>
          </cell>
          <cell r="E1046" t="str">
            <v>411</v>
          </cell>
          <cell r="F1046">
            <v>-3354</v>
          </cell>
          <cell r="G1046">
            <v>2</v>
          </cell>
          <cell r="H1046" t="str">
            <v>2006-02-28</v>
          </cell>
        </row>
        <row r="1047">
          <cell r="A1047">
            <v>481002</v>
          </cell>
          <cell r="B1047">
            <v>1015</v>
          </cell>
          <cell r="C1047">
            <v>-1905.6</v>
          </cell>
          <cell r="D1047" t="str">
            <v>202</v>
          </cell>
          <cell r="E1047" t="str">
            <v>411</v>
          </cell>
          <cell r="F1047">
            <v>-8309.0300000000007</v>
          </cell>
          <cell r="G1047">
            <v>2</v>
          </cell>
          <cell r="H1047" t="str">
            <v>2006-02-28</v>
          </cell>
        </row>
        <row r="1048">
          <cell r="A1048">
            <v>481002</v>
          </cell>
          <cell r="B1048">
            <v>1015</v>
          </cell>
          <cell r="C1048">
            <v>-417.13</v>
          </cell>
          <cell r="D1048" t="str">
            <v>202</v>
          </cell>
          <cell r="E1048" t="str">
            <v>411</v>
          </cell>
          <cell r="F1048">
            <v>-1880.43</v>
          </cell>
          <cell r="G1048">
            <v>2</v>
          </cell>
          <cell r="H1048" t="str">
            <v>2006-02-28</v>
          </cell>
        </row>
        <row r="1049">
          <cell r="A1049">
            <v>481002</v>
          </cell>
          <cell r="B1049">
            <v>1015</v>
          </cell>
          <cell r="C1049">
            <v>-1323.77</v>
          </cell>
          <cell r="D1049" t="str">
            <v>202</v>
          </cell>
          <cell r="E1049" t="str">
            <v>411</v>
          </cell>
          <cell r="F1049">
            <v>-5753.34</v>
          </cell>
          <cell r="G1049">
            <v>2</v>
          </cell>
          <cell r="H1049" t="str">
            <v>2006-02-28</v>
          </cell>
        </row>
        <row r="1050">
          <cell r="A1050">
            <v>481002</v>
          </cell>
          <cell r="B1050">
            <v>1015</v>
          </cell>
          <cell r="C1050">
            <v>-341</v>
          </cell>
          <cell r="D1050" t="str">
            <v>202</v>
          </cell>
          <cell r="E1050" t="str">
            <v>411</v>
          </cell>
          <cell r="F1050">
            <v>0</v>
          </cell>
          <cell r="G1050">
            <v>2</v>
          </cell>
          <cell r="H1050" t="str">
            <v>2006-02-28</v>
          </cell>
        </row>
        <row r="1051">
          <cell r="A1051">
            <v>481002</v>
          </cell>
          <cell r="B1051">
            <v>1015</v>
          </cell>
          <cell r="C1051">
            <v>-822</v>
          </cell>
          <cell r="D1051" t="str">
            <v>202</v>
          </cell>
          <cell r="E1051" t="str">
            <v>411</v>
          </cell>
          <cell r="F1051">
            <v>0</v>
          </cell>
          <cell r="G1051">
            <v>2</v>
          </cell>
          <cell r="H1051" t="str">
            <v>2006-02-28</v>
          </cell>
        </row>
        <row r="1052">
          <cell r="A1052">
            <v>481005</v>
          </cell>
          <cell r="B1052">
            <v>1015</v>
          </cell>
          <cell r="C1052">
            <v>0</v>
          </cell>
          <cell r="D1052" t="str">
            <v>202</v>
          </cell>
          <cell r="E1052" t="str">
            <v>411</v>
          </cell>
          <cell r="F1052">
            <v>0</v>
          </cell>
          <cell r="G1052">
            <v>2</v>
          </cell>
          <cell r="H1052" t="str">
            <v>2006-02-28</v>
          </cell>
        </row>
        <row r="1053">
          <cell r="A1053">
            <v>481005</v>
          </cell>
          <cell r="B1053">
            <v>1015</v>
          </cell>
          <cell r="C1053">
            <v>91220.11</v>
          </cell>
          <cell r="D1053" t="str">
            <v>202</v>
          </cell>
          <cell r="E1053" t="str">
            <v>411</v>
          </cell>
          <cell r="F1053">
            <v>334996</v>
          </cell>
          <cell r="G1053">
            <v>2</v>
          </cell>
          <cell r="H1053" t="str">
            <v>2006-02-28</v>
          </cell>
        </row>
        <row r="1054">
          <cell r="A1054">
            <v>481005</v>
          </cell>
          <cell r="B1054">
            <v>1015</v>
          </cell>
          <cell r="C1054">
            <v>-110452.92</v>
          </cell>
          <cell r="D1054" t="str">
            <v>202</v>
          </cell>
          <cell r="E1054" t="str">
            <v>411</v>
          </cell>
          <cell r="F1054">
            <v>-384608</v>
          </cell>
          <cell r="G1054">
            <v>2</v>
          </cell>
          <cell r="H1054" t="str">
            <v>2006-02-28</v>
          </cell>
        </row>
        <row r="1055">
          <cell r="A1055">
            <v>481005</v>
          </cell>
          <cell r="B1055">
            <v>1015</v>
          </cell>
          <cell r="C1055">
            <v>-83.85</v>
          </cell>
          <cell r="D1055" t="str">
            <v>202</v>
          </cell>
          <cell r="E1055" t="str">
            <v>411</v>
          </cell>
          <cell r="F1055">
            <v>-108.14</v>
          </cell>
          <cell r="G1055">
            <v>2</v>
          </cell>
          <cell r="H1055" t="str">
            <v>2006-02-28</v>
          </cell>
        </row>
        <row r="1056">
          <cell r="A1056">
            <v>481005</v>
          </cell>
          <cell r="B1056">
            <v>1015</v>
          </cell>
          <cell r="C1056">
            <v>-851.61</v>
          </cell>
          <cell r="D1056" t="str">
            <v>202</v>
          </cell>
          <cell r="E1056" t="str">
            <v>411</v>
          </cell>
          <cell r="F1056">
            <v>-1521.96</v>
          </cell>
          <cell r="G1056">
            <v>2</v>
          </cell>
          <cell r="H1056" t="str">
            <v>2006-02-28</v>
          </cell>
        </row>
        <row r="1057">
          <cell r="A1057">
            <v>481005</v>
          </cell>
          <cell r="B1057">
            <v>1015</v>
          </cell>
          <cell r="C1057">
            <v>-7185.45</v>
          </cell>
          <cell r="D1057" t="str">
            <v>202</v>
          </cell>
          <cell r="E1057" t="str">
            <v>411</v>
          </cell>
          <cell r="F1057">
            <v>-39227.360000000001</v>
          </cell>
          <cell r="G1057">
            <v>2</v>
          </cell>
          <cell r="H1057" t="str">
            <v>2006-02-28</v>
          </cell>
        </row>
        <row r="1058">
          <cell r="A1058">
            <v>481005</v>
          </cell>
          <cell r="B1058">
            <v>1015</v>
          </cell>
          <cell r="C1058">
            <v>-285.45</v>
          </cell>
          <cell r="D1058" t="str">
            <v>202</v>
          </cell>
          <cell r="E1058" t="str">
            <v>411</v>
          </cell>
          <cell r="F1058">
            <v>-1459.09</v>
          </cell>
          <cell r="G1058">
            <v>2</v>
          </cell>
          <cell r="H1058" t="str">
            <v>2006-02-28</v>
          </cell>
        </row>
        <row r="1059">
          <cell r="A1059">
            <v>481005</v>
          </cell>
          <cell r="B1059">
            <v>1015</v>
          </cell>
          <cell r="C1059">
            <v>-1219.22</v>
          </cell>
          <cell r="D1059" t="str">
            <v>202</v>
          </cell>
          <cell r="E1059" t="str">
            <v>411</v>
          </cell>
          <cell r="F1059">
            <v>-6958.99</v>
          </cell>
          <cell r="G1059">
            <v>2</v>
          </cell>
          <cell r="H1059" t="str">
            <v>2006-02-28</v>
          </cell>
        </row>
        <row r="1060">
          <cell r="A1060">
            <v>481005</v>
          </cell>
          <cell r="B1060">
            <v>1015</v>
          </cell>
          <cell r="C1060">
            <v>-455.23</v>
          </cell>
          <cell r="D1060" t="str">
            <v>202</v>
          </cell>
          <cell r="E1060" t="str">
            <v>411</v>
          </cell>
          <cell r="F1060">
            <v>-1984.01</v>
          </cell>
          <cell r="G1060">
            <v>2</v>
          </cell>
          <cell r="H1060" t="str">
            <v>2006-02-28</v>
          </cell>
        </row>
        <row r="1061">
          <cell r="A1061">
            <v>481005</v>
          </cell>
          <cell r="B1061">
            <v>1015</v>
          </cell>
          <cell r="C1061">
            <v>-279.27</v>
          </cell>
          <cell r="D1061" t="str">
            <v>202</v>
          </cell>
          <cell r="E1061" t="str">
            <v>411</v>
          </cell>
          <cell r="F1061">
            <v>-1415.11</v>
          </cell>
          <cell r="G1061">
            <v>2</v>
          </cell>
          <cell r="H1061" t="str">
            <v>2006-02-28</v>
          </cell>
        </row>
        <row r="1062">
          <cell r="A1062">
            <v>481005</v>
          </cell>
          <cell r="B1062">
            <v>1015</v>
          </cell>
          <cell r="C1062">
            <v>-703.83</v>
          </cell>
          <cell r="D1062" t="str">
            <v>202</v>
          </cell>
          <cell r="E1062" t="str">
            <v>411</v>
          </cell>
          <cell r="F1062">
            <v>-2962.99</v>
          </cell>
          <cell r="G1062">
            <v>2</v>
          </cell>
          <cell r="H1062" t="str">
            <v>2006-02-28</v>
          </cell>
        </row>
        <row r="1063">
          <cell r="A1063">
            <v>481005</v>
          </cell>
          <cell r="B1063">
            <v>1015</v>
          </cell>
          <cell r="C1063">
            <v>-1115.43</v>
          </cell>
          <cell r="D1063" t="str">
            <v>202</v>
          </cell>
          <cell r="E1063" t="str">
            <v>411</v>
          </cell>
          <cell r="F1063">
            <v>-3802.58</v>
          </cell>
          <cell r="G1063">
            <v>2</v>
          </cell>
          <cell r="H1063" t="str">
            <v>2006-02-28</v>
          </cell>
        </row>
        <row r="1064">
          <cell r="A1064">
            <v>481005</v>
          </cell>
          <cell r="B1064">
            <v>1015</v>
          </cell>
          <cell r="C1064">
            <v>-1413.75</v>
          </cell>
          <cell r="D1064" t="str">
            <v>202</v>
          </cell>
          <cell r="E1064" t="str">
            <v>411</v>
          </cell>
          <cell r="F1064">
            <v>-7810.79</v>
          </cell>
          <cell r="G1064">
            <v>2</v>
          </cell>
          <cell r="H1064" t="str">
            <v>2006-02-28</v>
          </cell>
        </row>
        <row r="1065">
          <cell r="A1065">
            <v>481005</v>
          </cell>
          <cell r="B1065">
            <v>1015</v>
          </cell>
          <cell r="C1065">
            <v>-483.83</v>
          </cell>
          <cell r="D1065" t="str">
            <v>202</v>
          </cell>
          <cell r="E1065" t="str">
            <v>411</v>
          </cell>
          <cell r="F1065">
            <v>-2298.63</v>
          </cell>
          <cell r="G1065">
            <v>2</v>
          </cell>
          <cell r="H1065" t="str">
            <v>2006-02-28</v>
          </cell>
        </row>
        <row r="1066">
          <cell r="A1066">
            <v>481002</v>
          </cell>
          <cell r="B1066">
            <v>1015</v>
          </cell>
          <cell r="C1066">
            <v>0</v>
          </cell>
          <cell r="D1066" t="str">
            <v>202</v>
          </cell>
          <cell r="E1066" t="str">
            <v>414</v>
          </cell>
          <cell r="F1066">
            <v>0</v>
          </cell>
          <cell r="G1066">
            <v>2</v>
          </cell>
          <cell r="H1066" t="str">
            <v>2006-02-28</v>
          </cell>
        </row>
        <row r="1067">
          <cell r="A1067">
            <v>481002</v>
          </cell>
          <cell r="B1067">
            <v>1015</v>
          </cell>
          <cell r="C1067">
            <v>-18014.57</v>
          </cell>
          <cell r="D1067" t="str">
            <v>202</v>
          </cell>
          <cell r="E1067" t="str">
            <v>414</v>
          </cell>
          <cell r="F1067">
            <v>-21624</v>
          </cell>
          <cell r="G1067">
            <v>2</v>
          </cell>
          <cell r="H1067" t="str">
            <v>2006-02-28</v>
          </cell>
        </row>
        <row r="1068">
          <cell r="A1068">
            <v>481002</v>
          </cell>
          <cell r="B1068">
            <v>1015</v>
          </cell>
          <cell r="C1068">
            <v>25615.18</v>
          </cell>
          <cell r="D1068" t="str">
            <v>202</v>
          </cell>
          <cell r="E1068" t="str">
            <v>414</v>
          </cell>
          <cell r="F1068">
            <v>30431</v>
          </cell>
          <cell r="G1068">
            <v>2</v>
          </cell>
          <cell r="H1068" t="str">
            <v>2006-02-28</v>
          </cell>
        </row>
        <row r="1069">
          <cell r="A1069">
            <v>481002</v>
          </cell>
          <cell r="B1069">
            <v>1015</v>
          </cell>
          <cell r="C1069">
            <v>-3408.55</v>
          </cell>
          <cell r="D1069" t="str">
            <v>202</v>
          </cell>
          <cell r="E1069" t="str">
            <v>414</v>
          </cell>
          <cell r="F1069">
            <v>-6493</v>
          </cell>
          <cell r="G1069">
            <v>2</v>
          </cell>
          <cell r="H1069" t="str">
            <v>2006-02-28</v>
          </cell>
        </row>
        <row r="1070">
          <cell r="A1070">
            <v>481002</v>
          </cell>
          <cell r="B1070">
            <v>1015</v>
          </cell>
          <cell r="C1070">
            <v>-7490.68</v>
          </cell>
          <cell r="D1070" t="str">
            <v>202</v>
          </cell>
          <cell r="E1070" t="str">
            <v>414</v>
          </cell>
          <cell r="F1070">
            <v>-8046.9</v>
          </cell>
          <cell r="G1070">
            <v>2</v>
          </cell>
          <cell r="H1070" t="str">
            <v>2006-02-28</v>
          </cell>
        </row>
        <row r="1071">
          <cell r="A1071">
            <v>481005</v>
          </cell>
          <cell r="B1071">
            <v>1015</v>
          </cell>
          <cell r="C1071">
            <v>0</v>
          </cell>
          <cell r="D1071" t="str">
            <v>202</v>
          </cell>
          <cell r="E1071" t="str">
            <v>414</v>
          </cell>
          <cell r="F1071">
            <v>0</v>
          </cell>
          <cell r="G1071">
            <v>2</v>
          </cell>
          <cell r="H1071" t="str">
            <v>2006-02-28</v>
          </cell>
        </row>
        <row r="1072">
          <cell r="A1072">
            <v>481005</v>
          </cell>
          <cell r="B1072">
            <v>1015</v>
          </cell>
          <cell r="C1072">
            <v>29817.97</v>
          </cell>
          <cell r="D1072" t="str">
            <v>202</v>
          </cell>
          <cell r="E1072" t="str">
            <v>414</v>
          </cell>
          <cell r="F1072">
            <v>35856</v>
          </cell>
          <cell r="G1072">
            <v>2</v>
          </cell>
          <cell r="H1072" t="str">
            <v>2006-02-28</v>
          </cell>
        </row>
        <row r="1073">
          <cell r="A1073">
            <v>481005</v>
          </cell>
          <cell r="B1073">
            <v>1015</v>
          </cell>
          <cell r="C1073">
            <v>-36624.449999999997</v>
          </cell>
          <cell r="D1073" t="str">
            <v>202</v>
          </cell>
          <cell r="E1073" t="str">
            <v>414</v>
          </cell>
          <cell r="F1073">
            <v>-40335</v>
          </cell>
          <cell r="G1073">
            <v>2</v>
          </cell>
          <cell r="H1073" t="str">
            <v>2006-02-28</v>
          </cell>
        </row>
        <row r="1074">
          <cell r="A1074">
            <v>481005</v>
          </cell>
          <cell r="B1074">
            <v>1015</v>
          </cell>
          <cell r="C1074">
            <v>-3162.51</v>
          </cell>
          <cell r="D1074" t="str">
            <v>202</v>
          </cell>
          <cell r="E1074" t="str">
            <v>414</v>
          </cell>
          <cell r="F1074">
            <v>-4792</v>
          </cell>
          <cell r="G1074">
            <v>2</v>
          </cell>
          <cell r="H1074" t="str">
            <v>2006-02-28</v>
          </cell>
        </row>
        <row r="1075">
          <cell r="A1075">
            <v>481005</v>
          </cell>
          <cell r="B1075">
            <v>1015</v>
          </cell>
          <cell r="C1075">
            <v>-2598.6999999999998</v>
          </cell>
          <cell r="D1075" t="str">
            <v>202</v>
          </cell>
          <cell r="E1075" t="str">
            <v>414</v>
          </cell>
          <cell r="F1075">
            <v>-893.91</v>
          </cell>
          <cell r="G1075">
            <v>2</v>
          </cell>
          <cell r="H1075" t="str">
            <v>2006-02-28</v>
          </cell>
        </row>
        <row r="1076">
          <cell r="A1076">
            <v>481000</v>
          </cell>
          <cell r="B1076">
            <v>1015</v>
          </cell>
          <cell r="C1076">
            <v>0</v>
          </cell>
          <cell r="D1076" t="str">
            <v>202</v>
          </cell>
          <cell r="E1076" t="str">
            <v>451</v>
          </cell>
          <cell r="F1076">
            <v>0</v>
          </cell>
          <cell r="G1076">
            <v>2</v>
          </cell>
          <cell r="H1076" t="str">
            <v>2006-02-28</v>
          </cell>
        </row>
        <row r="1077">
          <cell r="A1077">
            <v>481000</v>
          </cell>
          <cell r="B1077">
            <v>1015</v>
          </cell>
          <cell r="C1077">
            <v>355.67</v>
          </cell>
          <cell r="D1077" t="str">
            <v>202</v>
          </cell>
          <cell r="E1077" t="str">
            <v>451</v>
          </cell>
          <cell r="F1077">
            <v>726</v>
          </cell>
          <cell r="G1077">
            <v>2</v>
          </cell>
          <cell r="H1077" t="str">
            <v>2006-02-28</v>
          </cell>
        </row>
        <row r="1078">
          <cell r="A1078">
            <v>481000</v>
          </cell>
          <cell r="B1078">
            <v>1015</v>
          </cell>
          <cell r="C1078">
            <v>135.54</v>
          </cell>
          <cell r="D1078" t="str">
            <v>202</v>
          </cell>
          <cell r="E1078" t="str">
            <v>451</v>
          </cell>
          <cell r="F1078">
            <v>-486</v>
          </cell>
          <cell r="G1078">
            <v>2</v>
          </cell>
          <cell r="H1078" t="str">
            <v>2006-02-28</v>
          </cell>
        </row>
        <row r="1079">
          <cell r="A1079">
            <v>481000</v>
          </cell>
          <cell r="B1079">
            <v>1015</v>
          </cell>
          <cell r="C1079">
            <v>-266.20999999999998</v>
          </cell>
          <cell r="D1079" t="str">
            <v>202</v>
          </cell>
          <cell r="E1079" t="str">
            <v>451</v>
          </cell>
          <cell r="F1079">
            <v>-223.16</v>
          </cell>
          <cell r="G1079">
            <v>2</v>
          </cell>
          <cell r="H1079" t="str">
            <v>2006-02-28</v>
          </cell>
        </row>
        <row r="1080">
          <cell r="A1080">
            <v>481000</v>
          </cell>
          <cell r="B1080">
            <v>1015</v>
          </cell>
          <cell r="C1080">
            <v>-225</v>
          </cell>
          <cell r="D1080" t="str">
            <v>202</v>
          </cell>
          <cell r="E1080" t="str">
            <v>451</v>
          </cell>
          <cell r="F1080">
            <v>-16.600000000000001</v>
          </cell>
          <cell r="G1080">
            <v>2</v>
          </cell>
          <cell r="H1080" t="str">
            <v>2006-02-28</v>
          </cell>
        </row>
        <row r="1081">
          <cell r="A1081">
            <v>481004</v>
          </cell>
          <cell r="B1081">
            <v>1015</v>
          </cell>
          <cell r="C1081">
            <v>0</v>
          </cell>
          <cell r="D1081" t="str">
            <v>202</v>
          </cell>
          <cell r="E1081" t="str">
            <v>451</v>
          </cell>
          <cell r="F1081">
            <v>0</v>
          </cell>
          <cell r="G1081">
            <v>2</v>
          </cell>
          <cell r="H1081" t="str">
            <v>2006-02-28</v>
          </cell>
        </row>
        <row r="1082">
          <cell r="A1082">
            <v>481004</v>
          </cell>
          <cell r="B1082">
            <v>1015</v>
          </cell>
          <cell r="C1082">
            <v>-20280.46</v>
          </cell>
          <cell r="D1082" t="str">
            <v>202</v>
          </cell>
          <cell r="E1082" t="str">
            <v>451</v>
          </cell>
          <cell r="F1082">
            <v>1387.34</v>
          </cell>
          <cell r="G1082">
            <v>2</v>
          </cell>
          <cell r="H1082" t="str">
            <v>2006-02-28</v>
          </cell>
        </row>
        <row r="1083">
          <cell r="A1083">
            <v>481004</v>
          </cell>
          <cell r="B1083">
            <v>1015</v>
          </cell>
          <cell r="C1083">
            <v>20644.38</v>
          </cell>
          <cell r="D1083" t="str">
            <v>202</v>
          </cell>
          <cell r="E1083" t="str">
            <v>451</v>
          </cell>
          <cell r="F1083">
            <v>-2214.34</v>
          </cell>
          <cell r="G1083">
            <v>2</v>
          </cell>
          <cell r="H1083" t="str">
            <v>2006-02-28</v>
          </cell>
        </row>
        <row r="1084">
          <cell r="A1084">
            <v>481004</v>
          </cell>
          <cell r="B1084">
            <v>1015</v>
          </cell>
          <cell r="C1084">
            <v>-4441.4799999999996</v>
          </cell>
          <cell r="D1084" t="str">
            <v>202</v>
          </cell>
          <cell r="E1084" t="str">
            <v>451</v>
          </cell>
          <cell r="F1084">
            <v>-5240.3900000000003</v>
          </cell>
          <cell r="G1084">
            <v>2</v>
          </cell>
          <cell r="H1084" t="str">
            <v>2006-02-28</v>
          </cell>
        </row>
        <row r="1085">
          <cell r="A1085">
            <v>481004</v>
          </cell>
          <cell r="B1085">
            <v>1015</v>
          </cell>
          <cell r="C1085">
            <v>-907.9</v>
          </cell>
          <cell r="D1085" t="str">
            <v>202</v>
          </cell>
          <cell r="E1085" t="str">
            <v>451</v>
          </cell>
          <cell r="F1085">
            <v>-1109.49</v>
          </cell>
          <cell r="G1085">
            <v>2</v>
          </cell>
          <cell r="H1085" t="str">
            <v>2006-02-28</v>
          </cell>
        </row>
        <row r="1086">
          <cell r="A1086">
            <v>481004</v>
          </cell>
          <cell r="B1086">
            <v>1015</v>
          </cell>
          <cell r="C1086">
            <v>-7939.17</v>
          </cell>
          <cell r="D1086" t="str">
            <v>202</v>
          </cell>
          <cell r="E1086" t="str">
            <v>451</v>
          </cell>
          <cell r="F1086">
            <v>-7840.74</v>
          </cell>
          <cell r="G1086">
            <v>2</v>
          </cell>
          <cell r="H1086" t="str">
            <v>2006-02-28</v>
          </cell>
        </row>
        <row r="1087">
          <cell r="A1087">
            <v>481004</v>
          </cell>
          <cell r="B1087">
            <v>1015</v>
          </cell>
          <cell r="C1087">
            <v>-1189.6400000000001</v>
          </cell>
          <cell r="D1087" t="str">
            <v>202</v>
          </cell>
          <cell r="E1087" t="str">
            <v>451</v>
          </cell>
          <cell r="F1087">
            <v>-1204.8399999999999</v>
          </cell>
          <cell r="G1087">
            <v>2</v>
          </cell>
          <cell r="H1087" t="str">
            <v>2006-02-28</v>
          </cell>
        </row>
        <row r="1088">
          <cell r="A1088">
            <v>481004</v>
          </cell>
          <cell r="B1088">
            <v>1015</v>
          </cell>
          <cell r="C1088">
            <v>-742.88</v>
          </cell>
          <cell r="D1088" t="str">
            <v>202</v>
          </cell>
          <cell r="E1088" t="str">
            <v>451</v>
          </cell>
          <cell r="F1088">
            <v>-887.76</v>
          </cell>
          <cell r="G1088">
            <v>2</v>
          </cell>
          <cell r="H1088" t="str">
            <v>2006-02-28</v>
          </cell>
        </row>
        <row r="1089">
          <cell r="A1089">
            <v>481004</v>
          </cell>
          <cell r="B1089">
            <v>1015</v>
          </cell>
          <cell r="C1089">
            <v>-7883.55</v>
          </cell>
          <cell r="D1089" t="str">
            <v>202</v>
          </cell>
          <cell r="E1089" t="str">
            <v>451</v>
          </cell>
          <cell r="F1089">
            <v>-8690.02</v>
          </cell>
          <cell r="G1089">
            <v>2</v>
          </cell>
          <cell r="H1089" t="str">
            <v>2006-02-28</v>
          </cell>
        </row>
        <row r="1090">
          <cell r="A1090">
            <v>481004</v>
          </cell>
          <cell r="B1090">
            <v>1015</v>
          </cell>
          <cell r="C1090">
            <v>-282.92</v>
          </cell>
          <cell r="D1090" t="str">
            <v>202</v>
          </cell>
          <cell r="E1090" t="str">
            <v>451</v>
          </cell>
          <cell r="F1090">
            <v>-281.38</v>
          </cell>
          <cell r="G1090">
            <v>2</v>
          </cell>
          <cell r="H1090" t="str">
            <v>2006-02-28</v>
          </cell>
        </row>
        <row r="1091">
          <cell r="A1091">
            <v>481004</v>
          </cell>
          <cell r="B1091">
            <v>1015</v>
          </cell>
          <cell r="C1091">
            <v>-2344.0700000000002</v>
          </cell>
          <cell r="D1091" t="str">
            <v>202</v>
          </cell>
          <cell r="E1091" t="str">
            <v>451</v>
          </cell>
          <cell r="F1091">
            <v>-2373.5</v>
          </cell>
          <cell r="G1091">
            <v>2</v>
          </cell>
          <cell r="H1091" t="str">
            <v>2006-02-28</v>
          </cell>
        </row>
        <row r="1092">
          <cell r="A1092">
            <v>481004</v>
          </cell>
          <cell r="B1092">
            <v>1015</v>
          </cell>
          <cell r="C1092">
            <v>-4830.74</v>
          </cell>
          <cell r="D1092" t="str">
            <v>202</v>
          </cell>
          <cell r="E1092" t="str">
            <v>451</v>
          </cell>
          <cell r="F1092">
            <v>-5567.91</v>
          </cell>
          <cell r="G1092">
            <v>2</v>
          </cell>
          <cell r="H1092" t="str">
            <v>2006-02-28</v>
          </cell>
        </row>
        <row r="1093">
          <cell r="A1093">
            <v>481004</v>
          </cell>
          <cell r="B1093">
            <v>1015</v>
          </cell>
          <cell r="C1093">
            <v>-99.57</v>
          </cell>
          <cell r="D1093" t="str">
            <v>202</v>
          </cell>
          <cell r="E1093" t="str">
            <v>451</v>
          </cell>
          <cell r="F1093">
            <v>-133.78</v>
          </cell>
          <cell r="G1093">
            <v>2</v>
          </cell>
          <cell r="H1093" t="str">
            <v>2006-02-28</v>
          </cell>
        </row>
        <row r="1094">
          <cell r="A1094">
            <v>480000</v>
          </cell>
          <cell r="B1094">
            <v>1015</v>
          </cell>
          <cell r="C1094">
            <v>0.28999999999999998</v>
          </cell>
          <cell r="D1094" t="str">
            <v>202</v>
          </cell>
          <cell r="E1094" t="str">
            <v>453</v>
          </cell>
          <cell r="F1094">
            <v>0</v>
          </cell>
          <cell r="G1094">
            <v>2</v>
          </cell>
          <cell r="H1094" t="str">
            <v>2006-02-28</v>
          </cell>
        </row>
        <row r="1095">
          <cell r="A1095">
            <v>480000</v>
          </cell>
          <cell r="B1095">
            <v>1015</v>
          </cell>
          <cell r="C1095">
            <v>-63132.94</v>
          </cell>
          <cell r="D1095" t="str">
            <v>202</v>
          </cell>
          <cell r="E1095" t="str">
            <v>453</v>
          </cell>
          <cell r="F1095">
            <v>-23134.26</v>
          </cell>
          <cell r="G1095">
            <v>2</v>
          </cell>
          <cell r="H1095" t="str">
            <v>2006-02-28</v>
          </cell>
        </row>
        <row r="1096">
          <cell r="A1096">
            <v>480000</v>
          </cell>
          <cell r="B1096">
            <v>1015</v>
          </cell>
          <cell r="C1096">
            <v>-1629.04</v>
          </cell>
          <cell r="D1096" t="str">
            <v>202</v>
          </cell>
          <cell r="E1096" t="str">
            <v>453</v>
          </cell>
          <cell r="F1096">
            <v>-600.82000000000005</v>
          </cell>
          <cell r="G1096">
            <v>2</v>
          </cell>
          <cell r="H1096" t="str">
            <v>2006-02-28</v>
          </cell>
        </row>
        <row r="1097">
          <cell r="A1097">
            <v>480000</v>
          </cell>
          <cell r="B1097">
            <v>1015</v>
          </cell>
          <cell r="C1097">
            <v>-91407.37</v>
          </cell>
          <cell r="D1097" t="str">
            <v>202</v>
          </cell>
          <cell r="E1097" t="str">
            <v>453</v>
          </cell>
          <cell r="F1097">
            <v>-34351.9</v>
          </cell>
          <cell r="G1097">
            <v>2</v>
          </cell>
          <cell r="H1097" t="str">
            <v>2006-02-28</v>
          </cell>
        </row>
        <row r="1098">
          <cell r="A1098">
            <v>480000</v>
          </cell>
          <cell r="B1098">
            <v>1015</v>
          </cell>
          <cell r="C1098">
            <v>-2046.27</v>
          </cell>
          <cell r="D1098" t="str">
            <v>202</v>
          </cell>
          <cell r="E1098" t="str">
            <v>453</v>
          </cell>
          <cell r="F1098">
            <v>-836.49</v>
          </cell>
          <cell r="G1098">
            <v>2</v>
          </cell>
          <cell r="H1098" t="str">
            <v>2006-02-28</v>
          </cell>
        </row>
        <row r="1099">
          <cell r="A1099">
            <v>480000</v>
          </cell>
          <cell r="B1099">
            <v>1015</v>
          </cell>
          <cell r="C1099">
            <v>-152377.34</v>
          </cell>
          <cell r="D1099" t="str">
            <v>202</v>
          </cell>
          <cell r="E1099" t="str">
            <v>453</v>
          </cell>
          <cell r="F1099">
            <v>-57168.13</v>
          </cell>
          <cell r="G1099">
            <v>2</v>
          </cell>
          <cell r="H1099" t="str">
            <v>2006-02-28</v>
          </cell>
        </row>
        <row r="1100">
          <cell r="A1100">
            <v>480000</v>
          </cell>
          <cell r="B1100">
            <v>1015</v>
          </cell>
          <cell r="C1100">
            <v>-57556.89</v>
          </cell>
          <cell r="D1100" t="str">
            <v>202</v>
          </cell>
          <cell r="E1100" t="str">
            <v>453</v>
          </cell>
          <cell r="F1100">
            <v>-21957.72</v>
          </cell>
          <cell r="G1100">
            <v>2</v>
          </cell>
          <cell r="H1100" t="str">
            <v>2006-02-28</v>
          </cell>
        </row>
        <row r="1101">
          <cell r="A1101">
            <v>480000</v>
          </cell>
          <cell r="B1101">
            <v>1015</v>
          </cell>
          <cell r="C1101">
            <v>-2462.7399999999998</v>
          </cell>
          <cell r="D1101" t="str">
            <v>202</v>
          </cell>
          <cell r="E1101" t="str">
            <v>453</v>
          </cell>
          <cell r="F1101">
            <v>-1110.02</v>
          </cell>
          <cell r="G1101">
            <v>2</v>
          </cell>
          <cell r="H1101" t="str">
            <v>2006-02-28</v>
          </cell>
        </row>
        <row r="1102">
          <cell r="A1102">
            <v>480000</v>
          </cell>
          <cell r="B1102">
            <v>1015</v>
          </cell>
          <cell r="C1102">
            <v>-118324.6</v>
          </cell>
          <cell r="D1102" t="str">
            <v>202</v>
          </cell>
          <cell r="E1102" t="str">
            <v>453</v>
          </cell>
          <cell r="F1102">
            <v>-46408.39</v>
          </cell>
          <cell r="G1102">
            <v>2</v>
          </cell>
          <cell r="H1102" t="str">
            <v>2006-02-28</v>
          </cell>
        </row>
        <row r="1103">
          <cell r="A1103">
            <v>480000</v>
          </cell>
          <cell r="B1103">
            <v>1015</v>
          </cell>
          <cell r="C1103">
            <v>-1093.6199999999999</v>
          </cell>
          <cell r="D1103" t="str">
            <v>202</v>
          </cell>
          <cell r="E1103" t="str">
            <v>453</v>
          </cell>
          <cell r="F1103">
            <v>-419.77</v>
          </cell>
          <cell r="G1103">
            <v>2</v>
          </cell>
          <cell r="H1103" t="str">
            <v>2006-02-28</v>
          </cell>
        </row>
        <row r="1104">
          <cell r="A1104">
            <v>480000</v>
          </cell>
          <cell r="B1104">
            <v>1015</v>
          </cell>
          <cell r="C1104">
            <v>-171662.63</v>
          </cell>
          <cell r="D1104" t="str">
            <v>202</v>
          </cell>
          <cell r="E1104" t="str">
            <v>453</v>
          </cell>
          <cell r="F1104">
            <v>-65636.52</v>
          </cell>
          <cell r="G1104">
            <v>2</v>
          </cell>
          <cell r="H1104" t="str">
            <v>2006-02-28</v>
          </cell>
        </row>
        <row r="1105">
          <cell r="A1105">
            <v>480000</v>
          </cell>
          <cell r="B1105">
            <v>1015</v>
          </cell>
          <cell r="C1105">
            <v>-2212.62</v>
          </cell>
          <cell r="D1105" t="str">
            <v>202</v>
          </cell>
          <cell r="E1105" t="str">
            <v>453</v>
          </cell>
          <cell r="F1105">
            <v>-914.53</v>
          </cell>
          <cell r="G1105">
            <v>2</v>
          </cell>
          <cell r="H1105" t="str">
            <v>2006-02-28</v>
          </cell>
        </row>
        <row r="1106">
          <cell r="A1106">
            <v>480000</v>
          </cell>
          <cell r="B1106">
            <v>1015</v>
          </cell>
          <cell r="C1106">
            <v>-95334.399999999994</v>
          </cell>
          <cell r="D1106" t="str">
            <v>202</v>
          </cell>
          <cell r="E1106" t="str">
            <v>453</v>
          </cell>
          <cell r="F1106">
            <v>-36313.03</v>
          </cell>
          <cell r="G1106">
            <v>2</v>
          </cell>
          <cell r="H1106" t="str">
            <v>2006-02-28</v>
          </cell>
        </row>
        <row r="1107">
          <cell r="A1107">
            <v>480000</v>
          </cell>
          <cell r="B1107">
            <v>1015</v>
          </cell>
          <cell r="C1107">
            <v>-496.57</v>
          </cell>
          <cell r="D1107" t="str">
            <v>202</v>
          </cell>
          <cell r="E1107" t="str">
            <v>453</v>
          </cell>
          <cell r="F1107">
            <v>-166.39</v>
          </cell>
          <cell r="G1107">
            <v>2</v>
          </cell>
          <cell r="H1107" t="str">
            <v>2006-02-28</v>
          </cell>
        </row>
        <row r="1108">
          <cell r="A1108">
            <v>480000</v>
          </cell>
          <cell r="B1108">
            <v>1015</v>
          </cell>
          <cell r="C1108">
            <v>-451.59</v>
          </cell>
          <cell r="D1108" t="str">
            <v>202</v>
          </cell>
          <cell r="E1108" t="str">
            <v>453</v>
          </cell>
          <cell r="F1108">
            <v>-150.99</v>
          </cell>
          <cell r="G1108">
            <v>2</v>
          </cell>
          <cell r="H1108" t="str">
            <v>2006-02-28</v>
          </cell>
        </row>
        <row r="1109">
          <cell r="A1109">
            <v>480001</v>
          </cell>
          <cell r="B1109">
            <v>1015</v>
          </cell>
          <cell r="C1109">
            <v>-57118.69</v>
          </cell>
          <cell r="D1109" t="str">
            <v>202</v>
          </cell>
          <cell r="E1109" t="str">
            <v>453</v>
          </cell>
          <cell r="F1109">
            <v>17814</v>
          </cell>
          <cell r="G1109">
            <v>2</v>
          </cell>
          <cell r="H1109" t="str">
            <v>2006-02-28</v>
          </cell>
        </row>
        <row r="1110">
          <cell r="A1110">
            <v>481004</v>
          </cell>
          <cell r="B1110">
            <v>1015</v>
          </cell>
          <cell r="C1110">
            <v>-10368.91</v>
          </cell>
          <cell r="D1110" t="str">
            <v>202</v>
          </cell>
          <cell r="E1110" t="str">
            <v>453</v>
          </cell>
          <cell r="F1110">
            <v>-6709.85</v>
          </cell>
          <cell r="G1110">
            <v>2</v>
          </cell>
          <cell r="H1110" t="str">
            <v>2006-02-28</v>
          </cell>
        </row>
        <row r="1111">
          <cell r="A1111">
            <v>481004</v>
          </cell>
          <cell r="B1111">
            <v>1015</v>
          </cell>
          <cell r="C1111">
            <v>-615.07000000000005</v>
          </cell>
          <cell r="D1111" t="str">
            <v>202</v>
          </cell>
          <cell r="E1111" t="str">
            <v>453</v>
          </cell>
          <cell r="F1111">
            <v>-360.22</v>
          </cell>
          <cell r="G1111">
            <v>2</v>
          </cell>
          <cell r="H1111" t="str">
            <v>2006-02-28</v>
          </cell>
        </row>
        <row r="1112">
          <cell r="A1112">
            <v>481004</v>
          </cell>
          <cell r="B1112">
            <v>1015</v>
          </cell>
          <cell r="C1112">
            <v>-33856.339999999997</v>
          </cell>
          <cell r="D1112" t="str">
            <v>202</v>
          </cell>
          <cell r="E1112" t="str">
            <v>453</v>
          </cell>
          <cell r="F1112">
            <v>-19747.87</v>
          </cell>
          <cell r="G1112">
            <v>2</v>
          </cell>
          <cell r="H1112" t="str">
            <v>2006-02-28</v>
          </cell>
        </row>
        <row r="1113">
          <cell r="A1113">
            <v>481004</v>
          </cell>
          <cell r="B1113">
            <v>1015</v>
          </cell>
          <cell r="C1113">
            <v>-11497.83</v>
          </cell>
          <cell r="D1113" t="str">
            <v>202</v>
          </cell>
          <cell r="E1113" t="str">
            <v>453</v>
          </cell>
          <cell r="F1113">
            <v>-8573.7800000000007</v>
          </cell>
          <cell r="G1113">
            <v>2</v>
          </cell>
          <cell r="H1113" t="str">
            <v>2006-02-28</v>
          </cell>
        </row>
        <row r="1114">
          <cell r="A1114">
            <v>481004</v>
          </cell>
          <cell r="B1114">
            <v>1015</v>
          </cell>
          <cell r="C1114">
            <v>-63559.199999999997</v>
          </cell>
          <cell r="D1114" t="str">
            <v>202</v>
          </cell>
          <cell r="E1114" t="str">
            <v>453</v>
          </cell>
          <cell r="F1114">
            <v>-36636.99</v>
          </cell>
          <cell r="G1114">
            <v>2</v>
          </cell>
          <cell r="H1114" t="str">
            <v>2006-02-28</v>
          </cell>
        </row>
        <row r="1115">
          <cell r="A1115">
            <v>481004</v>
          </cell>
          <cell r="B1115">
            <v>1015</v>
          </cell>
          <cell r="C1115">
            <v>-20797.43</v>
          </cell>
          <cell r="D1115" t="str">
            <v>202</v>
          </cell>
          <cell r="E1115" t="str">
            <v>453</v>
          </cell>
          <cell r="F1115">
            <v>-11116.99</v>
          </cell>
          <cell r="G1115">
            <v>2</v>
          </cell>
          <cell r="H1115" t="str">
            <v>2006-02-28</v>
          </cell>
        </row>
        <row r="1116">
          <cell r="A1116">
            <v>481004</v>
          </cell>
          <cell r="B1116">
            <v>1015</v>
          </cell>
          <cell r="C1116">
            <v>-1645.8</v>
          </cell>
          <cell r="D1116" t="str">
            <v>202</v>
          </cell>
          <cell r="E1116" t="str">
            <v>453</v>
          </cell>
          <cell r="F1116">
            <v>-818.52</v>
          </cell>
          <cell r="G1116">
            <v>2</v>
          </cell>
          <cell r="H1116" t="str">
            <v>2006-02-28</v>
          </cell>
        </row>
        <row r="1117">
          <cell r="A1117">
            <v>481004</v>
          </cell>
          <cell r="B1117">
            <v>1015</v>
          </cell>
          <cell r="C1117">
            <v>-82462.820000000007</v>
          </cell>
          <cell r="D1117" t="str">
            <v>202</v>
          </cell>
          <cell r="E1117" t="str">
            <v>453</v>
          </cell>
          <cell r="F1117">
            <v>-49975.42</v>
          </cell>
          <cell r="G1117">
            <v>2</v>
          </cell>
          <cell r="H1117" t="str">
            <v>2006-02-28</v>
          </cell>
        </row>
        <row r="1118">
          <cell r="A1118">
            <v>481004</v>
          </cell>
          <cell r="B1118">
            <v>1015</v>
          </cell>
          <cell r="C1118">
            <v>-1867.61</v>
          </cell>
          <cell r="D1118" t="str">
            <v>202</v>
          </cell>
          <cell r="E1118" t="str">
            <v>453</v>
          </cell>
          <cell r="F1118">
            <v>-1123.1300000000001</v>
          </cell>
          <cell r="G1118">
            <v>2</v>
          </cell>
          <cell r="H1118" t="str">
            <v>2006-02-28</v>
          </cell>
        </row>
        <row r="1119">
          <cell r="A1119">
            <v>481004</v>
          </cell>
          <cell r="B1119">
            <v>1015</v>
          </cell>
          <cell r="C1119">
            <v>-38937.089999999997</v>
          </cell>
          <cell r="D1119" t="str">
            <v>202</v>
          </cell>
          <cell r="E1119" t="str">
            <v>453</v>
          </cell>
          <cell r="F1119">
            <v>-23801.9</v>
          </cell>
          <cell r="G1119">
            <v>2</v>
          </cell>
          <cell r="H1119" t="str">
            <v>2006-02-28</v>
          </cell>
        </row>
        <row r="1120">
          <cell r="A1120">
            <v>481004</v>
          </cell>
          <cell r="B1120">
            <v>1015</v>
          </cell>
          <cell r="C1120">
            <v>-3863.38</v>
          </cell>
          <cell r="D1120" t="str">
            <v>202</v>
          </cell>
          <cell r="E1120" t="str">
            <v>453</v>
          </cell>
          <cell r="F1120">
            <v>-2227.9499999999998</v>
          </cell>
          <cell r="G1120">
            <v>2</v>
          </cell>
          <cell r="H1120" t="str">
            <v>2006-02-28</v>
          </cell>
        </row>
        <row r="1121">
          <cell r="A1121">
            <v>481004</v>
          </cell>
          <cell r="B1121">
            <v>1015</v>
          </cell>
          <cell r="C1121">
            <v>-46879.26</v>
          </cell>
          <cell r="D1121" t="str">
            <v>202</v>
          </cell>
          <cell r="E1121" t="str">
            <v>453</v>
          </cell>
          <cell r="F1121">
            <v>-25836.57</v>
          </cell>
          <cell r="G1121">
            <v>2</v>
          </cell>
          <cell r="H1121" t="str">
            <v>2006-02-28</v>
          </cell>
        </row>
        <row r="1122">
          <cell r="A1122">
            <v>481004</v>
          </cell>
          <cell r="B1122">
            <v>1015</v>
          </cell>
          <cell r="C1122">
            <v>-2205.83</v>
          </cell>
          <cell r="D1122" t="str">
            <v>202</v>
          </cell>
          <cell r="E1122" t="str">
            <v>453</v>
          </cell>
          <cell r="F1122">
            <v>-1243.06</v>
          </cell>
          <cell r="G1122">
            <v>2</v>
          </cell>
          <cell r="H1122" t="str">
            <v>2006-02-28</v>
          </cell>
        </row>
        <row r="1123">
          <cell r="A1123">
            <v>481004</v>
          </cell>
          <cell r="B1123">
            <v>1015</v>
          </cell>
          <cell r="C1123">
            <v>-249.41</v>
          </cell>
          <cell r="D1123" t="str">
            <v>202</v>
          </cell>
          <cell r="E1123" t="str">
            <v>453</v>
          </cell>
          <cell r="F1123">
            <v>-130.74</v>
          </cell>
          <cell r="G1123">
            <v>2</v>
          </cell>
          <cell r="H1123" t="str">
            <v>2006-02-28</v>
          </cell>
        </row>
        <row r="1124">
          <cell r="A1124">
            <v>480000</v>
          </cell>
          <cell r="B1124">
            <v>1015</v>
          </cell>
          <cell r="C1124">
            <v>-125.65</v>
          </cell>
          <cell r="D1124" t="str">
            <v>202</v>
          </cell>
          <cell r="E1124" t="str">
            <v>455</v>
          </cell>
          <cell r="F1124">
            <v>-44.47</v>
          </cell>
          <cell r="G1124">
            <v>2</v>
          </cell>
          <cell r="H1124" t="str">
            <v>2006-02-28</v>
          </cell>
        </row>
        <row r="1125">
          <cell r="A1125">
            <v>480000</v>
          </cell>
          <cell r="B1125">
            <v>1015</v>
          </cell>
          <cell r="C1125">
            <v>-8.69</v>
          </cell>
          <cell r="D1125" t="str">
            <v>202</v>
          </cell>
          <cell r="E1125" t="str">
            <v>455</v>
          </cell>
          <cell r="F1125">
            <v>-2.99</v>
          </cell>
          <cell r="G1125">
            <v>2</v>
          </cell>
          <cell r="H1125" t="str">
            <v>2006-02-28</v>
          </cell>
        </row>
        <row r="1126">
          <cell r="A1126">
            <v>480000</v>
          </cell>
          <cell r="B1126">
            <v>1015</v>
          </cell>
          <cell r="C1126">
            <v>-33528.949999999997</v>
          </cell>
          <cell r="D1126" t="str">
            <v>202</v>
          </cell>
          <cell r="E1126" t="str">
            <v>455</v>
          </cell>
          <cell r="F1126">
            <v>-11709.36</v>
          </cell>
          <cell r="G1126">
            <v>2</v>
          </cell>
          <cell r="H1126" t="str">
            <v>2006-02-28</v>
          </cell>
        </row>
        <row r="1127">
          <cell r="A1127">
            <v>480000</v>
          </cell>
          <cell r="B1127">
            <v>1015</v>
          </cell>
          <cell r="C1127">
            <v>-457.02</v>
          </cell>
          <cell r="D1127" t="str">
            <v>202</v>
          </cell>
          <cell r="E1127" t="str">
            <v>455</v>
          </cell>
          <cell r="F1127">
            <v>-172.22</v>
          </cell>
          <cell r="G1127">
            <v>2</v>
          </cell>
          <cell r="H1127" t="str">
            <v>2006-02-28</v>
          </cell>
        </row>
        <row r="1128">
          <cell r="A1128">
            <v>480000</v>
          </cell>
          <cell r="B1128">
            <v>1015</v>
          </cell>
          <cell r="C1128">
            <v>-18.739999999999998</v>
          </cell>
          <cell r="D1128" t="str">
            <v>202</v>
          </cell>
          <cell r="E1128" t="str">
            <v>455</v>
          </cell>
          <cell r="F1128">
            <v>-3.19</v>
          </cell>
          <cell r="G1128">
            <v>2</v>
          </cell>
          <cell r="H1128" t="str">
            <v>2006-02-28</v>
          </cell>
        </row>
        <row r="1129">
          <cell r="A1129">
            <v>480000</v>
          </cell>
          <cell r="B1129">
            <v>1015</v>
          </cell>
          <cell r="C1129">
            <v>-219.46</v>
          </cell>
          <cell r="D1129" t="str">
            <v>202</v>
          </cell>
          <cell r="E1129" t="str">
            <v>455</v>
          </cell>
          <cell r="F1129">
            <v>-73.53</v>
          </cell>
          <cell r="G1129">
            <v>2</v>
          </cell>
          <cell r="H1129" t="str">
            <v>2006-02-28</v>
          </cell>
        </row>
        <row r="1130">
          <cell r="A1130">
            <v>480000</v>
          </cell>
          <cell r="B1130">
            <v>1015</v>
          </cell>
          <cell r="C1130">
            <v>-51.86</v>
          </cell>
          <cell r="D1130" t="str">
            <v>202</v>
          </cell>
          <cell r="E1130" t="str">
            <v>455</v>
          </cell>
          <cell r="F1130">
            <v>-18.940000000000001</v>
          </cell>
          <cell r="G1130">
            <v>2</v>
          </cell>
          <cell r="H1130" t="str">
            <v>2006-02-28</v>
          </cell>
        </row>
        <row r="1131">
          <cell r="A1131">
            <v>480000</v>
          </cell>
          <cell r="B1131">
            <v>1015</v>
          </cell>
          <cell r="C1131">
            <v>-115.54</v>
          </cell>
          <cell r="D1131" t="str">
            <v>202</v>
          </cell>
          <cell r="E1131" t="str">
            <v>455</v>
          </cell>
          <cell r="F1131">
            <v>-34.96</v>
          </cell>
          <cell r="G1131">
            <v>2</v>
          </cell>
          <cell r="H1131" t="str">
            <v>2006-02-28</v>
          </cell>
        </row>
        <row r="1132">
          <cell r="A1132">
            <v>480000</v>
          </cell>
          <cell r="B1132">
            <v>1015</v>
          </cell>
          <cell r="C1132">
            <v>-33.520000000000003</v>
          </cell>
          <cell r="D1132" t="str">
            <v>202</v>
          </cell>
          <cell r="E1132" t="str">
            <v>455</v>
          </cell>
          <cell r="F1132">
            <v>-11.42</v>
          </cell>
          <cell r="G1132">
            <v>2</v>
          </cell>
          <cell r="H1132" t="str">
            <v>2006-02-28</v>
          </cell>
        </row>
        <row r="1133">
          <cell r="A1133">
            <v>480001</v>
          </cell>
          <cell r="B1133">
            <v>1015</v>
          </cell>
          <cell r="C1133">
            <v>1705.63</v>
          </cell>
          <cell r="D1133" t="str">
            <v>202</v>
          </cell>
          <cell r="E1133" t="str">
            <v>455</v>
          </cell>
          <cell r="F1133">
            <v>1307</v>
          </cell>
          <cell r="G1133">
            <v>2</v>
          </cell>
          <cell r="H1133" t="str">
            <v>2006-02-28</v>
          </cell>
        </row>
        <row r="1134">
          <cell r="A1134">
            <v>481004</v>
          </cell>
          <cell r="B1134">
            <v>1015</v>
          </cell>
          <cell r="C1134">
            <v>-32.1</v>
          </cell>
          <cell r="D1134" t="str">
            <v>202</v>
          </cell>
          <cell r="E1134" t="str">
            <v>455</v>
          </cell>
          <cell r="F1134">
            <v>-11.68</v>
          </cell>
          <cell r="G1134">
            <v>2</v>
          </cell>
          <cell r="H1134" t="str">
            <v>2006-02-28</v>
          </cell>
        </row>
        <row r="1135">
          <cell r="A1135">
            <v>481004</v>
          </cell>
          <cell r="B1135">
            <v>1015</v>
          </cell>
          <cell r="C1135">
            <v>-20750.189999999999</v>
          </cell>
          <cell r="D1135" t="str">
            <v>202</v>
          </cell>
          <cell r="E1135" t="str">
            <v>455</v>
          </cell>
          <cell r="F1135">
            <v>-8468.4699999999993</v>
          </cell>
          <cell r="G1135">
            <v>2</v>
          </cell>
          <cell r="H1135" t="str">
            <v>2006-02-28</v>
          </cell>
        </row>
        <row r="1136">
          <cell r="A1136">
            <v>481004</v>
          </cell>
          <cell r="B1136">
            <v>1015</v>
          </cell>
          <cell r="C1136">
            <v>-1308.57</v>
          </cell>
          <cell r="D1136" t="str">
            <v>202</v>
          </cell>
          <cell r="E1136" t="str">
            <v>455</v>
          </cell>
          <cell r="F1136">
            <v>-509.24</v>
          </cell>
          <cell r="G1136">
            <v>2</v>
          </cell>
          <cell r="H1136" t="str">
            <v>2006-02-28</v>
          </cell>
        </row>
        <row r="1137">
          <cell r="A1137">
            <v>481004</v>
          </cell>
          <cell r="B1137">
            <v>1015</v>
          </cell>
          <cell r="C1137">
            <v>-264.99</v>
          </cell>
          <cell r="D1137" t="str">
            <v>202</v>
          </cell>
          <cell r="E1137" t="str">
            <v>455</v>
          </cell>
          <cell r="F1137">
            <v>-102.24</v>
          </cell>
          <cell r="G1137">
            <v>2</v>
          </cell>
          <cell r="H1137" t="str">
            <v>2006-02-28</v>
          </cell>
        </row>
        <row r="1138">
          <cell r="A1138">
            <v>481004</v>
          </cell>
          <cell r="B1138">
            <v>1015</v>
          </cell>
          <cell r="C1138">
            <v>-1135.3499999999999</v>
          </cell>
          <cell r="D1138" t="str">
            <v>202</v>
          </cell>
          <cell r="E1138" t="str">
            <v>455</v>
          </cell>
          <cell r="F1138">
            <v>-493.18</v>
          </cell>
          <cell r="G1138">
            <v>2</v>
          </cell>
          <cell r="H1138" t="str">
            <v>2006-02-28</v>
          </cell>
        </row>
        <row r="1139">
          <cell r="A1139">
            <v>481002</v>
          </cell>
          <cell r="B1139">
            <v>1015</v>
          </cell>
          <cell r="C1139">
            <v>0</v>
          </cell>
          <cell r="D1139" t="str">
            <v>202</v>
          </cell>
          <cell r="E1139" t="str">
            <v>456</v>
          </cell>
          <cell r="F1139">
            <v>0</v>
          </cell>
          <cell r="G1139">
            <v>2</v>
          </cell>
          <cell r="H1139" t="str">
            <v>2006-02-28</v>
          </cell>
        </row>
        <row r="1140">
          <cell r="A1140">
            <v>481002</v>
          </cell>
          <cell r="B1140">
            <v>1015</v>
          </cell>
          <cell r="C1140">
            <v>0</v>
          </cell>
          <cell r="D1140" t="str">
            <v>202</v>
          </cell>
          <cell r="E1140" t="str">
            <v>456</v>
          </cell>
          <cell r="F1140">
            <v>0</v>
          </cell>
          <cell r="G1140">
            <v>2</v>
          </cell>
          <cell r="H1140" t="str">
            <v>2006-02-28</v>
          </cell>
        </row>
        <row r="1141">
          <cell r="A1141">
            <v>481002</v>
          </cell>
          <cell r="B1141">
            <v>1015</v>
          </cell>
          <cell r="C1141">
            <v>0</v>
          </cell>
          <cell r="D1141" t="str">
            <v>202</v>
          </cell>
          <cell r="E1141" t="str">
            <v>456</v>
          </cell>
          <cell r="F1141">
            <v>0</v>
          </cell>
          <cell r="G1141">
            <v>2</v>
          </cell>
          <cell r="H1141" t="str">
            <v>2006-02-28</v>
          </cell>
        </row>
        <row r="1142">
          <cell r="A1142">
            <v>481002</v>
          </cell>
          <cell r="B1142">
            <v>1015</v>
          </cell>
          <cell r="C1142">
            <v>0</v>
          </cell>
          <cell r="D1142" t="str">
            <v>202</v>
          </cell>
          <cell r="E1142" t="str">
            <v>457</v>
          </cell>
          <cell r="F1142">
            <v>0</v>
          </cell>
          <cell r="G1142">
            <v>2</v>
          </cell>
          <cell r="H1142" t="str">
            <v>2006-02-28</v>
          </cell>
        </row>
        <row r="1143">
          <cell r="A1143">
            <v>481002</v>
          </cell>
          <cell r="B1143">
            <v>1015</v>
          </cell>
          <cell r="C1143">
            <v>-2204.27</v>
          </cell>
          <cell r="D1143" t="str">
            <v>202</v>
          </cell>
          <cell r="E1143" t="str">
            <v>457</v>
          </cell>
          <cell r="F1143">
            <v>-12810</v>
          </cell>
          <cell r="G1143">
            <v>2</v>
          </cell>
          <cell r="H1143" t="str">
            <v>2006-02-28</v>
          </cell>
        </row>
        <row r="1144">
          <cell r="A1144">
            <v>481002</v>
          </cell>
          <cell r="B1144">
            <v>1015</v>
          </cell>
          <cell r="C1144">
            <v>2540.2199999999998</v>
          </cell>
          <cell r="D1144" t="str">
            <v>202</v>
          </cell>
          <cell r="E1144" t="str">
            <v>457</v>
          </cell>
          <cell r="F1144">
            <v>14775</v>
          </cell>
          <cell r="G1144">
            <v>2</v>
          </cell>
          <cell r="H1144" t="str">
            <v>2006-02-28</v>
          </cell>
        </row>
        <row r="1145">
          <cell r="A1145">
            <v>481002</v>
          </cell>
          <cell r="B1145">
            <v>1015</v>
          </cell>
          <cell r="C1145">
            <v>-447.64</v>
          </cell>
          <cell r="D1145" t="str">
            <v>202</v>
          </cell>
          <cell r="E1145" t="str">
            <v>457</v>
          </cell>
          <cell r="F1145">
            <v>-2781</v>
          </cell>
          <cell r="G1145">
            <v>2</v>
          </cell>
          <cell r="H1145" t="str">
            <v>2006-02-28</v>
          </cell>
        </row>
        <row r="1146">
          <cell r="A1146">
            <v>481002</v>
          </cell>
          <cell r="B1146">
            <v>1015</v>
          </cell>
          <cell r="C1146">
            <v>-67</v>
          </cell>
          <cell r="D1146" t="str">
            <v>202</v>
          </cell>
          <cell r="E1146" t="str">
            <v>457</v>
          </cell>
          <cell r="F1146">
            <v>0</v>
          </cell>
          <cell r="G1146">
            <v>2</v>
          </cell>
          <cell r="H1146" t="str">
            <v>2006-02-28</v>
          </cell>
        </row>
        <row r="1147">
          <cell r="A1147">
            <v>481005</v>
          </cell>
          <cell r="B1147">
            <v>1015</v>
          </cell>
          <cell r="C1147">
            <v>0</v>
          </cell>
          <cell r="D1147" t="str">
            <v>202</v>
          </cell>
          <cell r="E1147" t="str">
            <v>457</v>
          </cell>
          <cell r="F1147">
            <v>0</v>
          </cell>
          <cell r="G1147">
            <v>2</v>
          </cell>
          <cell r="H1147" t="str">
            <v>2006-02-28</v>
          </cell>
        </row>
        <row r="1148">
          <cell r="A1148">
            <v>481005</v>
          </cell>
          <cell r="B1148">
            <v>1015</v>
          </cell>
          <cell r="C1148">
            <v>3507.08</v>
          </cell>
          <cell r="D1148" t="str">
            <v>202</v>
          </cell>
          <cell r="E1148" t="str">
            <v>457</v>
          </cell>
          <cell r="F1148">
            <v>15016</v>
          </cell>
          <cell r="G1148">
            <v>2</v>
          </cell>
          <cell r="H1148" t="str">
            <v>2006-02-28</v>
          </cell>
        </row>
        <row r="1149">
          <cell r="A1149">
            <v>481005</v>
          </cell>
          <cell r="B1149">
            <v>1015</v>
          </cell>
          <cell r="C1149">
            <v>-3889.74</v>
          </cell>
          <cell r="D1149" t="str">
            <v>202</v>
          </cell>
          <cell r="E1149" t="str">
            <v>457</v>
          </cell>
          <cell r="F1149">
            <v>-15764</v>
          </cell>
          <cell r="G1149">
            <v>2</v>
          </cell>
          <cell r="H1149" t="str">
            <v>2006-02-28</v>
          </cell>
        </row>
        <row r="1150">
          <cell r="A1150">
            <v>481005</v>
          </cell>
          <cell r="B1150">
            <v>1015</v>
          </cell>
          <cell r="C1150">
            <v>-337.05</v>
          </cell>
          <cell r="D1150" t="str">
            <v>202</v>
          </cell>
          <cell r="E1150" t="str">
            <v>457</v>
          </cell>
          <cell r="F1150">
            <v>-2462.52</v>
          </cell>
          <cell r="G1150">
            <v>2</v>
          </cell>
          <cell r="H1150" t="str">
            <v>2006-02-28</v>
          </cell>
        </row>
        <row r="1151">
          <cell r="A1151">
            <v>481005</v>
          </cell>
          <cell r="B1151">
            <v>1015</v>
          </cell>
          <cell r="C1151">
            <v>-1069.3800000000001</v>
          </cell>
          <cell r="D1151" t="str">
            <v>202</v>
          </cell>
          <cell r="E1151" t="str">
            <v>457</v>
          </cell>
          <cell r="F1151">
            <v>-7323.59</v>
          </cell>
          <cell r="G1151">
            <v>2</v>
          </cell>
          <cell r="H1151" t="str">
            <v>2006-02-28</v>
          </cell>
        </row>
        <row r="1152">
          <cell r="A1152">
            <v>481005</v>
          </cell>
          <cell r="B1152">
            <v>1015</v>
          </cell>
          <cell r="C1152">
            <v>-978.91</v>
          </cell>
          <cell r="D1152" t="str">
            <v>202</v>
          </cell>
          <cell r="E1152" t="str">
            <v>457</v>
          </cell>
          <cell r="F1152">
            <v>-4836.0200000000004</v>
          </cell>
          <cell r="G1152">
            <v>2</v>
          </cell>
          <cell r="H1152" t="str">
            <v>2006-02-28</v>
          </cell>
        </row>
        <row r="1153">
          <cell r="A1153">
            <v>481003</v>
          </cell>
          <cell r="B1153">
            <v>1015</v>
          </cell>
          <cell r="C1153">
            <v>-13332.8</v>
          </cell>
          <cell r="D1153" t="str">
            <v>200</v>
          </cell>
          <cell r="F1153">
            <v>1185.78</v>
          </cell>
          <cell r="G1153">
            <v>2</v>
          </cell>
          <cell r="H1153" t="str">
            <v>2006-02-28</v>
          </cell>
        </row>
        <row r="1154">
          <cell r="A1154">
            <v>481003</v>
          </cell>
          <cell r="B1154">
            <v>1015</v>
          </cell>
          <cell r="C1154">
            <v>-7143.57</v>
          </cell>
          <cell r="D1154" t="str">
            <v>200</v>
          </cell>
          <cell r="F1154">
            <v>72.98</v>
          </cell>
          <cell r="G1154">
            <v>2</v>
          </cell>
          <cell r="H1154" t="str">
            <v>2006-02-28</v>
          </cell>
        </row>
        <row r="1155">
          <cell r="A1155">
            <v>481003</v>
          </cell>
          <cell r="B1155">
            <v>1015</v>
          </cell>
          <cell r="C1155">
            <v>-13946.41</v>
          </cell>
          <cell r="D1155" t="str">
            <v>200</v>
          </cell>
          <cell r="F1155">
            <v>-1165.67</v>
          </cell>
          <cell r="G1155">
            <v>2</v>
          </cell>
          <cell r="H1155" t="str">
            <v>2006-02-28</v>
          </cell>
        </row>
        <row r="1156">
          <cell r="A1156">
            <v>481003</v>
          </cell>
          <cell r="B1156">
            <v>1015</v>
          </cell>
          <cell r="C1156">
            <v>851.72</v>
          </cell>
          <cell r="D1156" t="str">
            <v>200</v>
          </cell>
          <cell r="F1156">
            <v>0</v>
          </cell>
          <cell r="G1156">
            <v>2</v>
          </cell>
          <cell r="H1156" t="str">
            <v>2006-02-28</v>
          </cell>
        </row>
        <row r="1157">
          <cell r="A1157">
            <v>481003</v>
          </cell>
          <cell r="B1157">
            <v>1015</v>
          </cell>
          <cell r="C1157">
            <v>623.02</v>
          </cell>
          <cell r="D1157" t="str">
            <v>200</v>
          </cell>
          <cell r="F1157">
            <v>74.180000000000007</v>
          </cell>
          <cell r="G1157">
            <v>2</v>
          </cell>
          <cell r="H1157" t="str">
            <v>2006-02-28</v>
          </cell>
        </row>
        <row r="1158">
          <cell r="A1158">
            <v>481003</v>
          </cell>
          <cell r="B1158">
            <v>1015</v>
          </cell>
          <cell r="C1158">
            <v>0</v>
          </cell>
          <cell r="D1158" t="str">
            <v>200</v>
          </cell>
          <cell r="F1158">
            <v>-2371.56</v>
          </cell>
          <cell r="G1158">
            <v>2</v>
          </cell>
          <cell r="H1158" t="str">
            <v>2006-02-28</v>
          </cell>
        </row>
        <row r="1159">
          <cell r="A1159">
            <v>481003</v>
          </cell>
          <cell r="B1159">
            <v>1015</v>
          </cell>
          <cell r="C1159">
            <v>0</v>
          </cell>
          <cell r="D1159" t="str">
            <v>200</v>
          </cell>
          <cell r="F1159">
            <v>-145.96</v>
          </cell>
          <cell r="G1159">
            <v>2</v>
          </cell>
          <cell r="H1159" t="str">
            <v>2006-02-28</v>
          </cell>
        </row>
        <row r="1160">
          <cell r="A1160">
            <v>481003</v>
          </cell>
          <cell r="B1160">
            <v>1015</v>
          </cell>
          <cell r="C1160">
            <v>-96352.21</v>
          </cell>
          <cell r="D1160" t="str">
            <v>200</v>
          </cell>
          <cell r="F1160">
            <v>-8558.64</v>
          </cell>
          <cell r="G1160">
            <v>2</v>
          </cell>
          <cell r="H1160" t="str">
            <v>2006-02-28</v>
          </cell>
        </row>
        <row r="1161">
          <cell r="A1161">
            <v>481003</v>
          </cell>
          <cell r="B1161">
            <v>1515</v>
          </cell>
          <cell r="C1161">
            <v>3750.2</v>
          </cell>
          <cell r="D1161" t="str">
            <v>200</v>
          </cell>
          <cell r="F1161">
            <v>391.34</v>
          </cell>
          <cell r="G1161">
            <v>2</v>
          </cell>
          <cell r="H1161" t="str">
            <v>2006-02-28</v>
          </cell>
        </row>
        <row r="1162">
          <cell r="A1162">
            <v>481000</v>
          </cell>
          <cell r="B1162">
            <v>1015</v>
          </cell>
          <cell r="C1162">
            <v>0</v>
          </cell>
          <cell r="D1162" t="str">
            <v>203</v>
          </cell>
          <cell r="E1162" t="str">
            <v>402</v>
          </cell>
          <cell r="F1162">
            <v>0</v>
          </cell>
          <cell r="G1162">
            <v>2</v>
          </cell>
          <cell r="H1162" t="str">
            <v>2006-02-28</v>
          </cell>
        </row>
        <row r="1163">
          <cell r="A1163">
            <v>481000</v>
          </cell>
          <cell r="B1163">
            <v>1015</v>
          </cell>
          <cell r="C1163">
            <v>383313.26</v>
          </cell>
          <cell r="D1163" t="str">
            <v>203</v>
          </cell>
          <cell r="E1163" t="str">
            <v>402</v>
          </cell>
          <cell r="F1163">
            <v>0</v>
          </cell>
          <cell r="G1163">
            <v>2</v>
          </cell>
          <cell r="H1163" t="str">
            <v>2006-02-28</v>
          </cell>
        </row>
        <row r="1164">
          <cell r="A1164">
            <v>481000</v>
          </cell>
          <cell r="B1164">
            <v>1015</v>
          </cell>
          <cell r="C1164">
            <v>-171711.62</v>
          </cell>
          <cell r="D1164" t="str">
            <v>203</v>
          </cell>
          <cell r="E1164" t="str">
            <v>402</v>
          </cell>
          <cell r="F1164">
            <v>0</v>
          </cell>
          <cell r="G1164">
            <v>2</v>
          </cell>
          <cell r="H1164" t="str">
            <v>2006-02-28</v>
          </cell>
        </row>
        <row r="1165">
          <cell r="A1165">
            <v>481000</v>
          </cell>
          <cell r="B1165">
            <v>1015</v>
          </cell>
          <cell r="C1165">
            <v>-1405.51</v>
          </cell>
          <cell r="D1165" t="str">
            <v>203</v>
          </cell>
          <cell r="E1165" t="str">
            <v>402</v>
          </cell>
          <cell r="F1165">
            <v>0</v>
          </cell>
          <cell r="G1165">
            <v>2</v>
          </cell>
          <cell r="H1165" t="str">
            <v>2006-02-28</v>
          </cell>
        </row>
        <row r="1166">
          <cell r="A1166">
            <v>481000</v>
          </cell>
          <cell r="B1166">
            <v>1015</v>
          </cell>
          <cell r="C1166">
            <v>-3779.69</v>
          </cell>
          <cell r="D1166" t="str">
            <v>203</v>
          </cell>
          <cell r="E1166" t="str">
            <v>402</v>
          </cell>
          <cell r="F1166">
            <v>0</v>
          </cell>
          <cell r="G1166">
            <v>2</v>
          </cell>
          <cell r="H1166" t="str">
            <v>2006-02-28</v>
          </cell>
        </row>
        <row r="1167">
          <cell r="A1167">
            <v>481000</v>
          </cell>
          <cell r="B1167">
            <v>1015</v>
          </cell>
          <cell r="C1167">
            <v>-43074.13</v>
          </cell>
          <cell r="D1167" t="str">
            <v>203</v>
          </cell>
          <cell r="E1167" t="str">
            <v>402</v>
          </cell>
          <cell r="F1167">
            <v>0</v>
          </cell>
          <cell r="G1167">
            <v>2</v>
          </cell>
          <cell r="H1167" t="str">
            <v>2006-02-28</v>
          </cell>
        </row>
        <row r="1168">
          <cell r="A1168">
            <v>481000</v>
          </cell>
          <cell r="B1168">
            <v>1015</v>
          </cell>
          <cell r="C1168">
            <v>-52837.4</v>
          </cell>
          <cell r="D1168" t="str">
            <v>203</v>
          </cell>
          <cell r="E1168" t="str">
            <v>402</v>
          </cell>
          <cell r="F1168">
            <v>0</v>
          </cell>
          <cell r="G1168">
            <v>2</v>
          </cell>
          <cell r="H1168" t="str">
            <v>2006-02-28</v>
          </cell>
        </row>
        <row r="1169">
          <cell r="A1169">
            <v>481000</v>
          </cell>
          <cell r="B1169">
            <v>1015</v>
          </cell>
          <cell r="C1169">
            <v>-67132.399999999994</v>
          </cell>
          <cell r="D1169" t="str">
            <v>203</v>
          </cell>
          <cell r="E1169" t="str">
            <v>402</v>
          </cell>
          <cell r="F1169">
            <v>0</v>
          </cell>
          <cell r="G1169">
            <v>2</v>
          </cell>
          <cell r="H1169" t="str">
            <v>2006-02-28</v>
          </cell>
        </row>
        <row r="1170">
          <cell r="A1170">
            <v>481000</v>
          </cell>
          <cell r="B1170">
            <v>1015</v>
          </cell>
          <cell r="C1170">
            <v>-16674.11</v>
          </cell>
          <cell r="D1170" t="str">
            <v>203</v>
          </cell>
          <cell r="E1170" t="str">
            <v>402</v>
          </cell>
          <cell r="F1170">
            <v>0</v>
          </cell>
          <cell r="G1170">
            <v>2</v>
          </cell>
          <cell r="H1170" t="str">
            <v>2006-02-28</v>
          </cell>
        </row>
        <row r="1171">
          <cell r="A1171">
            <v>481000</v>
          </cell>
          <cell r="B1171">
            <v>1015</v>
          </cell>
          <cell r="C1171">
            <v>-10610.99</v>
          </cell>
          <cell r="D1171" t="str">
            <v>203</v>
          </cell>
          <cell r="E1171" t="str">
            <v>402</v>
          </cell>
          <cell r="F1171">
            <v>0</v>
          </cell>
          <cell r="G1171">
            <v>2</v>
          </cell>
          <cell r="H1171" t="str">
            <v>2006-02-28</v>
          </cell>
        </row>
        <row r="1172">
          <cell r="A1172">
            <v>481000</v>
          </cell>
          <cell r="B1172">
            <v>1015</v>
          </cell>
          <cell r="C1172">
            <v>-10415.66</v>
          </cell>
          <cell r="D1172" t="str">
            <v>203</v>
          </cell>
          <cell r="E1172" t="str">
            <v>402</v>
          </cell>
          <cell r="F1172">
            <v>0</v>
          </cell>
          <cell r="G1172">
            <v>2</v>
          </cell>
          <cell r="H1172" t="str">
            <v>2006-02-28</v>
          </cell>
        </row>
        <row r="1173">
          <cell r="A1173">
            <v>481000</v>
          </cell>
          <cell r="B1173">
            <v>1015</v>
          </cell>
          <cell r="C1173">
            <v>-14875.63</v>
          </cell>
          <cell r="D1173" t="str">
            <v>203</v>
          </cell>
          <cell r="E1173" t="str">
            <v>402</v>
          </cell>
          <cell r="F1173">
            <v>0</v>
          </cell>
          <cell r="G1173">
            <v>2</v>
          </cell>
          <cell r="H1173" t="str">
            <v>2006-02-28</v>
          </cell>
        </row>
        <row r="1174">
          <cell r="A1174">
            <v>481000</v>
          </cell>
          <cell r="B1174">
            <v>1015</v>
          </cell>
          <cell r="C1174">
            <v>-9909.7000000000007</v>
          </cell>
          <cell r="D1174" t="str">
            <v>203</v>
          </cell>
          <cell r="E1174" t="str">
            <v>402</v>
          </cell>
          <cell r="F1174">
            <v>0</v>
          </cell>
          <cell r="G1174">
            <v>2</v>
          </cell>
          <cell r="H1174" t="str">
            <v>2006-02-28</v>
          </cell>
        </row>
        <row r="1175">
          <cell r="A1175">
            <v>481000</v>
          </cell>
          <cell r="B1175">
            <v>1015</v>
          </cell>
          <cell r="C1175">
            <v>-11209.76</v>
          </cell>
          <cell r="D1175" t="str">
            <v>203</v>
          </cell>
          <cell r="E1175" t="str">
            <v>402</v>
          </cell>
          <cell r="F1175">
            <v>0</v>
          </cell>
          <cell r="G1175">
            <v>2</v>
          </cell>
          <cell r="H1175" t="str">
            <v>2006-02-28</v>
          </cell>
        </row>
        <row r="1176">
          <cell r="A1176">
            <v>481000</v>
          </cell>
          <cell r="B1176">
            <v>1015</v>
          </cell>
          <cell r="C1176">
            <v>-26997.21</v>
          </cell>
          <cell r="D1176" t="str">
            <v>203</v>
          </cell>
          <cell r="E1176" t="str">
            <v>402</v>
          </cell>
          <cell r="F1176">
            <v>0</v>
          </cell>
          <cell r="G1176">
            <v>2</v>
          </cell>
          <cell r="H1176" t="str">
            <v>2006-02-28</v>
          </cell>
        </row>
        <row r="1177">
          <cell r="A1177">
            <v>481000</v>
          </cell>
          <cell r="B1177">
            <v>1015</v>
          </cell>
          <cell r="C1177">
            <v>-1.0900000000000001</v>
          </cell>
          <cell r="D1177" t="str">
            <v>203</v>
          </cell>
          <cell r="E1177" t="str">
            <v>402</v>
          </cell>
          <cell r="F1177">
            <v>0</v>
          </cell>
          <cell r="G1177">
            <v>2</v>
          </cell>
          <cell r="H1177" t="str">
            <v>2006-02-28</v>
          </cell>
        </row>
        <row r="1178">
          <cell r="A1178">
            <v>481004</v>
          </cell>
          <cell r="B1178">
            <v>1015</v>
          </cell>
          <cell r="C1178">
            <v>0</v>
          </cell>
          <cell r="D1178" t="str">
            <v>203</v>
          </cell>
          <cell r="E1178" t="str">
            <v>402</v>
          </cell>
          <cell r="F1178">
            <v>0</v>
          </cell>
          <cell r="G1178">
            <v>2</v>
          </cell>
          <cell r="H1178" t="str">
            <v>2006-02-28</v>
          </cell>
        </row>
        <row r="1179">
          <cell r="A1179">
            <v>481004</v>
          </cell>
          <cell r="B1179">
            <v>1015</v>
          </cell>
          <cell r="C1179">
            <v>-75052.41</v>
          </cell>
          <cell r="D1179" t="str">
            <v>203</v>
          </cell>
          <cell r="E1179" t="str">
            <v>402</v>
          </cell>
          <cell r="F1179">
            <v>0</v>
          </cell>
          <cell r="G1179">
            <v>2</v>
          </cell>
          <cell r="H1179" t="str">
            <v>2006-02-28</v>
          </cell>
        </row>
        <row r="1180">
          <cell r="A1180">
            <v>481004</v>
          </cell>
          <cell r="B1180">
            <v>1015</v>
          </cell>
          <cell r="C1180">
            <v>-292347.09000000003</v>
          </cell>
          <cell r="D1180" t="str">
            <v>203</v>
          </cell>
          <cell r="E1180" t="str">
            <v>402</v>
          </cell>
          <cell r="F1180">
            <v>0</v>
          </cell>
          <cell r="G1180">
            <v>2</v>
          </cell>
          <cell r="H1180" t="str">
            <v>2006-02-28</v>
          </cell>
        </row>
        <row r="1181">
          <cell r="A1181">
            <v>481004</v>
          </cell>
          <cell r="B1181">
            <v>1015</v>
          </cell>
          <cell r="C1181">
            <v>-9414.25</v>
          </cell>
          <cell r="D1181" t="str">
            <v>203</v>
          </cell>
          <cell r="E1181" t="str">
            <v>402</v>
          </cell>
          <cell r="F1181">
            <v>0</v>
          </cell>
          <cell r="G1181">
            <v>2</v>
          </cell>
          <cell r="H1181" t="str">
            <v>2006-02-28</v>
          </cell>
        </row>
        <row r="1182">
          <cell r="A1182">
            <v>481004</v>
          </cell>
          <cell r="B1182">
            <v>1015</v>
          </cell>
          <cell r="C1182">
            <v>-6443.85</v>
          </cell>
          <cell r="D1182" t="str">
            <v>203</v>
          </cell>
          <cell r="E1182" t="str">
            <v>402</v>
          </cell>
          <cell r="F1182">
            <v>0</v>
          </cell>
          <cell r="G1182">
            <v>2</v>
          </cell>
          <cell r="H1182" t="str">
            <v>2006-02-28</v>
          </cell>
        </row>
        <row r="1183">
          <cell r="A1183">
            <v>481004</v>
          </cell>
          <cell r="B1183">
            <v>1015</v>
          </cell>
          <cell r="C1183">
            <v>-31773.47</v>
          </cell>
          <cell r="D1183" t="str">
            <v>203</v>
          </cell>
          <cell r="E1183" t="str">
            <v>402</v>
          </cell>
          <cell r="F1183">
            <v>0</v>
          </cell>
          <cell r="G1183">
            <v>2</v>
          </cell>
          <cell r="H1183" t="str">
            <v>2006-02-28</v>
          </cell>
        </row>
        <row r="1184">
          <cell r="A1184">
            <v>481004</v>
          </cell>
          <cell r="B1184">
            <v>1015</v>
          </cell>
          <cell r="C1184">
            <v>-168565.99</v>
          </cell>
          <cell r="D1184" t="str">
            <v>203</v>
          </cell>
          <cell r="E1184" t="str">
            <v>402</v>
          </cell>
          <cell r="F1184">
            <v>0</v>
          </cell>
          <cell r="G1184">
            <v>2</v>
          </cell>
          <cell r="H1184" t="str">
            <v>2006-02-28</v>
          </cell>
        </row>
        <row r="1185">
          <cell r="A1185">
            <v>481004</v>
          </cell>
          <cell r="B1185">
            <v>1015</v>
          </cell>
          <cell r="C1185">
            <v>-60434.09</v>
          </cell>
          <cell r="D1185" t="str">
            <v>203</v>
          </cell>
          <cell r="E1185" t="str">
            <v>402</v>
          </cell>
          <cell r="F1185">
            <v>0</v>
          </cell>
          <cell r="G1185">
            <v>2</v>
          </cell>
          <cell r="H1185" t="str">
            <v>2006-02-28</v>
          </cell>
        </row>
        <row r="1186">
          <cell r="A1186">
            <v>481004</v>
          </cell>
          <cell r="B1186">
            <v>1015</v>
          </cell>
          <cell r="C1186">
            <v>-29111.07</v>
          </cell>
          <cell r="D1186" t="str">
            <v>203</v>
          </cell>
          <cell r="E1186" t="str">
            <v>402</v>
          </cell>
          <cell r="F1186">
            <v>0</v>
          </cell>
          <cell r="G1186">
            <v>2</v>
          </cell>
          <cell r="H1186" t="str">
            <v>2006-02-28</v>
          </cell>
        </row>
        <row r="1187">
          <cell r="A1187">
            <v>481004</v>
          </cell>
          <cell r="B1187">
            <v>1015</v>
          </cell>
          <cell r="C1187">
            <v>-8647.8700000000008</v>
          </cell>
          <cell r="D1187" t="str">
            <v>203</v>
          </cell>
          <cell r="E1187" t="str">
            <v>402</v>
          </cell>
          <cell r="F1187">
            <v>0</v>
          </cell>
          <cell r="G1187">
            <v>2</v>
          </cell>
          <cell r="H1187" t="str">
            <v>2006-02-28</v>
          </cell>
        </row>
        <row r="1188">
          <cell r="A1188">
            <v>481004</v>
          </cell>
          <cell r="B1188">
            <v>1015</v>
          </cell>
          <cell r="C1188">
            <v>-25205.360000000001</v>
          </cell>
          <cell r="D1188" t="str">
            <v>203</v>
          </cell>
          <cell r="E1188" t="str">
            <v>402</v>
          </cell>
          <cell r="F1188">
            <v>0</v>
          </cell>
          <cell r="G1188">
            <v>2</v>
          </cell>
          <cell r="H1188" t="str">
            <v>2006-02-28</v>
          </cell>
        </row>
        <row r="1189">
          <cell r="A1189">
            <v>481004</v>
          </cell>
          <cell r="B1189">
            <v>1015</v>
          </cell>
          <cell r="C1189">
            <v>-33845.35</v>
          </cell>
          <cell r="D1189" t="str">
            <v>203</v>
          </cell>
          <cell r="E1189" t="str">
            <v>402</v>
          </cell>
          <cell r="F1189">
            <v>0</v>
          </cell>
          <cell r="G1189">
            <v>2</v>
          </cell>
          <cell r="H1189" t="str">
            <v>2006-02-28</v>
          </cell>
        </row>
        <row r="1190">
          <cell r="A1190">
            <v>481004</v>
          </cell>
          <cell r="B1190">
            <v>1015</v>
          </cell>
          <cell r="C1190">
            <v>-32667.22</v>
          </cell>
          <cell r="D1190" t="str">
            <v>203</v>
          </cell>
          <cell r="E1190" t="str">
            <v>402</v>
          </cell>
          <cell r="F1190">
            <v>0</v>
          </cell>
          <cell r="G1190">
            <v>2</v>
          </cell>
          <cell r="H1190" t="str">
            <v>2006-02-28</v>
          </cell>
        </row>
        <row r="1191">
          <cell r="A1191">
            <v>481004</v>
          </cell>
          <cell r="B1191">
            <v>1015</v>
          </cell>
          <cell r="C1191">
            <v>-53885.68</v>
          </cell>
          <cell r="D1191" t="str">
            <v>203</v>
          </cell>
          <cell r="E1191" t="str">
            <v>402</v>
          </cell>
          <cell r="F1191">
            <v>0</v>
          </cell>
          <cell r="G1191">
            <v>2</v>
          </cell>
          <cell r="H1191" t="str">
            <v>2006-02-28</v>
          </cell>
        </row>
        <row r="1192">
          <cell r="A1192">
            <v>481004</v>
          </cell>
          <cell r="B1192">
            <v>1015</v>
          </cell>
          <cell r="C1192">
            <v>-32788.81</v>
          </cell>
          <cell r="D1192" t="str">
            <v>203</v>
          </cell>
          <cell r="E1192" t="str">
            <v>402</v>
          </cell>
          <cell r="F1192">
            <v>0</v>
          </cell>
          <cell r="G1192">
            <v>2</v>
          </cell>
          <cell r="H1192" t="str">
            <v>2006-02-28</v>
          </cell>
        </row>
        <row r="1193">
          <cell r="A1193">
            <v>481004</v>
          </cell>
          <cell r="B1193">
            <v>1015</v>
          </cell>
          <cell r="C1193">
            <v>-6721.84</v>
          </cell>
          <cell r="D1193" t="str">
            <v>203</v>
          </cell>
          <cell r="E1193" t="str">
            <v>402</v>
          </cell>
          <cell r="F1193">
            <v>0</v>
          </cell>
          <cell r="G1193">
            <v>2</v>
          </cell>
          <cell r="H1193" t="str">
            <v>2006-02-28</v>
          </cell>
        </row>
        <row r="1194">
          <cell r="A1194">
            <v>481004</v>
          </cell>
          <cell r="B1194">
            <v>1015</v>
          </cell>
          <cell r="C1194">
            <v>-1880.9</v>
          </cell>
          <cell r="D1194" t="str">
            <v>203</v>
          </cell>
          <cell r="E1194" t="str">
            <v>402</v>
          </cell>
          <cell r="F1194">
            <v>0</v>
          </cell>
          <cell r="G1194">
            <v>2</v>
          </cell>
          <cell r="H1194" t="str">
            <v>2006-02-28</v>
          </cell>
        </row>
        <row r="1195">
          <cell r="A1195">
            <v>481000</v>
          </cell>
          <cell r="B1195">
            <v>1015</v>
          </cell>
          <cell r="C1195">
            <v>0</v>
          </cell>
          <cell r="D1195" t="str">
            <v>203</v>
          </cell>
          <cell r="E1195" t="str">
            <v>403</v>
          </cell>
          <cell r="F1195">
            <v>0</v>
          </cell>
          <cell r="G1195">
            <v>2</v>
          </cell>
          <cell r="H1195" t="str">
            <v>2006-02-28</v>
          </cell>
        </row>
        <row r="1196">
          <cell r="A1196">
            <v>481000</v>
          </cell>
          <cell r="B1196">
            <v>1015</v>
          </cell>
          <cell r="C1196">
            <v>0</v>
          </cell>
          <cell r="D1196" t="str">
            <v>203</v>
          </cell>
          <cell r="E1196" t="str">
            <v>403</v>
          </cell>
          <cell r="F1196">
            <v>0</v>
          </cell>
          <cell r="G1196">
            <v>2</v>
          </cell>
          <cell r="H1196" t="str">
            <v>2006-02-28</v>
          </cell>
        </row>
        <row r="1197">
          <cell r="A1197">
            <v>481000</v>
          </cell>
          <cell r="B1197">
            <v>1015</v>
          </cell>
          <cell r="C1197">
            <v>0</v>
          </cell>
          <cell r="D1197" t="str">
            <v>203</v>
          </cell>
          <cell r="E1197" t="str">
            <v>403</v>
          </cell>
          <cell r="F1197">
            <v>0</v>
          </cell>
          <cell r="G1197">
            <v>2</v>
          </cell>
          <cell r="H1197" t="str">
            <v>2006-02-28</v>
          </cell>
        </row>
        <row r="1198">
          <cell r="A1198">
            <v>481000</v>
          </cell>
          <cell r="B1198">
            <v>1015</v>
          </cell>
          <cell r="C1198">
            <v>-1633.86</v>
          </cell>
          <cell r="D1198" t="str">
            <v>203</v>
          </cell>
          <cell r="E1198" t="str">
            <v>403</v>
          </cell>
          <cell r="F1198">
            <v>0</v>
          </cell>
          <cell r="G1198">
            <v>2</v>
          </cell>
          <cell r="H1198" t="str">
            <v>2006-02-28</v>
          </cell>
        </row>
        <row r="1199">
          <cell r="A1199">
            <v>481004</v>
          </cell>
          <cell r="B1199">
            <v>1015</v>
          </cell>
          <cell r="C1199">
            <v>0</v>
          </cell>
          <cell r="D1199" t="str">
            <v>203</v>
          </cell>
          <cell r="E1199" t="str">
            <v>403</v>
          </cell>
          <cell r="F1199">
            <v>0</v>
          </cell>
          <cell r="G1199">
            <v>2</v>
          </cell>
          <cell r="H1199" t="str">
            <v>2006-02-28</v>
          </cell>
        </row>
        <row r="1200">
          <cell r="A1200">
            <v>481004</v>
          </cell>
          <cell r="B1200">
            <v>1015</v>
          </cell>
          <cell r="C1200">
            <v>0</v>
          </cell>
          <cell r="D1200" t="str">
            <v>203</v>
          </cell>
          <cell r="E1200" t="str">
            <v>403</v>
          </cell>
          <cell r="F1200">
            <v>0</v>
          </cell>
          <cell r="G1200">
            <v>2</v>
          </cell>
          <cell r="H1200" t="str">
            <v>2006-02-28</v>
          </cell>
        </row>
        <row r="1201">
          <cell r="A1201">
            <v>481004</v>
          </cell>
          <cell r="B1201">
            <v>1015</v>
          </cell>
          <cell r="C1201">
            <v>0</v>
          </cell>
          <cell r="D1201" t="str">
            <v>203</v>
          </cell>
          <cell r="E1201" t="str">
            <v>403</v>
          </cell>
          <cell r="F1201">
            <v>0</v>
          </cell>
          <cell r="G1201">
            <v>2</v>
          </cell>
          <cell r="H1201" t="str">
            <v>2006-02-28</v>
          </cell>
        </row>
        <row r="1202">
          <cell r="A1202">
            <v>481000</v>
          </cell>
          <cell r="B1202">
            <v>1015</v>
          </cell>
          <cell r="C1202">
            <v>0</v>
          </cell>
          <cell r="D1202" t="str">
            <v>203</v>
          </cell>
          <cell r="E1202" t="str">
            <v>404</v>
          </cell>
          <cell r="F1202">
            <v>0</v>
          </cell>
          <cell r="G1202">
            <v>2</v>
          </cell>
          <cell r="H1202" t="str">
            <v>2006-02-28</v>
          </cell>
        </row>
        <row r="1203">
          <cell r="A1203">
            <v>481000</v>
          </cell>
          <cell r="B1203">
            <v>1015</v>
          </cell>
          <cell r="C1203">
            <v>200633.4</v>
          </cell>
          <cell r="D1203" t="str">
            <v>203</v>
          </cell>
          <cell r="E1203" t="str">
            <v>404</v>
          </cell>
          <cell r="F1203">
            <v>0</v>
          </cell>
          <cell r="G1203">
            <v>2</v>
          </cell>
          <cell r="H1203" t="str">
            <v>2006-02-28</v>
          </cell>
        </row>
        <row r="1204">
          <cell r="A1204">
            <v>481000</v>
          </cell>
          <cell r="B1204">
            <v>1015</v>
          </cell>
          <cell r="C1204">
            <v>-181867.77</v>
          </cell>
          <cell r="D1204" t="str">
            <v>203</v>
          </cell>
          <cell r="E1204" t="str">
            <v>404</v>
          </cell>
          <cell r="F1204">
            <v>0</v>
          </cell>
          <cell r="G1204">
            <v>2</v>
          </cell>
          <cell r="H1204" t="str">
            <v>2006-02-28</v>
          </cell>
        </row>
        <row r="1205">
          <cell r="A1205">
            <v>481000</v>
          </cell>
          <cell r="B1205">
            <v>1015</v>
          </cell>
          <cell r="C1205">
            <v>-200633.4</v>
          </cell>
          <cell r="D1205" t="str">
            <v>203</v>
          </cell>
          <cell r="E1205" t="str">
            <v>404</v>
          </cell>
          <cell r="F1205">
            <v>0</v>
          </cell>
          <cell r="G1205">
            <v>2</v>
          </cell>
          <cell r="H1205" t="str">
            <v>2006-02-28</v>
          </cell>
        </row>
        <row r="1206">
          <cell r="A1206">
            <v>481004</v>
          </cell>
          <cell r="B1206">
            <v>1015</v>
          </cell>
          <cell r="C1206">
            <v>0</v>
          </cell>
          <cell r="D1206" t="str">
            <v>203</v>
          </cell>
          <cell r="E1206" t="str">
            <v>404</v>
          </cell>
          <cell r="F1206">
            <v>0</v>
          </cell>
          <cell r="G1206">
            <v>2</v>
          </cell>
          <cell r="H1206" t="str">
            <v>2006-02-28</v>
          </cell>
        </row>
        <row r="1207">
          <cell r="A1207">
            <v>481004</v>
          </cell>
          <cell r="B1207">
            <v>1015</v>
          </cell>
          <cell r="C1207">
            <v>0</v>
          </cell>
          <cell r="D1207" t="str">
            <v>203</v>
          </cell>
          <cell r="E1207" t="str">
            <v>404</v>
          </cell>
          <cell r="F1207">
            <v>0</v>
          </cell>
          <cell r="G1207">
            <v>2</v>
          </cell>
          <cell r="H1207" t="str">
            <v>2006-02-28</v>
          </cell>
        </row>
        <row r="1208">
          <cell r="A1208">
            <v>481004</v>
          </cell>
          <cell r="B1208">
            <v>1015</v>
          </cell>
          <cell r="C1208">
            <v>0</v>
          </cell>
          <cell r="D1208" t="str">
            <v>203</v>
          </cell>
          <cell r="E1208" t="str">
            <v>404</v>
          </cell>
          <cell r="F1208">
            <v>0</v>
          </cell>
          <cell r="G1208">
            <v>2</v>
          </cell>
          <cell r="H1208" t="str">
            <v>2006-02-28</v>
          </cell>
        </row>
        <row r="1209">
          <cell r="A1209">
            <v>480000</v>
          </cell>
          <cell r="B1209">
            <v>1015</v>
          </cell>
          <cell r="C1209">
            <v>-439241.82</v>
          </cell>
          <cell r="D1209" t="str">
            <v>203</v>
          </cell>
          <cell r="E1209" t="str">
            <v>407</v>
          </cell>
          <cell r="F1209">
            <v>0</v>
          </cell>
          <cell r="G1209">
            <v>2</v>
          </cell>
          <cell r="H1209" t="str">
            <v>2006-02-28</v>
          </cell>
        </row>
        <row r="1210">
          <cell r="A1210">
            <v>480000</v>
          </cell>
          <cell r="B1210">
            <v>1015</v>
          </cell>
          <cell r="C1210">
            <v>-538446.92000000004</v>
          </cell>
          <cell r="D1210" t="str">
            <v>203</v>
          </cell>
          <cell r="E1210" t="str">
            <v>407</v>
          </cell>
          <cell r="F1210">
            <v>0</v>
          </cell>
          <cell r="G1210">
            <v>2</v>
          </cell>
          <cell r="H1210" t="str">
            <v>2006-02-28</v>
          </cell>
        </row>
        <row r="1211">
          <cell r="A1211">
            <v>480000</v>
          </cell>
          <cell r="B1211">
            <v>1015</v>
          </cell>
          <cell r="C1211">
            <v>-645911.75</v>
          </cell>
          <cell r="D1211" t="str">
            <v>203</v>
          </cell>
          <cell r="E1211" t="str">
            <v>407</v>
          </cell>
          <cell r="F1211">
            <v>0</v>
          </cell>
          <cell r="G1211">
            <v>2</v>
          </cell>
          <cell r="H1211" t="str">
            <v>2006-02-28</v>
          </cell>
        </row>
        <row r="1212">
          <cell r="A1212">
            <v>480000</v>
          </cell>
          <cell r="B1212">
            <v>1015</v>
          </cell>
          <cell r="C1212">
            <v>-1540654.3</v>
          </cell>
          <cell r="D1212" t="str">
            <v>203</v>
          </cell>
          <cell r="E1212" t="str">
            <v>407</v>
          </cell>
          <cell r="F1212">
            <v>0</v>
          </cell>
          <cell r="G1212">
            <v>2</v>
          </cell>
          <cell r="H1212" t="str">
            <v>2006-02-28</v>
          </cell>
        </row>
        <row r="1213">
          <cell r="A1213">
            <v>480000</v>
          </cell>
          <cell r="B1213">
            <v>1015</v>
          </cell>
          <cell r="C1213">
            <v>-1021334.53</v>
          </cell>
          <cell r="D1213" t="str">
            <v>203</v>
          </cell>
          <cell r="E1213" t="str">
            <v>407</v>
          </cell>
          <cell r="F1213">
            <v>0</v>
          </cell>
          <cell r="G1213">
            <v>2</v>
          </cell>
          <cell r="H1213" t="str">
            <v>2006-02-28</v>
          </cell>
        </row>
        <row r="1214">
          <cell r="A1214">
            <v>480000</v>
          </cell>
          <cell r="B1214">
            <v>1015</v>
          </cell>
          <cell r="C1214">
            <v>-545678.99</v>
          </cell>
          <cell r="D1214" t="str">
            <v>203</v>
          </cell>
          <cell r="E1214" t="str">
            <v>407</v>
          </cell>
          <cell r="F1214">
            <v>0</v>
          </cell>
          <cell r="G1214">
            <v>2</v>
          </cell>
          <cell r="H1214" t="str">
            <v>2006-02-28</v>
          </cell>
        </row>
        <row r="1215">
          <cell r="A1215">
            <v>480000</v>
          </cell>
          <cell r="B1215">
            <v>1015</v>
          </cell>
          <cell r="C1215">
            <v>-867772.24</v>
          </cell>
          <cell r="D1215" t="str">
            <v>203</v>
          </cell>
          <cell r="E1215" t="str">
            <v>407</v>
          </cell>
          <cell r="F1215">
            <v>0</v>
          </cell>
          <cell r="G1215">
            <v>2</v>
          </cell>
          <cell r="H1215" t="str">
            <v>2006-02-28</v>
          </cell>
        </row>
        <row r="1216">
          <cell r="A1216">
            <v>480000</v>
          </cell>
          <cell r="B1216">
            <v>1015</v>
          </cell>
          <cell r="C1216">
            <v>-1097558.1200000001</v>
          </cell>
          <cell r="D1216" t="str">
            <v>203</v>
          </cell>
          <cell r="E1216" t="str">
            <v>407</v>
          </cell>
          <cell r="F1216">
            <v>0</v>
          </cell>
          <cell r="G1216">
            <v>2</v>
          </cell>
          <cell r="H1216" t="str">
            <v>2006-02-28</v>
          </cell>
        </row>
        <row r="1217">
          <cell r="A1217">
            <v>480000</v>
          </cell>
          <cell r="B1217">
            <v>1015</v>
          </cell>
          <cell r="C1217">
            <v>-666367.18000000005</v>
          </cell>
          <cell r="D1217" t="str">
            <v>203</v>
          </cell>
          <cell r="E1217" t="str">
            <v>407</v>
          </cell>
          <cell r="F1217">
            <v>0</v>
          </cell>
          <cell r="G1217">
            <v>2</v>
          </cell>
          <cell r="H1217" t="str">
            <v>2006-02-28</v>
          </cell>
        </row>
        <row r="1218">
          <cell r="A1218">
            <v>480000</v>
          </cell>
          <cell r="B1218">
            <v>1015</v>
          </cell>
          <cell r="C1218">
            <v>-480682.9</v>
          </cell>
          <cell r="D1218" t="str">
            <v>203</v>
          </cell>
          <cell r="E1218" t="str">
            <v>407</v>
          </cell>
          <cell r="F1218">
            <v>0</v>
          </cell>
          <cell r="G1218">
            <v>2</v>
          </cell>
          <cell r="H1218" t="str">
            <v>2006-02-28</v>
          </cell>
        </row>
        <row r="1219">
          <cell r="A1219">
            <v>480000</v>
          </cell>
          <cell r="B1219">
            <v>1015</v>
          </cell>
          <cell r="C1219">
            <v>-1171728.03</v>
          </cell>
          <cell r="D1219" t="str">
            <v>203</v>
          </cell>
          <cell r="E1219" t="str">
            <v>407</v>
          </cell>
          <cell r="F1219">
            <v>0</v>
          </cell>
          <cell r="G1219">
            <v>2</v>
          </cell>
          <cell r="H1219" t="str">
            <v>2006-02-28</v>
          </cell>
        </row>
        <row r="1220">
          <cell r="A1220">
            <v>480000</v>
          </cell>
          <cell r="B1220">
            <v>1015</v>
          </cell>
          <cell r="C1220">
            <v>-1005189.52</v>
          </cell>
          <cell r="D1220" t="str">
            <v>203</v>
          </cell>
          <cell r="E1220" t="str">
            <v>407</v>
          </cell>
          <cell r="F1220">
            <v>0</v>
          </cell>
          <cell r="G1220">
            <v>2</v>
          </cell>
          <cell r="H1220" t="str">
            <v>2006-02-28</v>
          </cell>
        </row>
        <row r="1221">
          <cell r="A1221">
            <v>480000</v>
          </cell>
          <cell r="B1221">
            <v>1015</v>
          </cell>
          <cell r="C1221">
            <v>-20718.689999999999</v>
          </cell>
          <cell r="D1221" t="str">
            <v>203</v>
          </cell>
          <cell r="E1221" t="str">
            <v>407</v>
          </cell>
          <cell r="F1221">
            <v>0</v>
          </cell>
          <cell r="G1221">
            <v>2</v>
          </cell>
          <cell r="H1221" t="str">
            <v>2006-02-28</v>
          </cell>
        </row>
        <row r="1222">
          <cell r="A1222">
            <v>480000</v>
          </cell>
          <cell r="B1222">
            <v>1015</v>
          </cell>
          <cell r="C1222">
            <v>-12665.74</v>
          </cell>
          <cell r="D1222" t="str">
            <v>203</v>
          </cell>
          <cell r="E1222" t="str">
            <v>407</v>
          </cell>
          <cell r="F1222">
            <v>0</v>
          </cell>
          <cell r="G1222">
            <v>2</v>
          </cell>
          <cell r="H1222" t="str">
            <v>2006-02-28</v>
          </cell>
        </row>
        <row r="1223">
          <cell r="A1223">
            <v>480001</v>
          </cell>
          <cell r="B1223">
            <v>1015</v>
          </cell>
          <cell r="C1223">
            <v>1237869.8500000001</v>
          </cell>
          <cell r="D1223" t="str">
            <v>203</v>
          </cell>
          <cell r="E1223" t="str">
            <v>407</v>
          </cell>
          <cell r="F1223">
            <v>0</v>
          </cell>
          <cell r="G1223">
            <v>2</v>
          </cell>
          <cell r="H1223" t="str">
            <v>2006-02-28</v>
          </cell>
        </row>
        <row r="1224">
          <cell r="A1224">
            <v>481004</v>
          </cell>
          <cell r="B1224">
            <v>1015</v>
          </cell>
          <cell r="C1224">
            <v>-96595.3</v>
          </cell>
          <cell r="D1224" t="str">
            <v>203</v>
          </cell>
          <cell r="E1224" t="str">
            <v>407</v>
          </cell>
          <cell r="F1224">
            <v>0</v>
          </cell>
          <cell r="G1224">
            <v>2</v>
          </cell>
          <cell r="H1224" t="str">
            <v>2006-02-28</v>
          </cell>
        </row>
        <row r="1225">
          <cell r="A1225">
            <v>481004</v>
          </cell>
          <cell r="B1225">
            <v>1015</v>
          </cell>
          <cell r="C1225">
            <v>-194390.86</v>
          </cell>
          <cell r="D1225" t="str">
            <v>203</v>
          </cell>
          <cell r="E1225" t="str">
            <v>407</v>
          </cell>
          <cell r="F1225">
            <v>0</v>
          </cell>
          <cell r="G1225">
            <v>2</v>
          </cell>
          <cell r="H1225" t="str">
            <v>2006-02-28</v>
          </cell>
        </row>
        <row r="1226">
          <cell r="A1226">
            <v>481004</v>
          </cell>
          <cell r="B1226">
            <v>1015</v>
          </cell>
          <cell r="C1226">
            <v>-182176.19</v>
          </cell>
          <cell r="D1226" t="str">
            <v>203</v>
          </cell>
          <cell r="E1226" t="str">
            <v>407</v>
          </cell>
          <cell r="F1226">
            <v>0</v>
          </cell>
          <cell r="G1226">
            <v>2</v>
          </cell>
          <cell r="H1226" t="str">
            <v>2006-02-28</v>
          </cell>
        </row>
        <row r="1227">
          <cell r="A1227">
            <v>481004</v>
          </cell>
          <cell r="B1227">
            <v>1015</v>
          </cell>
          <cell r="C1227">
            <v>-846624.46</v>
          </cell>
          <cell r="D1227" t="str">
            <v>203</v>
          </cell>
          <cell r="E1227" t="str">
            <v>407</v>
          </cell>
          <cell r="F1227">
            <v>0</v>
          </cell>
          <cell r="G1227">
            <v>2</v>
          </cell>
          <cell r="H1227" t="str">
            <v>2006-02-28</v>
          </cell>
        </row>
        <row r="1228">
          <cell r="A1228">
            <v>481004</v>
          </cell>
          <cell r="B1228">
            <v>1015</v>
          </cell>
          <cell r="C1228">
            <v>-713902.7</v>
          </cell>
          <cell r="D1228" t="str">
            <v>203</v>
          </cell>
          <cell r="E1228" t="str">
            <v>407</v>
          </cell>
          <cell r="F1228">
            <v>0</v>
          </cell>
          <cell r="G1228">
            <v>2</v>
          </cell>
          <cell r="H1228" t="str">
            <v>2006-02-28</v>
          </cell>
        </row>
        <row r="1229">
          <cell r="A1229">
            <v>481004</v>
          </cell>
          <cell r="B1229">
            <v>1015</v>
          </cell>
          <cell r="C1229">
            <v>-225582.73</v>
          </cell>
          <cell r="D1229" t="str">
            <v>203</v>
          </cell>
          <cell r="E1229" t="str">
            <v>407</v>
          </cell>
          <cell r="F1229">
            <v>0</v>
          </cell>
          <cell r="G1229">
            <v>2</v>
          </cell>
          <cell r="H1229" t="str">
            <v>2006-02-28</v>
          </cell>
        </row>
        <row r="1230">
          <cell r="A1230">
            <v>481004</v>
          </cell>
          <cell r="B1230">
            <v>1015</v>
          </cell>
          <cell r="C1230">
            <v>-287204.05</v>
          </cell>
          <cell r="D1230" t="str">
            <v>203</v>
          </cell>
          <cell r="E1230" t="str">
            <v>407</v>
          </cell>
          <cell r="F1230">
            <v>0</v>
          </cell>
          <cell r="G1230">
            <v>2</v>
          </cell>
          <cell r="H1230" t="str">
            <v>2006-02-28</v>
          </cell>
        </row>
        <row r="1231">
          <cell r="A1231">
            <v>481004</v>
          </cell>
          <cell r="B1231">
            <v>1015</v>
          </cell>
          <cell r="C1231">
            <v>-436774.86</v>
          </cell>
          <cell r="D1231" t="str">
            <v>203</v>
          </cell>
          <cell r="E1231" t="str">
            <v>407</v>
          </cell>
          <cell r="F1231">
            <v>0</v>
          </cell>
          <cell r="G1231">
            <v>2</v>
          </cell>
          <cell r="H1231" t="str">
            <v>2006-02-28</v>
          </cell>
        </row>
        <row r="1232">
          <cell r="A1232">
            <v>481004</v>
          </cell>
          <cell r="B1232">
            <v>1015</v>
          </cell>
          <cell r="C1232">
            <v>-228251.58</v>
          </cell>
          <cell r="D1232" t="str">
            <v>203</v>
          </cell>
          <cell r="E1232" t="str">
            <v>407</v>
          </cell>
          <cell r="F1232">
            <v>0</v>
          </cell>
          <cell r="G1232">
            <v>2</v>
          </cell>
          <cell r="H1232" t="str">
            <v>2006-02-28</v>
          </cell>
        </row>
        <row r="1233">
          <cell r="A1233">
            <v>481004</v>
          </cell>
          <cell r="B1233">
            <v>1015</v>
          </cell>
          <cell r="C1233">
            <v>-226659.48</v>
          </cell>
          <cell r="D1233" t="str">
            <v>203</v>
          </cell>
          <cell r="E1233" t="str">
            <v>407</v>
          </cell>
          <cell r="F1233">
            <v>0</v>
          </cell>
          <cell r="G1233">
            <v>2</v>
          </cell>
          <cell r="H1233" t="str">
            <v>2006-02-28</v>
          </cell>
        </row>
        <row r="1234">
          <cell r="A1234">
            <v>481004</v>
          </cell>
          <cell r="B1234">
            <v>1015</v>
          </cell>
          <cell r="C1234">
            <v>-444983.44</v>
          </cell>
          <cell r="D1234" t="str">
            <v>203</v>
          </cell>
          <cell r="E1234" t="str">
            <v>407</v>
          </cell>
          <cell r="F1234">
            <v>0</v>
          </cell>
          <cell r="G1234">
            <v>2</v>
          </cell>
          <cell r="H1234" t="str">
            <v>2006-02-28</v>
          </cell>
        </row>
        <row r="1235">
          <cell r="A1235">
            <v>481004</v>
          </cell>
          <cell r="B1235">
            <v>1015</v>
          </cell>
          <cell r="C1235">
            <v>-389005.07</v>
          </cell>
          <cell r="D1235" t="str">
            <v>203</v>
          </cell>
          <cell r="E1235" t="str">
            <v>407</v>
          </cell>
          <cell r="F1235">
            <v>0</v>
          </cell>
          <cell r="G1235">
            <v>2</v>
          </cell>
          <cell r="H1235" t="str">
            <v>2006-02-28</v>
          </cell>
        </row>
        <row r="1236">
          <cell r="A1236">
            <v>481004</v>
          </cell>
          <cell r="B1236">
            <v>1015</v>
          </cell>
          <cell r="C1236">
            <v>-22214.85</v>
          </cell>
          <cell r="D1236" t="str">
            <v>203</v>
          </cell>
          <cell r="E1236" t="str">
            <v>407</v>
          </cell>
          <cell r="F1236">
            <v>0</v>
          </cell>
          <cell r="G1236">
            <v>2</v>
          </cell>
          <cell r="H1236" t="str">
            <v>2006-02-28</v>
          </cell>
        </row>
        <row r="1237">
          <cell r="A1237">
            <v>481004</v>
          </cell>
          <cell r="B1237">
            <v>1015</v>
          </cell>
          <cell r="C1237">
            <v>-6801.55</v>
          </cell>
          <cell r="D1237" t="str">
            <v>203</v>
          </cell>
          <cell r="E1237" t="str">
            <v>407</v>
          </cell>
          <cell r="F1237">
            <v>0</v>
          </cell>
          <cell r="G1237">
            <v>2</v>
          </cell>
          <cell r="H1237" t="str">
            <v>2006-02-28</v>
          </cell>
        </row>
        <row r="1238">
          <cell r="A1238">
            <v>480000</v>
          </cell>
          <cell r="B1238">
            <v>1015</v>
          </cell>
          <cell r="C1238">
            <v>-74.790000000000006</v>
          </cell>
          <cell r="D1238" t="str">
            <v>203</v>
          </cell>
          <cell r="E1238" t="str">
            <v>408</v>
          </cell>
          <cell r="F1238">
            <v>0</v>
          </cell>
          <cell r="G1238">
            <v>2</v>
          </cell>
          <cell r="H1238" t="str">
            <v>2006-02-28</v>
          </cell>
        </row>
        <row r="1239">
          <cell r="A1239">
            <v>480000</v>
          </cell>
          <cell r="B1239">
            <v>1015</v>
          </cell>
          <cell r="C1239">
            <v>-25</v>
          </cell>
          <cell r="D1239" t="str">
            <v>203</v>
          </cell>
          <cell r="E1239" t="str">
            <v>408</v>
          </cell>
          <cell r="F1239">
            <v>0</v>
          </cell>
          <cell r="G1239">
            <v>2</v>
          </cell>
          <cell r="H1239" t="str">
            <v>2006-02-28</v>
          </cell>
        </row>
        <row r="1240">
          <cell r="A1240">
            <v>480000</v>
          </cell>
          <cell r="B1240">
            <v>1015</v>
          </cell>
          <cell r="C1240">
            <v>-84.34</v>
          </cell>
          <cell r="D1240" t="str">
            <v>203</v>
          </cell>
          <cell r="E1240" t="str">
            <v>408</v>
          </cell>
          <cell r="F1240">
            <v>0</v>
          </cell>
          <cell r="G1240">
            <v>2</v>
          </cell>
          <cell r="H1240" t="str">
            <v>2006-02-28</v>
          </cell>
        </row>
        <row r="1241">
          <cell r="A1241">
            <v>480000</v>
          </cell>
          <cell r="B1241">
            <v>1015</v>
          </cell>
          <cell r="C1241">
            <v>-15312.23</v>
          </cell>
          <cell r="D1241" t="str">
            <v>203</v>
          </cell>
          <cell r="E1241" t="str">
            <v>408</v>
          </cell>
          <cell r="F1241">
            <v>0</v>
          </cell>
          <cell r="G1241">
            <v>2</v>
          </cell>
          <cell r="H1241" t="str">
            <v>2006-02-28</v>
          </cell>
        </row>
        <row r="1242">
          <cell r="A1242">
            <v>480000</v>
          </cell>
          <cell r="B1242">
            <v>1015</v>
          </cell>
          <cell r="C1242">
            <v>-88.53</v>
          </cell>
          <cell r="D1242" t="str">
            <v>203</v>
          </cell>
          <cell r="E1242" t="str">
            <v>408</v>
          </cell>
          <cell r="F1242">
            <v>0</v>
          </cell>
          <cell r="G1242">
            <v>2</v>
          </cell>
          <cell r="H1242" t="str">
            <v>2006-02-28</v>
          </cell>
        </row>
        <row r="1243">
          <cell r="A1243">
            <v>480000</v>
          </cell>
          <cell r="B1243">
            <v>1015</v>
          </cell>
          <cell r="C1243">
            <v>-127.45</v>
          </cell>
          <cell r="D1243" t="str">
            <v>203</v>
          </cell>
          <cell r="E1243" t="str">
            <v>408</v>
          </cell>
          <cell r="F1243">
            <v>0</v>
          </cell>
          <cell r="G1243">
            <v>2</v>
          </cell>
          <cell r="H1243" t="str">
            <v>2006-02-28</v>
          </cell>
        </row>
        <row r="1244">
          <cell r="A1244">
            <v>480000</v>
          </cell>
          <cell r="B1244">
            <v>1015</v>
          </cell>
          <cell r="C1244">
            <v>-12430.07</v>
          </cell>
          <cell r="D1244" t="str">
            <v>203</v>
          </cell>
          <cell r="E1244" t="str">
            <v>408</v>
          </cell>
          <cell r="F1244">
            <v>0</v>
          </cell>
          <cell r="G1244">
            <v>2</v>
          </cell>
          <cell r="H1244" t="str">
            <v>2006-02-28</v>
          </cell>
        </row>
        <row r="1245">
          <cell r="A1245">
            <v>480000</v>
          </cell>
          <cell r="B1245">
            <v>1015</v>
          </cell>
          <cell r="C1245">
            <v>-35259.67</v>
          </cell>
          <cell r="D1245" t="str">
            <v>203</v>
          </cell>
          <cell r="E1245" t="str">
            <v>408</v>
          </cell>
          <cell r="F1245">
            <v>0</v>
          </cell>
          <cell r="G1245">
            <v>2</v>
          </cell>
          <cell r="H1245" t="str">
            <v>2006-02-28</v>
          </cell>
        </row>
        <row r="1246">
          <cell r="A1246">
            <v>480000</v>
          </cell>
          <cell r="B1246">
            <v>1015</v>
          </cell>
          <cell r="C1246">
            <v>-193.15</v>
          </cell>
          <cell r="D1246" t="str">
            <v>203</v>
          </cell>
          <cell r="E1246" t="str">
            <v>408</v>
          </cell>
          <cell r="F1246">
            <v>0</v>
          </cell>
          <cell r="G1246">
            <v>2</v>
          </cell>
          <cell r="H1246" t="str">
            <v>2006-02-28</v>
          </cell>
        </row>
        <row r="1247">
          <cell r="A1247">
            <v>480000</v>
          </cell>
          <cell r="B1247">
            <v>1015</v>
          </cell>
          <cell r="C1247">
            <v>-64.430000000000007</v>
          </cell>
          <cell r="D1247" t="str">
            <v>203</v>
          </cell>
          <cell r="E1247" t="str">
            <v>408</v>
          </cell>
          <cell r="F1247">
            <v>0</v>
          </cell>
          <cell r="G1247">
            <v>2</v>
          </cell>
          <cell r="H1247" t="str">
            <v>2006-02-28</v>
          </cell>
        </row>
        <row r="1248">
          <cell r="A1248">
            <v>480000</v>
          </cell>
          <cell r="B1248">
            <v>1015</v>
          </cell>
          <cell r="C1248">
            <v>-67.28</v>
          </cell>
          <cell r="D1248" t="str">
            <v>203</v>
          </cell>
          <cell r="E1248" t="str">
            <v>408</v>
          </cell>
          <cell r="F1248">
            <v>0</v>
          </cell>
          <cell r="G1248">
            <v>2</v>
          </cell>
          <cell r="H1248" t="str">
            <v>2006-02-28</v>
          </cell>
        </row>
        <row r="1249">
          <cell r="A1249">
            <v>480000</v>
          </cell>
          <cell r="B1249">
            <v>1015</v>
          </cell>
          <cell r="C1249">
            <v>-3934.94</v>
          </cell>
          <cell r="D1249" t="str">
            <v>203</v>
          </cell>
          <cell r="E1249" t="str">
            <v>408</v>
          </cell>
          <cell r="F1249">
            <v>0</v>
          </cell>
          <cell r="G1249">
            <v>2</v>
          </cell>
          <cell r="H1249" t="str">
            <v>2006-02-28</v>
          </cell>
        </row>
        <row r="1250">
          <cell r="A1250">
            <v>480000</v>
          </cell>
          <cell r="B1250">
            <v>1015</v>
          </cell>
          <cell r="C1250">
            <v>-18.37</v>
          </cell>
          <cell r="D1250" t="str">
            <v>203</v>
          </cell>
          <cell r="E1250" t="str">
            <v>408</v>
          </cell>
          <cell r="F1250">
            <v>0</v>
          </cell>
          <cell r="G1250">
            <v>2</v>
          </cell>
          <cell r="H1250" t="str">
            <v>2006-02-28</v>
          </cell>
        </row>
        <row r="1251">
          <cell r="A1251">
            <v>480000</v>
          </cell>
          <cell r="B1251">
            <v>1015</v>
          </cell>
          <cell r="C1251">
            <v>-37.950000000000003</v>
          </cell>
          <cell r="D1251" t="str">
            <v>203</v>
          </cell>
          <cell r="E1251" t="str">
            <v>408</v>
          </cell>
          <cell r="F1251">
            <v>0</v>
          </cell>
          <cell r="G1251">
            <v>2</v>
          </cell>
          <cell r="H1251" t="str">
            <v>2006-02-28</v>
          </cell>
        </row>
        <row r="1252">
          <cell r="A1252">
            <v>480001</v>
          </cell>
          <cell r="B1252">
            <v>1015</v>
          </cell>
          <cell r="C1252">
            <v>13787.73</v>
          </cell>
          <cell r="D1252" t="str">
            <v>203</v>
          </cell>
          <cell r="E1252" t="str">
            <v>408</v>
          </cell>
          <cell r="F1252">
            <v>0</v>
          </cell>
          <cell r="G1252">
            <v>2</v>
          </cell>
          <cell r="H1252" t="str">
            <v>2006-02-28</v>
          </cell>
        </row>
        <row r="1253">
          <cell r="A1253">
            <v>481004</v>
          </cell>
          <cell r="B1253">
            <v>1015</v>
          </cell>
          <cell r="C1253">
            <v>0</v>
          </cell>
          <cell r="D1253" t="str">
            <v>203</v>
          </cell>
          <cell r="E1253" t="str">
            <v>408</v>
          </cell>
          <cell r="F1253">
            <v>0</v>
          </cell>
          <cell r="G1253">
            <v>2</v>
          </cell>
          <cell r="H1253" t="str">
            <v>2006-02-28</v>
          </cell>
        </row>
        <row r="1254">
          <cell r="A1254">
            <v>481004</v>
          </cell>
          <cell r="B1254">
            <v>1015</v>
          </cell>
          <cell r="C1254">
            <v>-1982.09</v>
          </cell>
          <cell r="D1254" t="str">
            <v>203</v>
          </cell>
          <cell r="E1254" t="str">
            <v>408</v>
          </cell>
          <cell r="F1254">
            <v>0</v>
          </cell>
          <cell r="G1254">
            <v>2</v>
          </cell>
          <cell r="H1254" t="str">
            <v>2006-02-28</v>
          </cell>
        </row>
        <row r="1255">
          <cell r="A1255">
            <v>481004</v>
          </cell>
          <cell r="B1255">
            <v>1015</v>
          </cell>
          <cell r="C1255">
            <v>-41.01</v>
          </cell>
          <cell r="D1255" t="str">
            <v>203</v>
          </cell>
          <cell r="E1255" t="str">
            <v>408</v>
          </cell>
          <cell r="F1255">
            <v>0</v>
          </cell>
          <cell r="G1255">
            <v>2</v>
          </cell>
          <cell r="H1255" t="str">
            <v>2006-02-28</v>
          </cell>
        </row>
        <row r="1256">
          <cell r="A1256">
            <v>481004</v>
          </cell>
          <cell r="B1256">
            <v>1015</v>
          </cell>
          <cell r="C1256">
            <v>-8200.23</v>
          </cell>
          <cell r="D1256" t="str">
            <v>203</v>
          </cell>
          <cell r="E1256" t="str">
            <v>408</v>
          </cell>
          <cell r="F1256">
            <v>0</v>
          </cell>
          <cell r="G1256">
            <v>2</v>
          </cell>
          <cell r="H1256" t="str">
            <v>2006-02-28</v>
          </cell>
        </row>
        <row r="1257">
          <cell r="A1257">
            <v>481004</v>
          </cell>
          <cell r="B1257">
            <v>1015</v>
          </cell>
          <cell r="C1257">
            <v>-22089.58</v>
          </cell>
          <cell r="D1257" t="str">
            <v>203</v>
          </cell>
          <cell r="E1257" t="str">
            <v>408</v>
          </cell>
          <cell r="F1257">
            <v>0</v>
          </cell>
          <cell r="G1257">
            <v>2</v>
          </cell>
          <cell r="H1257" t="str">
            <v>2006-02-28</v>
          </cell>
        </row>
        <row r="1258">
          <cell r="A1258">
            <v>481004</v>
          </cell>
          <cell r="B1258">
            <v>1015</v>
          </cell>
          <cell r="C1258">
            <v>-119.36</v>
          </cell>
          <cell r="D1258" t="str">
            <v>203</v>
          </cell>
          <cell r="E1258" t="str">
            <v>408</v>
          </cell>
          <cell r="F1258">
            <v>0</v>
          </cell>
          <cell r="G1258">
            <v>2</v>
          </cell>
          <cell r="H1258" t="str">
            <v>2006-02-28</v>
          </cell>
        </row>
        <row r="1259">
          <cell r="A1259">
            <v>481004</v>
          </cell>
          <cell r="B1259">
            <v>1015</v>
          </cell>
          <cell r="C1259">
            <v>-166.91</v>
          </cell>
          <cell r="D1259" t="str">
            <v>203</v>
          </cell>
          <cell r="E1259" t="str">
            <v>408</v>
          </cell>
          <cell r="F1259">
            <v>0</v>
          </cell>
          <cell r="G1259">
            <v>2</v>
          </cell>
          <cell r="H1259" t="str">
            <v>2006-02-28</v>
          </cell>
        </row>
        <row r="1260">
          <cell r="A1260">
            <v>481004</v>
          </cell>
          <cell r="B1260">
            <v>1015</v>
          </cell>
          <cell r="C1260">
            <v>-8.9700000000000006</v>
          </cell>
          <cell r="D1260" t="str">
            <v>203</v>
          </cell>
          <cell r="E1260" t="str">
            <v>408</v>
          </cell>
          <cell r="F1260">
            <v>0</v>
          </cell>
          <cell r="G1260">
            <v>2</v>
          </cell>
          <cell r="H1260" t="str">
            <v>2006-02-28</v>
          </cell>
        </row>
        <row r="1261">
          <cell r="A1261">
            <v>481004</v>
          </cell>
          <cell r="B1261">
            <v>1015</v>
          </cell>
          <cell r="C1261">
            <v>-864.72</v>
          </cell>
          <cell r="D1261" t="str">
            <v>203</v>
          </cell>
          <cell r="E1261" t="str">
            <v>408</v>
          </cell>
          <cell r="F1261">
            <v>0</v>
          </cell>
          <cell r="G1261">
            <v>2</v>
          </cell>
          <cell r="H1261" t="str">
            <v>2006-02-28</v>
          </cell>
        </row>
        <row r="1262">
          <cell r="A1262">
            <v>481004</v>
          </cell>
          <cell r="B1262">
            <v>1015</v>
          </cell>
          <cell r="C1262">
            <v>-109.66</v>
          </cell>
          <cell r="D1262" t="str">
            <v>203</v>
          </cell>
          <cell r="E1262" t="str">
            <v>408</v>
          </cell>
          <cell r="F1262">
            <v>0</v>
          </cell>
          <cell r="G1262">
            <v>2</v>
          </cell>
          <cell r="H1262" t="str">
            <v>2006-02-28</v>
          </cell>
        </row>
        <row r="1263">
          <cell r="A1263">
            <v>481002</v>
          </cell>
          <cell r="B1263">
            <v>1015</v>
          </cell>
          <cell r="C1263">
            <v>0</v>
          </cell>
          <cell r="D1263" t="str">
            <v>203</v>
          </cell>
          <cell r="E1263" t="str">
            <v>409</v>
          </cell>
          <cell r="F1263">
            <v>0</v>
          </cell>
          <cell r="G1263">
            <v>2</v>
          </cell>
          <cell r="H1263" t="str">
            <v>2006-02-28</v>
          </cell>
        </row>
        <row r="1264">
          <cell r="A1264">
            <v>481002</v>
          </cell>
          <cell r="B1264">
            <v>1015</v>
          </cell>
          <cell r="C1264">
            <v>0</v>
          </cell>
          <cell r="D1264" t="str">
            <v>203</v>
          </cell>
          <cell r="E1264" t="str">
            <v>409</v>
          </cell>
          <cell r="F1264">
            <v>0</v>
          </cell>
          <cell r="G1264">
            <v>2</v>
          </cell>
          <cell r="H1264" t="str">
            <v>2006-02-28</v>
          </cell>
        </row>
        <row r="1265">
          <cell r="A1265">
            <v>481002</v>
          </cell>
          <cell r="B1265">
            <v>1015</v>
          </cell>
          <cell r="C1265">
            <v>0</v>
          </cell>
          <cell r="D1265" t="str">
            <v>203</v>
          </cell>
          <cell r="E1265" t="str">
            <v>409</v>
          </cell>
          <cell r="F1265">
            <v>0</v>
          </cell>
          <cell r="G1265">
            <v>2</v>
          </cell>
          <cell r="H1265" t="str">
            <v>2006-02-28</v>
          </cell>
        </row>
        <row r="1266">
          <cell r="A1266">
            <v>481002</v>
          </cell>
          <cell r="B1266">
            <v>1015</v>
          </cell>
          <cell r="C1266">
            <v>0</v>
          </cell>
          <cell r="D1266" t="str">
            <v>203</v>
          </cell>
          <cell r="E1266" t="str">
            <v>411</v>
          </cell>
          <cell r="F1266">
            <v>0</v>
          </cell>
          <cell r="G1266">
            <v>2</v>
          </cell>
          <cell r="H1266" t="str">
            <v>2006-02-28</v>
          </cell>
        </row>
        <row r="1267">
          <cell r="A1267">
            <v>481002</v>
          </cell>
          <cell r="B1267">
            <v>1015</v>
          </cell>
          <cell r="C1267">
            <v>-32989.5</v>
          </cell>
          <cell r="D1267" t="str">
            <v>203</v>
          </cell>
          <cell r="E1267" t="str">
            <v>411</v>
          </cell>
          <cell r="F1267">
            <v>0</v>
          </cell>
          <cell r="G1267">
            <v>2</v>
          </cell>
          <cell r="H1267" t="str">
            <v>2006-02-28</v>
          </cell>
        </row>
        <row r="1268">
          <cell r="A1268">
            <v>481002</v>
          </cell>
          <cell r="B1268">
            <v>1015</v>
          </cell>
          <cell r="C1268">
            <v>48583.76</v>
          </cell>
          <cell r="D1268" t="str">
            <v>203</v>
          </cell>
          <cell r="E1268" t="str">
            <v>411</v>
          </cell>
          <cell r="F1268">
            <v>0</v>
          </cell>
          <cell r="G1268">
            <v>2</v>
          </cell>
          <cell r="H1268" t="str">
            <v>2006-02-28</v>
          </cell>
        </row>
        <row r="1269">
          <cell r="A1269">
            <v>481002</v>
          </cell>
          <cell r="B1269">
            <v>1015</v>
          </cell>
          <cell r="C1269">
            <v>-6662.66</v>
          </cell>
          <cell r="D1269" t="str">
            <v>203</v>
          </cell>
          <cell r="E1269" t="str">
            <v>411</v>
          </cell>
          <cell r="F1269">
            <v>0</v>
          </cell>
          <cell r="G1269">
            <v>2</v>
          </cell>
          <cell r="H1269" t="str">
            <v>2006-02-28</v>
          </cell>
        </row>
        <row r="1270">
          <cell r="A1270">
            <v>481002</v>
          </cell>
          <cell r="B1270">
            <v>1015</v>
          </cell>
          <cell r="C1270">
            <v>-9586.2199999999993</v>
          </cell>
          <cell r="D1270" t="str">
            <v>203</v>
          </cell>
          <cell r="E1270" t="str">
            <v>411</v>
          </cell>
          <cell r="F1270">
            <v>0</v>
          </cell>
          <cell r="G1270">
            <v>2</v>
          </cell>
          <cell r="H1270" t="str">
            <v>2006-02-28</v>
          </cell>
        </row>
        <row r="1271">
          <cell r="A1271">
            <v>481002</v>
          </cell>
          <cell r="B1271">
            <v>1015</v>
          </cell>
          <cell r="C1271">
            <v>-194.54</v>
          </cell>
          <cell r="D1271" t="str">
            <v>203</v>
          </cell>
          <cell r="E1271" t="str">
            <v>411</v>
          </cell>
          <cell r="F1271">
            <v>0</v>
          </cell>
          <cell r="G1271">
            <v>2</v>
          </cell>
          <cell r="H1271" t="str">
            <v>2006-02-28</v>
          </cell>
        </row>
        <row r="1272">
          <cell r="A1272">
            <v>481002</v>
          </cell>
          <cell r="B1272">
            <v>1015</v>
          </cell>
          <cell r="C1272">
            <v>-1473.3</v>
          </cell>
          <cell r="D1272" t="str">
            <v>203</v>
          </cell>
          <cell r="E1272" t="str">
            <v>411</v>
          </cell>
          <cell r="F1272">
            <v>0</v>
          </cell>
          <cell r="G1272">
            <v>2</v>
          </cell>
          <cell r="H1272" t="str">
            <v>2006-02-28</v>
          </cell>
        </row>
        <row r="1273">
          <cell r="A1273">
            <v>481002</v>
          </cell>
          <cell r="B1273">
            <v>1015</v>
          </cell>
          <cell r="C1273">
            <v>-613.35</v>
          </cell>
          <cell r="D1273" t="str">
            <v>203</v>
          </cell>
          <cell r="E1273" t="str">
            <v>411</v>
          </cell>
          <cell r="F1273">
            <v>0</v>
          </cell>
          <cell r="G1273">
            <v>2</v>
          </cell>
          <cell r="H1273" t="str">
            <v>2006-02-28</v>
          </cell>
        </row>
        <row r="1274">
          <cell r="A1274">
            <v>481002</v>
          </cell>
          <cell r="B1274">
            <v>1015</v>
          </cell>
          <cell r="C1274">
            <v>-1519.48</v>
          </cell>
          <cell r="D1274" t="str">
            <v>203</v>
          </cell>
          <cell r="E1274" t="str">
            <v>411</v>
          </cell>
          <cell r="F1274">
            <v>0</v>
          </cell>
          <cell r="G1274">
            <v>2</v>
          </cell>
          <cell r="H1274" t="str">
            <v>2006-02-28</v>
          </cell>
        </row>
        <row r="1275">
          <cell r="A1275">
            <v>481002</v>
          </cell>
          <cell r="B1275">
            <v>1015</v>
          </cell>
          <cell r="C1275">
            <v>-343.87</v>
          </cell>
          <cell r="D1275" t="str">
            <v>203</v>
          </cell>
          <cell r="E1275" t="str">
            <v>411</v>
          </cell>
          <cell r="F1275">
            <v>0</v>
          </cell>
          <cell r="G1275">
            <v>2</v>
          </cell>
          <cell r="H1275" t="str">
            <v>2006-02-28</v>
          </cell>
        </row>
        <row r="1276">
          <cell r="A1276">
            <v>481002</v>
          </cell>
          <cell r="B1276">
            <v>1015</v>
          </cell>
          <cell r="C1276">
            <v>-1052.1199999999999</v>
          </cell>
          <cell r="D1276" t="str">
            <v>203</v>
          </cell>
          <cell r="E1276" t="str">
            <v>411</v>
          </cell>
          <cell r="F1276">
            <v>0</v>
          </cell>
          <cell r="G1276">
            <v>2</v>
          </cell>
          <cell r="H1276" t="str">
            <v>2006-02-28</v>
          </cell>
        </row>
        <row r="1277">
          <cell r="A1277">
            <v>481005</v>
          </cell>
          <cell r="B1277">
            <v>1015</v>
          </cell>
          <cell r="C1277">
            <v>0</v>
          </cell>
          <cell r="D1277" t="str">
            <v>203</v>
          </cell>
          <cell r="E1277" t="str">
            <v>411</v>
          </cell>
          <cell r="F1277">
            <v>0</v>
          </cell>
          <cell r="G1277">
            <v>2</v>
          </cell>
          <cell r="H1277" t="str">
            <v>2006-02-28</v>
          </cell>
        </row>
        <row r="1278">
          <cell r="A1278">
            <v>481005</v>
          </cell>
          <cell r="B1278">
            <v>1015</v>
          </cell>
          <cell r="C1278">
            <v>61257.85</v>
          </cell>
          <cell r="D1278" t="str">
            <v>203</v>
          </cell>
          <cell r="E1278" t="str">
            <v>411</v>
          </cell>
          <cell r="F1278">
            <v>0</v>
          </cell>
          <cell r="G1278">
            <v>2</v>
          </cell>
          <cell r="H1278" t="str">
            <v>2006-02-28</v>
          </cell>
        </row>
        <row r="1279">
          <cell r="A1279">
            <v>481005</v>
          </cell>
          <cell r="B1279">
            <v>1015</v>
          </cell>
          <cell r="C1279">
            <v>-70330.77</v>
          </cell>
          <cell r="D1279" t="str">
            <v>203</v>
          </cell>
          <cell r="E1279" t="str">
            <v>411</v>
          </cell>
          <cell r="F1279">
            <v>0</v>
          </cell>
          <cell r="G1279">
            <v>2</v>
          </cell>
          <cell r="H1279" t="str">
            <v>2006-02-28</v>
          </cell>
        </row>
        <row r="1280">
          <cell r="A1280">
            <v>481005</v>
          </cell>
          <cell r="B1280">
            <v>1015</v>
          </cell>
          <cell r="C1280">
            <v>-19.78</v>
          </cell>
          <cell r="D1280" t="str">
            <v>203</v>
          </cell>
          <cell r="E1280" t="str">
            <v>411</v>
          </cell>
          <cell r="F1280">
            <v>0</v>
          </cell>
          <cell r="G1280">
            <v>2</v>
          </cell>
          <cell r="H1280" t="str">
            <v>2006-02-28</v>
          </cell>
        </row>
        <row r="1281">
          <cell r="A1281">
            <v>481005</v>
          </cell>
          <cell r="B1281">
            <v>1015</v>
          </cell>
          <cell r="C1281">
            <v>-278.32</v>
          </cell>
          <cell r="D1281" t="str">
            <v>203</v>
          </cell>
          <cell r="E1281" t="str">
            <v>411</v>
          </cell>
          <cell r="F1281">
            <v>0</v>
          </cell>
          <cell r="G1281">
            <v>2</v>
          </cell>
          <cell r="H1281" t="str">
            <v>2006-02-28</v>
          </cell>
        </row>
        <row r="1282">
          <cell r="A1282">
            <v>481005</v>
          </cell>
          <cell r="B1282">
            <v>1015</v>
          </cell>
          <cell r="C1282">
            <v>-7173.51</v>
          </cell>
          <cell r="D1282" t="str">
            <v>203</v>
          </cell>
          <cell r="E1282" t="str">
            <v>411</v>
          </cell>
          <cell r="F1282">
            <v>0</v>
          </cell>
          <cell r="G1282">
            <v>2</v>
          </cell>
          <cell r="H1282" t="str">
            <v>2006-02-28</v>
          </cell>
        </row>
        <row r="1283">
          <cell r="A1283">
            <v>481005</v>
          </cell>
          <cell r="B1283">
            <v>1015</v>
          </cell>
          <cell r="C1283">
            <v>-266.82</v>
          </cell>
          <cell r="D1283" t="str">
            <v>203</v>
          </cell>
          <cell r="E1283" t="str">
            <v>411</v>
          </cell>
          <cell r="F1283">
            <v>0</v>
          </cell>
          <cell r="G1283">
            <v>2</v>
          </cell>
          <cell r="H1283" t="str">
            <v>2006-02-28</v>
          </cell>
        </row>
        <row r="1284">
          <cell r="A1284">
            <v>481005</v>
          </cell>
          <cell r="B1284">
            <v>1015</v>
          </cell>
          <cell r="C1284">
            <v>-1272.5899999999999</v>
          </cell>
          <cell r="D1284" t="str">
            <v>203</v>
          </cell>
          <cell r="E1284" t="str">
            <v>411</v>
          </cell>
          <cell r="F1284">
            <v>0</v>
          </cell>
          <cell r="G1284">
            <v>2</v>
          </cell>
          <cell r="H1284" t="str">
            <v>2006-02-28</v>
          </cell>
        </row>
        <row r="1285">
          <cell r="A1285">
            <v>481005</v>
          </cell>
          <cell r="B1285">
            <v>1015</v>
          </cell>
          <cell r="C1285">
            <v>-362.82</v>
          </cell>
          <cell r="D1285" t="str">
            <v>203</v>
          </cell>
          <cell r="E1285" t="str">
            <v>411</v>
          </cell>
          <cell r="F1285">
            <v>0</v>
          </cell>
          <cell r="G1285">
            <v>2</v>
          </cell>
          <cell r="H1285" t="str">
            <v>2006-02-28</v>
          </cell>
        </row>
        <row r="1286">
          <cell r="A1286">
            <v>481005</v>
          </cell>
          <cell r="B1286">
            <v>1015</v>
          </cell>
          <cell r="C1286">
            <v>-258.77999999999997</v>
          </cell>
          <cell r="D1286" t="str">
            <v>203</v>
          </cell>
          <cell r="E1286" t="str">
            <v>411</v>
          </cell>
          <cell r="F1286">
            <v>0</v>
          </cell>
          <cell r="G1286">
            <v>2</v>
          </cell>
          <cell r="H1286" t="str">
            <v>2006-02-28</v>
          </cell>
        </row>
        <row r="1287">
          <cell r="A1287">
            <v>481005</v>
          </cell>
          <cell r="B1287">
            <v>1015</v>
          </cell>
          <cell r="C1287">
            <v>-541.84</v>
          </cell>
          <cell r="D1287" t="str">
            <v>203</v>
          </cell>
          <cell r="E1287" t="str">
            <v>411</v>
          </cell>
          <cell r="F1287">
            <v>0</v>
          </cell>
          <cell r="G1287">
            <v>2</v>
          </cell>
          <cell r="H1287" t="str">
            <v>2006-02-28</v>
          </cell>
        </row>
        <row r="1288">
          <cell r="A1288">
            <v>481005</v>
          </cell>
          <cell r="B1288">
            <v>1015</v>
          </cell>
          <cell r="C1288">
            <v>-695.38</v>
          </cell>
          <cell r="D1288" t="str">
            <v>203</v>
          </cell>
          <cell r="E1288" t="str">
            <v>411</v>
          </cell>
          <cell r="F1288">
            <v>0</v>
          </cell>
          <cell r="G1288">
            <v>2</v>
          </cell>
          <cell r="H1288" t="str">
            <v>2006-02-28</v>
          </cell>
        </row>
        <row r="1289">
          <cell r="A1289">
            <v>481005</v>
          </cell>
          <cell r="B1289">
            <v>1015</v>
          </cell>
          <cell r="C1289">
            <v>-1428.37</v>
          </cell>
          <cell r="D1289" t="str">
            <v>203</v>
          </cell>
          <cell r="E1289" t="str">
            <v>411</v>
          </cell>
          <cell r="F1289">
            <v>0</v>
          </cell>
          <cell r="G1289">
            <v>2</v>
          </cell>
          <cell r="H1289" t="str">
            <v>2006-02-28</v>
          </cell>
        </row>
        <row r="1290">
          <cell r="A1290">
            <v>481005</v>
          </cell>
          <cell r="B1290">
            <v>1015</v>
          </cell>
          <cell r="C1290">
            <v>-420.36</v>
          </cell>
          <cell r="D1290" t="str">
            <v>203</v>
          </cell>
          <cell r="E1290" t="str">
            <v>411</v>
          </cell>
          <cell r="F1290">
            <v>0</v>
          </cell>
          <cell r="G1290">
            <v>2</v>
          </cell>
          <cell r="H1290" t="str">
            <v>2006-02-28</v>
          </cell>
        </row>
        <row r="1291">
          <cell r="A1291">
            <v>481002</v>
          </cell>
          <cell r="B1291">
            <v>1015</v>
          </cell>
          <cell r="C1291">
            <v>0</v>
          </cell>
          <cell r="D1291" t="str">
            <v>203</v>
          </cell>
          <cell r="E1291" t="str">
            <v>414</v>
          </cell>
          <cell r="F1291">
            <v>0</v>
          </cell>
          <cell r="G1291">
            <v>2</v>
          </cell>
          <cell r="H1291" t="str">
            <v>2006-02-28</v>
          </cell>
        </row>
        <row r="1292">
          <cell r="A1292">
            <v>481002</v>
          </cell>
          <cell r="B1292">
            <v>1015</v>
          </cell>
          <cell r="C1292">
            <v>-3954.74</v>
          </cell>
          <cell r="D1292" t="str">
            <v>203</v>
          </cell>
          <cell r="E1292" t="str">
            <v>414</v>
          </cell>
          <cell r="F1292">
            <v>0</v>
          </cell>
          <cell r="G1292">
            <v>2</v>
          </cell>
          <cell r="H1292" t="str">
            <v>2006-02-28</v>
          </cell>
        </row>
        <row r="1293">
          <cell r="A1293">
            <v>481002</v>
          </cell>
          <cell r="B1293">
            <v>1015</v>
          </cell>
          <cell r="C1293">
            <v>5565.26</v>
          </cell>
          <cell r="D1293" t="str">
            <v>203</v>
          </cell>
          <cell r="E1293" t="str">
            <v>414</v>
          </cell>
          <cell r="F1293">
            <v>0</v>
          </cell>
          <cell r="G1293">
            <v>2</v>
          </cell>
          <cell r="H1293" t="str">
            <v>2006-02-28</v>
          </cell>
        </row>
        <row r="1294">
          <cell r="A1294">
            <v>481002</v>
          </cell>
          <cell r="B1294">
            <v>1015</v>
          </cell>
          <cell r="C1294">
            <v>-1187.3699999999999</v>
          </cell>
          <cell r="D1294" t="str">
            <v>203</v>
          </cell>
          <cell r="E1294" t="str">
            <v>414</v>
          </cell>
          <cell r="F1294">
            <v>0</v>
          </cell>
          <cell r="G1294">
            <v>2</v>
          </cell>
          <cell r="H1294" t="str">
            <v>2006-02-28</v>
          </cell>
        </row>
        <row r="1295">
          <cell r="A1295">
            <v>481002</v>
          </cell>
          <cell r="B1295">
            <v>1015</v>
          </cell>
          <cell r="C1295">
            <v>-1471.54</v>
          </cell>
          <cell r="D1295" t="str">
            <v>203</v>
          </cell>
          <cell r="E1295" t="str">
            <v>414</v>
          </cell>
          <cell r="F1295">
            <v>0</v>
          </cell>
          <cell r="G1295">
            <v>2</v>
          </cell>
          <cell r="H1295" t="str">
            <v>2006-02-28</v>
          </cell>
        </row>
        <row r="1296">
          <cell r="A1296">
            <v>481005</v>
          </cell>
          <cell r="B1296">
            <v>1015</v>
          </cell>
          <cell r="C1296">
            <v>0</v>
          </cell>
          <cell r="D1296" t="str">
            <v>203</v>
          </cell>
          <cell r="E1296" t="str">
            <v>414</v>
          </cell>
          <cell r="F1296">
            <v>0</v>
          </cell>
          <cell r="G1296">
            <v>2</v>
          </cell>
          <cell r="H1296" t="str">
            <v>2006-02-28</v>
          </cell>
        </row>
        <row r="1297">
          <cell r="A1297">
            <v>481005</v>
          </cell>
          <cell r="B1297">
            <v>1015</v>
          </cell>
          <cell r="C1297">
            <v>6557.17</v>
          </cell>
          <cell r="D1297" t="str">
            <v>203</v>
          </cell>
          <cell r="E1297" t="str">
            <v>414</v>
          </cell>
          <cell r="F1297">
            <v>0</v>
          </cell>
          <cell r="G1297">
            <v>2</v>
          </cell>
          <cell r="H1297" t="str">
            <v>2006-02-28</v>
          </cell>
        </row>
        <row r="1298">
          <cell r="A1298">
            <v>481005</v>
          </cell>
          <cell r="B1298">
            <v>1015</v>
          </cell>
          <cell r="C1298">
            <v>-7376.47</v>
          </cell>
          <cell r="D1298" t="str">
            <v>203</v>
          </cell>
          <cell r="E1298" t="str">
            <v>414</v>
          </cell>
          <cell r="F1298">
            <v>0</v>
          </cell>
          <cell r="G1298">
            <v>2</v>
          </cell>
          <cell r="H1298" t="str">
            <v>2006-02-28</v>
          </cell>
        </row>
        <row r="1299">
          <cell r="A1299">
            <v>481005</v>
          </cell>
          <cell r="B1299">
            <v>1015</v>
          </cell>
          <cell r="C1299">
            <v>-876.31</v>
          </cell>
          <cell r="D1299" t="str">
            <v>203</v>
          </cell>
          <cell r="E1299" t="str">
            <v>414</v>
          </cell>
          <cell r="F1299">
            <v>0</v>
          </cell>
          <cell r="G1299">
            <v>2</v>
          </cell>
          <cell r="H1299" t="str">
            <v>2006-02-28</v>
          </cell>
        </row>
        <row r="1300">
          <cell r="A1300">
            <v>481005</v>
          </cell>
          <cell r="B1300">
            <v>1015</v>
          </cell>
          <cell r="C1300">
            <v>-163.47</v>
          </cell>
          <cell r="D1300" t="str">
            <v>203</v>
          </cell>
          <cell r="E1300" t="str">
            <v>414</v>
          </cell>
          <cell r="F1300">
            <v>0</v>
          </cell>
          <cell r="G1300">
            <v>2</v>
          </cell>
          <cell r="H1300" t="str">
            <v>2006-02-28</v>
          </cell>
        </row>
        <row r="1301">
          <cell r="A1301">
            <v>481000</v>
          </cell>
          <cell r="B1301">
            <v>1015</v>
          </cell>
          <cell r="C1301">
            <v>0</v>
          </cell>
          <cell r="D1301" t="str">
            <v>203</v>
          </cell>
          <cell r="E1301" t="str">
            <v>451</v>
          </cell>
          <cell r="F1301">
            <v>0</v>
          </cell>
          <cell r="G1301">
            <v>2</v>
          </cell>
          <cell r="H1301" t="str">
            <v>2006-02-28</v>
          </cell>
        </row>
        <row r="1302">
          <cell r="A1302">
            <v>481000</v>
          </cell>
          <cell r="B1302">
            <v>1015</v>
          </cell>
          <cell r="C1302">
            <v>0</v>
          </cell>
          <cell r="D1302" t="str">
            <v>203</v>
          </cell>
          <cell r="E1302" t="str">
            <v>451</v>
          </cell>
          <cell r="F1302">
            <v>0</v>
          </cell>
          <cell r="G1302">
            <v>2</v>
          </cell>
          <cell r="H1302" t="str">
            <v>2006-02-28</v>
          </cell>
        </row>
        <row r="1303">
          <cell r="A1303">
            <v>481000</v>
          </cell>
          <cell r="B1303">
            <v>1015</v>
          </cell>
          <cell r="C1303">
            <v>0</v>
          </cell>
          <cell r="D1303" t="str">
            <v>203</v>
          </cell>
          <cell r="E1303" t="str">
            <v>451</v>
          </cell>
          <cell r="F1303">
            <v>0</v>
          </cell>
          <cell r="G1303">
            <v>2</v>
          </cell>
          <cell r="H1303" t="str">
            <v>2006-02-28</v>
          </cell>
        </row>
        <row r="1304">
          <cell r="A1304">
            <v>481004</v>
          </cell>
          <cell r="B1304">
            <v>1015</v>
          </cell>
          <cell r="C1304">
            <v>0</v>
          </cell>
          <cell r="D1304" t="str">
            <v>203</v>
          </cell>
          <cell r="E1304" t="str">
            <v>451</v>
          </cell>
          <cell r="F1304">
            <v>0</v>
          </cell>
          <cell r="G1304">
            <v>2</v>
          </cell>
          <cell r="H1304" t="str">
            <v>2006-02-28</v>
          </cell>
        </row>
        <row r="1305">
          <cell r="A1305">
            <v>481004</v>
          </cell>
          <cell r="B1305">
            <v>1015</v>
          </cell>
          <cell r="C1305">
            <v>0</v>
          </cell>
          <cell r="D1305" t="str">
            <v>203</v>
          </cell>
          <cell r="E1305" t="str">
            <v>451</v>
          </cell>
          <cell r="F1305">
            <v>0</v>
          </cell>
          <cell r="G1305">
            <v>2</v>
          </cell>
          <cell r="H1305" t="str">
            <v>2006-02-28</v>
          </cell>
        </row>
        <row r="1306">
          <cell r="A1306">
            <v>481004</v>
          </cell>
          <cell r="B1306">
            <v>1015</v>
          </cell>
          <cell r="C1306">
            <v>0</v>
          </cell>
          <cell r="D1306" t="str">
            <v>203</v>
          </cell>
          <cell r="E1306" t="str">
            <v>451</v>
          </cell>
          <cell r="F1306">
            <v>0</v>
          </cell>
          <cell r="G1306">
            <v>2</v>
          </cell>
          <cell r="H1306" t="str">
            <v>2006-02-28</v>
          </cell>
        </row>
        <row r="1307">
          <cell r="A1307">
            <v>480001</v>
          </cell>
          <cell r="B1307">
            <v>1015</v>
          </cell>
          <cell r="C1307">
            <v>0</v>
          </cell>
          <cell r="D1307" t="str">
            <v>203</v>
          </cell>
          <cell r="E1307" t="str">
            <v>453</v>
          </cell>
          <cell r="F1307">
            <v>0</v>
          </cell>
          <cell r="G1307">
            <v>2</v>
          </cell>
          <cell r="H1307" t="str">
            <v>2006-02-28</v>
          </cell>
        </row>
        <row r="1308">
          <cell r="A1308">
            <v>480001</v>
          </cell>
          <cell r="B1308">
            <v>1015</v>
          </cell>
          <cell r="C1308">
            <v>0</v>
          </cell>
          <cell r="D1308" t="str">
            <v>203</v>
          </cell>
          <cell r="E1308" t="str">
            <v>455</v>
          </cell>
          <cell r="F1308">
            <v>0</v>
          </cell>
          <cell r="G1308">
            <v>2</v>
          </cell>
          <cell r="H1308" t="str">
            <v>2006-02-28</v>
          </cell>
        </row>
        <row r="1309">
          <cell r="A1309">
            <v>481002</v>
          </cell>
          <cell r="B1309">
            <v>1015</v>
          </cell>
          <cell r="C1309">
            <v>0</v>
          </cell>
          <cell r="D1309" t="str">
            <v>203</v>
          </cell>
          <cell r="E1309" t="str">
            <v>456</v>
          </cell>
          <cell r="F1309">
            <v>0</v>
          </cell>
          <cell r="G1309">
            <v>2</v>
          </cell>
          <cell r="H1309" t="str">
            <v>2006-02-28</v>
          </cell>
        </row>
        <row r="1310">
          <cell r="A1310">
            <v>481002</v>
          </cell>
          <cell r="B1310">
            <v>1015</v>
          </cell>
          <cell r="C1310">
            <v>0</v>
          </cell>
          <cell r="D1310" t="str">
            <v>203</v>
          </cell>
          <cell r="E1310" t="str">
            <v>456</v>
          </cell>
          <cell r="F1310">
            <v>0</v>
          </cell>
          <cell r="G1310">
            <v>2</v>
          </cell>
          <cell r="H1310" t="str">
            <v>2006-02-28</v>
          </cell>
        </row>
        <row r="1311">
          <cell r="A1311">
            <v>481002</v>
          </cell>
          <cell r="B1311">
            <v>1015</v>
          </cell>
          <cell r="C1311">
            <v>0</v>
          </cell>
          <cell r="D1311" t="str">
            <v>203</v>
          </cell>
          <cell r="E1311" t="str">
            <v>456</v>
          </cell>
          <cell r="F1311">
            <v>0</v>
          </cell>
          <cell r="G1311">
            <v>2</v>
          </cell>
          <cell r="H1311" t="str">
            <v>2006-02-28</v>
          </cell>
        </row>
        <row r="1312">
          <cell r="A1312">
            <v>481002</v>
          </cell>
          <cell r="B1312">
            <v>1015</v>
          </cell>
          <cell r="C1312">
            <v>0</v>
          </cell>
          <cell r="D1312" t="str">
            <v>203</v>
          </cell>
          <cell r="E1312" t="str">
            <v>457</v>
          </cell>
          <cell r="F1312">
            <v>0</v>
          </cell>
          <cell r="G1312">
            <v>2</v>
          </cell>
          <cell r="H1312" t="str">
            <v>2006-02-28</v>
          </cell>
        </row>
        <row r="1313">
          <cell r="A1313">
            <v>481002</v>
          </cell>
          <cell r="B1313">
            <v>1015</v>
          </cell>
          <cell r="C1313">
            <v>3689.42</v>
          </cell>
          <cell r="D1313" t="str">
            <v>203</v>
          </cell>
          <cell r="E1313" t="str">
            <v>457</v>
          </cell>
          <cell r="F1313">
            <v>0</v>
          </cell>
          <cell r="G1313">
            <v>2</v>
          </cell>
          <cell r="H1313" t="str">
            <v>2006-02-28</v>
          </cell>
        </row>
        <row r="1314">
          <cell r="A1314">
            <v>481002</v>
          </cell>
          <cell r="B1314">
            <v>1015</v>
          </cell>
          <cell r="C1314">
            <v>-3838.64</v>
          </cell>
          <cell r="D1314" t="str">
            <v>203</v>
          </cell>
          <cell r="E1314" t="str">
            <v>457</v>
          </cell>
          <cell r="F1314">
            <v>0</v>
          </cell>
          <cell r="G1314">
            <v>2</v>
          </cell>
          <cell r="H1314" t="str">
            <v>2006-02-28</v>
          </cell>
        </row>
        <row r="1315">
          <cell r="A1315">
            <v>481005</v>
          </cell>
          <cell r="B1315">
            <v>1015</v>
          </cell>
          <cell r="C1315">
            <v>0</v>
          </cell>
          <cell r="D1315" t="str">
            <v>203</v>
          </cell>
          <cell r="E1315" t="str">
            <v>457</v>
          </cell>
          <cell r="F1315">
            <v>0</v>
          </cell>
          <cell r="G1315">
            <v>2</v>
          </cell>
          <cell r="H1315" t="str">
            <v>2006-02-28</v>
          </cell>
        </row>
        <row r="1316">
          <cell r="A1316">
            <v>481005</v>
          </cell>
          <cell r="B1316">
            <v>1015</v>
          </cell>
          <cell r="C1316">
            <v>5925.3</v>
          </cell>
          <cell r="D1316" t="str">
            <v>203</v>
          </cell>
          <cell r="E1316" t="str">
            <v>457</v>
          </cell>
          <cell r="F1316">
            <v>0</v>
          </cell>
          <cell r="G1316">
            <v>2</v>
          </cell>
          <cell r="H1316" t="str">
            <v>2006-02-28</v>
          </cell>
        </row>
        <row r="1317">
          <cell r="A1317">
            <v>481005</v>
          </cell>
          <cell r="B1317">
            <v>1015</v>
          </cell>
          <cell r="C1317">
            <v>-8736.2999999999993</v>
          </cell>
          <cell r="D1317" t="str">
            <v>203</v>
          </cell>
          <cell r="E1317" t="str">
            <v>457</v>
          </cell>
          <cell r="F1317">
            <v>0</v>
          </cell>
          <cell r="G1317">
            <v>2</v>
          </cell>
          <cell r="H1317" t="str">
            <v>2006-02-28</v>
          </cell>
        </row>
        <row r="1318">
          <cell r="A1318">
            <v>489300</v>
          </cell>
          <cell r="B1318">
            <v>1015</v>
          </cell>
          <cell r="C1318">
            <v>0</v>
          </cell>
          <cell r="D1318" t="str">
            <v>250</v>
          </cell>
          <cell r="E1318" t="str">
            <v>405</v>
          </cell>
          <cell r="F1318">
            <v>0</v>
          </cell>
          <cell r="G1318">
            <v>2</v>
          </cell>
          <cell r="H1318" t="str">
            <v>2006-02-28</v>
          </cell>
        </row>
        <row r="1319">
          <cell r="A1319">
            <v>489300</v>
          </cell>
          <cell r="B1319">
            <v>1015</v>
          </cell>
          <cell r="C1319">
            <v>60469.26</v>
          </cell>
          <cell r="D1319" t="str">
            <v>250</v>
          </cell>
          <cell r="E1319" t="str">
            <v>405</v>
          </cell>
          <cell r="F1319">
            <v>326858</v>
          </cell>
          <cell r="G1319">
            <v>2</v>
          </cell>
          <cell r="H1319" t="str">
            <v>2006-02-28</v>
          </cell>
        </row>
        <row r="1320">
          <cell r="A1320">
            <v>489300</v>
          </cell>
          <cell r="B1320">
            <v>1015</v>
          </cell>
          <cell r="C1320">
            <v>-54876.58</v>
          </cell>
          <cell r="D1320" t="str">
            <v>250</v>
          </cell>
          <cell r="E1320" t="str">
            <v>405</v>
          </cell>
          <cell r="F1320">
            <v>-287562</v>
          </cell>
          <cell r="G1320">
            <v>2</v>
          </cell>
          <cell r="H1320" t="str">
            <v>2006-02-28</v>
          </cell>
        </row>
        <row r="1321">
          <cell r="A1321">
            <v>489300</v>
          </cell>
          <cell r="B1321">
            <v>1015</v>
          </cell>
          <cell r="C1321">
            <v>-3069.96</v>
          </cell>
          <cell r="D1321" t="str">
            <v>250</v>
          </cell>
          <cell r="E1321" t="str">
            <v>405</v>
          </cell>
          <cell r="F1321">
            <v>0</v>
          </cell>
          <cell r="G1321">
            <v>2</v>
          </cell>
          <cell r="H1321" t="str">
            <v>2006-02-28</v>
          </cell>
        </row>
        <row r="1322">
          <cell r="A1322">
            <v>489300</v>
          </cell>
          <cell r="B1322">
            <v>1015</v>
          </cell>
          <cell r="C1322">
            <v>-60469.26</v>
          </cell>
          <cell r="D1322" t="str">
            <v>250</v>
          </cell>
          <cell r="E1322" t="str">
            <v>405</v>
          </cell>
          <cell r="F1322">
            <v>-326858</v>
          </cell>
          <cell r="G1322">
            <v>2</v>
          </cell>
          <cell r="H1322" t="str">
            <v>2006-02-28</v>
          </cell>
        </row>
        <row r="1323">
          <cell r="A1323">
            <v>489304</v>
          </cell>
          <cell r="B1323">
            <v>1015</v>
          </cell>
          <cell r="C1323">
            <v>0</v>
          </cell>
          <cell r="D1323" t="str">
            <v>250</v>
          </cell>
          <cell r="E1323" t="str">
            <v>405</v>
          </cell>
          <cell r="F1323">
            <v>0</v>
          </cell>
          <cell r="G1323">
            <v>2</v>
          </cell>
          <cell r="H1323" t="str">
            <v>2006-02-28</v>
          </cell>
        </row>
        <row r="1324">
          <cell r="A1324">
            <v>489304</v>
          </cell>
          <cell r="B1324">
            <v>1015</v>
          </cell>
          <cell r="C1324">
            <v>32558.23</v>
          </cell>
          <cell r="D1324" t="str">
            <v>250</v>
          </cell>
          <cell r="E1324" t="str">
            <v>405</v>
          </cell>
          <cell r="F1324">
            <v>178720</v>
          </cell>
          <cell r="G1324">
            <v>2</v>
          </cell>
          <cell r="H1324" t="str">
            <v>2006-02-28</v>
          </cell>
        </row>
        <row r="1325">
          <cell r="A1325">
            <v>489304</v>
          </cell>
          <cell r="B1325">
            <v>1015</v>
          </cell>
          <cell r="C1325">
            <v>-30803.56</v>
          </cell>
          <cell r="D1325" t="str">
            <v>250</v>
          </cell>
          <cell r="E1325" t="str">
            <v>405</v>
          </cell>
          <cell r="F1325">
            <v>-167794</v>
          </cell>
          <cell r="G1325">
            <v>2</v>
          </cell>
          <cell r="H1325" t="str">
            <v>2006-02-28</v>
          </cell>
        </row>
        <row r="1326">
          <cell r="A1326">
            <v>489304</v>
          </cell>
          <cell r="B1326">
            <v>1015</v>
          </cell>
          <cell r="C1326">
            <v>-32558.23</v>
          </cell>
          <cell r="D1326" t="str">
            <v>250</v>
          </cell>
          <cell r="E1326" t="str">
            <v>405</v>
          </cell>
          <cell r="F1326">
            <v>-178720</v>
          </cell>
          <cell r="G1326">
            <v>2</v>
          </cell>
          <cell r="H1326" t="str">
            <v>2006-02-28</v>
          </cell>
        </row>
        <row r="1327">
          <cell r="A1327">
            <v>489300</v>
          </cell>
          <cell r="B1327">
            <v>1015</v>
          </cell>
          <cell r="C1327">
            <v>0</v>
          </cell>
          <cell r="D1327" t="str">
            <v>250</v>
          </cell>
          <cell r="E1327" t="str">
            <v>405</v>
          </cell>
          <cell r="F1327">
            <v>0</v>
          </cell>
          <cell r="G1327">
            <v>2</v>
          </cell>
          <cell r="H1327" t="str">
            <v>2006-02-28</v>
          </cell>
        </row>
        <row r="1328">
          <cell r="A1328">
            <v>489300</v>
          </cell>
          <cell r="B1328">
            <v>1015</v>
          </cell>
          <cell r="C1328">
            <v>79549.09</v>
          </cell>
          <cell r="D1328" t="str">
            <v>250</v>
          </cell>
          <cell r="E1328" t="str">
            <v>405</v>
          </cell>
          <cell r="F1328">
            <v>328298</v>
          </cell>
          <cell r="G1328">
            <v>2</v>
          </cell>
          <cell r="H1328" t="str">
            <v>2006-02-28</v>
          </cell>
        </row>
        <row r="1329">
          <cell r="A1329">
            <v>489300</v>
          </cell>
          <cell r="B1329">
            <v>1015</v>
          </cell>
          <cell r="C1329">
            <v>-76971.92</v>
          </cell>
          <cell r="D1329" t="str">
            <v>250</v>
          </cell>
          <cell r="E1329" t="str">
            <v>405</v>
          </cell>
          <cell r="F1329">
            <v>-299321</v>
          </cell>
          <cell r="G1329">
            <v>2</v>
          </cell>
          <cell r="H1329" t="str">
            <v>2006-02-28</v>
          </cell>
        </row>
        <row r="1330">
          <cell r="A1330">
            <v>489300</v>
          </cell>
          <cell r="B1330">
            <v>1015</v>
          </cell>
          <cell r="C1330">
            <v>1465.22</v>
          </cell>
          <cell r="D1330" t="str">
            <v>250</v>
          </cell>
          <cell r="E1330" t="str">
            <v>405</v>
          </cell>
          <cell r="F1330">
            <v>0</v>
          </cell>
          <cell r="G1330">
            <v>2</v>
          </cell>
          <cell r="H1330" t="str">
            <v>2006-02-28</v>
          </cell>
        </row>
        <row r="1331">
          <cell r="A1331">
            <v>489300</v>
          </cell>
          <cell r="B1331">
            <v>1015</v>
          </cell>
          <cell r="C1331">
            <v>-1465.22</v>
          </cell>
          <cell r="D1331" t="str">
            <v>250</v>
          </cell>
          <cell r="E1331" t="str">
            <v>405</v>
          </cell>
          <cell r="F1331">
            <v>0</v>
          </cell>
          <cell r="G1331">
            <v>2</v>
          </cell>
          <cell r="H1331" t="str">
            <v>2006-02-28</v>
          </cell>
        </row>
        <row r="1332">
          <cell r="A1332">
            <v>489300</v>
          </cell>
          <cell r="B1332">
            <v>1015</v>
          </cell>
          <cell r="C1332">
            <v>-630.48</v>
          </cell>
          <cell r="D1332" t="str">
            <v>250</v>
          </cell>
          <cell r="E1332" t="str">
            <v>405</v>
          </cell>
          <cell r="F1332">
            <v>0</v>
          </cell>
          <cell r="G1332">
            <v>2</v>
          </cell>
          <cell r="H1332" t="str">
            <v>2006-02-28</v>
          </cell>
        </row>
        <row r="1333">
          <cell r="A1333">
            <v>489300</v>
          </cell>
          <cell r="B1333">
            <v>1015</v>
          </cell>
          <cell r="C1333">
            <v>-77295</v>
          </cell>
          <cell r="D1333" t="str">
            <v>250</v>
          </cell>
          <cell r="E1333" t="str">
            <v>405</v>
          </cell>
          <cell r="F1333">
            <v>-310021</v>
          </cell>
          <cell r="G1333">
            <v>2</v>
          </cell>
          <cell r="H1333" t="str">
            <v>2006-02-28</v>
          </cell>
        </row>
        <row r="1334">
          <cell r="A1334">
            <v>489300</v>
          </cell>
          <cell r="B1334">
            <v>1015</v>
          </cell>
          <cell r="C1334">
            <v>-1632.42</v>
          </cell>
          <cell r="D1334" t="str">
            <v>250</v>
          </cell>
          <cell r="E1334" t="str">
            <v>405</v>
          </cell>
          <cell r="F1334">
            <v>-18277</v>
          </cell>
          <cell r="G1334">
            <v>2</v>
          </cell>
          <cell r="H1334" t="str">
            <v>2006-02-28</v>
          </cell>
        </row>
        <row r="1335">
          <cell r="A1335">
            <v>489304</v>
          </cell>
          <cell r="B1335">
            <v>1015</v>
          </cell>
          <cell r="C1335">
            <v>0</v>
          </cell>
          <cell r="D1335" t="str">
            <v>250</v>
          </cell>
          <cell r="E1335" t="str">
            <v>405</v>
          </cell>
          <cell r="F1335">
            <v>0</v>
          </cell>
          <cell r="G1335">
            <v>2</v>
          </cell>
          <cell r="H1335" t="str">
            <v>2006-02-28</v>
          </cell>
        </row>
        <row r="1336">
          <cell r="A1336">
            <v>489304</v>
          </cell>
          <cell r="B1336">
            <v>1015</v>
          </cell>
          <cell r="C1336">
            <v>42930.05</v>
          </cell>
          <cell r="D1336" t="str">
            <v>250</v>
          </cell>
          <cell r="E1336" t="str">
            <v>405</v>
          </cell>
          <cell r="F1336">
            <v>224361</v>
          </cell>
          <cell r="G1336">
            <v>2</v>
          </cell>
          <cell r="H1336" t="str">
            <v>2006-02-28</v>
          </cell>
        </row>
        <row r="1337">
          <cell r="A1337">
            <v>489304</v>
          </cell>
          <cell r="B1337">
            <v>1015</v>
          </cell>
          <cell r="C1337">
            <v>-42193.3</v>
          </cell>
          <cell r="D1337" t="str">
            <v>250</v>
          </cell>
          <cell r="E1337" t="str">
            <v>405</v>
          </cell>
          <cell r="F1337">
            <v>-199625</v>
          </cell>
          <cell r="G1337">
            <v>2</v>
          </cell>
          <cell r="H1337" t="str">
            <v>2006-02-28</v>
          </cell>
        </row>
        <row r="1338">
          <cell r="A1338">
            <v>489304</v>
          </cell>
          <cell r="B1338">
            <v>1015</v>
          </cell>
          <cell r="C1338">
            <v>-42930.05</v>
          </cell>
          <cell r="D1338" t="str">
            <v>250</v>
          </cell>
          <cell r="E1338" t="str">
            <v>405</v>
          </cell>
          <cell r="F1338">
            <v>-224361</v>
          </cell>
          <cell r="G1338">
            <v>2</v>
          </cell>
          <cell r="H1338" t="str">
            <v>2006-02-28</v>
          </cell>
        </row>
        <row r="1339">
          <cell r="A1339">
            <v>489304</v>
          </cell>
          <cell r="B1339">
            <v>1015</v>
          </cell>
          <cell r="C1339">
            <v>-621.66999999999996</v>
          </cell>
          <cell r="D1339" t="str">
            <v>250</v>
          </cell>
          <cell r="E1339" t="str">
            <v>405</v>
          </cell>
          <cell r="F1339">
            <v>0</v>
          </cell>
          <cell r="G1339">
            <v>2</v>
          </cell>
          <cell r="H1339" t="str">
            <v>2006-02-28</v>
          </cell>
        </row>
        <row r="1340">
          <cell r="A1340">
            <v>489304</v>
          </cell>
          <cell r="B1340">
            <v>1015</v>
          </cell>
          <cell r="C1340">
            <v>927.31</v>
          </cell>
          <cell r="D1340" t="str">
            <v>250</v>
          </cell>
          <cell r="E1340" t="str">
            <v>405</v>
          </cell>
          <cell r="F1340">
            <v>4725</v>
          </cell>
          <cell r="G1340">
            <v>2</v>
          </cell>
          <cell r="H1340" t="str">
            <v>2006-02-28</v>
          </cell>
        </row>
        <row r="1341">
          <cell r="A1341">
            <v>489304</v>
          </cell>
          <cell r="B1341">
            <v>1015</v>
          </cell>
          <cell r="C1341">
            <v>-2.66</v>
          </cell>
          <cell r="D1341" t="str">
            <v>250</v>
          </cell>
          <cell r="E1341" t="str">
            <v>405</v>
          </cell>
          <cell r="F1341">
            <v>-13</v>
          </cell>
          <cell r="G1341">
            <v>2</v>
          </cell>
          <cell r="H1341" t="str">
            <v>2006-02-28</v>
          </cell>
        </row>
        <row r="1342">
          <cell r="A1342">
            <v>489300</v>
          </cell>
          <cell r="B1342">
            <v>1015</v>
          </cell>
          <cell r="C1342">
            <v>0</v>
          </cell>
          <cell r="D1342" t="str">
            <v>250</v>
          </cell>
          <cell r="E1342" t="str">
            <v>415</v>
          </cell>
          <cell r="F1342">
            <v>0</v>
          </cell>
          <cell r="G1342">
            <v>2</v>
          </cell>
          <cell r="H1342" t="str">
            <v>2006-02-28</v>
          </cell>
        </row>
        <row r="1343">
          <cell r="A1343">
            <v>489300</v>
          </cell>
          <cell r="B1343">
            <v>1015</v>
          </cell>
          <cell r="C1343">
            <v>202946.29</v>
          </cell>
          <cell r="D1343" t="str">
            <v>250</v>
          </cell>
          <cell r="E1343" t="str">
            <v>415</v>
          </cell>
          <cell r="F1343">
            <v>1421071</v>
          </cell>
          <cell r="G1343">
            <v>2</v>
          </cell>
          <cell r="H1343" t="str">
            <v>2006-02-28</v>
          </cell>
        </row>
        <row r="1344">
          <cell r="A1344">
            <v>489300</v>
          </cell>
          <cell r="B1344">
            <v>1015</v>
          </cell>
          <cell r="C1344">
            <v>-213266.42</v>
          </cell>
          <cell r="D1344" t="str">
            <v>250</v>
          </cell>
          <cell r="E1344" t="str">
            <v>415</v>
          </cell>
          <cell r="F1344">
            <v>-1401101</v>
          </cell>
          <cell r="G1344">
            <v>2</v>
          </cell>
          <cell r="H1344" t="str">
            <v>2006-02-28</v>
          </cell>
        </row>
        <row r="1345">
          <cell r="A1345">
            <v>489300</v>
          </cell>
          <cell r="B1345">
            <v>1015</v>
          </cell>
          <cell r="C1345">
            <v>3069.96</v>
          </cell>
          <cell r="D1345" t="str">
            <v>250</v>
          </cell>
          <cell r="E1345" t="str">
            <v>415</v>
          </cell>
          <cell r="F1345">
            <v>0</v>
          </cell>
          <cell r="G1345">
            <v>2</v>
          </cell>
          <cell r="H1345" t="str">
            <v>2006-02-28</v>
          </cell>
        </row>
        <row r="1346">
          <cell r="A1346">
            <v>489300</v>
          </cell>
          <cell r="B1346">
            <v>1015</v>
          </cell>
          <cell r="C1346">
            <v>-64.38</v>
          </cell>
          <cell r="D1346" t="str">
            <v>250</v>
          </cell>
          <cell r="E1346" t="str">
            <v>415</v>
          </cell>
          <cell r="F1346">
            <v>0</v>
          </cell>
          <cell r="G1346">
            <v>2</v>
          </cell>
          <cell r="H1346" t="str">
            <v>2006-02-28</v>
          </cell>
        </row>
        <row r="1347">
          <cell r="A1347">
            <v>489300</v>
          </cell>
          <cell r="B1347">
            <v>1015</v>
          </cell>
          <cell r="C1347">
            <v>-202946.29</v>
          </cell>
          <cell r="D1347" t="str">
            <v>250</v>
          </cell>
          <cell r="E1347" t="str">
            <v>415</v>
          </cell>
          <cell r="F1347">
            <v>-1421071</v>
          </cell>
          <cell r="G1347">
            <v>2</v>
          </cell>
          <cell r="H1347" t="str">
            <v>2006-02-28</v>
          </cell>
        </row>
        <row r="1348">
          <cell r="A1348">
            <v>489300</v>
          </cell>
          <cell r="B1348">
            <v>4015</v>
          </cell>
          <cell r="C1348">
            <v>0</v>
          </cell>
          <cell r="D1348" t="str">
            <v>250</v>
          </cell>
          <cell r="E1348" t="str">
            <v>415</v>
          </cell>
          <cell r="F1348">
            <v>0</v>
          </cell>
          <cell r="G1348">
            <v>2</v>
          </cell>
          <cell r="H1348" t="str">
            <v>2006-02-28</v>
          </cell>
        </row>
        <row r="1349">
          <cell r="A1349">
            <v>489304</v>
          </cell>
          <cell r="B1349">
            <v>1015</v>
          </cell>
          <cell r="C1349">
            <v>0</v>
          </cell>
          <cell r="D1349" t="str">
            <v>250</v>
          </cell>
          <cell r="E1349" t="str">
            <v>415</v>
          </cell>
          <cell r="F1349">
            <v>0</v>
          </cell>
          <cell r="G1349">
            <v>2</v>
          </cell>
          <cell r="H1349" t="str">
            <v>2006-02-28</v>
          </cell>
        </row>
        <row r="1350">
          <cell r="A1350">
            <v>489304</v>
          </cell>
          <cell r="B1350">
            <v>1015</v>
          </cell>
          <cell r="C1350">
            <v>83924.68</v>
          </cell>
          <cell r="D1350" t="str">
            <v>250</v>
          </cell>
          <cell r="E1350" t="str">
            <v>415</v>
          </cell>
          <cell r="F1350">
            <v>487278</v>
          </cell>
          <cell r="G1350">
            <v>2</v>
          </cell>
          <cell r="H1350" t="str">
            <v>2006-02-28</v>
          </cell>
        </row>
        <row r="1351">
          <cell r="A1351">
            <v>489304</v>
          </cell>
          <cell r="B1351">
            <v>1015</v>
          </cell>
          <cell r="C1351">
            <v>-80232.649999999994</v>
          </cell>
          <cell r="D1351" t="str">
            <v>250</v>
          </cell>
          <cell r="E1351" t="str">
            <v>415</v>
          </cell>
          <cell r="F1351">
            <v>-425123</v>
          </cell>
          <cell r="G1351">
            <v>2</v>
          </cell>
          <cell r="H1351" t="str">
            <v>2006-02-28</v>
          </cell>
        </row>
        <row r="1352">
          <cell r="A1352">
            <v>489304</v>
          </cell>
          <cell r="B1352">
            <v>1015</v>
          </cell>
          <cell r="C1352">
            <v>-83087.61</v>
          </cell>
          <cell r="D1352" t="str">
            <v>250</v>
          </cell>
          <cell r="E1352" t="str">
            <v>415</v>
          </cell>
          <cell r="F1352">
            <v>-482896</v>
          </cell>
          <cell r="G1352">
            <v>2</v>
          </cell>
          <cell r="H1352" t="str">
            <v>2006-02-28</v>
          </cell>
        </row>
        <row r="1353">
          <cell r="A1353">
            <v>489304</v>
          </cell>
          <cell r="B1353">
            <v>1015</v>
          </cell>
          <cell r="C1353">
            <v>-837.07</v>
          </cell>
          <cell r="D1353" t="str">
            <v>250</v>
          </cell>
          <cell r="E1353" t="str">
            <v>415</v>
          </cell>
          <cell r="F1353">
            <v>-4382</v>
          </cell>
          <cell r="G1353">
            <v>2</v>
          </cell>
          <cell r="H1353" t="str">
            <v>2006-02-28</v>
          </cell>
        </row>
        <row r="1354">
          <cell r="A1354">
            <v>489300</v>
          </cell>
          <cell r="B1354">
            <v>1015</v>
          </cell>
          <cell r="C1354">
            <v>0</v>
          </cell>
          <cell r="D1354" t="str">
            <v>250</v>
          </cell>
          <cell r="E1354" t="str">
            <v>416</v>
          </cell>
          <cell r="F1354">
            <v>0</v>
          </cell>
          <cell r="G1354">
            <v>2</v>
          </cell>
          <cell r="H1354" t="str">
            <v>2006-02-28</v>
          </cell>
        </row>
        <row r="1355">
          <cell r="A1355">
            <v>489300</v>
          </cell>
          <cell r="B1355">
            <v>1015</v>
          </cell>
          <cell r="C1355">
            <v>0</v>
          </cell>
          <cell r="D1355" t="str">
            <v>250</v>
          </cell>
          <cell r="E1355" t="str">
            <v>416</v>
          </cell>
          <cell r="F1355">
            <v>0</v>
          </cell>
          <cell r="G1355">
            <v>2</v>
          </cell>
          <cell r="H1355" t="str">
            <v>2006-02-28</v>
          </cell>
        </row>
        <row r="1356">
          <cell r="A1356">
            <v>489300</v>
          </cell>
          <cell r="B1356">
            <v>1015</v>
          </cell>
          <cell r="C1356">
            <v>0</v>
          </cell>
          <cell r="D1356" t="str">
            <v>250</v>
          </cell>
          <cell r="E1356" t="str">
            <v>416</v>
          </cell>
          <cell r="F1356">
            <v>0</v>
          </cell>
          <cell r="G1356">
            <v>2</v>
          </cell>
          <cell r="H1356" t="str">
            <v>2006-02-28</v>
          </cell>
        </row>
        <row r="1357">
          <cell r="A1357">
            <v>489304</v>
          </cell>
          <cell r="B1357">
            <v>1015</v>
          </cell>
          <cell r="C1357">
            <v>0</v>
          </cell>
          <cell r="D1357" t="str">
            <v>250</v>
          </cell>
          <cell r="E1357" t="str">
            <v>416</v>
          </cell>
          <cell r="F1357">
            <v>0</v>
          </cell>
          <cell r="G1357">
            <v>2</v>
          </cell>
          <cell r="H1357" t="str">
            <v>2006-02-28</v>
          </cell>
        </row>
        <row r="1358">
          <cell r="A1358">
            <v>489304</v>
          </cell>
          <cell r="B1358">
            <v>1015</v>
          </cell>
          <cell r="C1358">
            <v>1903.51</v>
          </cell>
          <cell r="D1358" t="str">
            <v>250</v>
          </cell>
          <cell r="E1358" t="str">
            <v>416</v>
          </cell>
          <cell r="F1358">
            <v>3600</v>
          </cell>
          <cell r="G1358">
            <v>2</v>
          </cell>
          <cell r="H1358" t="str">
            <v>2006-02-28</v>
          </cell>
        </row>
        <row r="1359">
          <cell r="A1359">
            <v>489304</v>
          </cell>
          <cell r="B1359">
            <v>1015</v>
          </cell>
          <cell r="C1359">
            <v>-1583.63</v>
          </cell>
          <cell r="D1359" t="str">
            <v>250</v>
          </cell>
          <cell r="E1359" t="str">
            <v>416</v>
          </cell>
          <cell r="F1359">
            <v>-2783</v>
          </cell>
          <cell r="G1359">
            <v>2</v>
          </cell>
          <cell r="H1359" t="str">
            <v>2006-02-28</v>
          </cell>
        </row>
        <row r="1360">
          <cell r="A1360">
            <v>489304</v>
          </cell>
          <cell r="B1360">
            <v>1015</v>
          </cell>
          <cell r="C1360">
            <v>-1903.51</v>
          </cell>
          <cell r="D1360" t="str">
            <v>250</v>
          </cell>
          <cell r="E1360" t="str">
            <v>416</v>
          </cell>
          <cell r="F1360">
            <v>-3600</v>
          </cell>
          <cell r="G1360">
            <v>2</v>
          </cell>
          <cell r="H1360" t="str">
            <v>2006-02-28</v>
          </cell>
        </row>
        <row r="1361">
          <cell r="A1361">
            <v>489300</v>
          </cell>
          <cell r="B1361">
            <v>1015</v>
          </cell>
          <cell r="C1361">
            <v>0</v>
          </cell>
          <cell r="D1361" t="str">
            <v>250</v>
          </cell>
          <cell r="E1361" t="str">
            <v>458</v>
          </cell>
          <cell r="F1361">
            <v>0</v>
          </cell>
          <cell r="G1361">
            <v>2</v>
          </cell>
          <cell r="H1361" t="str">
            <v>2006-02-28</v>
          </cell>
        </row>
        <row r="1362">
          <cell r="A1362">
            <v>489300</v>
          </cell>
          <cell r="B1362">
            <v>1015</v>
          </cell>
          <cell r="C1362">
            <v>4356.42</v>
          </cell>
          <cell r="D1362" t="str">
            <v>250</v>
          </cell>
          <cell r="E1362" t="str">
            <v>458</v>
          </cell>
          <cell r="F1362">
            <v>34272</v>
          </cell>
          <cell r="G1362">
            <v>2</v>
          </cell>
          <cell r="H1362" t="str">
            <v>2006-02-28</v>
          </cell>
        </row>
        <row r="1363">
          <cell r="A1363">
            <v>489300</v>
          </cell>
          <cell r="B1363">
            <v>1015</v>
          </cell>
          <cell r="C1363">
            <v>-3393.7</v>
          </cell>
          <cell r="D1363" t="str">
            <v>250</v>
          </cell>
          <cell r="E1363" t="str">
            <v>458</v>
          </cell>
          <cell r="F1363">
            <v>-22172</v>
          </cell>
          <cell r="G1363">
            <v>2</v>
          </cell>
          <cell r="H1363" t="str">
            <v>2006-02-28</v>
          </cell>
        </row>
        <row r="1364">
          <cell r="A1364">
            <v>489300</v>
          </cell>
          <cell r="B1364">
            <v>1015</v>
          </cell>
          <cell r="C1364">
            <v>-647.79</v>
          </cell>
          <cell r="D1364" t="str">
            <v>250</v>
          </cell>
          <cell r="E1364" t="str">
            <v>458</v>
          </cell>
          <cell r="F1364">
            <v>0</v>
          </cell>
          <cell r="G1364">
            <v>2</v>
          </cell>
          <cell r="H1364" t="str">
            <v>2006-02-28</v>
          </cell>
        </row>
        <row r="1365">
          <cell r="A1365">
            <v>489300</v>
          </cell>
          <cell r="B1365">
            <v>1015</v>
          </cell>
          <cell r="C1365">
            <v>-1332.8</v>
          </cell>
          <cell r="D1365" t="str">
            <v>250</v>
          </cell>
          <cell r="E1365" t="str">
            <v>458</v>
          </cell>
          <cell r="F1365">
            <v>-20825</v>
          </cell>
          <cell r="G1365">
            <v>2</v>
          </cell>
          <cell r="H1365" t="str">
            <v>2006-02-28</v>
          </cell>
        </row>
        <row r="1366">
          <cell r="A1366">
            <v>489300</v>
          </cell>
          <cell r="B1366">
            <v>1015</v>
          </cell>
          <cell r="C1366">
            <v>-3023.62</v>
          </cell>
          <cell r="D1366" t="str">
            <v>250</v>
          </cell>
          <cell r="E1366" t="str">
            <v>458</v>
          </cell>
          <cell r="F1366">
            <v>-13447</v>
          </cell>
          <cell r="G1366">
            <v>2</v>
          </cell>
          <cell r="H1366" t="str">
            <v>2006-02-28</v>
          </cell>
        </row>
        <row r="1367">
          <cell r="A1367">
            <v>489304</v>
          </cell>
          <cell r="B1367">
            <v>1015</v>
          </cell>
          <cell r="C1367">
            <v>0</v>
          </cell>
          <cell r="D1367" t="str">
            <v>250</v>
          </cell>
          <cell r="E1367" t="str">
            <v>458</v>
          </cell>
          <cell r="F1367">
            <v>0</v>
          </cell>
          <cell r="G1367">
            <v>2</v>
          </cell>
          <cell r="H1367" t="str">
            <v>2006-02-28</v>
          </cell>
        </row>
        <row r="1368">
          <cell r="A1368">
            <v>489304</v>
          </cell>
          <cell r="B1368">
            <v>1015</v>
          </cell>
          <cell r="C1368">
            <v>1559.9</v>
          </cell>
          <cell r="D1368" t="str">
            <v>250</v>
          </cell>
          <cell r="E1368" t="str">
            <v>458</v>
          </cell>
          <cell r="F1368">
            <v>4863</v>
          </cell>
          <cell r="G1368">
            <v>2</v>
          </cell>
          <cell r="H1368" t="str">
            <v>2006-02-28</v>
          </cell>
        </row>
        <row r="1369">
          <cell r="A1369">
            <v>489304</v>
          </cell>
          <cell r="B1369">
            <v>1015</v>
          </cell>
          <cell r="C1369">
            <v>-1368.5</v>
          </cell>
          <cell r="D1369" t="str">
            <v>250</v>
          </cell>
          <cell r="E1369" t="str">
            <v>458</v>
          </cell>
          <cell r="F1369">
            <v>-4225</v>
          </cell>
          <cell r="G1369">
            <v>2</v>
          </cell>
          <cell r="H1369" t="str">
            <v>2006-02-28</v>
          </cell>
        </row>
        <row r="1370">
          <cell r="A1370">
            <v>489304</v>
          </cell>
          <cell r="B1370">
            <v>1015</v>
          </cell>
          <cell r="C1370">
            <v>-1559.9</v>
          </cell>
          <cell r="D1370" t="str">
            <v>250</v>
          </cell>
          <cell r="E1370" t="str">
            <v>458</v>
          </cell>
          <cell r="F1370">
            <v>-4863</v>
          </cell>
          <cell r="G1370">
            <v>2</v>
          </cell>
          <cell r="H1370" t="str">
            <v>2006-02-28</v>
          </cell>
        </row>
        <row r="1371">
          <cell r="A1371">
            <v>489300</v>
          </cell>
          <cell r="B1371">
            <v>1015</v>
          </cell>
          <cell r="C1371">
            <v>0</v>
          </cell>
          <cell r="D1371" t="str">
            <v>250</v>
          </cell>
          <cell r="E1371" t="str">
            <v>459</v>
          </cell>
          <cell r="F1371">
            <v>0</v>
          </cell>
          <cell r="G1371">
            <v>2</v>
          </cell>
          <cell r="H1371" t="str">
            <v>2006-02-28</v>
          </cell>
        </row>
        <row r="1372">
          <cell r="A1372">
            <v>489300</v>
          </cell>
          <cell r="B1372">
            <v>1015</v>
          </cell>
          <cell r="C1372">
            <v>2047.51</v>
          </cell>
          <cell r="D1372" t="str">
            <v>250</v>
          </cell>
          <cell r="E1372" t="str">
            <v>459</v>
          </cell>
          <cell r="F1372">
            <v>7900</v>
          </cell>
          <cell r="G1372">
            <v>2</v>
          </cell>
          <cell r="H1372" t="str">
            <v>2006-02-28</v>
          </cell>
        </row>
        <row r="1373">
          <cell r="A1373">
            <v>489300</v>
          </cell>
          <cell r="B1373">
            <v>1015</v>
          </cell>
          <cell r="C1373">
            <v>-2016.61</v>
          </cell>
          <cell r="D1373" t="str">
            <v>250</v>
          </cell>
          <cell r="E1373" t="str">
            <v>459</v>
          </cell>
          <cell r="F1373">
            <v>-7627</v>
          </cell>
          <cell r="G1373">
            <v>2</v>
          </cell>
          <cell r="H1373" t="str">
            <v>2006-02-28</v>
          </cell>
        </row>
        <row r="1374">
          <cell r="A1374">
            <v>489300</v>
          </cell>
          <cell r="B1374">
            <v>1015</v>
          </cell>
          <cell r="C1374">
            <v>-2047.51</v>
          </cell>
          <cell r="D1374" t="str">
            <v>250</v>
          </cell>
          <cell r="E1374" t="str">
            <v>459</v>
          </cell>
          <cell r="F1374">
            <v>-7900</v>
          </cell>
          <cell r="G1374">
            <v>2</v>
          </cell>
          <cell r="H1374" t="str">
            <v>2006-02-28</v>
          </cell>
        </row>
        <row r="1375">
          <cell r="A1375">
            <v>489304</v>
          </cell>
          <cell r="B1375">
            <v>1015</v>
          </cell>
          <cell r="C1375">
            <v>0</v>
          </cell>
          <cell r="D1375" t="str">
            <v>250</v>
          </cell>
          <cell r="E1375" t="str">
            <v>459</v>
          </cell>
          <cell r="F1375">
            <v>0</v>
          </cell>
          <cell r="G1375">
            <v>2</v>
          </cell>
          <cell r="H1375" t="str">
            <v>2006-02-28</v>
          </cell>
        </row>
        <row r="1376">
          <cell r="A1376">
            <v>489304</v>
          </cell>
          <cell r="B1376">
            <v>1015</v>
          </cell>
          <cell r="C1376">
            <v>0</v>
          </cell>
          <cell r="D1376" t="str">
            <v>250</v>
          </cell>
          <cell r="E1376" t="str">
            <v>459</v>
          </cell>
          <cell r="F1376">
            <v>0</v>
          </cell>
          <cell r="G1376">
            <v>2</v>
          </cell>
          <cell r="H1376" t="str">
            <v>2006-02-28</v>
          </cell>
        </row>
        <row r="1377">
          <cell r="A1377">
            <v>489304</v>
          </cell>
          <cell r="B1377">
            <v>1015</v>
          </cell>
          <cell r="C1377">
            <v>0</v>
          </cell>
          <cell r="D1377" t="str">
            <v>250</v>
          </cell>
          <cell r="E1377" t="str">
            <v>459</v>
          </cell>
          <cell r="F1377">
            <v>0</v>
          </cell>
          <cell r="G1377">
            <v>2</v>
          </cell>
          <cell r="H1377" t="str">
            <v>2006-02-28</v>
          </cell>
        </row>
        <row r="1378">
          <cell r="A1378">
            <v>480000</v>
          </cell>
          <cell r="B1378">
            <v>1015</v>
          </cell>
          <cell r="C1378">
            <v>-0.01</v>
          </cell>
          <cell r="D1378" t="str">
            <v>205</v>
          </cell>
          <cell r="E1378" t="str">
            <v>407</v>
          </cell>
          <cell r="F1378">
            <v>0</v>
          </cell>
          <cell r="G1378">
            <v>2</v>
          </cell>
          <cell r="H1378" t="str">
            <v>2006-02-28</v>
          </cell>
        </row>
        <row r="1379">
          <cell r="A1379">
            <v>480000</v>
          </cell>
          <cell r="B1379">
            <v>1015</v>
          </cell>
          <cell r="C1379">
            <v>0.21</v>
          </cell>
          <cell r="D1379" t="str">
            <v>205</v>
          </cell>
          <cell r="E1379" t="str">
            <v>407</v>
          </cell>
          <cell r="F1379">
            <v>0</v>
          </cell>
          <cell r="G1379">
            <v>2</v>
          </cell>
          <cell r="H1379" t="str">
            <v>2006-02-28</v>
          </cell>
        </row>
        <row r="1380">
          <cell r="A1380">
            <v>480000</v>
          </cell>
          <cell r="B1380">
            <v>1015</v>
          </cell>
          <cell r="C1380">
            <v>-100170.47</v>
          </cell>
          <cell r="D1380" t="str">
            <v>205</v>
          </cell>
          <cell r="E1380" t="str">
            <v>407</v>
          </cell>
          <cell r="F1380">
            <v>0</v>
          </cell>
          <cell r="G1380">
            <v>2</v>
          </cell>
          <cell r="H1380" t="str">
            <v>2006-02-28</v>
          </cell>
        </row>
        <row r="1381">
          <cell r="A1381">
            <v>480000</v>
          </cell>
          <cell r="B1381">
            <v>1015</v>
          </cell>
          <cell r="C1381">
            <v>-116273.9</v>
          </cell>
          <cell r="D1381" t="str">
            <v>205</v>
          </cell>
          <cell r="E1381" t="str">
            <v>407</v>
          </cell>
          <cell r="F1381">
            <v>0</v>
          </cell>
          <cell r="G1381">
            <v>2</v>
          </cell>
          <cell r="H1381" t="str">
            <v>2006-02-28</v>
          </cell>
        </row>
        <row r="1382">
          <cell r="A1382">
            <v>480000</v>
          </cell>
          <cell r="B1382">
            <v>1015</v>
          </cell>
          <cell r="C1382">
            <v>-141011.88</v>
          </cell>
          <cell r="D1382" t="str">
            <v>205</v>
          </cell>
          <cell r="E1382" t="str">
            <v>407</v>
          </cell>
          <cell r="F1382">
            <v>0</v>
          </cell>
          <cell r="G1382">
            <v>2</v>
          </cell>
          <cell r="H1382" t="str">
            <v>2006-02-28</v>
          </cell>
        </row>
        <row r="1383">
          <cell r="A1383">
            <v>480000</v>
          </cell>
          <cell r="B1383">
            <v>1015</v>
          </cell>
          <cell r="C1383">
            <v>-329500.96000000002</v>
          </cell>
          <cell r="D1383" t="str">
            <v>205</v>
          </cell>
          <cell r="E1383" t="str">
            <v>407</v>
          </cell>
          <cell r="F1383">
            <v>0</v>
          </cell>
          <cell r="G1383">
            <v>2</v>
          </cell>
          <cell r="H1383" t="str">
            <v>2006-02-28</v>
          </cell>
        </row>
        <row r="1384">
          <cell r="A1384">
            <v>480000</v>
          </cell>
          <cell r="B1384">
            <v>1015</v>
          </cell>
          <cell r="C1384">
            <v>-202621.54</v>
          </cell>
          <cell r="D1384" t="str">
            <v>205</v>
          </cell>
          <cell r="E1384" t="str">
            <v>407</v>
          </cell>
          <cell r="F1384">
            <v>0</v>
          </cell>
          <cell r="G1384">
            <v>2</v>
          </cell>
          <cell r="H1384" t="str">
            <v>2006-02-28</v>
          </cell>
        </row>
        <row r="1385">
          <cell r="A1385">
            <v>480000</v>
          </cell>
          <cell r="B1385">
            <v>1015</v>
          </cell>
          <cell r="C1385">
            <v>-105827.47</v>
          </cell>
          <cell r="D1385" t="str">
            <v>205</v>
          </cell>
          <cell r="E1385" t="str">
            <v>407</v>
          </cell>
          <cell r="F1385">
            <v>0</v>
          </cell>
          <cell r="G1385">
            <v>2</v>
          </cell>
          <cell r="H1385" t="str">
            <v>2006-02-28</v>
          </cell>
        </row>
        <row r="1386">
          <cell r="A1386">
            <v>480000</v>
          </cell>
          <cell r="B1386">
            <v>1015</v>
          </cell>
          <cell r="C1386">
            <v>-144656.48000000001</v>
          </cell>
          <cell r="D1386" t="str">
            <v>205</v>
          </cell>
          <cell r="E1386" t="str">
            <v>407</v>
          </cell>
          <cell r="F1386">
            <v>0</v>
          </cell>
          <cell r="G1386">
            <v>2</v>
          </cell>
          <cell r="H1386" t="str">
            <v>2006-02-28</v>
          </cell>
        </row>
        <row r="1387">
          <cell r="A1387">
            <v>480000</v>
          </cell>
          <cell r="B1387">
            <v>1015</v>
          </cell>
          <cell r="C1387">
            <v>-136434.41</v>
          </cell>
          <cell r="D1387" t="str">
            <v>205</v>
          </cell>
          <cell r="E1387" t="str">
            <v>407</v>
          </cell>
          <cell r="F1387">
            <v>0</v>
          </cell>
          <cell r="G1387">
            <v>2</v>
          </cell>
          <cell r="H1387" t="str">
            <v>2006-02-28</v>
          </cell>
        </row>
        <row r="1388">
          <cell r="A1388">
            <v>480000</v>
          </cell>
          <cell r="B1388">
            <v>1015</v>
          </cell>
          <cell r="C1388">
            <v>-57393.38</v>
          </cell>
          <cell r="D1388" t="str">
            <v>205</v>
          </cell>
          <cell r="E1388" t="str">
            <v>407</v>
          </cell>
          <cell r="F1388">
            <v>0</v>
          </cell>
          <cell r="G1388">
            <v>2</v>
          </cell>
          <cell r="H1388" t="str">
            <v>2006-02-28</v>
          </cell>
        </row>
        <row r="1389">
          <cell r="A1389">
            <v>480000</v>
          </cell>
          <cell r="B1389">
            <v>1015</v>
          </cell>
          <cell r="C1389">
            <v>-22052.71</v>
          </cell>
          <cell r="D1389" t="str">
            <v>205</v>
          </cell>
          <cell r="E1389" t="str">
            <v>407</v>
          </cell>
          <cell r="F1389">
            <v>0</v>
          </cell>
          <cell r="G1389">
            <v>2</v>
          </cell>
          <cell r="H1389" t="str">
            <v>2006-02-28</v>
          </cell>
        </row>
        <row r="1390">
          <cell r="A1390">
            <v>480000</v>
          </cell>
          <cell r="B1390">
            <v>1015</v>
          </cell>
          <cell r="C1390">
            <v>63071.12</v>
          </cell>
          <cell r="D1390" t="str">
            <v>205</v>
          </cell>
          <cell r="E1390" t="str">
            <v>407</v>
          </cell>
          <cell r="F1390">
            <v>0</v>
          </cell>
          <cell r="G1390">
            <v>2</v>
          </cell>
          <cell r="H1390" t="str">
            <v>2006-02-28</v>
          </cell>
        </row>
        <row r="1391">
          <cell r="A1391">
            <v>480000</v>
          </cell>
          <cell r="B1391">
            <v>1015</v>
          </cell>
          <cell r="C1391">
            <v>65255.77</v>
          </cell>
          <cell r="D1391" t="str">
            <v>205</v>
          </cell>
          <cell r="E1391" t="str">
            <v>407</v>
          </cell>
          <cell r="F1391">
            <v>0</v>
          </cell>
          <cell r="G1391">
            <v>2</v>
          </cell>
          <cell r="H1391" t="str">
            <v>2006-02-28</v>
          </cell>
        </row>
        <row r="1392">
          <cell r="A1392">
            <v>480000</v>
          </cell>
          <cell r="B1392">
            <v>1015</v>
          </cell>
          <cell r="C1392">
            <v>1498.18</v>
          </cell>
          <cell r="D1392" t="str">
            <v>205</v>
          </cell>
          <cell r="E1392" t="str">
            <v>407</v>
          </cell>
          <cell r="F1392">
            <v>0</v>
          </cell>
          <cell r="G1392">
            <v>2</v>
          </cell>
          <cell r="H1392" t="str">
            <v>2006-02-28</v>
          </cell>
        </row>
        <row r="1393">
          <cell r="A1393">
            <v>480000</v>
          </cell>
          <cell r="B1393">
            <v>1015</v>
          </cell>
          <cell r="C1393">
            <v>1044.8</v>
          </cell>
          <cell r="D1393" t="str">
            <v>205</v>
          </cell>
          <cell r="E1393" t="str">
            <v>407</v>
          </cell>
          <cell r="F1393">
            <v>0</v>
          </cell>
          <cell r="G1393">
            <v>2</v>
          </cell>
          <cell r="H1393" t="str">
            <v>2006-02-28</v>
          </cell>
        </row>
        <row r="1394">
          <cell r="A1394">
            <v>480001</v>
          </cell>
          <cell r="B1394">
            <v>1015</v>
          </cell>
          <cell r="C1394">
            <v>2216865.02</v>
          </cell>
          <cell r="D1394" t="str">
            <v>205</v>
          </cell>
          <cell r="E1394" t="str">
            <v>407</v>
          </cell>
          <cell r="F1394">
            <v>0</v>
          </cell>
          <cell r="G1394">
            <v>2</v>
          </cell>
          <cell r="H1394" t="str">
            <v>2006-02-28</v>
          </cell>
        </row>
        <row r="1395">
          <cell r="A1395">
            <v>481004</v>
          </cell>
          <cell r="B1395">
            <v>1015</v>
          </cell>
          <cell r="C1395">
            <v>-12277.97</v>
          </cell>
          <cell r="D1395" t="str">
            <v>205</v>
          </cell>
          <cell r="E1395" t="str">
            <v>407</v>
          </cell>
          <cell r="F1395">
            <v>0</v>
          </cell>
          <cell r="G1395">
            <v>2</v>
          </cell>
          <cell r="H1395" t="str">
            <v>2006-02-28</v>
          </cell>
        </row>
        <row r="1396">
          <cell r="A1396">
            <v>481004</v>
          </cell>
          <cell r="B1396">
            <v>1015</v>
          </cell>
          <cell r="C1396">
            <v>-23628.85</v>
          </cell>
          <cell r="D1396" t="str">
            <v>205</v>
          </cell>
          <cell r="E1396" t="str">
            <v>407</v>
          </cell>
          <cell r="F1396">
            <v>0</v>
          </cell>
          <cell r="G1396">
            <v>2</v>
          </cell>
          <cell r="H1396" t="str">
            <v>2006-02-28</v>
          </cell>
        </row>
        <row r="1397">
          <cell r="A1397">
            <v>481004</v>
          </cell>
          <cell r="B1397">
            <v>1015</v>
          </cell>
          <cell r="C1397">
            <v>-20500.89</v>
          </cell>
          <cell r="D1397" t="str">
            <v>205</v>
          </cell>
          <cell r="E1397" t="str">
            <v>407</v>
          </cell>
          <cell r="F1397">
            <v>0</v>
          </cell>
          <cell r="G1397">
            <v>2</v>
          </cell>
          <cell r="H1397" t="str">
            <v>2006-02-28</v>
          </cell>
        </row>
        <row r="1398">
          <cell r="A1398">
            <v>481004</v>
          </cell>
          <cell r="B1398">
            <v>1015</v>
          </cell>
          <cell r="C1398">
            <v>-92492.4</v>
          </cell>
          <cell r="D1398" t="str">
            <v>205</v>
          </cell>
          <cell r="E1398" t="str">
            <v>407</v>
          </cell>
          <cell r="F1398">
            <v>0</v>
          </cell>
          <cell r="G1398">
            <v>2</v>
          </cell>
          <cell r="H1398" t="str">
            <v>2006-02-28</v>
          </cell>
        </row>
        <row r="1399">
          <cell r="A1399">
            <v>481004</v>
          </cell>
          <cell r="B1399">
            <v>1015</v>
          </cell>
          <cell r="C1399">
            <v>-77581.279999999999</v>
          </cell>
          <cell r="D1399" t="str">
            <v>205</v>
          </cell>
          <cell r="E1399" t="str">
            <v>407</v>
          </cell>
          <cell r="F1399">
            <v>0</v>
          </cell>
          <cell r="G1399">
            <v>2</v>
          </cell>
          <cell r="H1399" t="str">
            <v>2006-02-28</v>
          </cell>
        </row>
        <row r="1400">
          <cell r="A1400">
            <v>481004</v>
          </cell>
          <cell r="B1400">
            <v>1015</v>
          </cell>
          <cell r="C1400">
            <v>-21604.66</v>
          </cell>
          <cell r="D1400" t="str">
            <v>205</v>
          </cell>
          <cell r="E1400" t="str">
            <v>407</v>
          </cell>
          <cell r="F1400">
            <v>0</v>
          </cell>
          <cell r="G1400">
            <v>2</v>
          </cell>
          <cell r="H1400" t="str">
            <v>2006-02-28</v>
          </cell>
        </row>
        <row r="1401">
          <cell r="A1401">
            <v>481004</v>
          </cell>
          <cell r="B1401">
            <v>1015</v>
          </cell>
          <cell r="C1401">
            <v>-24713.03</v>
          </cell>
          <cell r="D1401" t="str">
            <v>205</v>
          </cell>
          <cell r="E1401" t="str">
            <v>407</v>
          </cell>
          <cell r="F1401">
            <v>0</v>
          </cell>
          <cell r="G1401">
            <v>2</v>
          </cell>
          <cell r="H1401" t="str">
            <v>2006-02-28</v>
          </cell>
        </row>
        <row r="1402">
          <cell r="A1402">
            <v>481004</v>
          </cell>
          <cell r="B1402">
            <v>1015</v>
          </cell>
          <cell r="C1402">
            <v>-30844.58</v>
          </cell>
          <cell r="D1402" t="str">
            <v>205</v>
          </cell>
          <cell r="E1402" t="str">
            <v>407</v>
          </cell>
          <cell r="F1402">
            <v>0</v>
          </cell>
          <cell r="G1402">
            <v>2</v>
          </cell>
          <cell r="H1402" t="str">
            <v>2006-02-28</v>
          </cell>
        </row>
        <row r="1403">
          <cell r="A1403">
            <v>481004</v>
          </cell>
          <cell r="B1403">
            <v>1015</v>
          </cell>
          <cell r="C1403">
            <v>-11200.66</v>
          </cell>
          <cell r="D1403" t="str">
            <v>205</v>
          </cell>
          <cell r="E1403" t="str">
            <v>407</v>
          </cell>
          <cell r="F1403">
            <v>0</v>
          </cell>
          <cell r="G1403">
            <v>2</v>
          </cell>
          <cell r="H1403" t="str">
            <v>2006-02-28</v>
          </cell>
        </row>
        <row r="1404">
          <cell r="A1404">
            <v>481004</v>
          </cell>
          <cell r="B1404">
            <v>1015</v>
          </cell>
          <cell r="C1404">
            <v>-6749.21</v>
          </cell>
          <cell r="D1404" t="str">
            <v>205</v>
          </cell>
          <cell r="E1404" t="str">
            <v>407</v>
          </cell>
          <cell r="F1404">
            <v>0</v>
          </cell>
          <cell r="G1404">
            <v>2</v>
          </cell>
          <cell r="H1404" t="str">
            <v>2006-02-28</v>
          </cell>
        </row>
        <row r="1405">
          <cell r="A1405">
            <v>481004</v>
          </cell>
          <cell r="B1405">
            <v>1015</v>
          </cell>
          <cell r="C1405">
            <v>11769.67</v>
          </cell>
          <cell r="D1405" t="str">
            <v>205</v>
          </cell>
          <cell r="E1405" t="str">
            <v>407</v>
          </cell>
          <cell r="F1405">
            <v>0</v>
          </cell>
          <cell r="G1405">
            <v>2</v>
          </cell>
          <cell r="H1405" t="str">
            <v>2006-02-28</v>
          </cell>
        </row>
        <row r="1406">
          <cell r="A1406">
            <v>481004</v>
          </cell>
          <cell r="B1406">
            <v>1015</v>
          </cell>
          <cell r="C1406">
            <v>13980.12</v>
          </cell>
          <cell r="D1406" t="str">
            <v>205</v>
          </cell>
          <cell r="E1406" t="str">
            <v>407</v>
          </cell>
          <cell r="F1406">
            <v>0</v>
          </cell>
          <cell r="G1406">
            <v>2</v>
          </cell>
          <cell r="H1406" t="str">
            <v>2006-02-28</v>
          </cell>
        </row>
        <row r="1407">
          <cell r="A1407">
            <v>481004</v>
          </cell>
          <cell r="B1407">
            <v>1015</v>
          </cell>
          <cell r="C1407">
            <v>524.4</v>
          </cell>
          <cell r="D1407" t="str">
            <v>205</v>
          </cell>
          <cell r="E1407" t="str">
            <v>407</v>
          </cell>
          <cell r="F1407">
            <v>0</v>
          </cell>
          <cell r="G1407">
            <v>2</v>
          </cell>
          <cell r="H1407" t="str">
            <v>2006-02-28</v>
          </cell>
        </row>
        <row r="1408">
          <cell r="A1408">
            <v>481004</v>
          </cell>
          <cell r="B1408">
            <v>1015</v>
          </cell>
          <cell r="C1408">
            <v>271.45</v>
          </cell>
          <cell r="D1408" t="str">
            <v>205</v>
          </cell>
          <cell r="E1408" t="str">
            <v>407</v>
          </cell>
          <cell r="F1408">
            <v>0</v>
          </cell>
          <cell r="G1408">
            <v>2</v>
          </cell>
          <cell r="H1408" t="str">
            <v>2006-02-28</v>
          </cell>
        </row>
        <row r="1409">
          <cell r="A1409">
            <v>480000</v>
          </cell>
          <cell r="B1409">
            <v>1015</v>
          </cell>
          <cell r="C1409">
            <v>-56.82</v>
          </cell>
          <cell r="D1409" t="str">
            <v>205</v>
          </cell>
          <cell r="E1409" t="str">
            <v>408</v>
          </cell>
          <cell r="F1409">
            <v>0</v>
          </cell>
          <cell r="G1409">
            <v>2</v>
          </cell>
          <cell r="H1409" t="str">
            <v>2006-02-28</v>
          </cell>
        </row>
        <row r="1410">
          <cell r="A1410">
            <v>480000</v>
          </cell>
          <cell r="B1410">
            <v>1015</v>
          </cell>
          <cell r="C1410">
            <v>-17.5</v>
          </cell>
          <cell r="D1410" t="str">
            <v>205</v>
          </cell>
          <cell r="E1410" t="str">
            <v>408</v>
          </cell>
          <cell r="F1410">
            <v>0</v>
          </cell>
          <cell r="G1410">
            <v>2</v>
          </cell>
          <cell r="H1410" t="str">
            <v>2006-02-28</v>
          </cell>
        </row>
        <row r="1411">
          <cell r="A1411">
            <v>480000</v>
          </cell>
          <cell r="B1411">
            <v>1015</v>
          </cell>
          <cell r="C1411">
            <v>-29.43</v>
          </cell>
          <cell r="D1411" t="str">
            <v>205</v>
          </cell>
          <cell r="E1411" t="str">
            <v>408</v>
          </cell>
          <cell r="F1411">
            <v>0</v>
          </cell>
          <cell r="G1411">
            <v>2</v>
          </cell>
          <cell r="H1411" t="str">
            <v>2006-02-28</v>
          </cell>
        </row>
        <row r="1412">
          <cell r="A1412">
            <v>480000</v>
          </cell>
          <cell r="B1412">
            <v>1015</v>
          </cell>
          <cell r="C1412">
            <v>-6405.69</v>
          </cell>
          <cell r="D1412" t="str">
            <v>205</v>
          </cell>
          <cell r="E1412" t="str">
            <v>408</v>
          </cell>
          <cell r="F1412">
            <v>0</v>
          </cell>
          <cell r="G1412">
            <v>2</v>
          </cell>
          <cell r="H1412" t="str">
            <v>2006-02-28</v>
          </cell>
        </row>
        <row r="1413">
          <cell r="A1413">
            <v>480000</v>
          </cell>
          <cell r="B1413">
            <v>1015</v>
          </cell>
          <cell r="C1413">
            <v>-38.4</v>
          </cell>
          <cell r="D1413" t="str">
            <v>205</v>
          </cell>
          <cell r="E1413" t="str">
            <v>408</v>
          </cell>
          <cell r="F1413">
            <v>0</v>
          </cell>
          <cell r="G1413">
            <v>2</v>
          </cell>
          <cell r="H1413" t="str">
            <v>2006-02-28</v>
          </cell>
        </row>
        <row r="1414">
          <cell r="A1414">
            <v>480000</v>
          </cell>
          <cell r="B1414">
            <v>1015</v>
          </cell>
          <cell r="C1414">
            <v>-19.02</v>
          </cell>
          <cell r="D1414" t="str">
            <v>205</v>
          </cell>
          <cell r="E1414" t="str">
            <v>408</v>
          </cell>
          <cell r="F1414">
            <v>0</v>
          </cell>
          <cell r="G1414">
            <v>2</v>
          </cell>
          <cell r="H1414" t="str">
            <v>2006-02-28</v>
          </cell>
        </row>
        <row r="1415">
          <cell r="A1415">
            <v>480000</v>
          </cell>
          <cell r="B1415">
            <v>1015</v>
          </cell>
          <cell r="C1415">
            <v>-3539.56</v>
          </cell>
          <cell r="D1415" t="str">
            <v>205</v>
          </cell>
          <cell r="E1415" t="str">
            <v>408</v>
          </cell>
          <cell r="F1415">
            <v>0</v>
          </cell>
          <cell r="G1415">
            <v>2</v>
          </cell>
          <cell r="H1415" t="str">
            <v>2006-02-28</v>
          </cell>
        </row>
        <row r="1416">
          <cell r="A1416">
            <v>480000</v>
          </cell>
          <cell r="B1416">
            <v>1015</v>
          </cell>
          <cell r="C1416">
            <v>-7209.03</v>
          </cell>
          <cell r="D1416" t="str">
            <v>205</v>
          </cell>
          <cell r="E1416" t="str">
            <v>408</v>
          </cell>
          <cell r="F1416">
            <v>0</v>
          </cell>
          <cell r="G1416">
            <v>2</v>
          </cell>
          <cell r="H1416" t="str">
            <v>2006-02-28</v>
          </cell>
        </row>
        <row r="1417">
          <cell r="A1417">
            <v>480000</v>
          </cell>
          <cell r="B1417">
            <v>1015</v>
          </cell>
          <cell r="C1417">
            <v>-36.08</v>
          </cell>
          <cell r="D1417" t="str">
            <v>205</v>
          </cell>
          <cell r="E1417" t="str">
            <v>408</v>
          </cell>
          <cell r="F1417">
            <v>0</v>
          </cell>
          <cell r="G1417">
            <v>2</v>
          </cell>
          <cell r="H1417" t="str">
            <v>2006-02-28</v>
          </cell>
        </row>
        <row r="1418">
          <cell r="A1418">
            <v>480000</v>
          </cell>
          <cell r="B1418">
            <v>1015</v>
          </cell>
          <cell r="C1418">
            <v>-13.16</v>
          </cell>
          <cell r="D1418" t="str">
            <v>205</v>
          </cell>
          <cell r="E1418" t="str">
            <v>408</v>
          </cell>
          <cell r="F1418">
            <v>0</v>
          </cell>
          <cell r="G1418">
            <v>2</v>
          </cell>
          <cell r="H1418" t="str">
            <v>2006-02-28</v>
          </cell>
        </row>
        <row r="1419">
          <cell r="A1419">
            <v>480000</v>
          </cell>
          <cell r="B1419">
            <v>1015</v>
          </cell>
          <cell r="C1419">
            <v>-20.16</v>
          </cell>
          <cell r="D1419" t="str">
            <v>205</v>
          </cell>
          <cell r="E1419" t="str">
            <v>408</v>
          </cell>
          <cell r="F1419">
            <v>0</v>
          </cell>
          <cell r="G1419">
            <v>2</v>
          </cell>
          <cell r="H1419" t="str">
            <v>2006-02-28</v>
          </cell>
        </row>
        <row r="1420">
          <cell r="A1420">
            <v>480000</v>
          </cell>
          <cell r="B1420">
            <v>1015</v>
          </cell>
          <cell r="C1420">
            <v>-335.14</v>
          </cell>
          <cell r="D1420" t="str">
            <v>205</v>
          </cell>
          <cell r="E1420" t="str">
            <v>408</v>
          </cell>
          <cell r="F1420">
            <v>0</v>
          </cell>
          <cell r="G1420">
            <v>2</v>
          </cell>
          <cell r="H1420" t="str">
            <v>2006-02-28</v>
          </cell>
        </row>
        <row r="1421">
          <cell r="A1421">
            <v>480000</v>
          </cell>
          <cell r="B1421">
            <v>1015</v>
          </cell>
          <cell r="C1421">
            <v>-4.54</v>
          </cell>
          <cell r="D1421" t="str">
            <v>205</v>
          </cell>
          <cell r="E1421" t="str">
            <v>408</v>
          </cell>
          <cell r="F1421">
            <v>0</v>
          </cell>
          <cell r="G1421">
            <v>2</v>
          </cell>
          <cell r="H1421" t="str">
            <v>2006-02-28</v>
          </cell>
        </row>
        <row r="1422">
          <cell r="A1422">
            <v>480000</v>
          </cell>
          <cell r="B1422">
            <v>1015</v>
          </cell>
          <cell r="C1422">
            <v>1.93</v>
          </cell>
          <cell r="D1422" t="str">
            <v>205</v>
          </cell>
          <cell r="E1422" t="str">
            <v>408</v>
          </cell>
          <cell r="F1422">
            <v>0</v>
          </cell>
          <cell r="G1422">
            <v>2</v>
          </cell>
          <cell r="H1422" t="str">
            <v>2006-02-28</v>
          </cell>
        </row>
        <row r="1423">
          <cell r="A1423">
            <v>480001</v>
          </cell>
          <cell r="B1423">
            <v>1015</v>
          </cell>
          <cell r="C1423">
            <v>14483.28</v>
          </cell>
          <cell r="D1423" t="str">
            <v>205</v>
          </cell>
          <cell r="E1423" t="str">
            <v>408</v>
          </cell>
          <cell r="F1423">
            <v>0</v>
          </cell>
          <cell r="G1423">
            <v>2</v>
          </cell>
          <cell r="H1423" t="str">
            <v>2006-02-28</v>
          </cell>
        </row>
        <row r="1424">
          <cell r="A1424">
            <v>481004</v>
          </cell>
          <cell r="B1424">
            <v>1015</v>
          </cell>
          <cell r="C1424">
            <v>3.34</v>
          </cell>
          <cell r="D1424" t="str">
            <v>205</v>
          </cell>
          <cell r="E1424" t="str">
            <v>408</v>
          </cell>
          <cell r="F1424">
            <v>0</v>
          </cell>
          <cell r="G1424">
            <v>2</v>
          </cell>
          <cell r="H1424" t="str">
            <v>2006-02-28</v>
          </cell>
        </row>
        <row r="1425">
          <cell r="A1425">
            <v>481004</v>
          </cell>
          <cell r="B1425">
            <v>1015</v>
          </cell>
          <cell r="C1425">
            <v>-913.19</v>
          </cell>
          <cell r="D1425" t="str">
            <v>205</v>
          </cell>
          <cell r="E1425" t="str">
            <v>408</v>
          </cell>
          <cell r="F1425">
            <v>0</v>
          </cell>
          <cell r="G1425">
            <v>2</v>
          </cell>
          <cell r="H1425" t="str">
            <v>2006-02-28</v>
          </cell>
        </row>
        <row r="1426">
          <cell r="A1426">
            <v>481004</v>
          </cell>
          <cell r="B1426">
            <v>1015</v>
          </cell>
          <cell r="C1426">
            <v>-30.27</v>
          </cell>
          <cell r="D1426" t="str">
            <v>205</v>
          </cell>
          <cell r="E1426" t="str">
            <v>408</v>
          </cell>
          <cell r="F1426">
            <v>0</v>
          </cell>
          <cell r="G1426">
            <v>2</v>
          </cell>
          <cell r="H1426" t="str">
            <v>2006-02-28</v>
          </cell>
        </row>
        <row r="1427">
          <cell r="A1427">
            <v>481004</v>
          </cell>
          <cell r="B1427">
            <v>1015</v>
          </cell>
          <cell r="C1427">
            <v>-2060.11</v>
          </cell>
          <cell r="D1427" t="str">
            <v>205</v>
          </cell>
          <cell r="E1427" t="str">
            <v>408</v>
          </cell>
          <cell r="F1427">
            <v>0</v>
          </cell>
          <cell r="G1427">
            <v>2</v>
          </cell>
          <cell r="H1427" t="str">
            <v>2006-02-28</v>
          </cell>
        </row>
        <row r="1428">
          <cell r="A1428">
            <v>481004</v>
          </cell>
          <cell r="B1428">
            <v>1015</v>
          </cell>
          <cell r="C1428">
            <v>-4417.96</v>
          </cell>
          <cell r="D1428" t="str">
            <v>205</v>
          </cell>
          <cell r="E1428" t="str">
            <v>408</v>
          </cell>
          <cell r="F1428">
            <v>0</v>
          </cell>
          <cell r="G1428">
            <v>2</v>
          </cell>
          <cell r="H1428" t="str">
            <v>2006-02-28</v>
          </cell>
        </row>
        <row r="1429">
          <cell r="A1429">
            <v>481004</v>
          </cell>
          <cell r="B1429">
            <v>1015</v>
          </cell>
          <cell r="C1429">
            <v>-17.68</v>
          </cell>
          <cell r="D1429" t="str">
            <v>205</v>
          </cell>
          <cell r="E1429" t="str">
            <v>408</v>
          </cell>
          <cell r="F1429">
            <v>0</v>
          </cell>
          <cell r="G1429">
            <v>2</v>
          </cell>
          <cell r="H1429" t="str">
            <v>2006-02-28</v>
          </cell>
        </row>
        <row r="1430">
          <cell r="A1430">
            <v>481004</v>
          </cell>
          <cell r="B1430">
            <v>1015</v>
          </cell>
          <cell r="C1430">
            <v>-26.6</v>
          </cell>
          <cell r="D1430" t="str">
            <v>205</v>
          </cell>
          <cell r="E1430" t="str">
            <v>408</v>
          </cell>
          <cell r="F1430">
            <v>0</v>
          </cell>
          <cell r="G1430">
            <v>2</v>
          </cell>
          <cell r="H1430" t="str">
            <v>2006-02-28</v>
          </cell>
        </row>
        <row r="1431">
          <cell r="A1431">
            <v>481004</v>
          </cell>
          <cell r="B1431">
            <v>1015</v>
          </cell>
          <cell r="C1431">
            <v>0.01</v>
          </cell>
          <cell r="D1431" t="str">
            <v>205</v>
          </cell>
          <cell r="E1431" t="str">
            <v>408</v>
          </cell>
          <cell r="F1431">
            <v>0</v>
          </cell>
          <cell r="G1431">
            <v>2</v>
          </cell>
          <cell r="H1431" t="str">
            <v>2006-02-28</v>
          </cell>
        </row>
        <row r="1432">
          <cell r="A1432">
            <v>481004</v>
          </cell>
          <cell r="B1432">
            <v>1015</v>
          </cell>
          <cell r="C1432">
            <v>-50.91</v>
          </cell>
          <cell r="D1432" t="str">
            <v>205</v>
          </cell>
          <cell r="E1432" t="str">
            <v>408</v>
          </cell>
          <cell r="F1432">
            <v>0</v>
          </cell>
          <cell r="G1432">
            <v>2</v>
          </cell>
          <cell r="H1432" t="str">
            <v>2006-02-28</v>
          </cell>
        </row>
        <row r="1433">
          <cell r="A1433">
            <v>481004</v>
          </cell>
          <cell r="B1433">
            <v>1015</v>
          </cell>
          <cell r="C1433">
            <v>-19.309999999999999</v>
          </cell>
          <cell r="D1433" t="str">
            <v>205</v>
          </cell>
          <cell r="E1433" t="str">
            <v>408</v>
          </cell>
          <cell r="F1433">
            <v>0</v>
          </cell>
          <cell r="G1433">
            <v>2</v>
          </cell>
          <cell r="H1433" t="str">
            <v>2006-02-28</v>
          </cell>
        </row>
        <row r="1434">
          <cell r="A1434">
            <v>480000</v>
          </cell>
          <cell r="B1434">
            <v>1015</v>
          </cell>
          <cell r="C1434">
            <v>-6330.82</v>
          </cell>
          <cell r="D1434" t="str">
            <v>205</v>
          </cell>
          <cell r="E1434" t="str">
            <v>453</v>
          </cell>
          <cell r="F1434">
            <v>0</v>
          </cell>
          <cell r="G1434">
            <v>2</v>
          </cell>
          <cell r="H1434" t="str">
            <v>2006-02-28</v>
          </cell>
        </row>
        <row r="1435">
          <cell r="A1435">
            <v>480000</v>
          </cell>
          <cell r="B1435">
            <v>1015</v>
          </cell>
          <cell r="C1435">
            <v>-166.3</v>
          </cell>
          <cell r="D1435" t="str">
            <v>205</v>
          </cell>
          <cell r="E1435" t="str">
            <v>453</v>
          </cell>
          <cell r="F1435">
            <v>0</v>
          </cell>
          <cell r="G1435">
            <v>2</v>
          </cell>
          <cell r="H1435" t="str">
            <v>2006-02-28</v>
          </cell>
        </row>
        <row r="1436">
          <cell r="A1436">
            <v>480000</v>
          </cell>
          <cell r="B1436">
            <v>1015</v>
          </cell>
          <cell r="C1436">
            <v>-9443.73</v>
          </cell>
          <cell r="D1436" t="str">
            <v>205</v>
          </cell>
          <cell r="E1436" t="str">
            <v>453</v>
          </cell>
          <cell r="F1436">
            <v>0</v>
          </cell>
          <cell r="G1436">
            <v>2</v>
          </cell>
          <cell r="H1436" t="str">
            <v>2006-02-28</v>
          </cell>
        </row>
        <row r="1437">
          <cell r="A1437">
            <v>480000</v>
          </cell>
          <cell r="B1437">
            <v>1015</v>
          </cell>
          <cell r="C1437">
            <v>-196.8</v>
          </cell>
          <cell r="D1437" t="str">
            <v>205</v>
          </cell>
          <cell r="E1437" t="str">
            <v>453</v>
          </cell>
          <cell r="F1437">
            <v>0</v>
          </cell>
          <cell r="G1437">
            <v>2</v>
          </cell>
          <cell r="H1437" t="str">
            <v>2006-02-28</v>
          </cell>
        </row>
        <row r="1438">
          <cell r="A1438">
            <v>480000</v>
          </cell>
          <cell r="B1438">
            <v>1015</v>
          </cell>
          <cell r="C1438">
            <v>-14999.62</v>
          </cell>
          <cell r="D1438" t="str">
            <v>205</v>
          </cell>
          <cell r="E1438" t="str">
            <v>453</v>
          </cell>
          <cell r="F1438">
            <v>0</v>
          </cell>
          <cell r="G1438">
            <v>2</v>
          </cell>
          <cell r="H1438" t="str">
            <v>2006-02-28</v>
          </cell>
        </row>
        <row r="1439">
          <cell r="A1439">
            <v>480000</v>
          </cell>
          <cell r="B1439">
            <v>1015</v>
          </cell>
          <cell r="C1439">
            <v>-6110.46</v>
          </cell>
          <cell r="D1439" t="str">
            <v>205</v>
          </cell>
          <cell r="E1439" t="str">
            <v>453</v>
          </cell>
          <cell r="F1439">
            <v>0</v>
          </cell>
          <cell r="G1439">
            <v>2</v>
          </cell>
          <cell r="H1439" t="str">
            <v>2006-02-28</v>
          </cell>
        </row>
        <row r="1440">
          <cell r="A1440">
            <v>480000</v>
          </cell>
          <cell r="B1440">
            <v>1015</v>
          </cell>
          <cell r="C1440">
            <v>-254.61</v>
          </cell>
          <cell r="D1440" t="str">
            <v>205</v>
          </cell>
          <cell r="E1440" t="str">
            <v>453</v>
          </cell>
          <cell r="F1440">
            <v>0</v>
          </cell>
          <cell r="G1440">
            <v>2</v>
          </cell>
          <cell r="H1440" t="str">
            <v>2006-02-28</v>
          </cell>
        </row>
        <row r="1441">
          <cell r="A1441">
            <v>480000</v>
          </cell>
          <cell r="B1441">
            <v>1015</v>
          </cell>
          <cell r="C1441">
            <v>-11178.19</v>
          </cell>
          <cell r="D1441" t="str">
            <v>205</v>
          </cell>
          <cell r="E1441" t="str">
            <v>453</v>
          </cell>
          <cell r="F1441">
            <v>0</v>
          </cell>
          <cell r="G1441">
            <v>2</v>
          </cell>
          <cell r="H1441" t="str">
            <v>2006-02-28</v>
          </cell>
        </row>
        <row r="1442">
          <cell r="A1442">
            <v>480000</v>
          </cell>
          <cell r="B1442">
            <v>1015</v>
          </cell>
          <cell r="C1442">
            <v>-95.61</v>
          </cell>
          <cell r="D1442" t="str">
            <v>205</v>
          </cell>
          <cell r="E1442" t="str">
            <v>453</v>
          </cell>
          <cell r="F1442">
            <v>0</v>
          </cell>
          <cell r="G1442">
            <v>2</v>
          </cell>
          <cell r="H1442" t="str">
            <v>2006-02-28</v>
          </cell>
        </row>
        <row r="1443">
          <cell r="A1443">
            <v>480000</v>
          </cell>
          <cell r="B1443">
            <v>1015</v>
          </cell>
          <cell r="C1443">
            <v>-14044.27</v>
          </cell>
          <cell r="D1443" t="str">
            <v>205</v>
          </cell>
          <cell r="E1443" t="str">
            <v>453</v>
          </cell>
          <cell r="F1443">
            <v>0</v>
          </cell>
          <cell r="G1443">
            <v>2</v>
          </cell>
          <cell r="H1443" t="str">
            <v>2006-02-28</v>
          </cell>
        </row>
        <row r="1444">
          <cell r="A1444">
            <v>480000</v>
          </cell>
          <cell r="B1444">
            <v>1015</v>
          </cell>
          <cell r="C1444">
            <v>-96.02</v>
          </cell>
          <cell r="D1444" t="str">
            <v>205</v>
          </cell>
          <cell r="E1444" t="str">
            <v>453</v>
          </cell>
          <cell r="F1444">
            <v>0</v>
          </cell>
          <cell r="G1444">
            <v>2</v>
          </cell>
          <cell r="H1444" t="str">
            <v>2006-02-28</v>
          </cell>
        </row>
        <row r="1445">
          <cell r="A1445">
            <v>480000</v>
          </cell>
          <cell r="B1445">
            <v>1015</v>
          </cell>
          <cell r="C1445">
            <v>-1485.87</v>
          </cell>
          <cell r="D1445" t="str">
            <v>205</v>
          </cell>
          <cell r="E1445" t="str">
            <v>453</v>
          </cell>
          <cell r="F1445">
            <v>0</v>
          </cell>
          <cell r="G1445">
            <v>2</v>
          </cell>
          <cell r="H1445" t="str">
            <v>2006-02-28</v>
          </cell>
        </row>
        <row r="1446">
          <cell r="A1446">
            <v>480000</v>
          </cell>
          <cell r="B1446">
            <v>1015</v>
          </cell>
          <cell r="C1446">
            <v>17.43</v>
          </cell>
          <cell r="D1446" t="str">
            <v>205</v>
          </cell>
          <cell r="E1446" t="str">
            <v>453</v>
          </cell>
          <cell r="F1446">
            <v>0</v>
          </cell>
          <cell r="G1446">
            <v>2</v>
          </cell>
          <cell r="H1446" t="str">
            <v>2006-02-28</v>
          </cell>
        </row>
        <row r="1447">
          <cell r="A1447">
            <v>480000</v>
          </cell>
          <cell r="B1447">
            <v>1015</v>
          </cell>
          <cell r="C1447">
            <v>4.1399999999999997</v>
          </cell>
          <cell r="D1447" t="str">
            <v>205</v>
          </cell>
          <cell r="E1447" t="str">
            <v>453</v>
          </cell>
          <cell r="F1447">
            <v>0</v>
          </cell>
          <cell r="G1447">
            <v>2</v>
          </cell>
          <cell r="H1447" t="str">
            <v>2006-02-28</v>
          </cell>
        </row>
        <row r="1448">
          <cell r="A1448">
            <v>480001</v>
          </cell>
          <cell r="B1448">
            <v>1015</v>
          </cell>
          <cell r="C1448">
            <v>82479.78</v>
          </cell>
          <cell r="D1448" t="str">
            <v>205</v>
          </cell>
          <cell r="E1448" t="str">
            <v>453</v>
          </cell>
          <cell r="F1448">
            <v>0</v>
          </cell>
          <cell r="G1448">
            <v>2</v>
          </cell>
          <cell r="H1448" t="str">
            <v>2006-02-28</v>
          </cell>
        </row>
        <row r="1449">
          <cell r="A1449">
            <v>481004</v>
          </cell>
          <cell r="B1449">
            <v>1015</v>
          </cell>
          <cell r="C1449">
            <v>-1229.8699999999999</v>
          </cell>
          <cell r="D1449" t="str">
            <v>205</v>
          </cell>
          <cell r="E1449" t="str">
            <v>453</v>
          </cell>
          <cell r="F1449">
            <v>0</v>
          </cell>
          <cell r="G1449">
            <v>2</v>
          </cell>
          <cell r="H1449" t="str">
            <v>2006-02-28</v>
          </cell>
        </row>
        <row r="1450">
          <cell r="A1450">
            <v>481004</v>
          </cell>
          <cell r="B1450">
            <v>1015</v>
          </cell>
          <cell r="C1450">
            <v>-90.41</v>
          </cell>
          <cell r="D1450" t="str">
            <v>205</v>
          </cell>
          <cell r="E1450" t="str">
            <v>453</v>
          </cell>
          <cell r="F1450">
            <v>0</v>
          </cell>
          <cell r="G1450">
            <v>2</v>
          </cell>
          <cell r="H1450" t="str">
            <v>2006-02-28</v>
          </cell>
        </row>
        <row r="1451">
          <cell r="A1451">
            <v>481004</v>
          </cell>
          <cell r="B1451">
            <v>1015</v>
          </cell>
          <cell r="C1451">
            <v>-3967.86</v>
          </cell>
          <cell r="D1451" t="str">
            <v>205</v>
          </cell>
          <cell r="E1451" t="str">
            <v>453</v>
          </cell>
          <cell r="F1451">
            <v>0</v>
          </cell>
          <cell r="G1451">
            <v>2</v>
          </cell>
          <cell r="H1451" t="str">
            <v>2006-02-28</v>
          </cell>
        </row>
        <row r="1452">
          <cell r="A1452">
            <v>481004</v>
          </cell>
          <cell r="B1452">
            <v>1015</v>
          </cell>
          <cell r="C1452">
            <v>-410.49</v>
          </cell>
          <cell r="D1452" t="str">
            <v>205</v>
          </cell>
          <cell r="E1452" t="str">
            <v>453</v>
          </cell>
          <cell r="F1452">
            <v>0</v>
          </cell>
          <cell r="G1452">
            <v>2</v>
          </cell>
          <cell r="H1452" t="str">
            <v>2006-02-28</v>
          </cell>
        </row>
        <row r="1453">
          <cell r="A1453">
            <v>481004</v>
          </cell>
          <cell r="B1453">
            <v>1015</v>
          </cell>
          <cell r="C1453">
            <v>-7265.92</v>
          </cell>
          <cell r="D1453" t="str">
            <v>205</v>
          </cell>
          <cell r="E1453" t="str">
            <v>453</v>
          </cell>
          <cell r="F1453">
            <v>0</v>
          </cell>
          <cell r="G1453">
            <v>2</v>
          </cell>
          <cell r="H1453" t="str">
            <v>2006-02-28</v>
          </cell>
        </row>
        <row r="1454">
          <cell r="A1454">
            <v>481004</v>
          </cell>
          <cell r="B1454">
            <v>1015</v>
          </cell>
          <cell r="C1454">
            <v>-2257.5</v>
          </cell>
          <cell r="D1454" t="str">
            <v>205</v>
          </cell>
          <cell r="E1454" t="str">
            <v>453</v>
          </cell>
          <cell r="F1454">
            <v>0</v>
          </cell>
          <cell r="G1454">
            <v>2</v>
          </cell>
          <cell r="H1454" t="str">
            <v>2006-02-28</v>
          </cell>
        </row>
        <row r="1455">
          <cell r="A1455">
            <v>481004</v>
          </cell>
          <cell r="B1455">
            <v>1015</v>
          </cell>
          <cell r="C1455">
            <v>-173.5</v>
          </cell>
          <cell r="D1455" t="str">
            <v>205</v>
          </cell>
          <cell r="E1455" t="str">
            <v>453</v>
          </cell>
          <cell r="F1455">
            <v>0</v>
          </cell>
          <cell r="G1455">
            <v>2</v>
          </cell>
          <cell r="H1455" t="str">
            <v>2006-02-28</v>
          </cell>
        </row>
        <row r="1456">
          <cell r="A1456">
            <v>481004</v>
          </cell>
          <cell r="B1456">
            <v>1015</v>
          </cell>
          <cell r="C1456">
            <v>-8808.5</v>
          </cell>
          <cell r="D1456" t="str">
            <v>205</v>
          </cell>
          <cell r="E1456" t="str">
            <v>453</v>
          </cell>
          <cell r="F1456">
            <v>0</v>
          </cell>
          <cell r="G1456">
            <v>2</v>
          </cell>
          <cell r="H1456" t="str">
            <v>2006-02-28</v>
          </cell>
        </row>
        <row r="1457">
          <cell r="A1457">
            <v>481004</v>
          </cell>
          <cell r="B1457">
            <v>1015</v>
          </cell>
          <cell r="C1457">
            <v>-116.86</v>
          </cell>
          <cell r="D1457" t="str">
            <v>205</v>
          </cell>
          <cell r="E1457" t="str">
            <v>453</v>
          </cell>
          <cell r="F1457">
            <v>0</v>
          </cell>
          <cell r="G1457">
            <v>2</v>
          </cell>
          <cell r="H1457" t="str">
            <v>2006-02-28</v>
          </cell>
        </row>
        <row r="1458">
          <cell r="A1458">
            <v>481004</v>
          </cell>
          <cell r="B1458">
            <v>1015</v>
          </cell>
          <cell r="C1458">
            <v>-3437.74</v>
          </cell>
          <cell r="D1458" t="str">
            <v>205</v>
          </cell>
          <cell r="E1458" t="str">
            <v>453</v>
          </cell>
          <cell r="F1458">
            <v>0</v>
          </cell>
          <cell r="G1458">
            <v>2</v>
          </cell>
          <cell r="H1458" t="str">
            <v>2006-02-28</v>
          </cell>
        </row>
        <row r="1459">
          <cell r="A1459">
            <v>481004</v>
          </cell>
          <cell r="B1459">
            <v>1015</v>
          </cell>
          <cell r="C1459">
            <v>-354.69</v>
          </cell>
          <cell r="D1459" t="str">
            <v>205</v>
          </cell>
          <cell r="E1459" t="str">
            <v>453</v>
          </cell>
          <cell r="F1459">
            <v>0</v>
          </cell>
          <cell r="G1459">
            <v>2</v>
          </cell>
          <cell r="H1459" t="str">
            <v>2006-02-28</v>
          </cell>
        </row>
        <row r="1460">
          <cell r="A1460">
            <v>481004</v>
          </cell>
          <cell r="B1460">
            <v>1015</v>
          </cell>
          <cell r="C1460">
            <v>-918.13</v>
          </cell>
          <cell r="D1460" t="str">
            <v>205</v>
          </cell>
          <cell r="E1460" t="str">
            <v>453</v>
          </cell>
          <cell r="F1460">
            <v>0</v>
          </cell>
          <cell r="G1460">
            <v>2</v>
          </cell>
          <cell r="H1460" t="str">
            <v>2006-02-28</v>
          </cell>
        </row>
        <row r="1461">
          <cell r="A1461">
            <v>481004</v>
          </cell>
          <cell r="B1461">
            <v>1015</v>
          </cell>
          <cell r="C1461">
            <v>-46.23</v>
          </cell>
          <cell r="D1461" t="str">
            <v>205</v>
          </cell>
          <cell r="E1461" t="str">
            <v>453</v>
          </cell>
          <cell r="F1461">
            <v>0</v>
          </cell>
          <cell r="G1461">
            <v>2</v>
          </cell>
          <cell r="H1461" t="str">
            <v>2006-02-28</v>
          </cell>
        </row>
        <row r="1462">
          <cell r="A1462">
            <v>481004</v>
          </cell>
          <cell r="B1462">
            <v>1015</v>
          </cell>
          <cell r="C1462">
            <v>-1.35</v>
          </cell>
          <cell r="D1462" t="str">
            <v>205</v>
          </cell>
          <cell r="E1462" t="str">
            <v>453</v>
          </cell>
          <cell r="F1462">
            <v>0</v>
          </cell>
          <cell r="G1462">
            <v>2</v>
          </cell>
          <cell r="H1462" t="str">
            <v>2006-02-28</v>
          </cell>
        </row>
        <row r="1463">
          <cell r="A1463">
            <v>480000</v>
          </cell>
          <cell r="B1463">
            <v>1015</v>
          </cell>
          <cell r="C1463">
            <v>-20.05</v>
          </cell>
          <cell r="D1463" t="str">
            <v>205</v>
          </cell>
          <cell r="E1463" t="str">
            <v>455</v>
          </cell>
          <cell r="F1463">
            <v>0</v>
          </cell>
          <cell r="G1463">
            <v>2</v>
          </cell>
          <cell r="H1463" t="str">
            <v>2006-02-28</v>
          </cell>
        </row>
        <row r="1464">
          <cell r="A1464">
            <v>480000</v>
          </cell>
          <cell r="B1464">
            <v>1015</v>
          </cell>
          <cell r="C1464">
            <v>-0.74</v>
          </cell>
          <cell r="D1464" t="str">
            <v>205</v>
          </cell>
          <cell r="E1464" t="str">
            <v>455</v>
          </cell>
          <cell r="F1464">
            <v>0</v>
          </cell>
          <cell r="G1464">
            <v>2</v>
          </cell>
          <cell r="H1464" t="str">
            <v>2006-02-28</v>
          </cell>
        </row>
        <row r="1465">
          <cell r="A1465">
            <v>480000</v>
          </cell>
          <cell r="B1465">
            <v>1015</v>
          </cell>
          <cell r="C1465">
            <v>-4198.67</v>
          </cell>
          <cell r="D1465" t="str">
            <v>205</v>
          </cell>
          <cell r="E1465" t="str">
            <v>455</v>
          </cell>
          <cell r="F1465">
            <v>0</v>
          </cell>
          <cell r="G1465">
            <v>2</v>
          </cell>
          <cell r="H1465" t="str">
            <v>2006-02-28</v>
          </cell>
        </row>
        <row r="1466">
          <cell r="A1466">
            <v>480000</v>
          </cell>
          <cell r="B1466">
            <v>1015</v>
          </cell>
          <cell r="C1466">
            <v>-50.15</v>
          </cell>
          <cell r="D1466" t="str">
            <v>205</v>
          </cell>
          <cell r="E1466" t="str">
            <v>455</v>
          </cell>
          <cell r="F1466">
            <v>0</v>
          </cell>
          <cell r="G1466">
            <v>2</v>
          </cell>
          <cell r="H1466" t="str">
            <v>2006-02-28</v>
          </cell>
        </row>
        <row r="1467">
          <cell r="A1467">
            <v>480000</v>
          </cell>
          <cell r="B1467">
            <v>1015</v>
          </cell>
          <cell r="C1467">
            <v>0.04</v>
          </cell>
          <cell r="D1467" t="str">
            <v>205</v>
          </cell>
          <cell r="E1467" t="str">
            <v>455</v>
          </cell>
          <cell r="F1467">
            <v>0</v>
          </cell>
          <cell r="G1467">
            <v>2</v>
          </cell>
          <cell r="H1467" t="str">
            <v>2006-02-28</v>
          </cell>
        </row>
        <row r="1468">
          <cell r="A1468">
            <v>480000</v>
          </cell>
          <cell r="B1468">
            <v>1015</v>
          </cell>
          <cell r="C1468">
            <v>-24.42</v>
          </cell>
          <cell r="D1468" t="str">
            <v>205</v>
          </cell>
          <cell r="E1468" t="str">
            <v>455</v>
          </cell>
          <cell r="F1468">
            <v>0</v>
          </cell>
          <cell r="G1468">
            <v>2</v>
          </cell>
          <cell r="H1468" t="str">
            <v>2006-02-28</v>
          </cell>
        </row>
        <row r="1469">
          <cell r="A1469">
            <v>480000</v>
          </cell>
          <cell r="B1469">
            <v>1015</v>
          </cell>
          <cell r="C1469">
            <v>-5.01</v>
          </cell>
          <cell r="D1469" t="str">
            <v>205</v>
          </cell>
          <cell r="E1469" t="str">
            <v>455</v>
          </cell>
          <cell r="F1469">
            <v>0</v>
          </cell>
          <cell r="G1469">
            <v>2</v>
          </cell>
          <cell r="H1469" t="str">
            <v>2006-02-28</v>
          </cell>
        </row>
        <row r="1470">
          <cell r="A1470">
            <v>480000</v>
          </cell>
          <cell r="B1470">
            <v>1015</v>
          </cell>
          <cell r="C1470">
            <v>0.64</v>
          </cell>
          <cell r="D1470" t="str">
            <v>205</v>
          </cell>
          <cell r="E1470" t="str">
            <v>455</v>
          </cell>
          <cell r="F1470">
            <v>0</v>
          </cell>
          <cell r="G1470">
            <v>2</v>
          </cell>
          <cell r="H1470" t="str">
            <v>2006-02-28</v>
          </cell>
        </row>
        <row r="1471">
          <cell r="A1471">
            <v>480000</v>
          </cell>
          <cell r="B1471">
            <v>1015</v>
          </cell>
          <cell r="C1471">
            <v>4.25</v>
          </cell>
          <cell r="D1471" t="str">
            <v>205</v>
          </cell>
          <cell r="E1471" t="str">
            <v>455</v>
          </cell>
          <cell r="F1471">
            <v>0</v>
          </cell>
          <cell r="G1471">
            <v>2</v>
          </cell>
          <cell r="H1471" t="str">
            <v>2006-02-28</v>
          </cell>
        </row>
        <row r="1472">
          <cell r="A1472">
            <v>480001</v>
          </cell>
          <cell r="B1472">
            <v>1015</v>
          </cell>
          <cell r="C1472">
            <v>7336.54</v>
          </cell>
          <cell r="D1472" t="str">
            <v>205</v>
          </cell>
          <cell r="E1472" t="str">
            <v>455</v>
          </cell>
          <cell r="F1472">
            <v>0</v>
          </cell>
          <cell r="G1472">
            <v>2</v>
          </cell>
          <cell r="H1472" t="str">
            <v>2006-02-28</v>
          </cell>
        </row>
        <row r="1473">
          <cell r="A1473">
            <v>481004</v>
          </cell>
          <cell r="B1473">
            <v>1015</v>
          </cell>
          <cell r="C1473">
            <v>-3.09</v>
          </cell>
          <cell r="D1473" t="str">
            <v>205</v>
          </cell>
          <cell r="E1473" t="str">
            <v>455</v>
          </cell>
          <cell r="F1473">
            <v>0</v>
          </cell>
          <cell r="G1473">
            <v>2</v>
          </cell>
          <cell r="H1473" t="str">
            <v>2006-02-28</v>
          </cell>
        </row>
        <row r="1474">
          <cell r="A1474">
            <v>481004</v>
          </cell>
          <cell r="B1474">
            <v>1015</v>
          </cell>
          <cell r="C1474">
            <v>-2735</v>
          </cell>
          <cell r="D1474" t="str">
            <v>205</v>
          </cell>
          <cell r="E1474" t="str">
            <v>455</v>
          </cell>
          <cell r="F1474">
            <v>0</v>
          </cell>
          <cell r="G1474">
            <v>2</v>
          </cell>
          <cell r="H1474" t="str">
            <v>2006-02-28</v>
          </cell>
        </row>
        <row r="1475">
          <cell r="A1475">
            <v>481004</v>
          </cell>
          <cell r="B1475">
            <v>1015</v>
          </cell>
          <cell r="C1475">
            <v>-145.34</v>
          </cell>
          <cell r="D1475" t="str">
            <v>205</v>
          </cell>
          <cell r="E1475" t="str">
            <v>455</v>
          </cell>
          <cell r="F1475">
            <v>0</v>
          </cell>
          <cell r="G1475">
            <v>2</v>
          </cell>
          <cell r="H1475" t="str">
            <v>2006-02-28</v>
          </cell>
        </row>
        <row r="1476">
          <cell r="A1476">
            <v>481004</v>
          </cell>
          <cell r="B1476">
            <v>1015</v>
          </cell>
          <cell r="C1476">
            <v>-38.19</v>
          </cell>
          <cell r="D1476" t="str">
            <v>205</v>
          </cell>
          <cell r="E1476" t="str">
            <v>455</v>
          </cell>
          <cell r="F1476">
            <v>0</v>
          </cell>
          <cell r="G1476">
            <v>2</v>
          </cell>
          <cell r="H1476" t="str">
            <v>2006-02-28</v>
          </cell>
        </row>
        <row r="1477">
          <cell r="A1477">
            <v>481004</v>
          </cell>
          <cell r="B1477">
            <v>1015</v>
          </cell>
          <cell r="C1477">
            <v>-120.81</v>
          </cell>
          <cell r="D1477" t="str">
            <v>205</v>
          </cell>
          <cell r="E1477" t="str">
            <v>455</v>
          </cell>
          <cell r="F1477">
            <v>0</v>
          </cell>
          <cell r="G1477">
            <v>2</v>
          </cell>
          <cell r="H1477" t="str">
            <v>2006-02-28</v>
          </cell>
        </row>
        <row r="1478">
          <cell r="A1478" t="str">
            <v>481000</v>
          </cell>
          <cell r="B1478" t="str">
            <v>1015</v>
          </cell>
          <cell r="C1478">
            <v>-25253.79</v>
          </cell>
          <cell r="D1478" t="str">
            <v>202</v>
          </cell>
          <cell r="E1478" t="str">
            <v>402</v>
          </cell>
          <cell r="F1478">
            <v>-52244.800000000003</v>
          </cell>
          <cell r="G1478">
            <v>3</v>
          </cell>
          <cell r="H1478" t="str">
            <v>2006-03-31</v>
          </cell>
        </row>
        <row r="1479">
          <cell r="A1479" t="str">
            <v>481000</v>
          </cell>
          <cell r="B1479" t="str">
            <v>1015</v>
          </cell>
          <cell r="C1479">
            <v>-53926.77</v>
          </cell>
          <cell r="D1479" t="str">
            <v>203</v>
          </cell>
          <cell r="E1479" t="str">
            <v>402</v>
          </cell>
          <cell r="F1479">
            <v>0</v>
          </cell>
          <cell r="G1479">
            <v>3</v>
          </cell>
          <cell r="H1479" t="str">
            <v>2006-03-31</v>
          </cell>
        </row>
        <row r="1480">
          <cell r="A1480" t="str">
            <v>481000</v>
          </cell>
          <cell r="B1480" t="str">
            <v>1015</v>
          </cell>
          <cell r="C1480">
            <v>-359198.49</v>
          </cell>
          <cell r="D1480" t="str">
            <v>204</v>
          </cell>
          <cell r="E1480" t="str">
            <v>402</v>
          </cell>
          <cell r="F1480">
            <v>0</v>
          </cell>
          <cell r="G1480">
            <v>3</v>
          </cell>
          <cell r="H1480" t="str">
            <v>2006-03-31</v>
          </cell>
        </row>
        <row r="1481">
          <cell r="A1481" t="str">
            <v>481000</v>
          </cell>
          <cell r="B1481" t="str">
            <v>1015</v>
          </cell>
          <cell r="C1481">
            <v>0</v>
          </cell>
          <cell r="D1481" t="str">
            <v>210</v>
          </cell>
          <cell r="E1481" t="str">
            <v>402</v>
          </cell>
          <cell r="F1481">
            <v>0</v>
          </cell>
          <cell r="G1481">
            <v>3</v>
          </cell>
          <cell r="H1481" t="str">
            <v>2006-03-31</v>
          </cell>
        </row>
        <row r="1482">
          <cell r="A1482" t="str">
            <v>481004</v>
          </cell>
          <cell r="B1482" t="str">
            <v>1015</v>
          </cell>
          <cell r="C1482">
            <v>-423619.33</v>
          </cell>
          <cell r="D1482" t="str">
            <v>202</v>
          </cell>
          <cell r="E1482" t="str">
            <v>402</v>
          </cell>
          <cell r="F1482">
            <v>-804269.78</v>
          </cell>
          <cell r="G1482">
            <v>3</v>
          </cell>
          <cell r="H1482" t="str">
            <v>2006-03-31</v>
          </cell>
        </row>
        <row r="1483">
          <cell r="A1483" t="str">
            <v>481004</v>
          </cell>
          <cell r="B1483" t="str">
            <v>1015</v>
          </cell>
          <cell r="C1483">
            <v>-830159.73</v>
          </cell>
          <cell r="D1483" t="str">
            <v>203</v>
          </cell>
          <cell r="E1483" t="str">
            <v>402</v>
          </cell>
          <cell r="F1483">
            <v>0</v>
          </cell>
          <cell r="G1483">
            <v>3</v>
          </cell>
          <cell r="H1483" t="str">
            <v>2006-03-31</v>
          </cell>
        </row>
        <row r="1484">
          <cell r="A1484" t="str">
            <v>481004</v>
          </cell>
          <cell r="B1484" t="str">
            <v>1015</v>
          </cell>
          <cell r="C1484">
            <v>-5529573.0800000001</v>
          </cell>
          <cell r="D1484" t="str">
            <v>204</v>
          </cell>
          <cell r="E1484" t="str">
            <v>402</v>
          </cell>
          <cell r="F1484">
            <v>0</v>
          </cell>
          <cell r="G1484">
            <v>3</v>
          </cell>
          <cell r="H1484" t="str">
            <v>2006-03-31</v>
          </cell>
        </row>
        <row r="1485">
          <cell r="A1485" t="str">
            <v>481004</v>
          </cell>
          <cell r="B1485" t="str">
            <v>1015</v>
          </cell>
          <cell r="C1485">
            <v>0</v>
          </cell>
          <cell r="D1485" t="str">
            <v>210</v>
          </cell>
          <cell r="E1485" t="str">
            <v>402</v>
          </cell>
          <cell r="F1485">
            <v>0</v>
          </cell>
          <cell r="G1485">
            <v>3</v>
          </cell>
          <cell r="H1485" t="str">
            <v>2006-03-31</v>
          </cell>
        </row>
        <row r="1486">
          <cell r="A1486" t="str">
            <v>481000</v>
          </cell>
          <cell r="B1486" t="str">
            <v>1015</v>
          </cell>
          <cell r="C1486">
            <v>-7324.64</v>
          </cell>
          <cell r="D1486" t="str">
            <v>202</v>
          </cell>
          <cell r="E1486" t="str">
            <v>403</v>
          </cell>
          <cell r="F1486">
            <v>0</v>
          </cell>
          <cell r="G1486">
            <v>3</v>
          </cell>
          <cell r="H1486" t="str">
            <v>2006-03-31</v>
          </cell>
        </row>
        <row r="1487">
          <cell r="A1487" t="str">
            <v>481000</v>
          </cell>
          <cell r="B1487" t="str">
            <v>1015</v>
          </cell>
          <cell r="C1487">
            <v>-1622.26</v>
          </cell>
          <cell r="D1487" t="str">
            <v>203</v>
          </cell>
          <cell r="E1487" t="str">
            <v>403</v>
          </cell>
          <cell r="F1487">
            <v>0</v>
          </cell>
          <cell r="G1487">
            <v>3</v>
          </cell>
          <cell r="H1487" t="str">
            <v>2006-03-31</v>
          </cell>
        </row>
        <row r="1488">
          <cell r="A1488" t="str">
            <v>481000</v>
          </cell>
          <cell r="B1488" t="str">
            <v>1015</v>
          </cell>
          <cell r="C1488">
            <v>-2948.85</v>
          </cell>
          <cell r="D1488" t="str">
            <v>204</v>
          </cell>
          <cell r="E1488" t="str">
            <v>403</v>
          </cell>
          <cell r="F1488">
            <v>0</v>
          </cell>
          <cell r="G1488">
            <v>3</v>
          </cell>
          <cell r="H1488" t="str">
            <v>2006-03-31</v>
          </cell>
        </row>
        <row r="1489">
          <cell r="A1489" t="str">
            <v>481000</v>
          </cell>
          <cell r="B1489" t="str">
            <v>1015</v>
          </cell>
          <cell r="C1489">
            <v>0</v>
          </cell>
          <cell r="D1489" t="str">
            <v>210</v>
          </cell>
          <cell r="E1489" t="str">
            <v>403</v>
          </cell>
          <cell r="F1489">
            <v>0</v>
          </cell>
          <cell r="G1489">
            <v>3</v>
          </cell>
          <cell r="H1489" t="str">
            <v>2006-03-31</v>
          </cell>
        </row>
        <row r="1490">
          <cell r="A1490" t="str">
            <v>481004</v>
          </cell>
          <cell r="B1490" t="str">
            <v>1015</v>
          </cell>
          <cell r="C1490">
            <v>0</v>
          </cell>
          <cell r="D1490" t="str">
            <v>202</v>
          </cell>
          <cell r="E1490" t="str">
            <v>403</v>
          </cell>
          <cell r="F1490">
            <v>0</v>
          </cell>
          <cell r="G1490">
            <v>3</v>
          </cell>
          <cell r="H1490" t="str">
            <v>2006-03-31</v>
          </cell>
        </row>
        <row r="1491">
          <cell r="A1491" t="str">
            <v>481004</v>
          </cell>
          <cell r="B1491" t="str">
            <v>1015</v>
          </cell>
          <cell r="C1491">
            <v>0</v>
          </cell>
          <cell r="D1491" t="str">
            <v>203</v>
          </cell>
          <cell r="E1491" t="str">
            <v>403</v>
          </cell>
          <cell r="F1491">
            <v>0</v>
          </cell>
          <cell r="G1491">
            <v>3</v>
          </cell>
          <cell r="H1491" t="str">
            <v>2006-03-31</v>
          </cell>
        </row>
        <row r="1492">
          <cell r="A1492" t="str">
            <v>481004</v>
          </cell>
          <cell r="B1492" t="str">
            <v>1015</v>
          </cell>
          <cell r="C1492">
            <v>0</v>
          </cell>
          <cell r="D1492" t="str">
            <v>204</v>
          </cell>
          <cell r="E1492" t="str">
            <v>403</v>
          </cell>
          <cell r="F1492">
            <v>0</v>
          </cell>
          <cell r="G1492">
            <v>3</v>
          </cell>
          <cell r="H1492" t="str">
            <v>2006-03-31</v>
          </cell>
        </row>
        <row r="1493">
          <cell r="A1493" t="str">
            <v>481004</v>
          </cell>
          <cell r="B1493" t="str">
            <v>1015</v>
          </cell>
          <cell r="C1493">
            <v>0</v>
          </cell>
          <cell r="D1493" t="str">
            <v>210</v>
          </cell>
          <cell r="E1493" t="str">
            <v>403</v>
          </cell>
          <cell r="F1493">
            <v>0</v>
          </cell>
          <cell r="G1493">
            <v>3</v>
          </cell>
          <cell r="H1493" t="str">
            <v>2006-03-31</v>
          </cell>
        </row>
        <row r="1494">
          <cell r="A1494" t="str">
            <v>481000</v>
          </cell>
          <cell r="B1494" t="str">
            <v>1015</v>
          </cell>
          <cell r="C1494">
            <v>-90839.52</v>
          </cell>
          <cell r="D1494" t="str">
            <v>202</v>
          </cell>
          <cell r="E1494" t="str">
            <v>404</v>
          </cell>
          <cell r="F1494">
            <v>-278474</v>
          </cell>
          <cell r="G1494">
            <v>3</v>
          </cell>
          <cell r="H1494" t="str">
            <v>2006-03-31</v>
          </cell>
        </row>
        <row r="1495">
          <cell r="A1495" t="str">
            <v>481000</v>
          </cell>
          <cell r="B1495" t="str">
            <v>1015</v>
          </cell>
          <cell r="C1495">
            <v>-201077.72</v>
          </cell>
          <cell r="D1495" t="str">
            <v>203</v>
          </cell>
          <cell r="E1495" t="str">
            <v>404</v>
          </cell>
          <cell r="F1495">
            <v>0</v>
          </cell>
          <cell r="G1495">
            <v>3</v>
          </cell>
          <cell r="H1495" t="str">
            <v>2006-03-31</v>
          </cell>
        </row>
        <row r="1496">
          <cell r="A1496" t="str">
            <v>481000</v>
          </cell>
          <cell r="B1496" t="str">
            <v>1015</v>
          </cell>
          <cell r="C1496">
            <v>-1914583.94</v>
          </cell>
          <cell r="D1496" t="str">
            <v>204</v>
          </cell>
          <cell r="E1496" t="str">
            <v>404</v>
          </cell>
          <cell r="F1496">
            <v>0</v>
          </cell>
          <cell r="G1496">
            <v>3</v>
          </cell>
          <cell r="H1496" t="str">
            <v>2006-03-31</v>
          </cell>
        </row>
        <row r="1497">
          <cell r="A1497" t="str">
            <v>481000</v>
          </cell>
          <cell r="B1497" t="str">
            <v>1015</v>
          </cell>
          <cell r="C1497">
            <v>0</v>
          </cell>
          <cell r="D1497" t="str">
            <v>210</v>
          </cell>
          <cell r="E1497" t="str">
            <v>404</v>
          </cell>
          <cell r="F1497">
            <v>0</v>
          </cell>
          <cell r="G1497">
            <v>3</v>
          </cell>
          <cell r="H1497" t="str">
            <v>2006-03-31</v>
          </cell>
        </row>
        <row r="1498">
          <cell r="A1498" t="str">
            <v>481004</v>
          </cell>
          <cell r="B1498" t="str">
            <v>1015</v>
          </cell>
          <cell r="C1498">
            <v>0</v>
          </cell>
          <cell r="D1498" t="str">
            <v>202</v>
          </cell>
          <cell r="E1498" t="str">
            <v>404</v>
          </cell>
          <cell r="F1498">
            <v>0</v>
          </cell>
          <cell r="G1498">
            <v>3</v>
          </cell>
          <cell r="H1498" t="str">
            <v>2006-03-31</v>
          </cell>
        </row>
        <row r="1499">
          <cell r="A1499" t="str">
            <v>481004</v>
          </cell>
          <cell r="B1499" t="str">
            <v>1015</v>
          </cell>
          <cell r="C1499">
            <v>0</v>
          </cell>
          <cell r="D1499" t="str">
            <v>203</v>
          </cell>
          <cell r="E1499" t="str">
            <v>404</v>
          </cell>
          <cell r="F1499">
            <v>0</v>
          </cell>
          <cell r="G1499">
            <v>3</v>
          </cell>
          <cell r="H1499" t="str">
            <v>2006-03-31</v>
          </cell>
        </row>
        <row r="1500">
          <cell r="A1500" t="str">
            <v>481004</v>
          </cell>
          <cell r="B1500" t="str">
            <v>1015</v>
          </cell>
          <cell r="C1500">
            <v>0</v>
          </cell>
          <cell r="D1500" t="str">
            <v>204</v>
          </cell>
          <cell r="E1500" t="str">
            <v>404</v>
          </cell>
          <cell r="F1500">
            <v>0</v>
          </cell>
          <cell r="G1500">
            <v>3</v>
          </cell>
          <cell r="H1500" t="str">
            <v>2006-03-31</v>
          </cell>
        </row>
        <row r="1501">
          <cell r="A1501" t="str">
            <v>481004</v>
          </cell>
          <cell r="B1501" t="str">
            <v>1015</v>
          </cell>
          <cell r="C1501">
            <v>0</v>
          </cell>
          <cell r="D1501" t="str">
            <v>210</v>
          </cell>
          <cell r="E1501" t="str">
            <v>404</v>
          </cell>
          <cell r="F1501">
            <v>0</v>
          </cell>
          <cell r="G1501">
            <v>3</v>
          </cell>
          <cell r="H1501" t="str">
            <v>2006-03-31</v>
          </cell>
        </row>
        <row r="1502">
          <cell r="A1502" t="str">
            <v>489300</v>
          </cell>
          <cell r="B1502" t="str">
            <v>1015</v>
          </cell>
          <cell r="C1502">
            <v>-60446.74</v>
          </cell>
          <cell r="D1502" t="str">
            <v>250</v>
          </cell>
          <cell r="E1502" t="str">
            <v>405</v>
          </cell>
          <cell r="F1502">
            <v>-329538</v>
          </cell>
          <cell r="G1502">
            <v>3</v>
          </cell>
          <cell r="H1502" t="str">
            <v>2006-03-31</v>
          </cell>
        </row>
        <row r="1503">
          <cell r="A1503" t="str">
            <v>489304</v>
          </cell>
          <cell r="B1503" t="str">
            <v>1015</v>
          </cell>
          <cell r="C1503">
            <v>-31347.18</v>
          </cell>
          <cell r="D1503" t="str">
            <v>250</v>
          </cell>
          <cell r="E1503" t="str">
            <v>405</v>
          </cell>
          <cell r="F1503">
            <v>-171474</v>
          </cell>
          <cell r="G1503">
            <v>3</v>
          </cell>
          <cell r="H1503" t="str">
            <v>2006-03-31</v>
          </cell>
        </row>
        <row r="1504">
          <cell r="A1504" t="str">
            <v>489300</v>
          </cell>
          <cell r="B1504" t="str">
            <v>1015</v>
          </cell>
          <cell r="C1504">
            <v>-105960.42</v>
          </cell>
          <cell r="D1504" t="str">
            <v>250</v>
          </cell>
          <cell r="E1504" t="str">
            <v>406</v>
          </cell>
          <cell r="F1504">
            <v>-318506</v>
          </cell>
          <cell r="G1504">
            <v>3</v>
          </cell>
          <cell r="H1504" t="str">
            <v>2006-03-31</v>
          </cell>
        </row>
        <row r="1505">
          <cell r="A1505" t="str">
            <v>489304</v>
          </cell>
          <cell r="B1505" t="str">
            <v>1015</v>
          </cell>
          <cell r="C1505">
            <v>-41987.51</v>
          </cell>
          <cell r="D1505" t="str">
            <v>250</v>
          </cell>
          <cell r="E1505" t="str">
            <v>406</v>
          </cell>
          <cell r="F1505">
            <v>-214171</v>
          </cell>
          <cell r="G1505">
            <v>3</v>
          </cell>
          <cell r="H1505" t="str">
            <v>2006-03-31</v>
          </cell>
        </row>
        <row r="1506">
          <cell r="A1506" t="str">
            <v>480000</v>
          </cell>
          <cell r="B1506" t="str">
            <v>1015</v>
          </cell>
          <cell r="C1506">
            <v>-21502441.02</v>
          </cell>
          <cell r="D1506" t="str">
            <v>202</v>
          </cell>
          <cell r="E1506" t="str">
            <v>407</v>
          </cell>
          <cell r="F1506">
            <v>-8604965.0600000005</v>
          </cell>
          <cell r="G1506">
            <v>3</v>
          </cell>
          <cell r="H1506" t="str">
            <v>2006-03-31</v>
          </cell>
        </row>
        <row r="1507">
          <cell r="A1507" t="str">
            <v>480000</v>
          </cell>
          <cell r="B1507" t="str">
            <v>1015</v>
          </cell>
          <cell r="C1507">
            <v>-9121973.9199999999</v>
          </cell>
          <cell r="D1507" t="str">
            <v>203</v>
          </cell>
          <cell r="E1507" t="str">
            <v>407</v>
          </cell>
          <cell r="F1507">
            <v>0</v>
          </cell>
          <cell r="G1507">
            <v>3</v>
          </cell>
          <cell r="H1507" t="str">
            <v>2006-03-31</v>
          </cell>
        </row>
        <row r="1508">
          <cell r="A1508" t="str">
            <v>480000</v>
          </cell>
          <cell r="B1508" t="str">
            <v>1015</v>
          </cell>
          <cell r="C1508">
            <v>-59579374</v>
          </cell>
          <cell r="D1508" t="str">
            <v>204</v>
          </cell>
          <cell r="E1508" t="str">
            <v>407</v>
          </cell>
          <cell r="F1508">
            <v>0</v>
          </cell>
          <cell r="G1508">
            <v>3</v>
          </cell>
          <cell r="H1508" t="str">
            <v>2006-03-31</v>
          </cell>
        </row>
        <row r="1509">
          <cell r="A1509" t="str">
            <v>480000</v>
          </cell>
          <cell r="B1509" t="str">
            <v>1015</v>
          </cell>
          <cell r="C1509">
            <v>1225125.58</v>
          </cell>
          <cell r="D1509" t="str">
            <v>205</v>
          </cell>
          <cell r="E1509" t="str">
            <v>407</v>
          </cell>
          <cell r="F1509">
            <v>0</v>
          </cell>
          <cell r="G1509">
            <v>3</v>
          </cell>
          <cell r="H1509" t="str">
            <v>2006-03-31</v>
          </cell>
        </row>
        <row r="1510">
          <cell r="A1510" t="str">
            <v>480000</v>
          </cell>
          <cell r="B1510" t="str">
            <v>1015</v>
          </cell>
          <cell r="C1510">
            <v>12188.18</v>
          </cell>
          <cell r="D1510" t="str">
            <v>210</v>
          </cell>
          <cell r="E1510" t="str">
            <v>407</v>
          </cell>
          <cell r="F1510">
            <v>1959.3</v>
          </cell>
          <cell r="G1510">
            <v>3</v>
          </cell>
          <cell r="H1510" t="str">
            <v>2006-03-31</v>
          </cell>
        </row>
        <row r="1511">
          <cell r="A1511" t="str">
            <v>480001</v>
          </cell>
          <cell r="B1511" t="str">
            <v>1015</v>
          </cell>
          <cell r="C1511">
            <v>2981705.85</v>
          </cell>
          <cell r="D1511" t="str">
            <v>202</v>
          </cell>
          <cell r="E1511" t="str">
            <v>407</v>
          </cell>
          <cell r="F1511">
            <v>1841965</v>
          </cell>
          <cell r="G1511">
            <v>3</v>
          </cell>
          <cell r="H1511" t="str">
            <v>2006-03-31</v>
          </cell>
        </row>
        <row r="1512">
          <cell r="A1512" t="str">
            <v>480001</v>
          </cell>
          <cell r="B1512" t="str">
            <v>1015</v>
          </cell>
          <cell r="C1512">
            <v>1952695.18</v>
          </cell>
          <cell r="D1512" t="str">
            <v>203</v>
          </cell>
          <cell r="E1512" t="str">
            <v>407</v>
          </cell>
          <cell r="F1512">
            <v>0</v>
          </cell>
          <cell r="G1512">
            <v>3</v>
          </cell>
          <cell r="H1512" t="str">
            <v>2006-03-31</v>
          </cell>
        </row>
        <row r="1513">
          <cell r="A1513" t="str">
            <v>480001</v>
          </cell>
          <cell r="B1513" t="str">
            <v>1015</v>
          </cell>
          <cell r="C1513">
            <v>12796240.02</v>
          </cell>
          <cell r="D1513" t="str">
            <v>204</v>
          </cell>
          <cell r="E1513" t="str">
            <v>407</v>
          </cell>
          <cell r="F1513">
            <v>0</v>
          </cell>
          <cell r="G1513">
            <v>3</v>
          </cell>
          <cell r="H1513" t="str">
            <v>2006-03-31</v>
          </cell>
        </row>
        <row r="1514">
          <cell r="A1514" t="str">
            <v>480001</v>
          </cell>
          <cell r="B1514" t="str">
            <v>1015</v>
          </cell>
          <cell r="C1514">
            <v>-174858.75</v>
          </cell>
          <cell r="D1514" t="str">
            <v>205</v>
          </cell>
          <cell r="E1514" t="str">
            <v>407</v>
          </cell>
          <cell r="F1514">
            <v>0</v>
          </cell>
          <cell r="G1514">
            <v>3</v>
          </cell>
          <cell r="H1514" t="str">
            <v>2006-03-31</v>
          </cell>
        </row>
        <row r="1515">
          <cell r="A1515" t="str">
            <v>480001</v>
          </cell>
          <cell r="B1515" t="str">
            <v>1015</v>
          </cell>
          <cell r="C1515">
            <v>-15273.13</v>
          </cell>
          <cell r="D1515" t="str">
            <v>210</v>
          </cell>
          <cell r="E1515" t="str">
            <v>407</v>
          </cell>
          <cell r="F1515">
            <v>-2449</v>
          </cell>
          <cell r="G1515">
            <v>3</v>
          </cell>
          <cell r="H1515" t="str">
            <v>2006-03-31</v>
          </cell>
        </row>
        <row r="1516">
          <cell r="A1516" t="str">
            <v>481004</v>
          </cell>
          <cell r="B1516" t="str">
            <v>1015</v>
          </cell>
          <cell r="C1516">
            <v>-5457565.8300000001</v>
          </cell>
          <cell r="D1516" t="str">
            <v>202</v>
          </cell>
          <cell r="E1516" t="str">
            <v>407</v>
          </cell>
          <cell r="F1516">
            <v>-3709329.65</v>
          </cell>
          <cell r="G1516">
            <v>3</v>
          </cell>
          <cell r="H1516" t="str">
            <v>2006-03-31</v>
          </cell>
        </row>
        <row r="1517">
          <cell r="A1517" t="str">
            <v>481004</v>
          </cell>
          <cell r="B1517" t="str">
            <v>1015</v>
          </cell>
          <cell r="C1517">
            <v>-3929192.26</v>
          </cell>
          <cell r="D1517" t="str">
            <v>203</v>
          </cell>
          <cell r="E1517" t="str">
            <v>407</v>
          </cell>
          <cell r="F1517">
            <v>0</v>
          </cell>
          <cell r="G1517">
            <v>3</v>
          </cell>
          <cell r="H1517" t="str">
            <v>2006-03-31</v>
          </cell>
        </row>
        <row r="1518">
          <cell r="A1518" t="str">
            <v>481004</v>
          </cell>
          <cell r="B1518" t="str">
            <v>1015</v>
          </cell>
          <cell r="C1518">
            <v>-25658685.02</v>
          </cell>
          <cell r="D1518" t="str">
            <v>204</v>
          </cell>
          <cell r="E1518" t="str">
            <v>407</v>
          </cell>
          <cell r="F1518">
            <v>0</v>
          </cell>
          <cell r="G1518">
            <v>3</v>
          </cell>
          <cell r="H1518" t="str">
            <v>2006-03-31</v>
          </cell>
        </row>
        <row r="1519">
          <cell r="A1519" t="str">
            <v>481004</v>
          </cell>
          <cell r="B1519" t="str">
            <v>1015</v>
          </cell>
          <cell r="C1519">
            <v>281050.17</v>
          </cell>
          <cell r="D1519" t="str">
            <v>205</v>
          </cell>
          <cell r="E1519" t="str">
            <v>407</v>
          </cell>
          <cell r="F1519">
            <v>0</v>
          </cell>
          <cell r="G1519">
            <v>3</v>
          </cell>
          <cell r="H1519" t="str">
            <v>2006-03-31</v>
          </cell>
        </row>
        <row r="1520">
          <cell r="A1520" t="str">
            <v>481004</v>
          </cell>
          <cell r="B1520" t="str">
            <v>1015</v>
          </cell>
          <cell r="C1520">
            <v>3084.95</v>
          </cell>
          <cell r="D1520" t="str">
            <v>210</v>
          </cell>
          <cell r="E1520" t="str">
            <v>407</v>
          </cell>
          <cell r="F1520">
            <v>489.4</v>
          </cell>
          <cell r="G1520">
            <v>3</v>
          </cell>
          <cell r="H1520" t="str">
            <v>2006-03-31</v>
          </cell>
        </row>
        <row r="1521">
          <cell r="A1521" t="str">
            <v>480000</v>
          </cell>
          <cell r="B1521" t="str">
            <v>1015</v>
          </cell>
          <cell r="C1521">
            <v>-226106.1</v>
          </cell>
          <cell r="D1521" t="str">
            <v>202</v>
          </cell>
          <cell r="E1521" t="str">
            <v>408</v>
          </cell>
          <cell r="F1521">
            <v>-55803.61</v>
          </cell>
          <cell r="G1521">
            <v>3</v>
          </cell>
          <cell r="H1521" t="str">
            <v>2006-03-31</v>
          </cell>
        </row>
        <row r="1522">
          <cell r="A1522" t="str">
            <v>480000</v>
          </cell>
          <cell r="B1522" t="str">
            <v>1015</v>
          </cell>
          <cell r="C1522">
            <v>-59173.67</v>
          </cell>
          <cell r="D1522" t="str">
            <v>203</v>
          </cell>
          <cell r="E1522" t="str">
            <v>408</v>
          </cell>
          <cell r="F1522">
            <v>0</v>
          </cell>
          <cell r="G1522">
            <v>3</v>
          </cell>
          <cell r="H1522" t="str">
            <v>2006-03-31</v>
          </cell>
        </row>
        <row r="1523">
          <cell r="A1523" t="str">
            <v>480000</v>
          </cell>
          <cell r="B1523" t="str">
            <v>1015</v>
          </cell>
          <cell r="C1523">
            <v>-386297.12</v>
          </cell>
          <cell r="D1523" t="str">
            <v>204</v>
          </cell>
          <cell r="E1523" t="str">
            <v>408</v>
          </cell>
          <cell r="F1523">
            <v>0</v>
          </cell>
          <cell r="G1523">
            <v>3</v>
          </cell>
          <cell r="H1523" t="str">
            <v>2006-03-31</v>
          </cell>
        </row>
        <row r="1524">
          <cell r="A1524" t="str">
            <v>480000</v>
          </cell>
          <cell r="B1524" t="str">
            <v>1015</v>
          </cell>
          <cell r="C1524">
            <v>5161</v>
          </cell>
          <cell r="D1524" t="str">
            <v>205</v>
          </cell>
          <cell r="E1524" t="str">
            <v>408</v>
          </cell>
          <cell r="F1524">
            <v>0</v>
          </cell>
          <cell r="G1524">
            <v>3</v>
          </cell>
          <cell r="H1524" t="str">
            <v>2006-03-31</v>
          </cell>
        </row>
        <row r="1525">
          <cell r="A1525" t="str">
            <v>480001</v>
          </cell>
          <cell r="B1525" t="str">
            <v>1015</v>
          </cell>
          <cell r="C1525">
            <v>21451.66</v>
          </cell>
          <cell r="D1525" t="str">
            <v>202</v>
          </cell>
          <cell r="E1525" t="str">
            <v>408</v>
          </cell>
          <cell r="F1525">
            <v>5515</v>
          </cell>
          <cell r="G1525">
            <v>3</v>
          </cell>
          <cell r="H1525" t="str">
            <v>2006-03-31</v>
          </cell>
        </row>
        <row r="1526">
          <cell r="A1526" t="str">
            <v>480001</v>
          </cell>
          <cell r="B1526" t="str">
            <v>1015</v>
          </cell>
          <cell r="C1526">
            <v>5882.56</v>
          </cell>
          <cell r="D1526" t="str">
            <v>203</v>
          </cell>
          <cell r="E1526" t="str">
            <v>408</v>
          </cell>
          <cell r="F1526">
            <v>0</v>
          </cell>
          <cell r="G1526">
            <v>3</v>
          </cell>
          <cell r="H1526" t="str">
            <v>2006-03-31</v>
          </cell>
        </row>
        <row r="1527">
          <cell r="A1527" t="str">
            <v>480001</v>
          </cell>
          <cell r="B1527" t="str">
            <v>1015</v>
          </cell>
          <cell r="C1527">
            <v>38484.769999999997</v>
          </cell>
          <cell r="D1527" t="str">
            <v>204</v>
          </cell>
          <cell r="E1527" t="str">
            <v>408</v>
          </cell>
          <cell r="F1527">
            <v>0</v>
          </cell>
          <cell r="G1527">
            <v>3</v>
          </cell>
          <cell r="H1527" t="str">
            <v>2006-03-31</v>
          </cell>
        </row>
        <row r="1528">
          <cell r="A1528" t="str">
            <v>480001</v>
          </cell>
          <cell r="B1528" t="str">
            <v>1015</v>
          </cell>
          <cell r="C1528">
            <v>3813.15</v>
          </cell>
          <cell r="D1528" t="str">
            <v>205</v>
          </cell>
          <cell r="E1528" t="str">
            <v>408</v>
          </cell>
          <cell r="F1528">
            <v>0</v>
          </cell>
          <cell r="G1528">
            <v>3</v>
          </cell>
          <cell r="H1528" t="str">
            <v>2006-03-31</v>
          </cell>
        </row>
        <row r="1529">
          <cell r="A1529" t="str">
            <v>480001</v>
          </cell>
          <cell r="B1529" t="str">
            <v>1015</v>
          </cell>
          <cell r="C1529">
            <v>0</v>
          </cell>
          <cell r="D1529" t="str">
            <v>210</v>
          </cell>
          <cell r="E1529" t="str">
            <v>408</v>
          </cell>
          <cell r="F1529">
            <v>0</v>
          </cell>
          <cell r="G1529">
            <v>3</v>
          </cell>
          <cell r="H1529" t="str">
            <v>2006-03-31</v>
          </cell>
        </row>
        <row r="1530">
          <cell r="A1530" t="str">
            <v>481004</v>
          </cell>
          <cell r="B1530" t="str">
            <v>1015</v>
          </cell>
          <cell r="C1530">
            <v>-113086.56</v>
          </cell>
          <cell r="D1530" t="str">
            <v>202</v>
          </cell>
          <cell r="E1530" t="str">
            <v>408</v>
          </cell>
          <cell r="F1530">
            <v>-28035.82</v>
          </cell>
          <cell r="G1530">
            <v>3</v>
          </cell>
          <cell r="H1530" t="str">
            <v>2006-03-31</v>
          </cell>
        </row>
        <row r="1531">
          <cell r="A1531" t="str">
            <v>481004</v>
          </cell>
          <cell r="B1531" t="str">
            <v>1015</v>
          </cell>
          <cell r="C1531">
            <v>-29715.89</v>
          </cell>
          <cell r="D1531" t="str">
            <v>203</v>
          </cell>
          <cell r="E1531" t="str">
            <v>408</v>
          </cell>
          <cell r="F1531">
            <v>0</v>
          </cell>
          <cell r="G1531">
            <v>3</v>
          </cell>
          <cell r="H1531" t="str">
            <v>2006-03-31</v>
          </cell>
        </row>
        <row r="1532">
          <cell r="A1532" t="str">
            <v>481004</v>
          </cell>
          <cell r="B1532" t="str">
            <v>1015</v>
          </cell>
          <cell r="C1532">
            <v>-193989.65</v>
          </cell>
          <cell r="D1532" t="str">
            <v>204</v>
          </cell>
          <cell r="E1532" t="str">
            <v>408</v>
          </cell>
          <cell r="F1532">
            <v>0</v>
          </cell>
          <cell r="G1532">
            <v>3</v>
          </cell>
          <cell r="H1532" t="str">
            <v>2006-03-31</v>
          </cell>
        </row>
        <row r="1533">
          <cell r="A1533" t="str">
            <v>481004</v>
          </cell>
          <cell r="B1533" t="str">
            <v>1015</v>
          </cell>
          <cell r="C1533">
            <v>4915.8500000000004</v>
          </cell>
          <cell r="D1533" t="str">
            <v>205</v>
          </cell>
          <cell r="E1533" t="str">
            <v>408</v>
          </cell>
          <cell r="F1533">
            <v>0</v>
          </cell>
          <cell r="G1533">
            <v>3</v>
          </cell>
          <cell r="H1533" t="str">
            <v>2006-03-31</v>
          </cell>
        </row>
        <row r="1534">
          <cell r="A1534" t="str">
            <v>481002</v>
          </cell>
          <cell r="B1534" t="str">
            <v>1015</v>
          </cell>
          <cell r="C1534">
            <v>0</v>
          </cell>
          <cell r="D1534" t="str">
            <v>202</v>
          </cell>
          <cell r="E1534" t="str">
            <v>409</v>
          </cell>
          <cell r="F1534">
            <v>0</v>
          </cell>
          <cell r="G1534">
            <v>3</v>
          </cell>
          <cell r="H1534" t="str">
            <v>2006-03-31</v>
          </cell>
        </row>
        <row r="1535">
          <cell r="A1535" t="str">
            <v>481002</v>
          </cell>
          <cell r="B1535" t="str">
            <v>1015</v>
          </cell>
          <cell r="C1535">
            <v>0</v>
          </cell>
          <cell r="D1535" t="str">
            <v>203</v>
          </cell>
          <cell r="E1535" t="str">
            <v>409</v>
          </cell>
          <cell r="F1535">
            <v>0</v>
          </cell>
          <cell r="G1535">
            <v>3</v>
          </cell>
          <cell r="H1535" t="str">
            <v>2006-03-31</v>
          </cell>
        </row>
        <row r="1536">
          <cell r="A1536" t="str">
            <v>481002</v>
          </cell>
          <cell r="B1536" t="str">
            <v>1015</v>
          </cell>
          <cell r="C1536">
            <v>0</v>
          </cell>
          <cell r="D1536" t="str">
            <v>204</v>
          </cell>
          <cell r="E1536" t="str">
            <v>409</v>
          </cell>
          <cell r="F1536">
            <v>0</v>
          </cell>
          <cell r="G1536">
            <v>3</v>
          </cell>
          <cell r="H1536" t="str">
            <v>2006-03-31</v>
          </cell>
        </row>
        <row r="1537">
          <cell r="A1537" t="str">
            <v>481002</v>
          </cell>
          <cell r="B1537" t="str">
            <v>1015</v>
          </cell>
          <cell r="C1537">
            <v>0</v>
          </cell>
          <cell r="D1537" t="str">
            <v>210</v>
          </cell>
          <cell r="E1537" t="str">
            <v>409</v>
          </cell>
          <cell r="F1537">
            <v>0</v>
          </cell>
          <cell r="G1537">
            <v>3</v>
          </cell>
          <cell r="H1537" t="str">
            <v>2006-03-31</v>
          </cell>
        </row>
        <row r="1538">
          <cell r="A1538" t="str">
            <v>481002</v>
          </cell>
          <cell r="B1538" t="str">
            <v>1015</v>
          </cell>
          <cell r="C1538">
            <v>-4637.5</v>
          </cell>
          <cell r="D1538" t="str">
            <v>202</v>
          </cell>
          <cell r="E1538" t="str">
            <v>411</v>
          </cell>
          <cell r="F1538">
            <v>-20387.88</v>
          </cell>
          <cell r="G1538">
            <v>3</v>
          </cell>
          <cell r="H1538" t="str">
            <v>2006-03-31</v>
          </cell>
        </row>
        <row r="1539">
          <cell r="A1539" t="str">
            <v>481002</v>
          </cell>
          <cell r="B1539" t="str">
            <v>1015</v>
          </cell>
          <cell r="C1539">
            <v>-3728.36</v>
          </cell>
          <cell r="D1539" t="str">
            <v>203</v>
          </cell>
          <cell r="E1539" t="str">
            <v>411</v>
          </cell>
          <cell r="F1539">
            <v>0</v>
          </cell>
          <cell r="G1539">
            <v>3</v>
          </cell>
          <cell r="H1539" t="str">
            <v>2006-03-31</v>
          </cell>
        </row>
        <row r="1540">
          <cell r="A1540" t="str">
            <v>481002</v>
          </cell>
          <cell r="B1540" t="str">
            <v>1015</v>
          </cell>
          <cell r="C1540">
            <v>-127180.95</v>
          </cell>
          <cell r="D1540" t="str">
            <v>204</v>
          </cell>
          <cell r="E1540" t="str">
            <v>411</v>
          </cell>
          <cell r="F1540">
            <v>0</v>
          </cell>
          <cell r="G1540">
            <v>3</v>
          </cell>
          <cell r="H1540" t="str">
            <v>2006-03-31</v>
          </cell>
        </row>
        <row r="1541">
          <cell r="A1541" t="str">
            <v>481002</v>
          </cell>
          <cell r="B1541" t="str">
            <v>1015</v>
          </cell>
          <cell r="C1541">
            <v>0</v>
          </cell>
          <cell r="D1541" t="str">
            <v>210</v>
          </cell>
          <cell r="E1541" t="str">
            <v>411</v>
          </cell>
          <cell r="F1541">
            <v>0</v>
          </cell>
          <cell r="G1541">
            <v>3</v>
          </cell>
          <cell r="H1541" t="str">
            <v>2006-03-31</v>
          </cell>
        </row>
        <row r="1542">
          <cell r="A1542" t="str">
            <v>481005</v>
          </cell>
          <cell r="B1542" t="str">
            <v>1015</v>
          </cell>
          <cell r="C1542">
            <v>-35794.69</v>
          </cell>
          <cell r="D1542" t="str">
            <v>202</v>
          </cell>
          <cell r="E1542" t="str">
            <v>411</v>
          </cell>
          <cell r="F1542">
            <v>-136256.5</v>
          </cell>
          <cell r="G1542">
            <v>3</v>
          </cell>
          <cell r="H1542" t="str">
            <v>2006-03-31</v>
          </cell>
        </row>
        <row r="1543">
          <cell r="A1543" t="str">
            <v>481005</v>
          </cell>
          <cell r="B1543" t="str">
            <v>1015</v>
          </cell>
          <cell r="C1543">
            <v>-24917.47</v>
          </cell>
          <cell r="D1543" t="str">
            <v>203</v>
          </cell>
          <cell r="E1543" t="str">
            <v>411</v>
          </cell>
          <cell r="F1543">
            <v>0</v>
          </cell>
          <cell r="G1543">
            <v>3</v>
          </cell>
          <cell r="H1543" t="str">
            <v>2006-03-31</v>
          </cell>
        </row>
        <row r="1544">
          <cell r="A1544" t="str">
            <v>481005</v>
          </cell>
          <cell r="B1544" t="str">
            <v>1015</v>
          </cell>
          <cell r="C1544">
            <v>-849968.85</v>
          </cell>
          <cell r="D1544" t="str">
            <v>204</v>
          </cell>
          <cell r="E1544" t="str">
            <v>411</v>
          </cell>
          <cell r="F1544">
            <v>0</v>
          </cell>
          <cell r="G1544">
            <v>3</v>
          </cell>
          <cell r="H1544" t="str">
            <v>2006-03-31</v>
          </cell>
        </row>
        <row r="1545">
          <cell r="A1545" t="str">
            <v>481005</v>
          </cell>
          <cell r="B1545" t="str">
            <v>1015</v>
          </cell>
          <cell r="C1545">
            <v>0</v>
          </cell>
          <cell r="D1545" t="str">
            <v>210</v>
          </cell>
          <cell r="E1545" t="str">
            <v>411</v>
          </cell>
          <cell r="F1545">
            <v>0</v>
          </cell>
          <cell r="G1545">
            <v>3</v>
          </cell>
          <cell r="H1545" t="str">
            <v>2006-03-31</v>
          </cell>
        </row>
        <row r="1546">
          <cell r="A1546" t="str">
            <v>481002</v>
          </cell>
          <cell r="B1546" t="str">
            <v>1015</v>
          </cell>
          <cell r="C1546">
            <v>0</v>
          </cell>
          <cell r="D1546" t="str">
            <v>210</v>
          </cell>
          <cell r="E1546" t="str">
            <v>412</v>
          </cell>
          <cell r="F1546">
            <v>0</v>
          </cell>
          <cell r="G1546">
            <v>3</v>
          </cell>
          <cell r="H1546" t="str">
            <v>2006-03-31</v>
          </cell>
        </row>
        <row r="1547">
          <cell r="A1547" t="str">
            <v>481002</v>
          </cell>
          <cell r="B1547" t="str">
            <v>1015</v>
          </cell>
          <cell r="C1547">
            <v>-7130.13</v>
          </cell>
          <cell r="D1547" t="str">
            <v>202</v>
          </cell>
          <cell r="E1547" t="str">
            <v>414</v>
          </cell>
          <cell r="F1547">
            <v>-32222.89</v>
          </cell>
          <cell r="G1547">
            <v>3</v>
          </cell>
          <cell r="H1547" t="str">
            <v>2006-03-31</v>
          </cell>
        </row>
        <row r="1548">
          <cell r="A1548" t="str">
            <v>481002</v>
          </cell>
          <cell r="B1548" t="str">
            <v>1015</v>
          </cell>
          <cell r="C1548">
            <v>-5892.62</v>
          </cell>
          <cell r="D1548" t="str">
            <v>203</v>
          </cell>
          <cell r="E1548" t="str">
            <v>414</v>
          </cell>
          <cell r="F1548">
            <v>0</v>
          </cell>
          <cell r="G1548">
            <v>3</v>
          </cell>
          <cell r="H1548" t="str">
            <v>2006-03-31</v>
          </cell>
        </row>
        <row r="1549">
          <cell r="A1549" t="str">
            <v>481002</v>
          </cell>
          <cell r="B1549" t="str">
            <v>1015</v>
          </cell>
          <cell r="C1549">
            <v>-201008.04</v>
          </cell>
          <cell r="D1549" t="str">
            <v>204</v>
          </cell>
          <cell r="E1549" t="str">
            <v>414</v>
          </cell>
          <cell r="F1549">
            <v>0</v>
          </cell>
          <cell r="G1549">
            <v>3</v>
          </cell>
          <cell r="H1549" t="str">
            <v>2006-03-31</v>
          </cell>
        </row>
        <row r="1550">
          <cell r="A1550" t="str">
            <v>481002</v>
          </cell>
          <cell r="B1550" t="str">
            <v>1015</v>
          </cell>
          <cell r="C1550">
            <v>0</v>
          </cell>
          <cell r="D1550" t="str">
            <v>210</v>
          </cell>
          <cell r="E1550" t="str">
            <v>414</v>
          </cell>
          <cell r="F1550">
            <v>0</v>
          </cell>
          <cell r="G1550">
            <v>3</v>
          </cell>
          <cell r="H1550" t="str">
            <v>2006-03-31</v>
          </cell>
        </row>
        <row r="1551">
          <cell r="A1551" t="str">
            <v>481005</v>
          </cell>
          <cell r="B1551" t="str">
            <v>1015</v>
          </cell>
          <cell r="C1551">
            <v>-13853.04</v>
          </cell>
          <cell r="D1551" t="str">
            <v>202</v>
          </cell>
          <cell r="E1551" t="str">
            <v>414</v>
          </cell>
          <cell r="F1551">
            <v>-14722.32</v>
          </cell>
          <cell r="G1551">
            <v>3</v>
          </cell>
          <cell r="H1551" t="str">
            <v>2006-03-31</v>
          </cell>
        </row>
        <row r="1552">
          <cell r="A1552" t="str">
            <v>481005</v>
          </cell>
          <cell r="B1552" t="str">
            <v>1015</v>
          </cell>
          <cell r="C1552">
            <v>-2692.08</v>
          </cell>
          <cell r="D1552" t="str">
            <v>203</v>
          </cell>
          <cell r="E1552" t="str">
            <v>414</v>
          </cell>
          <cell r="F1552">
            <v>0</v>
          </cell>
          <cell r="G1552">
            <v>3</v>
          </cell>
          <cell r="H1552" t="str">
            <v>2006-03-31</v>
          </cell>
        </row>
        <row r="1553">
          <cell r="A1553" t="str">
            <v>481005</v>
          </cell>
          <cell r="B1553" t="str">
            <v>1015</v>
          </cell>
          <cell r="C1553">
            <v>-91836.62</v>
          </cell>
          <cell r="D1553" t="str">
            <v>204</v>
          </cell>
          <cell r="E1553" t="str">
            <v>414</v>
          </cell>
          <cell r="F1553">
            <v>0</v>
          </cell>
          <cell r="G1553">
            <v>3</v>
          </cell>
          <cell r="H1553" t="str">
            <v>2006-03-31</v>
          </cell>
        </row>
        <row r="1554">
          <cell r="A1554" t="str">
            <v>481005</v>
          </cell>
          <cell r="B1554" t="str">
            <v>1015</v>
          </cell>
          <cell r="C1554">
            <v>0</v>
          </cell>
          <cell r="D1554" t="str">
            <v>210</v>
          </cell>
          <cell r="E1554" t="str">
            <v>414</v>
          </cell>
          <cell r="F1554">
            <v>0</v>
          </cell>
          <cell r="G1554">
            <v>3</v>
          </cell>
          <cell r="H1554" t="str">
            <v>2006-03-31</v>
          </cell>
        </row>
        <row r="1555">
          <cell r="A1555" t="str">
            <v>489300</v>
          </cell>
          <cell r="B1555" t="str">
            <v>1015</v>
          </cell>
          <cell r="C1555">
            <v>-203305.63</v>
          </cell>
          <cell r="D1555" t="str">
            <v>250</v>
          </cell>
          <cell r="E1555" t="str">
            <v>415</v>
          </cell>
          <cell r="F1555">
            <v>-1295679</v>
          </cell>
          <cell r="G1555">
            <v>3</v>
          </cell>
          <cell r="H1555" t="str">
            <v>2006-03-31</v>
          </cell>
        </row>
        <row r="1556">
          <cell r="A1556" t="str">
            <v>489304</v>
          </cell>
          <cell r="B1556" t="str">
            <v>1015</v>
          </cell>
          <cell r="C1556">
            <v>-68314.460000000006</v>
          </cell>
          <cell r="D1556" t="str">
            <v>250</v>
          </cell>
          <cell r="E1556" t="str">
            <v>415</v>
          </cell>
          <cell r="F1556">
            <v>-292141</v>
          </cell>
          <cell r="G1556">
            <v>3</v>
          </cell>
          <cell r="H1556" t="str">
            <v>2006-03-31</v>
          </cell>
        </row>
        <row r="1557">
          <cell r="A1557" t="str">
            <v>489300</v>
          </cell>
          <cell r="B1557" t="str">
            <v>1015</v>
          </cell>
          <cell r="C1557">
            <v>0</v>
          </cell>
          <cell r="D1557" t="str">
            <v>250</v>
          </cell>
          <cell r="E1557" t="str">
            <v>416</v>
          </cell>
          <cell r="F1557">
            <v>0</v>
          </cell>
          <cell r="G1557">
            <v>3</v>
          </cell>
          <cell r="H1557" t="str">
            <v>2006-03-31</v>
          </cell>
        </row>
        <row r="1558">
          <cell r="A1558" t="str">
            <v>489304</v>
          </cell>
          <cell r="B1558" t="str">
            <v>1015</v>
          </cell>
          <cell r="C1558">
            <v>-1719.49</v>
          </cell>
          <cell r="D1558" t="str">
            <v>250</v>
          </cell>
          <cell r="E1558" t="str">
            <v>416</v>
          </cell>
          <cell r="F1558">
            <v>-3130</v>
          </cell>
          <cell r="G1558">
            <v>3</v>
          </cell>
          <cell r="H1558" t="str">
            <v>2006-03-31</v>
          </cell>
        </row>
        <row r="1559">
          <cell r="A1559" t="str">
            <v>481000</v>
          </cell>
          <cell r="B1559" t="str">
            <v>1015</v>
          </cell>
          <cell r="C1559">
            <v>0</v>
          </cell>
          <cell r="D1559" t="str">
            <v>202</v>
          </cell>
          <cell r="E1559" t="str">
            <v>451</v>
          </cell>
          <cell r="F1559">
            <v>0.33</v>
          </cell>
          <cell r="G1559">
            <v>3</v>
          </cell>
          <cell r="H1559" t="str">
            <v>2006-03-31</v>
          </cell>
        </row>
        <row r="1560">
          <cell r="A1560" t="str">
            <v>481000</v>
          </cell>
          <cell r="B1560" t="str">
            <v>1015</v>
          </cell>
          <cell r="C1560">
            <v>0</v>
          </cell>
          <cell r="D1560" t="str">
            <v>203</v>
          </cell>
          <cell r="E1560" t="str">
            <v>451</v>
          </cell>
          <cell r="F1560">
            <v>0</v>
          </cell>
          <cell r="G1560">
            <v>3</v>
          </cell>
          <cell r="H1560" t="str">
            <v>2006-03-31</v>
          </cell>
        </row>
        <row r="1561">
          <cell r="A1561" t="str">
            <v>481000</v>
          </cell>
          <cell r="B1561" t="str">
            <v>1015</v>
          </cell>
          <cell r="C1561">
            <v>0</v>
          </cell>
          <cell r="D1561" t="str">
            <v>204</v>
          </cell>
          <cell r="E1561" t="str">
            <v>451</v>
          </cell>
          <cell r="F1561">
            <v>0</v>
          </cell>
          <cell r="G1561">
            <v>3</v>
          </cell>
          <cell r="H1561" t="str">
            <v>2006-03-31</v>
          </cell>
        </row>
        <row r="1562">
          <cell r="A1562" t="str">
            <v>481000</v>
          </cell>
          <cell r="B1562" t="str">
            <v>1015</v>
          </cell>
          <cell r="C1562">
            <v>0</v>
          </cell>
          <cell r="D1562" t="str">
            <v>210</v>
          </cell>
          <cell r="E1562" t="str">
            <v>451</v>
          </cell>
          <cell r="F1562">
            <v>0</v>
          </cell>
          <cell r="G1562">
            <v>3</v>
          </cell>
          <cell r="H1562" t="str">
            <v>2006-03-31</v>
          </cell>
        </row>
        <row r="1563">
          <cell r="A1563" t="str">
            <v>481004</v>
          </cell>
          <cell r="B1563" t="str">
            <v>1015</v>
          </cell>
          <cell r="C1563">
            <v>-26270</v>
          </cell>
          <cell r="D1563" t="str">
            <v>202</v>
          </cell>
          <cell r="E1563" t="str">
            <v>451</v>
          </cell>
          <cell r="F1563">
            <v>-28730.26</v>
          </cell>
          <cell r="G1563">
            <v>3</v>
          </cell>
          <cell r="H1563" t="str">
            <v>2006-03-31</v>
          </cell>
        </row>
        <row r="1564">
          <cell r="A1564" t="str">
            <v>481004</v>
          </cell>
          <cell r="B1564" t="str">
            <v>1015</v>
          </cell>
          <cell r="C1564">
            <v>0</v>
          </cell>
          <cell r="D1564" t="str">
            <v>203</v>
          </cell>
          <cell r="E1564" t="str">
            <v>451</v>
          </cell>
          <cell r="F1564">
            <v>0</v>
          </cell>
          <cell r="G1564">
            <v>3</v>
          </cell>
          <cell r="H1564" t="str">
            <v>2006-03-31</v>
          </cell>
        </row>
        <row r="1565">
          <cell r="A1565" t="str">
            <v>481004</v>
          </cell>
          <cell r="B1565" t="str">
            <v>1015</v>
          </cell>
          <cell r="C1565">
            <v>-221503</v>
          </cell>
          <cell r="D1565" t="str">
            <v>204</v>
          </cell>
          <cell r="E1565" t="str">
            <v>451</v>
          </cell>
          <cell r="F1565">
            <v>0</v>
          </cell>
          <cell r="G1565">
            <v>3</v>
          </cell>
          <cell r="H1565" t="str">
            <v>2006-03-31</v>
          </cell>
        </row>
        <row r="1566">
          <cell r="A1566" t="str">
            <v>481004</v>
          </cell>
          <cell r="B1566" t="str">
            <v>1015</v>
          </cell>
          <cell r="C1566">
            <v>0</v>
          </cell>
          <cell r="D1566" t="str">
            <v>210</v>
          </cell>
          <cell r="E1566" t="str">
            <v>451</v>
          </cell>
          <cell r="F1566">
            <v>0</v>
          </cell>
          <cell r="G1566">
            <v>3</v>
          </cell>
          <cell r="H1566" t="str">
            <v>2006-03-31</v>
          </cell>
        </row>
        <row r="1567">
          <cell r="A1567" t="str">
            <v>480000</v>
          </cell>
          <cell r="B1567" t="str">
            <v>1015</v>
          </cell>
          <cell r="C1567">
            <v>-732375.69</v>
          </cell>
          <cell r="D1567" t="str">
            <v>202</v>
          </cell>
          <cell r="E1567" t="str">
            <v>453</v>
          </cell>
          <cell r="F1567">
            <v>-274329.98</v>
          </cell>
          <cell r="G1567">
            <v>3</v>
          </cell>
          <cell r="H1567" t="str">
            <v>2006-03-31</v>
          </cell>
        </row>
        <row r="1568">
          <cell r="A1568" t="str">
            <v>480000</v>
          </cell>
          <cell r="B1568" t="str">
            <v>1015</v>
          </cell>
          <cell r="C1568">
            <v>-2227476.63</v>
          </cell>
          <cell r="D1568" t="str">
            <v>204</v>
          </cell>
          <cell r="E1568" t="str">
            <v>453</v>
          </cell>
          <cell r="F1568">
            <v>0</v>
          </cell>
          <cell r="G1568">
            <v>3</v>
          </cell>
          <cell r="H1568" t="str">
            <v>2006-03-31</v>
          </cell>
        </row>
        <row r="1569">
          <cell r="A1569" t="str">
            <v>480000</v>
          </cell>
          <cell r="B1569" t="str">
            <v>1015</v>
          </cell>
          <cell r="C1569">
            <v>18682.54</v>
          </cell>
          <cell r="D1569" t="str">
            <v>205</v>
          </cell>
          <cell r="E1569" t="str">
            <v>453</v>
          </cell>
          <cell r="F1569">
            <v>0</v>
          </cell>
          <cell r="G1569">
            <v>3</v>
          </cell>
          <cell r="H1569" t="str">
            <v>2006-03-31</v>
          </cell>
        </row>
        <row r="1570">
          <cell r="A1570" t="str">
            <v>480001</v>
          </cell>
          <cell r="B1570" t="str">
            <v>1015</v>
          </cell>
          <cell r="C1570">
            <v>85198.7</v>
          </cell>
          <cell r="D1570" t="str">
            <v>202</v>
          </cell>
          <cell r="E1570" t="str">
            <v>453</v>
          </cell>
          <cell r="F1570">
            <v>53620</v>
          </cell>
          <cell r="G1570">
            <v>3</v>
          </cell>
          <cell r="H1570" t="str">
            <v>2006-03-31</v>
          </cell>
        </row>
        <row r="1571">
          <cell r="A1571" t="str">
            <v>480001</v>
          </cell>
          <cell r="B1571" t="str">
            <v>1015</v>
          </cell>
          <cell r="C1571">
            <v>0</v>
          </cell>
          <cell r="D1571" t="str">
            <v>203</v>
          </cell>
          <cell r="E1571" t="str">
            <v>453</v>
          </cell>
          <cell r="F1571">
            <v>0</v>
          </cell>
          <cell r="G1571">
            <v>3</v>
          </cell>
          <cell r="H1571" t="str">
            <v>2006-03-31</v>
          </cell>
        </row>
        <row r="1572">
          <cell r="A1572" t="str">
            <v>480001</v>
          </cell>
          <cell r="B1572" t="str">
            <v>1015</v>
          </cell>
          <cell r="C1572">
            <v>591950.68999999994</v>
          </cell>
          <cell r="D1572" t="str">
            <v>204</v>
          </cell>
          <cell r="E1572" t="str">
            <v>453</v>
          </cell>
          <cell r="F1572">
            <v>0</v>
          </cell>
          <cell r="G1572">
            <v>3</v>
          </cell>
          <cell r="H1572" t="str">
            <v>2006-03-31</v>
          </cell>
        </row>
        <row r="1573">
          <cell r="A1573" t="str">
            <v>480001</v>
          </cell>
          <cell r="B1573" t="str">
            <v>1015</v>
          </cell>
          <cell r="C1573">
            <v>8842.86</v>
          </cell>
          <cell r="D1573" t="str">
            <v>205</v>
          </cell>
          <cell r="E1573" t="str">
            <v>453</v>
          </cell>
          <cell r="F1573">
            <v>0</v>
          </cell>
          <cell r="G1573">
            <v>3</v>
          </cell>
          <cell r="H1573" t="str">
            <v>2006-03-31</v>
          </cell>
        </row>
        <row r="1574">
          <cell r="A1574" t="str">
            <v>480001</v>
          </cell>
          <cell r="B1574" t="str">
            <v>1015</v>
          </cell>
          <cell r="C1574">
            <v>0</v>
          </cell>
          <cell r="D1574" t="str">
            <v>210</v>
          </cell>
          <cell r="E1574" t="str">
            <v>453</v>
          </cell>
          <cell r="F1574">
            <v>0</v>
          </cell>
          <cell r="G1574">
            <v>3</v>
          </cell>
          <cell r="H1574" t="str">
            <v>2006-03-31</v>
          </cell>
        </row>
        <row r="1575">
          <cell r="A1575" t="str">
            <v>481004</v>
          </cell>
          <cell r="B1575" t="str">
            <v>1015</v>
          </cell>
          <cell r="C1575">
            <v>-289452.01</v>
          </cell>
          <cell r="D1575" t="str">
            <v>202</v>
          </cell>
          <cell r="E1575" t="str">
            <v>453</v>
          </cell>
          <cell r="F1575">
            <v>-167220.4</v>
          </cell>
          <cell r="G1575">
            <v>3</v>
          </cell>
          <cell r="H1575" t="str">
            <v>2006-03-31</v>
          </cell>
        </row>
        <row r="1576">
          <cell r="A1576" t="str">
            <v>481004</v>
          </cell>
          <cell r="B1576" t="str">
            <v>1015</v>
          </cell>
          <cell r="C1576">
            <v>-1355348.06</v>
          </cell>
          <cell r="D1576" t="str">
            <v>204</v>
          </cell>
          <cell r="E1576" t="str">
            <v>453</v>
          </cell>
          <cell r="F1576">
            <v>0</v>
          </cell>
          <cell r="G1576">
            <v>3</v>
          </cell>
          <cell r="H1576" t="str">
            <v>2006-03-31</v>
          </cell>
        </row>
        <row r="1577">
          <cell r="A1577" t="str">
            <v>481004</v>
          </cell>
          <cell r="B1577" t="str">
            <v>1015</v>
          </cell>
          <cell r="C1577">
            <v>9273.6</v>
          </cell>
          <cell r="D1577" t="str">
            <v>205</v>
          </cell>
          <cell r="E1577" t="str">
            <v>453</v>
          </cell>
          <cell r="F1577">
            <v>0</v>
          </cell>
          <cell r="G1577">
            <v>3</v>
          </cell>
          <cell r="H1577" t="str">
            <v>2006-03-31</v>
          </cell>
        </row>
        <row r="1578">
          <cell r="A1578" t="str">
            <v>480000</v>
          </cell>
          <cell r="B1578" t="str">
            <v>1015</v>
          </cell>
          <cell r="C1578">
            <v>-34460.18</v>
          </cell>
          <cell r="D1578" t="str">
            <v>202</v>
          </cell>
          <cell r="E1578" t="str">
            <v>455</v>
          </cell>
          <cell r="F1578">
            <v>-12050.45</v>
          </cell>
          <cell r="G1578">
            <v>3</v>
          </cell>
          <cell r="H1578" t="str">
            <v>2006-03-31</v>
          </cell>
        </row>
        <row r="1579">
          <cell r="A1579" t="str">
            <v>480000</v>
          </cell>
          <cell r="B1579" t="str">
            <v>1015</v>
          </cell>
          <cell r="C1579">
            <v>-98460.57</v>
          </cell>
          <cell r="D1579" t="str">
            <v>204</v>
          </cell>
          <cell r="E1579" t="str">
            <v>455</v>
          </cell>
          <cell r="F1579">
            <v>0</v>
          </cell>
          <cell r="G1579">
            <v>3</v>
          </cell>
          <cell r="H1579" t="str">
            <v>2006-03-31</v>
          </cell>
        </row>
        <row r="1580">
          <cell r="A1580" t="str">
            <v>480000</v>
          </cell>
          <cell r="B1580" t="str">
            <v>1015</v>
          </cell>
          <cell r="C1580">
            <v>1030.23</v>
          </cell>
          <cell r="D1580" t="str">
            <v>205</v>
          </cell>
          <cell r="E1580" t="str">
            <v>455</v>
          </cell>
          <cell r="F1580">
            <v>0</v>
          </cell>
          <cell r="G1580">
            <v>3</v>
          </cell>
          <cell r="H1580" t="str">
            <v>2006-03-31</v>
          </cell>
        </row>
        <row r="1581">
          <cell r="A1581" t="str">
            <v>480001</v>
          </cell>
          <cell r="B1581" t="str">
            <v>1015</v>
          </cell>
          <cell r="C1581">
            <v>11225.78</v>
          </cell>
          <cell r="D1581" t="str">
            <v>202</v>
          </cell>
          <cell r="E1581" t="str">
            <v>455</v>
          </cell>
          <cell r="F1581">
            <v>5065</v>
          </cell>
          <cell r="G1581">
            <v>3</v>
          </cell>
          <cell r="H1581" t="str">
            <v>2006-03-31</v>
          </cell>
        </row>
        <row r="1582">
          <cell r="A1582" t="str">
            <v>480001</v>
          </cell>
          <cell r="B1582" t="str">
            <v>1015</v>
          </cell>
          <cell r="C1582">
            <v>0</v>
          </cell>
          <cell r="D1582" t="str">
            <v>203</v>
          </cell>
          <cell r="E1582" t="str">
            <v>455</v>
          </cell>
          <cell r="F1582">
            <v>0</v>
          </cell>
          <cell r="G1582">
            <v>3</v>
          </cell>
          <cell r="H1582" t="str">
            <v>2006-03-31</v>
          </cell>
        </row>
        <row r="1583">
          <cell r="A1583" t="str">
            <v>480001</v>
          </cell>
          <cell r="B1583" t="str">
            <v>1015</v>
          </cell>
          <cell r="C1583">
            <v>50670.98</v>
          </cell>
          <cell r="D1583" t="str">
            <v>204</v>
          </cell>
          <cell r="E1583" t="str">
            <v>455</v>
          </cell>
          <cell r="F1583">
            <v>0</v>
          </cell>
          <cell r="G1583">
            <v>3</v>
          </cell>
          <cell r="H1583" t="str">
            <v>2006-03-31</v>
          </cell>
        </row>
        <row r="1584">
          <cell r="A1584" t="str">
            <v>480001</v>
          </cell>
          <cell r="B1584" t="str">
            <v>1015</v>
          </cell>
          <cell r="C1584">
            <v>-2189.19</v>
          </cell>
          <cell r="D1584" t="str">
            <v>205</v>
          </cell>
          <cell r="E1584" t="str">
            <v>455</v>
          </cell>
          <cell r="F1584">
            <v>0</v>
          </cell>
          <cell r="G1584">
            <v>3</v>
          </cell>
          <cell r="H1584" t="str">
            <v>2006-03-31</v>
          </cell>
        </row>
        <row r="1585">
          <cell r="A1585" t="str">
            <v>480001</v>
          </cell>
          <cell r="B1585" t="str">
            <v>1015</v>
          </cell>
          <cell r="C1585">
            <v>0</v>
          </cell>
          <cell r="D1585" t="str">
            <v>210</v>
          </cell>
          <cell r="E1585" t="str">
            <v>455</v>
          </cell>
          <cell r="F1585">
            <v>0</v>
          </cell>
          <cell r="G1585">
            <v>3</v>
          </cell>
          <cell r="H1585" t="str">
            <v>2006-03-31</v>
          </cell>
        </row>
        <row r="1586">
          <cell r="A1586" t="str">
            <v>481004</v>
          </cell>
          <cell r="B1586" t="str">
            <v>1015</v>
          </cell>
          <cell r="C1586">
            <v>-23538.6</v>
          </cell>
          <cell r="D1586" t="str">
            <v>202</v>
          </cell>
          <cell r="E1586" t="str">
            <v>455</v>
          </cell>
          <cell r="F1586">
            <v>-9557.3700000000008</v>
          </cell>
          <cell r="G1586">
            <v>3</v>
          </cell>
          <cell r="H1586" t="str">
            <v>2006-03-31</v>
          </cell>
        </row>
        <row r="1587">
          <cell r="A1587" t="str">
            <v>481004</v>
          </cell>
          <cell r="B1587" t="str">
            <v>1015</v>
          </cell>
          <cell r="C1587">
            <v>-79754.41</v>
          </cell>
          <cell r="D1587" t="str">
            <v>204</v>
          </cell>
          <cell r="E1587" t="str">
            <v>455</v>
          </cell>
          <cell r="F1587">
            <v>0</v>
          </cell>
          <cell r="G1587">
            <v>3</v>
          </cell>
          <cell r="H1587" t="str">
            <v>2006-03-31</v>
          </cell>
        </row>
        <row r="1588">
          <cell r="A1588" t="str">
            <v>481004</v>
          </cell>
          <cell r="B1588" t="str">
            <v>1015</v>
          </cell>
          <cell r="C1588">
            <v>1158.96</v>
          </cell>
          <cell r="D1588" t="str">
            <v>205</v>
          </cell>
          <cell r="E1588" t="str">
            <v>455</v>
          </cell>
          <cell r="F1588">
            <v>0</v>
          </cell>
          <cell r="G1588">
            <v>3</v>
          </cell>
          <cell r="H1588" t="str">
            <v>2006-03-31</v>
          </cell>
        </row>
        <row r="1589">
          <cell r="A1589" t="str">
            <v>481002</v>
          </cell>
          <cell r="B1589" t="str">
            <v>1015</v>
          </cell>
          <cell r="C1589">
            <v>0</v>
          </cell>
          <cell r="D1589" t="str">
            <v>202</v>
          </cell>
          <cell r="E1589" t="str">
            <v>456</v>
          </cell>
          <cell r="F1589">
            <v>0</v>
          </cell>
          <cell r="G1589">
            <v>3</v>
          </cell>
          <cell r="H1589" t="str">
            <v>2006-03-31</v>
          </cell>
        </row>
        <row r="1590">
          <cell r="A1590" t="str">
            <v>481002</v>
          </cell>
          <cell r="B1590" t="str">
            <v>1015</v>
          </cell>
          <cell r="C1590">
            <v>0</v>
          </cell>
          <cell r="D1590" t="str">
            <v>203</v>
          </cell>
          <cell r="E1590" t="str">
            <v>456</v>
          </cell>
          <cell r="F1590">
            <v>0</v>
          </cell>
          <cell r="G1590">
            <v>3</v>
          </cell>
          <cell r="H1590" t="str">
            <v>2006-03-31</v>
          </cell>
        </row>
        <row r="1591">
          <cell r="A1591" t="str">
            <v>481002</v>
          </cell>
          <cell r="B1591" t="str">
            <v>1015</v>
          </cell>
          <cell r="C1591">
            <v>0</v>
          </cell>
          <cell r="D1591" t="str">
            <v>204</v>
          </cell>
          <cell r="E1591" t="str">
            <v>456</v>
          </cell>
          <cell r="F1591">
            <v>0</v>
          </cell>
          <cell r="G1591">
            <v>3</v>
          </cell>
          <cell r="H1591" t="str">
            <v>2006-03-31</v>
          </cell>
        </row>
        <row r="1592">
          <cell r="A1592" t="str">
            <v>481002</v>
          </cell>
          <cell r="B1592" t="str">
            <v>1015</v>
          </cell>
          <cell r="C1592">
            <v>0</v>
          </cell>
          <cell r="D1592" t="str">
            <v>210</v>
          </cell>
          <cell r="E1592" t="str">
            <v>456</v>
          </cell>
          <cell r="F1592">
            <v>0</v>
          </cell>
          <cell r="G1592">
            <v>3</v>
          </cell>
          <cell r="H1592" t="str">
            <v>2006-03-31</v>
          </cell>
        </row>
        <row r="1593">
          <cell r="A1593" t="str">
            <v>481002</v>
          </cell>
          <cell r="B1593" t="str">
            <v>1015</v>
          </cell>
          <cell r="C1593">
            <v>-384.68</v>
          </cell>
          <cell r="D1593" t="str">
            <v>202</v>
          </cell>
          <cell r="E1593" t="str">
            <v>457</v>
          </cell>
          <cell r="F1593">
            <v>-2321</v>
          </cell>
          <cell r="G1593">
            <v>3</v>
          </cell>
          <cell r="H1593" t="str">
            <v>2006-03-31</v>
          </cell>
        </row>
        <row r="1594">
          <cell r="A1594" t="str">
            <v>481002</v>
          </cell>
          <cell r="B1594" t="str">
            <v>1015</v>
          </cell>
          <cell r="C1594">
            <v>-424.44</v>
          </cell>
          <cell r="D1594" t="str">
            <v>203</v>
          </cell>
          <cell r="E1594" t="str">
            <v>457</v>
          </cell>
          <cell r="F1594">
            <v>0</v>
          </cell>
          <cell r="G1594">
            <v>3</v>
          </cell>
          <cell r="H1594" t="str">
            <v>2006-03-31</v>
          </cell>
        </row>
        <row r="1595">
          <cell r="A1595" t="str">
            <v>481002</v>
          </cell>
          <cell r="B1595" t="str">
            <v>1015</v>
          </cell>
          <cell r="C1595">
            <v>-14451.89</v>
          </cell>
          <cell r="D1595" t="str">
            <v>204</v>
          </cell>
          <cell r="E1595" t="str">
            <v>457</v>
          </cell>
          <cell r="F1595">
            <v>0</v>
          </cell>
          <cell r="G1595">
            <v>3</v>
          </cell>
          <cell r="H1595" t="str">
            <v>2006-03-31</v>
          </cell>
        </row>
        <row r="1596">
          <cell r="A1596" t="str">
            <v>481002</v>
          </cell>
          <cell r="B1596" t="str">
            <v>1015</v>
          </cell>
          <cell r="C1596">
            <v>0</v>
          </cell>
          <cell r="D1596" t="str">
            <v>210</v>
          </cell>
          <cell r="E1596" t="str">
            <v>457</v>
          </cell>
          <cell r="F1596">
            <v>0</v>
          </cell>
          <cell r="G1596">
            <v>3</v>
          </cell>
          <cell r="H1596" t="str">
            <v>2006-03-31</v>
          </cell>
        </row>
        <row r="1597">
          <cell r="A1597" t="str">
            <v>481005</v>
          </cell>
          <cell r="B1597" t="str">
            <v>1015</v>
          </cell>
          <cell r="C1597">
            <v>-2422</v>
          </cell>
          <cell r="D1597" t="str">
            <v>202</v>
          </cell>
          <cell r="E1597" t="str">
            <v>457</v>
          </cell>
          <cell r="F1597">
            <v>-12804.71</v>
          </cell>
          <cell r="G1597">
            <v>3</v>
          </cell>
          <cell r="H1597" t="str">
            <v>2006-03-31</v>
          </cell>
        </row>
        <row r="1598">
          <cell r="A1598" t="str">
            <v>481005</v>
          </cell>
          <cell r="B1598" t="str">
            <v>1015</v>
          </cell>
          <cell r="C1598">
            <v>-2342</v>
          </cell>
          <cell r="D1598" t="str">
            <v>203</v>
          </cell>
          <cell r="E1598" t="str">
            <v>457</v>
          </cell>
          <cell r="F1598">
            <v>0</v>
          </cell>
          <cell r="G1598">
            <v>3</v>
          </cell>
          <cell r="H1598" t="str">
            <v>2006-03-31</v>
          </cell>
        </row>
        <row r="1599">
          <cell r="A1599" t="str">
            <v>481005</v>
          </cell>
          <cell r="B1599" t="str">
            <v>1015</v>
          </cell>
          <cell r="C1599">
            <v>-79731</v>
          </cell>
          <cell r="D1599" t="str">
            <v>204</v>
          </cell>
          <cell r="E1599" t="str">
            <v>457</v>
          </cell>
          <cell r="F1599">
            <v>0</v>
          </cell>
          <cell r="G1599">
            <v>3</v>
          </cell>
          <cell r="H1599" t="str">
            <v>2006-03-31</v>
          </cell>
        </row>
        <row r="1600">
          <cell r="A1600" t="str">
            <v>481005</v>
          </cell>
          <cell r="B1600" t="str">
            <v>1015</v>
          </cell>
          <cell r="C1600">
            <v>0</v>
          </cell>
          <cell r="D1600" t="str">
            <v>210</v>
          </cell>
          <cell r="E1600" t="str">
            <v>457</v>
          </cell>
          <cell r="F1600">
            <v>0</v>
          </cell>
          <cell r="G1600">
            <v>3</v>
          </cell>
          <cell r="H1600" t="str">
            <v>2006-03-31</v>
          </cell>
        </row>
        <row r="1601">
          <cell r="A1601" t="str">
            <v>489300</v>
          </cell>
          <cell r="B1601" t="str">
            <v>1015</v>
          </cell>
          <cell r="C1601">
            <v>-3342.71</v>
          </cell>
          <cell r="D1601" t="str">
            <v>250</v>
          </cell>
          <cell r="E1601" t="str">
            <v>458</v>
          </cell>
          <cell r="F1601">
            <v>-20758</v>
          </cell>
          <cell r="G1601">
            <v>3</v>
          </cell>
          <cell r="H1601" t="str">
            <v>2006-03-31</v>
          </cell>
        </row>
        <row r="1602">
          <cell r="A1602" t="str">
            <v>489304</v>
          </cell>
          <cell r="B1602" t="str">
            <v>1015</v>
          </cell>
          <cell r="C1602">
            <v>-1139.9000000000001</v>
          </cell>
          <cell r="D1602" t="str">
            <v>250</v>
          </cell>
          <cell r="E1602" t="str">
            <v>458</v>
          </cell>
          <cell r="F1602">
            <v>-3463</v>
          </cell>
          <cell r="G1602">
            <v>3</v>
          </cell>
          <cell r="H1602" t="str">
            <v>2006-03-31</v>
          </cell>
        </row>
        <row r="1603">
          <cell r="A1603" t="str">
            <v>489300</v>
          </cell>
          <cell r="B1603" t="str">
            <v>1015</v>
          </cell>
          <cell r="C1603">
            <v>-1843.2</v>
          </cell>
          <cell r="D1603" t="str">
            <v>250</v>
          </cell>
          <cell r="E1603" t="str">
            <v>459</v>
          </cell>
          <cell r="F1603">
            <v>-6095</v>
          </cell>
          <cell r="G1603">
            <v>3</v>
          </cell>
          <cell r="H1603" t="str">
            <v>2006-03-31</v>
          </cell>
        </row>
        <row r="1604">
          <cell r="A1604" t="str">
            <v>489304</v>
          </cell>
          <cell r="B1604" t="str">
            <v>1015</v>
          </cell>
          <cell r="C1604">
            <v>0</v>
          </cell>
          <cell r="D1604" t="str">
            <v>250</v>
          </cell>
          <cell r="E1604" t="str">
            <v>459</v>
          </cell>
          <cell r="F1604">
            <v>0</v>
          </cell>
          <cell r="G1604">
            <v>3</v>
          </cell>
          <cell r="H1604" t="str">
            <v>2006-03-31</v>
          </cell>
        </row>
        <row r="1605">
          <cell r="A1605" t="str">
            <v>481003</v>
          </cell>
          <cell r="B1605" t="str">
            <v>1015</v>
          </cell>
          <cell r="C1605">
            <v>-107908.54</v>
          </cell>
          <cell r="D1605" t="str">
            <v>200</v>
          </cell>
          <cell r="F1605">
            <v>-10196.879999999999</v>
          </cell>
          <cell r="G1605">
            <v>3</v>
          </cell>
          <cell r="H1605" t="str">
            <v>2006-03-31</v>
          </cell>
        </row>
        <row r="1606">
          <cell r="A1606" t="str">
            <v>481000</v>
          </cell>
          <cell r="B1606" t="str">
            <v>1015</v>
          </cell>
          <cell r="C1606">
            <v>-18326.52</v>
          </cell>
          <cell r="D1606" t="str">
            <v>202</v>
          </cell>
          <cell r="E1606" t="str">
            <v>402</v>
          </cell>
          <cell r="F1606">
            <v>-43446.18</v>
          </cell>
          <cell r="G1606">
            <v>4</v>
          </cell>
          <cell r="H1606" t="str">
            <v>2006-04-30</v>
          </cell>
        </row>
        <row r="1607">
          <cell r="A1607" t="str">
            <v>481000</v>
          </cell>
          <cell r="B1607" t="str">
            <v>1015</v>
          </cell>
          <cell r="C1607">
            <v>-21617.43</v>
          </cell>
          <cell r="D1607" t="str">
            <v>203</v>
          </cell>
          <cell r="E1607" t="str">
            <v>402</v>
          </cell>
          <cell r="F1607">
            <v>0</v>
          </cell>
          <cell r="G1607">
            <v>4</v>
          </cell>
          <cell r="H1607" t="str">
            <v>2006-04-30</v>
          </cell>
        </row>
        <row r="1608">
          <cell r="A1608" t="str">
            <v>481000</v>
          </cell>
          <cell r="B1608" t="str">
            <v>1015</v>
          </cell>
          <cell r="C1608">
            <v>-282152.67</v>
          </cell>
          <cell r="D1608" t="str">
            <v>204</v>
          </cell>
          <cell r="E1608" t="str">
            <v>402</v>
          </cell>
          <cell r="F1608">
            <v>0</v>
          </cell>
          <cell r="G1608">
            <v>4</v>
          </cell>
          <cell r="H1608" t="str">
            <v>2006-04-30</v>
          </cell>
        </row>
        <row r="1609">
          <cell r="A1609" t="str">
            <v>481000</v>
          </cell>
          <cell r="B1609" t="str">
            <v>1015</v>
          </cell>
          <cell r="C1609">
            <v>0</v>
          </cell>
          <cell r="D1609" t="str">
            <v>210</v>
          </cell>
          <cell r="E1609" t="str">
            <v>402</v>
          </cell>
          <cell r="F1609">
            <v>0</v>
          </cell>
          <cell r="G1609">
            <v>4</v>
          </cell>
          <cell r="H1609" t="str">
            <v>2006-04-30</v>
          </cell>
        </row>
        <row r="1610">
          <cell r="A1610" t="str">
            <v>481004</v>
          </cell>
          <cell r="B1610" t="str">
            <v>1015</v>
          </cell>
          <cell r="C1610">
            <v>-285226.58</v>
          </cell>
          <cell r="D1610" t="str">
            <v>202</v>
          </cell>
          <cell r="E1610" t="str">
            <v>402</v>
          </cell>
          <cell r="F1610">
            <v>-611294.41</v>
          </cell>
          <cell r="G1610">
            <v>4</v>
          </cell>
          <cell r="H1610" t="str">
            <v>2006-04-30</v>
          </cell>
        </row>
        <row r="1611">
          <cell r="A1611" t="str">
            <v>481004</v>
          </cell>
          <cell r="B1611" t="str">
            <v>1015</v>
          </cell>
          <cell r="C1611">
            <v>-244592.78</v>
          </cell>
          <cell r="D1611" t="str">
            <v>203</v>
          </cell>
          <cell r="E1611" t="str">
            <v>402</v>
          </cell>
          <cell r="F1611">
            <v>0</v>
          </cell>
          <cell r="G1611">
            <v>4</v>
          </cell>
          <cell r="H1611" t="str">
            <v>2006-04-30</v>
          </cell>
        </row>
        <row r="1612">
          <cell r="A1612" t="str">
            <v>481004</v>
          </cell>
          <cell r="B1612" t="str">
            <v>1015</v>
          </cell>
          <cell r="C1612">
            <v>-3976030.4</v>
          </cell>
          <cell r="D1612" t="str">
            <v>204</v>
          </cell>
          <cell r="E1612" t="str">
            <v>402</v>
          </cell>
          <cell r="F1612">
            <v>0</v>
          </cell>
          <cell r="G1612">
            <v>4</v>
          </cell>
          <cell r="H1612" t="str">
            <v>2006-04-30</v>
          </cell>
        </row>
        <row r="1613">
          <cell r="A1613" t="str">
            <v>481004</v>
          </cell>
          <cell r="B1613" t="str">
            <v>1015</v>
          </cell>
          <cell r="C1613">
            <v>0</v>
          </cell>
          <cell r="D1613" t="str">
            <v>210</v>
          </cell>
          <cell r="E1613" t="str">
            <v>402</v>
          </cell>
          <cell r="F1613">
            <v>0</v>
          </cell>
          <cell r="G1613">
            <v>4</v>
          </cell>
          <cell r="H1613" t="str">
            <v>2006-04-30</v>
          </cell>
        </row>
        <row r="1614">
          <cell r="A1614" t="str">
            <v>481000</v>
          </cell>
          <cell r="B1614" t="str">
            <v>1015</v>
          </cell>
          <cell r="C1614">
            <v>-7313.31</v>
          </cell>
          <cell r="D1614" t="str">
            <v>202</v>
          </cell>
          <cell r="E1614" t="str">
            <v>403</v>
          </cell>
          <cell r="F1614">
            <v>0</v>
          </cell>
          <cell r="G1614">
            <v>4</v>
          </cell>
          <cell r="H1614" t="str">
            <v>2006-04-30</v>
          </cell>
        </row>
        <row r="1615">
          <cell r="A1615" t="str">
            <v>481000</v>
          </cell>
          <cell r="B1615" t="str">
            <v>1015</v>
          </cell>
          <cell r="C1615">
            <v>-1619.75</v>
          </cell>
          <cell r="D1615" t="str">
            <v>203</v>
          </cell>
          <cell r="E1615" t="str">
            <v>403</v>
          </cell>
          <cell r="F1615">
            <v>0</v>
          </cell>
          <cell r="G1615">
            <v>4</v>
          </cell>
          <cell r="H1615" t="str">
            <v>2006-04-30</v>
          </cell>
        </row>
        <row r="1616">
          <cell r="A1616" t="str">
            <v>481000</v>
          </cell>
          <cell r="B1616" t="str">
            <v>1015</v>
          </cell>
          <cell r="C1616">
            <v>-2944.28</v>
          </cell>
          <cell r="D1616" t="str">
            <v>204</v>
          </cell>
          <cell r="E1616" t="str">
            <v>403</v>
          </cell>
          <cell r="F1616">
            <v>0</v>
          </cell>
          <cell r="G1616">
            <v>4</v>
          </cell>
          <cell r="H1616" t="str">
            <v>2006-04-30</v>
          </cell>
        </row>
        <row r="1617">
          <cell r="A1617" t="str">
            <v>481000</v>
          </cell>
          <cell r="B1617" t="str">
            <v>1015</v>
          </cell>
          <cell r="C1617">
            <v>0</v>
          </cell>
          <cell r="D1617" t="str">
            <v>210</v>
          </cell>
          <cell r="E1617" t="str">
            <v>403</v>
          </cell>
          <cell r="F1617">
            <v>0</v>
          </cell>
          <cell r="G1617">
            <v>4</v>
          </cell>
          <cell r="H1617" t="str">
            <v>2006-04-30</v>
          </cell>
        </row>
        <row r="1618">
          <cell r="A1618" t="str">
            <v>481004</v>
          </cell>
          <cell r="B1618" t="str">
            <v>1015</v>
          </cell>
          <cell r="C1618">
            <v>0</v>
          </cell>
          <cell r="D1618" t="str">
            <v>202</v>
          </cell>
          <cell r="E1618" t="str">
            <v>403</v>
          </cell>
          <cell r="F1618">
            <v>0</v>
          </cell>
          <cell r="G1618">
            <v>4</v>
          </cell>
          <cell r="H1618" t="str">
            <v>2006-04-30</v>
          </cell>
        </row>
        <row r="1619">
          <cell r="A1619" t="str">
            <v>481004</v>
          </cell>
          <cell r="B1619" t="str">
            <v>1015</v>
          </cell>
          <cell r="C1619">
            <v>0</v>
          </cell>
          <cell r="D1619" t="str">
            <v>203</v>
          </cell>
          <cell r="E1619" t="str">
            <v>403</v>
          </cell>
          <cell r="F1619">
            <v>0</v>
          </cell>
          <cell r="G1619">
            <v>4</v>
          </cell>
          <cell r="H1619" t="str">
            <v>2006-04-30</v>
          </cell>
        </row>
        <row r="1620">
          <cell r="A1620" t="str">
            <v>481004</v>
          </cell>
          <cell r="B1620" t="str">
            <v>1015</v>
          </cell>
          <cell r="C1620">
            <v>0</v>
          </cell>
          <cell r="D1620" t="str">
            <v>204</v>
          </cell>
          <cell r="E1620" t="str">
            <v>403</v>
          </cell>
          <cell r="F1620">
            <v>0</v>
          </cell>
          <cell r="G1620">
            <v>4</v>
          </cell>
          <cell r="H1620" t="str">
            <v>2006-04-30</v>
          </cell>
        </row>
        <row r="1621">
          <cell r="A1621" t="str">
            <v>481004</v>
          </cell>
          <cell r="B1621" t="str">
            <v>1015</v>
          </cell>
          <cell r="C1621">
            <v>0</v>
          </cell>
          <cell r="D1621" t="str">
            <v>210</v>
          </cell>
          <cell r="E1621" t="str">
            <v>403</v>
          </cell>
          <cell r="F1621">
            <v>0</v>
          </cell>
          <cell r="G1621">
            <v>4</v>
          </cell>
          <cell r="H1621" t="str">
            <v>2006-04-30</v>
          </cell>
        </row>
        <row r="1622">
          <cell r="A1622" t="str">
            <v>481000</v>
          </cell>
          <cell r="B1622" t="str">
            <v>1015</v>
          </cell>
          <cell r="C1622">
            <v>-87768.14</v>
          </cell>
          <cell r="D1622" t="str">
            <v>202</v>
          </cell>
          <cell r="E1622" t="str">
            <v>404</v>
          </cell>
          <cell r="F1622">
            <v>-269007</v>
          </cell>
          <cell r="G1622">
            <v>4</v>
          </cell>
          <cell r="H1622" t="str">
            <v>2006-04-30</v>
          </cell>
        </row>
        <row r="1623">
          <cell r="A1623" t="str">
            <v>481000</v>
          </cell>
          <cell r="B1623" t="str">
            <v>1015</v>
          </cell>
          <cell r="C1623">
            <v>-194241.88</v>
          </cell>
          <cell r="D1623" t="str">
            <v>203</v>
          </cell>
          <cell r="E1623" t="str">
            <v>404</v>
          </cell>
          <cell r="F1623">
            <v>0</v>
          </cell>
          <cell r="G1623">
            <v>4</v>
          </cell>
          <cell r="H1623" t="str">
            <v>2006-04-30</v>
          </cell>
        </row>
        <row r="1624">
          <cell r="A1624" t="str">
            <v>481000</v>
          </cell>
          <cell r="B1624" t="str">
            <v>1015</v>
          </cell>
          <cell r="C1624">
            <v>-1747020.23</v>
          </cell>
          <cell r="D1624" t="str">
            <v>204</v>
          </cell>
          <cell r="E1624" t="str">
            <v>404</v>
          </cell>
          <cell r="F1624">
            <v>0</v>
          </cell>
          <cell r="G1624">
            <v>4</v>
          </cell>
          <cell r="H1624" t="str">
            <v>2006-04-30</v>
          </cell>
        </row>
        <row r="1625">
          <cell r="A1625" t="str">
            <v>481000</v>
          </cell>
          <cell r="B1625" t="str">
            <v>1015</v>
          </cell>
          <cell r="C1625">
            <v>0</v>
          </cell>
          <cell r="D1625" t="str">
            <v>210</v>
          </cell>
          <cell r="E1625" t="str">
            <v>404</v>
          </cell>
          <cell r="F1625">
            <v>0</v>
          </cell>
          <cell r="G1625">
            <v>4</v>
          </cell>
          <cell r="H1625" t="str">
            <v>2006-04-30</v>
          </cell>
        </row>
        <row r="1626">
          <cell r="A1626" t="str">
            <v>481004</v>
          </cell>
          <cell r="B1626" t="str">
            <v>1015</v>
          </cell>
          <cell r="C1626">
            <v>0</v>
          </cell>
          <cell r="D1626" t="str">
            <v>202</v>
          </cell>
          <cell r="E1626" t="str">
            <v>404</v>
          </cell>
          <cell r="F1626">
            <v>0</v>
          </cell>
          <cell r="G1626">
            <v>4</v>
          </cell>
          <cell r="H1626" t="str">
            <v>2006-04-30</v>
          </cell>
        </row>
        <row r="1627">
          <cell r="A1627" t="str">
            <v>481004</v>
          </cell>
          <cell r="B1627" t="str">
            <v>1015</v>
          </cell>
          <cell r="C1627">
            <v>0</v>
          </cell>
          <cell r="D1627" t="str">
            <v>203</v>
          </cell>
          <cell r="E1627" t="str">
            <v>404</v>
          </cell>
          <cell r="F1627">
            <v>0</v>
          </cell>
          <cell r="G1627">
            <v>4</v>
          </cell>
          <cell r="H1627" t="str">
            <v>2006-04-30</v>
          </cell>
        </row>
        <row r="1628">
          <cell r="A1628" t="str">
            <v>481004</v>
          </cell>
          <cell r="B1628" t="str">
            <v>1015</v>
          </cell>
          <cell r="C1628">
            <v>0</v>
          </cell>
          <cell r="D1628" t="str">
            <v>204</v>
          </cell>
          <cell r="E1628" t="str">
            <v>404</v>
          </cell>
          <cell r="F1628">
            <v>0</v>
          </cell>
          <cell r="G1628">
            <v>4</v>
          </cell>
          <cell r="H1628" t="str">
            <v>2006-04-30</v>
          </cell>
        </row>
        <row r="1629">
          <cell r="A1629" t="str">
            <v>481004</v>
          </cell>
          <cell r="B1629" t="str">
            <v>1015</v>
          </cell>
          <cell r="C1629">
            <v>0</v>
          </cell>
          <cell r="D1629" t="str">
            <v>210</v>
          </cell>
          <cell r="E1629" t="str">
            <v>404</v>
          </cell>
          <cell r="F1629">
            <v>0</v>
          </cell>
          <cell r="G1629">
            <v>4</v>
          </cell>
          <cell r="H1629" t="str">
            <v>2006-04-30</v>
          </cell>
        </row>
        <row r="1630">
          <cell r="A1630" t="str">
            <v>489300</v>
          </cell>
          <cell r="B1630" t="str">
            <v>1015</v>
          </cell>
          <cell r="C1630">
            <v>-55492.78</v>
          </cell>
          <cell r="D1630" t="str">
            <v>250</v>
          </cell>
          <cell r="E1630" t="str">
            <v>405</v>
          </cell>
          <cell r="F1630">
            <v>-293156</v>
          </cell>
          <cell r="G1630">
            <v>4</v>
          </cell>
          <cell r="H1630" t="str">
            <v>2006-04-30</v>
          </cell>
        </row>
        <row r="1631">
          <cell r="A1631" t="str">
            <v>489304</v>
          </cell>
          <cell r="B1631" t="str">
            <v>1015</v>
          </cell>
          <cell r="C1631">
            <v>-24809.05</v>
          </cell>
          <cell r="D1631" t="str">
            <v>250</v>
          </cell>
          <cell r="E1631" t="str">
            <v>405</v>
          </cell>
          <cell r="F1631">
            <v>-133013</v>
          </cell>
          <cell r="G1631">
            <v>4</v>
          </cell>
          <cell r="H1631" t="str">
            <v>2006-04-30</v>
          </cell>
        </row>
        <row r="1632">
          <cell r="A1632" t="str">
            <v>489300</v>
          </cell>
          <cell r="B1632" t="str">
            <v>1015</v>
          </cell>
          <cell r="C1632">
            <v>-70373.509999999995</v>
          </cell>
          <cell r="D1632" t="str">
            <v>250</v>
          </cell>
          <cell r="E1632" t="str">
            <v>406</v>
          </cell>
          <cell r="F1632">
            <v>-284435</v>
          </cell>
          <cell r="G1632">
            <v>4</v>
          </cell>
          <cell r="H1632" t="str">
            <v>2006-04-30</v>
          </cell>
        </row>
        <row r="1633">
          <cell r="A1633" t="str">
            <v>489304</v>
          </cell>
          <cell r="B1633" t="str">
            <v>1015</v>
          </cell>
          <cell r="C1633">
            <v>-38178.89</v>
          </cell>
          <cell r="D1633" t="str">
            <v>250</v>
          </cell>
          <cell r="E1633" t="str">
            <v>406</v>
          </cell>
          <cell r="F1633">
            <v>-190988</v>
          </cell>
          <cell r="G1633">
            <v>4</v>
          </cell>
          <cell r="H1633" t="str">
            <v>2006-04-30</v>
          </cell>
        </row>
        <row r="1634">
          <cell r="A1634" t="str">
            <v>480000</v>
          </cell>
          <cell r="B1634" t="str">
            <v>1015</v>
          </cell>
          <cell r="C1634">
            <v>-16369897.15</v>
          </cell>
          <cell r="D1634" t="str">
            <v>202</v>
          </cell>
          <cell r="E1634" t="str">
            <v>407</v>
          </cell>
          <cell r="F1634">
            <v>-6490458.5499999998</v>
          </cell>
          <cell r="G1634">
            <v>4</v>
          </cell>
          <cell r="H1634" t="str">
            <v>2006-04-30</v>
          </cell>
        </row>
        <row r="1635">
          <cell r="A1635" t="str">
            <v>480000</v>
          </cell>
          <cell r="B1635" t="str">
            <v>1015</v>
          </cell>
          <cell r="C1635">
            <v>-5446759.5800000001</v>
          </cell>
          <cell r="D1635" t="str">
            <v>203</v>
          </cell>
          <cell r="E1635" t="str">
            <v>407</v>
          </cell>
          <cell r="F1635">
            <v>0</v>
          </cell>
          <cell r="G1635">
            <v>4</v>
          </cell>
          <cell r="H1635" t="str">
            <v>2006-04-30</v>
          </cell>
        </row>
        <row r="1636">
          <cell r="A1636" t="str">
            <v>480000</v>
          </cell>
          <cell r="B1636" t="str">
            <v>1015</v>
          </cell>
          <cell r="C1636">
            <v>-44411277.920000002</v>
          </cell>
          <cell r="D1636" t="str">
            <v>204</v>
          </cell>
          <cell r="E1636" t="str">
            <v>407</v>
          </cell>
          <cell r="F1636">
            <v>0</v>
          </cell>
          <cell r="G1636">
            <v>4</v>
          </cell>
          <cell r="H1636" t="str">
            <v>2006-04-30</v>
          </cell>
        </row>
        <row r="1637">
          <cell r="A1637" t="str">
            <v>480000</v>
          </cell>
          <cell r="B1637" t="str">
            <v>1015</v>
          </cell>
          <cell r="C1637">
            <v>-167234.57999999999</v>
          </cell>
          <cell r="D1637" t="str">
            <v>205</v>
          </cell>
          <cell r="E1637" t="str">
            <v>407</v>
          </cell>
          <cell r="F1637">
            <v>0</v>
          </cell>
          <cell r="G1637">
            <v>4</v>
          </cell>
          <cell r="H1637" t="str">
            <v>2006-04-30</v>
          </cell>
        </row>
        <row r="1638">
          <cell r="A1638" t="str">
            <v>480000</v>
          </cell>
          <cell r="B1638" t="str">
            <v>1015</v>
          </cell>
          <cell r="C1638">
            <v>579</v>
          </cell>
          <cell r="D1638" t="str">
            <v>210</v>
          </cell>
          <cell r="E1638" t="str">
            <v>407</v>
          </cell>
          <cell r="F1638">
            <v>76.3</v>
          </cell>
          <cell r="G1638">
            <v>4</v>
          </cell>
          <cell r="H1638" t="str">
            <v>2006-04-30</v>
          </cell>
        </row>
        <row r="1639">
          <cell r="A1639" t="str">
            <v>480001</v>
          </cell>
          <cell r="B1639" t="str">
            <v>1015</v>
          </cell>
          <cell r="C1639">
            <v>6703900.1699999999</v>
          </cell>
          <cell r="D1639" t="str">
            <v>202</v>
          </cell>
          <cell r="E1639" t="str">
            <v>407</v>
          </cell>
          <cell r="F1639">
            <v>3379571</v>
          </cell>
          <cell r="G1639">
            <v>4</v>
          </cell>
          <cell r="H1639" t="str">
            <v>2006-04-30</v>
          </cell>
        </row>
        <row r="1640">
          <cell r="A1640" t="str">
            <v>480001</v>
          </cell>
          <cell r="B1640" t="str">
            <v>1015</v>
          </cell>
          <cell r="C1640">
            <v>4863471.41</v>
          </cell>
          <cell r="D1640" t="str">
            <v>203</v>
          </cell>
          <cell r="E1640" t="str">
            <v>407</v>
          </cell>
          <cell r="F1640">
            <v>0</v>
          </cell>
          <cell r="G1640">
            <v>4</v>
          </cell>
          <cell r="H1640" t="str">
            <v>2006-04-30</v>
          </cell>
        </row>
        <row r="1641">
          <cell r="A1641" t="str">
            <v>480001</v>
          </cell>
          <cell r="B1641" t="str">
            <v>1015</v>
          </cell>
          <cell r="C1641">
            <v>24469963.870000001</v>
          </cell>
          <cell r="D1641" t="str">
            <v>204</v>
          </cell>
          <cell r="E1641" t="str">
            <v>407</v>
          </cell>
          <cell r="F1641">
            <v>0</v>
          </cell>
          <cell r="G1641">
            <v>4</v>
          </cell>
          <cell r="H1641" t="str">
            <v>2006-04-30</v>
          </cell>
        </row>
        <row r="1642">
          <cell r="A1642" t="str">
            <v>480001</v>
          </cell>
          <cell r="B1642" t="str">
            <v>1015</v>
          </cell>
          <cell r="C1642">
            <v>-813520.76</v>
          </cell>
          <cell r="D1642" t="str">
            <v>205</v>
          </cell>
          <cell r="E1642" t="str">
            <v>407</v>
          </cell>
          <cell r="F1642">
            <v>0</v>
          </cell>
          <cell r="G1642">
            <v>4</v>
          </cell>
          <cell r="H1642" t="str">
            <v>2006-04-30</v>
          </cell>
        </row>
        <row r="1643">
          <cell r="A1643" t="str">
            <v>480001</v>
          </cell>
          <cell r="B1643" t="str">
            <v>1015</v>
          </cell>
          <cell r="C1643">
            <v>-6546.39</v>
          </cell>
          <cell r="D1643" t="str">
            <v>210</v>
          </cell>
          <cell r="E1643" t="str">
            <v>407</v>
          </cell>
          <cell r="F1643">
            <v>-937</v>
          </cell>
          <cell r="G1643">
            <v>4</v>
          </cell>
          <cell r="H1643" t="str">
            <v>2006-04-30</v>
          </cell>
        </row>
        <row r="1644">
          <cell r="A1644" t="str">
            <v>481000</v>
          </cell>
          <cell r="B1644" t="str">
            <v>1015</v>
          </cell>
          <cell r="C1644">
            <v>-95.55</v>
          </cell>
          <cell r="D1644" t="str">
            <v>202</v>
          </cell>
          <cell r="E1644" t="str">
            <v>407</v>
          </cell>
          <cell r="F1644">
            <v>-22.55</v>
          </cell>
          <cell r="G1644">
            <v>4</v>
          </cell>
          <cell r="H1644" t="str">
            <v>2006-04-30</v>
          </cell>
        </row>
        <row r="1645">
          <cell r="A1645" t="str">
            <v>481000</v>
          </cell>
          <cell r="B1645" t="str">
            <v>1015</v>
          </cell>
          <cell r="C1645">
            <v>-12.97</v>
          </cell>
          <cell r="D1645" t="str">
            <v>203</v>
          </cell>
          <cell r="E1645" t="str">
            <v>407</v>
          </cell>
          <cell r="F1645">
            <v>0</v>
          </cell>
          <cell r="G1645">
            <v>4</v>
          </cell>
          <cell r="H1645" t="str">
            <v>2006-04-30</v>
          </cell>
        </row>
        <row r="1646">
          <cell r="A1646" t="str">
            <v>481000</v>
          </cell>
          <cell r="B1646" t="str">
            <v>1015</v>
          </cell>
          <cell r="C1646">
            <v>-109.88</v>
          </cell>
          <cell r="D1646" t="str">
            <v>204</v>
          </cell>
          <cell r="E1646" t="str">
            <v>407</v>
          </cell>
          <cell r="F1646">
            <v>0</v>
          </cell>
          <cell r="G1646">
            <v>4</v>
          </cell>
          <cell r="H1646" t="str">
            <v>2006-04-30</v>
          </cell>
        </row>
        <row r="1647">
          <cell r="A1647" t="str">
            <v>481004</v>
          </cell>
          <cell r="B1647" t="str">
            <v>1015</v>
          </cell>
          <cell r="C1647">
            <v>-4113384.02</v>
          </cell>
          <cell r="D1647" t="str">
            <v>202</v>
          </cell>
          <cell r="E1647" t="str">
            <v>407</v>
          </cell>
          <cell r="F1647">
            <v>-2784809.51</v>
          </cell>
          <cell r="G1647">
            <v>4</v>
          </cell>
          <cell r="H1647" t="str">
            <v>2006-04-30</v>
          </cell>
        </row>
        <row r="1648">
          <cell r="A1648" t="str">
            <v>481004</v>
          </cell>
          <cell r="B1648" t="str">
            <v>1015</v>
          </cell>
          <cell r="C1648">
            <v>-2350351.83</v>
          </cell>
          <cell r="D1648" t="str">
            <v>203</v>
          </cell>
          <cell r="E1648" t="str">
            <v>407</v>
          </cell>
          <cell r="F1648">
            <v>0</v>
          </cell>
          <cell r="G1648">
            <v>4</v>
          </cell>
          <cell r="H1648" t="str">
            <v>2006-04-30</v>
          </cell>
        </row>
        <row r="1649">
          <cell r="A1649" t="str">
            <v>481004</v>
          </cell>
          <cell r="B1649" t="str">
            <v>1015</v>
          </cell>
          <cell r="C1649">
            <v>-19045148.949999999</v>
          </cell>
          <cell r="D1649" t="str">
            <v>204</v>
          </cell>
          <cell r="E1649" t="str">
            <v>407</v>
          </cell>
          <cell r="F1649">
            <v>0</v>
          </cell>
          <cell r="G1649">
            <v>4</v>
          </cell>
          <cell r="H1649" t="str">
            <v>2006-04-30</v>
          </cell>
        </row>
        <row r="1650">
          <cell r="A1650" t="str">
            <v>481004</v>
          </cell>
          <cell r="B1650" t="str">
            <v>1015</v>
          </cell>
          <cell r="C1650">
            <v>-11951.66</v>
          </cell>
          <cell r="D1650" t="str">
            <v>205</v>
          </cell>
          <cell r="E1650" t="str">
            <v>407</v>
          </cell>
          <cell r="F1650">
            <v>0</v>
          </cell>
          <cell r="G1650">
            <v>4</v>
          </cell>
          <cell r="H1650" t="str">
            <v>2006-04-30</v>
          </cell>
        </row>
        <row r="1651">
          <cell r="A1651" t="str">
            <v>481004</v>
          </cell>
          <cell r="B1651" t="str">
            <v>1015</v>
          </cell>
          <cell r="C1651">
            <v>5967.39</v>
          </cell>
          <cell r="D1651" t="str">
            <v>210</v>
          </cell>
          <cell r="E1651" t="str">
            <v>407</v>
          </cell>
          <cell r="F1651">
            <v>860.5</v>
          </cell>
          <cell r="G1651">
            <v>4</v>
          </cell>
          <cell r="H1651" t="str">
            <v>2006-04-30</v>
          </cell>
        </row>
        <row r="1652">
          <cell r="A1652" t="str">
            <v>480000</v>
          </cell>
          <cell r="B1652" t="str">
            <v>1015</v>
          </cell>
          <cell r="C1652">
            <v>-172712.78</v>
          </cell>
          <cell r="D1652" t="str">
            <v>202</v>
          </cell>
          <cell r="E1652" t="str">
            <v>408</v>
          </cell>
          <cell r="F1652">
            <v>-43040.54</v>
          </cell>
          <cell r="G1652">
            <v>4</v>
          </cell>
          <cell r="H1652" t="str">
            <v>2006-04-30</v>
          </cell>
        </row>
        <row r="1653">
          <cell r="A1653" t="str">
            <v>480000</v>
          </cell>
          <cell r="B1653" t="str">
            <v>1015</v>
          </cell>
          <cell r="C1653">
            <v>-35574.639999999999</v>
          </cell>
          <cell r="D1653" t="str">
            <v>203</v>
          </cell>
          <cell r="E1653" t="str">
            <v>408</v>
          </cell>
          <cell r="F1653">
            <v>0</v>
          </cell>
          <cell r="G1653">
            <v>4</v>
          </cell>
          <cell r="H1653" t="str">
            <v>2006-04-30</v>
          </cell>
        </row>
        <row r="1654">
          <cell r="A1654" t="str">
            <v>480000</v>
          </cell>
          <cell r="B1654" t="str">
            <v>1015</v>
          </cell>
          <cell r="C1654">
            <v>-294531.33</v>
          </cell>
          <cell r="D1654" t="str">
            <v>204</v>
          </cell>
          <cell r="E1654" t="str">
            <v>408</v>
          </cell>
          <cell r="F1654">
            <v>0</v>
          </cell>
          <cell r="G1654">
            <v>4</v>
          </cell>
          <cell r="H1654" t="str">
            <v>2006-04-30</v>
          </cell>
        </row>
        <row r="1655">
          <cell r="A1655" t="str">
            <v>480000</v>
          </cell>
          <cell r="B1655" t="str">
            <v>1015</v>
          </cell>
          <cell r="C1655">
            <v>-10417.84</v>
          </cell>
          <cell r="D1655" t="str">
            <v>205</v>
          </cell>
          <cell r="E1655" t="str">
            <v>408</v>
          </cell>
          <cell r="F1655">
            <v>0</v>
          </cell>
          <cell r="G1655">
            <v>4</v>
          </cell>
          <cell r="H1655" t="str">
            <v>2006-04-30</v>
          </cell>
        </row>
        <row r="1656">
          <cell r="A1656" t="str">
            <v>480001</v>
          </cell>
          <cell r="B1656" t="str">
            <v>1015</v>
          </cell>
          <cell r="C1656">
            <v>79442.09</v>
          </cell>
          <cell r="D1656" t="str">
            <v>202</v>
          </cell>
          <cell r="E1656" t="str">
            <v>408</v>
          </cell>
          <cell r="F1656">
            <v>20014</v>
          </cell>
          <cell r="G1656">
            <v>4</v>
          </cell>
          <cell r="H1656" t="str">
            <v>2006-04-30</v>
          </cell>
        </row>
        <row r="1657">
          <cell r="A1657" t="str">
            <v>480001</v>
          </cell>
          <cell r="B1657" t="str">
            <v>1015</v>
          </cell>
          <cell r="C1657">
            <v>30120.7</v>
          </cell>
          <cell r="D1657" t="str">
            <v>203</v>
          </cell>
          <cell r="E1657" t="str">
            <v>408</v>
          </cell>
          <cell r="F1657">
            <v>0</v>
          </cell>
          <cell r="G1657">
            <v>4</v>
          </cell>
          <cell r="H1657" t="str">
            <v>2006-04-30</v>
          </cell>
        </row>
        <row r="1658">
          <cell r="A1658" t="str">
            <v>480001</v>
          </cell>
          <cell r="B1658" t="str">
            <v>1015</v>
          </cell>
          <cell r="C1658">
            <v>146353.67000000001</v>
          </cell>
          <cell r="D1658" t="str">
            <v>204</v>
          </cell>
          <cell r="E1658" t="str">
            <v>408</v>
          </cell>
          <cell r="F1658">
            <v>0</v>
          </cell>
          <cell r="G1658">
            <v>4</v>
          </cell>
          <cell r="H1658" t="str">
            <v>2006-04-30</v>
          </cell>
        </row>
        <row r="1659">
          <cell r="A1659" t="str">
            <v>480001</v>
          </cell>
          <cell r="B1659" t="str">
            <v>1015</v>
          </cell>
          <cell r="C1659">
            <v>-18221.68</v>
          </cell>
          <cell r="D1659" t="str">
            <v>205</v>
          </cell>
          <cell r="E1659" t="str">
            <v>408</v>
          </cell>
          <cell r="F1659">
            <v>0</v>
          </cell>
          <cell r="G1659">
            <v>4</v>
          </cell>
          <cell r="H1659" t="str">
            <v>2006-04-30</v>
          </cell>
        </row>
        <row r="1660">
          <cell r="A1660" t="str">
            <v>480001</v>
          </cell>
          <cell r="B1660" t="str">
            <v>1015</v>
          </cell>
          <cell r="C1660">
            <v>0</v>
          </cell>
          <cell r="D1660" t="str">
            <v>210</v>
          </cell>
          <cell r="E1660" t="str">
            <v>408</v>
          </cell>
          <cell r="F1660">
            <v>0</v>
          </cell>
          <cell r="G1660">
            <v>4</v>
          </cell>
          <cell r="H1660" t="str">
            <v>2006-04-30</v>
          </cell>
        </row>
        <row r="1661">
          <cell r="A1661" t="str">
            <v>481004</v>
          </cell>
          <cell r="B1661" t="str">
            <v>1015</v>
          </cell>
          <cell r="C1661">
            <v>-78728.31</v>
          </cell>
          <cell r="D1661" t="str">
            <v>202</v>
          </cell>
          <cell r="E1661" t="str">
            <v>408</v>
          </cell>
          <cell r="F1661">
            <v>-19739.939999999999</v>
          </cell>
          <cell r="G1661">
            <v>4</v>
          </cell>
          <cell r="H1661" t="str">
            <v>2006-04-30</v>
          </cell>
        </row>
        <row r="1662">
          <cell r="A1662" t="str">
            <v>481004</v>
          </cell>
          <cell r="B1662" t="str">
            <v>1015</v>
          </cell>
          <cell r="C1662">
            <v>-15826.06</v>
          </cell>
          <cell r="D1662" t="str">
            <v>203</v>
          </cell>
          <cell r="E1662" t="str">
            <v>408</v>
          </cell>
          <cell r="F1662">
            <v>0</v>
          </cell>
          <cell r="G1662">
            <v>4</v>
          </cell>
          <cell r="H1662" t="str">
            <v>2006-04-30</v>
          </cell>
        </row>
        <row r="1663">
          <cell r="A1663" t="str">
            <v>481004</v>
          </cell>
          <cell r="B1663" t="str">
            <v>1015</v>
          </cell>
          <cell r="C1663">
            <v>-134620.34</v>
          </cell>
          <cell r="D1663" t="str">
            <v>204</v>
          </cell>
          <cell r="E1663" t="str">
            <v>408</v>
          </cell>
          <cell r="F1663">
            <v>0</v>
          </cell>
          <cell r="G1663">
            <v>4</v>
          </cell>
          <cell r="H1663" t="str">
            <v>2006-04-30</v>
          </cell>
        </row>
        <row r="1664">
          <cell r="A1664" t="str">
            <v>481004</v>
          </cell>
          <cell r="B1664" t="str">
            <v>1015</v>
          </cell>
          <cell r="C1664">
            <v>-8243.48</v>
          </cell>
          <cell r="D1664" t="str">
            <v>205</v>
          </cell>
          <cell r="E1664" t="str">
            <v>408</v>
          </cell>
          <cell r="F1664">
            <v>0</v>
          </cell>
          <cell r="G1664">
            <v>4</v>
          </cell>
          <cell r="H1664" t="str">
            <v>2006-04-30</v>
          </cell>
        </row>
        <row r="1665">
          <cell r="A1665" t="str">
            <v>481002</v>
          </cell>
          <cell r="B1665" t="str">
            <v>1015</v>
          </cell>
          <cell r="C1665">
            <v>0</v>
          </cell>
          <cell r="D1665" t="str">
            <v>202</v>
          </cell>
          <cell r="E1665" t="str">
            <v>409</v>
          </cell>
          <cell r="F1665">
            <v>0</v>
          </cell>
          <cell r="G1665">
            <v>4</v>
          </cell>
          <cell r="H1665" t="str">
            <v>2006-04-30</v>
          </cell>
        </row>
        <row r="1666">
          <cell r="A1666" t="str">
            <v>481002</v>
          </cell>
          <cell r="B1666" t="str">
            <v>1015</v>
          </cell>
          <cell r="C1666">
            <v>0</v>
          </cell>
          <cell r="D1666" t="str">
            <v>203</v>
          </cell>
          <cell r="E1666" t="str">
            <v>409</v>
          </cell>
          <cell r="F1666">
            <v>0</v>
          </cell>
          <cell r="G1666">
            <v>4</v>
          </cell>
          <cell r="H1666" t="str">
            <v>2006-04-30</v>
          </cell>
        </row>
        <row r="1667">
          <cell r="A1667" t="str">
            <v>481002</v>
          </cell>
          <cell r="B1667" t="str">
            <v>1015</v>
          </cell>
          <cell r="C1667">
            <v>0</v>
          </cell>
          <cell r="D1667" t="str">
            <v>204</v>
          </cell>
          <cell r="E1667" t="str">
            <v>409</v>
          </cell>
          <cell r="F1667">
            <v>0</v>
          </cell>
          <cell r="G1667">
            <v>4</v>
          </cell>
          <cell r="H1667" t="str">
            <v>2006-04-30</v>
          </cell>
        </row>
        <row r="1668">
          <cell r="A1668" t="str">
            <v>481002</v>
          </cell>
          <cell r="B1668" t="str">
            <v>1015</v>
          </cell>
          <cell r="C1668">
            <v>0</v>
          </cell>
          <cell r="D1668" t="str">
            <v>210</v>
          </cell>
          <cell r="E1668" t="str">
            <v>409</v>
          </cell>
          <cell r="F1668">
            <v>0</v>
          </cell>
          <cell r="G1668">
            <v>4</v>
          </cell>
          <cell r="H1668" t="str">
            <v>2006-04-30</v>
          </cell>
        </row>
        <row r="1669">
          <cell r="A1669" t="str">
            <v>481002</v>
          </cell>
          <cell r="B1669" t="str">
            <v>1015</v>
          </cell>
          <cell r="C1669">
            <v>-4264.3999999999996</v>
          </cell>
          <cell r="D1669" t="str">
            <v>202</v>
          </cell>
          <cell r="E1669" t="str">
            <v>411</v>
          </cell>
          <cell r="F1669">
            <v>-17747.14</v>
          </cell>
          <cell r="G1669">
            <v>4</v>
          </cell>
          <cell r="H1669" t="str">
            <v>2006-04-30</v>
          </cell>
        </row>
        <row r="1670">
          <cell r="A1670" t="str">
            <v>481002</v>
          </cell>
          <cell r="B1670" t="str">
            <v>1015</v>
          </cell>
          <cell r="C1670">
            <v>-3245.4</v>
          </cell>
          <cell r="D1670" t="str">
            <v>203</v>
          </cell>
          <cell r="E1670" t="str">
            <v>411</v>
          </cell>
          <cell r="F1670">
            <v>0</v>
          </cell>
          <cell r="G1670">
            <v>4</v>
          </cell>
          <cell r="H1670" t="str">
            <v>2006-04-30</v>
          </cell>
        </row>
        <row r="1671">
          <cell r="A1671" t="str">
            <v>481002</v>
          </cell>
          <cell r="B1671" t="str">
            <v>1015</v>
          </cell>
          <cell r="C1671">
            <v>-101405.65</v>
          </cell>
          <cell r="D1671" t="str">
            <v>204</v>
          </cell>
          <cell r="E1671" t="str">
            <v>411</v>
          </cell>
          <cell r="F1671">
            <v>0</v>
          </cell>
          <cell r="G1671">
            <v>4</v>
          </cell>
          <cell r="H1671" t="str">
            <v>2006-04-30</v>
          </cell>
        </row>
        <row r="1672">
          <cell r="A1672" t="str">
            <v>481002</v>
          </cell>
          <cell r="B1672" t="str">
            <v>1015</v>
          </cell>
          <cell r="C1672">
            <v>0</v>
          </cell>
          <cell r="D1672" t="str">
            <v>210</v>
          </cell>
          <cell r="E1672" t="str">
            <v>411</v>
          </cell>
          <cell r="F1672">
            <v>0</v>
          </cell>
          <cell r="G1672">
            <v>4</v>
          </cell>
          <cell r="H1672" t="str">
            <v>2006-04-30</v>
          </cell>
        </row>
        <row r="1673">
          <cell r="A1673" t="str">
            <v>481005</v>
          </cell>
          <cell r="B1673" t="str">
            <v>1015</v>
          </cell>
          <cell r="C1673">
            <v>-30974.11</v>
          </cell>
          <cell r="D1673" t="str">
            <v>202</v>
          </cell>
          <cell r="E1673" t="str">
            <v>411</v>
          </cell>
          <cell r="F1673">
            <v>-102241.24</v>
          </cell>
          <cell r="G1673">
            <v>4</v>
          </cell>
          <cell r="H1673" t="str">
            <v>2006-04-30</v>
          </cell>
        </row>
        <row r="1674">
          <cell r="A1674" t="str">
            <v>481005</v>
          </cell>
          <cell r="B1674" t="str">
            <v>1015</v>
          </cell>
          <cell r="C1674">
            <v>-18696.61</v>
          </cell>
          <cell r="D1674" t="str">
            <v>203</v>
          </cell>
          <cell r="E1674" t="str">
            <v>411</v>
          </cell>
          <cell r="F1674">
            <v>0</v>
          </cell>
          <cell r="G1674">
            <v>4</v>
          </cell>
          <cell r="H1674" t="str">
            <v>2006-04-30</v>
          </cell>
        </row>
        <row r="1675">
          <cell r="A1675" t="str">
            <v>481005</v>
          </cell>
          <cell r="B1675" t="str">
            <v>1015</v>
          </cell>
          <cell r="C1675">
            <v>-584201.30000000005</v>
          </cell>
          <cell r="D1675" t="str">
            <v>204</v>
          </cell>
          <cell r="E1675" t="str">
            <v>411</v>
          </cell>
          <cell r="F1675">
            <v>0</v>
          </cell>
          <cell r="G1675">
            <v>4</v>
          </cell>
          <cell r="H1675" t="str">
            <v>2006-04-30</v>
          </cell>
        </row>
        <row r="1676">
          <cell r="A1676" t="str">
            <v>481005</v>
          </cell>
          <cell r="B1676" t="str">
            <v>1015</v>
          </cell>
          <cell r="C1676">
            <v>0</v>
          </cell>
          <cell r="D1676" t="str">
            <v>210</v>
          </cell>
          <cell r="E1676" t="str">
            <v>411</v>
          </cell>
          <cell r="F1676">
            <v>0</v>
          </cell>
          <cell r="G1676">
            <v>4</v>
          </cell>
          <cell r="H1676" t="str">
            <v>2006-04-30</v>
          </cell>
        </row>
        <row r="1677">
          <cell r="A1677" t="str">
            <v>481002</v>
          </cell>
          <cell r="B1677" t="str">
            <v>1015</v>
          </cell>
          <cell r="C1677">
            <v>0</v>
          </cell>
          <cell r="D1677" t="str">
            <v>210</v>
          </cell>
          <cell r="E1677" t="str">
            <v>412</v>
          </cell>
          <cell r="F1677">
            <v>0</v>
          </cell>
          <cell r="G1677">
            <v>4</v>
          </cell>
          <cell r="H1677" t="str">
            <v>2006-04-30</v>
          </cell>
        </row>
        <row r="1678">
          <cell r="A1678" t="str">
            <v>481002</v>
          </cell>
          <cell r="B1678" t="str">
            <v>1015</v>
          </cell>
          <cell r="C1678">
            <v>-6847.94</v>
          </cell>
          <cell r="D1678" t="str">
            <v>202</v>
          </cell>
          <cell r="E1678" t="str">
            <v>414</v>
          </cell>
          <cell r="F1678">
            <v>-30271.91</v>
          </cell>
          <cell r="G1678">
            <v>4</v>
          </cell>
          <cell r="H1678" t="str">
            <v>2006-04-30</v>
          </cell>
        </row>
        <row r="1679">
          <cell r="A1679" t="str">
            <v>481002</v>
          </cell>
          <cell r="B1679" t="str">
            <v>1015</v>
          </cell>
          <cell r="C1679">
            <v>-5535.84</v>
          </cell>
          <cell r="D1679" t="str">
            <v>203</v>
          </cell>
          <cell r="E1679" t="str">
            <v>414</v>
          </cell>
          <cell r="F1679">
            <v>0</v>
          </cell>
          <cell r="G1679">
            <v>4</v>
          </cell>
          <cell r="H1679" t="str">
            <v>2006-04-30</v>
          </cell>
        </row>
        <row r="1680">
          <cell r="A1680" t="str">
            <v>481002</v>
          </cell>
          <cell r="B1680" t="str">
            <v>1015</v>
          </cell>
          <cell r="C1680">
            <v>-172973</v>
          </cell>
          <cell r="D1680" t="str">
            <v>204</v>
          </cell>
          <cell r="E1680" t="str">
            <v>414</v>
          </cell>
          <cell r="F1680">
            <v>0</v>
          </cell>
          <cell r="G1680">
            <v>4</v>
          </cell>
          <cell r="H1680" t="str">
            <v>2006-04-30</v>
          </cell>
        </row>
        <row r="1681">
          <cell r="A1681" t="str">
            <v>481002</v>
          </cell>
          <cell r="B1681" t="str">
            <v>1015</v>
          </cell>
          <cell r="C1681">
            <v>0</v>
          </cell>
          <cell r="D1681" t="str">
            <v>210</v>
          </cell>
          <cell r="E1681" t="str">
            <v>414</v>
          </cell>
          <cell r="F1681">
            <v>0</v>
          </cell>
          <cell r="G1681">
            <v>4</v>
          </cell>
          <cell r="H1681" t="str">
            <v>2006-04-30</v>
          </cell>
        </row>
        <row r="1682">
          <cell r="A1682" t="str">
            <v>481005</v>
          </cell>
          <cell r="B1682" t="str">
            <v>1015</v>
          </cell>
          <cell r="C1682">
            <v>-13506.64</v>
          </cell>
          <cell r="D1682" t="str">
            <v>202</v>
          </cell>
          <cell r="E1682" t="str">
            <v>414</v>
          </cell>
          <cell r="F1682">
            <v>-13124.58</v>
          </cell>
          <cell r="G1682">
            <v>4</v>
          </cell>
          <cell r="H1682" t="str">
            <v>2006-04-30</v>
          </cell>
        </row>
        <row r="1683">
          <cell r="A1683" t="str">
            <v>481005</v>
          </cell>
          <cell r="B1683" t="str">
            <v>1015</v>
          </cell>
          <cell r="C1683">
            <v>-2399.7800000000002</v>
          </cell>
          <cell r="D1683" t="str">
            <v>203</v>
          </cell>
          <cell r="E1683" t="str">
            <v>414</v>
          </cell>
          <cell r="F1683">
            <v>0</v>
          </cell>
          <cell r="G1683">
            <v>4</v>
          </cell>
          <cell r="H1683" t="str">
            <v>2006-04-30</v>
          </cell>
        </row>
        <row r="1684">
          <cell r="A1684" t="str">
            <v>481005</v>
          </cell>
          <cell r="B1684" t="str">
            <v>1015</v>
          </cell>
          <cell r="C1684">
            <v>-74995.98</v>
          </cell>
          <cell r="D1684" t="str">
            <v>204</v>
          </cell>
          <cell r="E1684" t="str">
            <v>414</v>
          </cell>
          <cell r="F1684">
            <v>0</v>
          </cell>
          <cell r="G1684">
            <v>4</v>
          </cell>
          <cell r="H1684" t="str">
            <v>2006-04-30</v>
          </cell>
        </row>
        <row r="1685">
          <cell r="A1685" t="str">
            <v>481005</v>
          </cell>
          <cell r="B1685" t="str">
            <v>1015</v>
          </cell>
          <cell r="C1685">
            <v>0</v>
          </cell>
          <cell r="D1685" t="str">
            <v>210</v>
          </cell>
          <cell r="E1685" t="str">
            <v>414</v>
          </cell>
          <cell r="F1685">
            <v>0</v>
          </cell>
          <cell r="G1685">
            <v>4</v>
          </cell>
          <cell r="H1685" t="str">
            <v>2006-04-30</v>
          </cell>
        </row>
        <row r="1686">
          <cell r="A1686" t="str">
            <v>489300</v>
          </cell>
          <cell r="B1686" t="str">
            <v>1015</v>
          </cell>
          <cell r="C1686">
            <v>-189319.41</v>
          </cell>
          <cell r="D1686" t="str">
            <v>250</v>
          </cell>
          <cell r="E1686" t="str">
            <v>415</v>
          </cell>
          <cell r="F1686">
            <v>-1180561</v>
          </cell>
          <cell r="G1686">
            <v>4</v>
          </cell>
          <cell r="H1686" t="str">
            <v>2006-04-30</v>
          </cell>
        </row>
        <row r="1687">
          <cell r="A1687" t="str">
            <v>489304</v>
          </cell>
          <cell r="B1687" t="str">
            <v>1015</v>
          </cell>
          <cell r="C1687">
            <v>-46340.24</v>
          </cell>
          <cell r="D1687" t="str">
            <v>250</v>
          </cell>
          <cell r="E1687" t="str">
            <v>415</v>
          </cell>
          <cell r="F1687">
            <v>-178473</v>
          </cell>
          <cell r="G1687">
            <v>4</v>
          </cell>
          <cell r="H1687" t="str">
            <v>2006-04-30</v>
          </cell>
        </row>
        <row r="1688">
          <cell r="A1688" t="str">
            <v>489300</v>
          </cell>
          <cell r="B1688" t="str">
            <v>1015</v>
          </cell>
          <cell r="C1688">
            <v>0</v>
          </cell>
          <cell r="D1688" t="str">
            <v>250</v>
          </cell>
          <cell r="E1688" t="str">
            <v>416</v>
          </cell>
          <cell r="F1688">
            <v>0</v>
          </cell>
          <cell r="G1688">
            <v>4</v>
          </cell>
          <cell r="H1688" t="str">
            <v>2006-04-30</v>
          </cell>
        </row>
        <row r="1689">
          <cell r="A1689" t="str">
            <v>489304</v>
          </cell>
          <cell r="B1689" t="str">
            <v>1015</v>
          </cell>
          <cell r="C1689">
            <v>-1093.82</v>
          </cell>
          <cell r="D1689" t="str">
            <v>250</v>
          </cell>
          <cell r="E1689" t="str">
            <v>416</v>
          </cell>
          <cell r="F1689">
            <v>-1532</v>
          </cell>
          <cell r="G1689">
            <v>4</v>
          </cell>
          <cell r="H1689" t="str">
            <v>2006-04-30</v>
          </cell>
        </row>
        <row r="1690">
          <cell r="A1690" t="str">
            <v>481000</v>
          </cell>
          <cell r="B1690" t="str">
            <v>1015</v>
          </cell>
          <cell r="C1690">
            <v>0</v>
          </cell>
          <cell r="D1690" t="str">
            <v>202</v>
          </cell>
          <cell r="E1690" t="str">
            <v>451</v>
          </cell>
          <cell r="F1690">
            <v>0.36</v>
          </cell>
          <cell r="G1690">
            <v>4</v>
          </cell>
          <cell r="H1690" t="str">
            <v>2006-04-30</v>
          </cell>
        </row>
        <row r="1691">
          <cell r="A1691" t="str">
            <v>481000</v>
          </cell>
          <cell r="B1691" t="str">
            <v>1015</v>
          </cell>
          <cell r="C1691">
            <v>0</v>
          </cell>
          <cell r="D1691" t="str">
            <v>203</v>
          </cell>
          <cell r="E1691" t="str">
            <v>451</v>
          </cell>
          <cell r="F1691">
            <v>0</v>
          </cell>
          <cell r="G1691">
            <v>4</v>
          </cell>
          <cell r="H1691" t="str">
            <v>2006-04-30</v>
          </cell>
        </row>
        <row r="1692">
          <cell r="A1692" t="str">
            <v>481000</v>
          </cell>
          <cell r="B1692" t="str">
            <v>1015</v>
          </cell>
          <cell r="C1692">
            <v>0</v>
          </cell>
          <cell r="D1692" t="str">
            <v>204</v>
          </cell>
          <cell r="E1692" t="str">
            <v>451</v>
          </cell>
          <cell r="F1692">
            <v>0</v>
          </cell>
          <cell r="G1692">
            <v>4</v>
          </cell>
          <cell r="H1692" t="str">
            <v>2006-04-30</v>
          </cell>
        </row>
        <row r="1693">
          <cell r="A1693" t="str">
            <v>481000</v>
          </cell>
          <cell r="B1693" t="str">
            <v>1015</v>
          </cell>
          <cell r="C1693">
            <v>0</v>
          </cell>
          <cell r="D1693" t="str">
            <v>210</v>
          </cell>
          <cell r="E1693" t="str">
            <v>451</v>
          </cell>
          <cell r="F1693">
            <v>0</v>
          </cell>
          <cell r="G1693">
            <v>4</v>
          </cell>
          <cell r="H1693" t="str">
            <v>2006-04-30</v>
          </cell>
        </row>
        <row r="1694">
          <cell r="A1694" t="str">
            <v>481004</v>
          </cell>
          <cell r="B1694" t="str">
            <v>1015</v>
          </cell>
          <cell r="C1694">
            <v>-23012</v>
          </cell>
          <cell r="D1694" t="str">
            <v>202</v>
          </cell>
          <cell r="E1694" t="str">
            <v>451</v>
          </cell>
          <cell r="F1694">
            <v>-24423.01</v>
          </cell>
          <cell r="G1694">
            <v>4</v>
          </cell>
          <cell r="H1694" t="str">
            <v>2006-04-30</v>
          </cell>
        </row>
        <row r="1695">
          <cell r="A1695" t="str">
            <v>481004</v>
          </cell>
          <cell r="B1695" t="str">
            <v>1015</v>
          </cell>
          <cell r="C1695">
            <v>0</v>
          </cell>
          <cell r="D1695" t="str">
            <v>203</v>
          </cell>
          <cell r="E1695" t="str">
            <v>451</v>
          </cell>
          <cell r="F1695">
            <v>0</v>
          </cell>
          <cell r="G1695">
            <v>4</v>
          </cell>
          <cell r="H1695" t="str">
            <v>2006-04-30</v>
          </cell>
        </row>
        <row r="1696">
          <cell r="A1696" t="str">
            <v>481004</v>
          </cell>
          <cell r="B1696" t="str">
            <v>1015</v>
          </cell>
          <cell r="C1696">
            <v>-188297</v>
          </cell>
          <cell r="D1696" t="str">
            <v>204</v>
          </cell>
          <cell r="E1696" t="str">
            <v>451</v>
          </cell>
          <cell r="F1696">
            <v>0</v>
          </cell>
          <cell r="G1696">
            <v>4</v>
          </cell>
          <cell r="H1696" t="str">
            <v>2006-04-30</v>
          </cell>
        </row>
        <row r="1697">
          <cell r="A1697" t="str">
            <v>481004</v>
          </cell>
          <cell r="B1697" t="str">
            <v>1015</v>
          </cell>
          <cell r="C1697">
            <v>0</v>
          </cell>
          <cell r="D1697" t="str">
            <v>210</v>
          </cell>
          <cell r="E1697" t="str">
            <v>451</v>
          </cell>
          <cell r="F1697">
            <v>0</v>
          </cell>
          <cell r="G1697">
            <v>4</v>
          </cell>
          <cell r="H1697" t="str">
            <v>2006-04-30</v>
          </cell>
        </row>
        <row r="1698">
          <cell r="A1698" t="str">
            <v>480000</v>
          </cell>
          <cell r="B1698" t="str">
            <v>1015</v>
          </cell>
          <cell r="C1698">
            <v>-598236.49</v>
          </cell>
          <cell r="D1698" t="str">
            <v>202</v>
          </cell>
          <cell r="E1698" t="str">
            <v>453</v>
          </cell>
          <cell r="F1698">
            <v>-207960.47</v>
          </cell>
          <cell r="G1698">
            <v>4</v>
          </cell>
          <cell r="H1698" t="str">
            <v>2006-04-30</v>
          </cell>
        </row>
        <row r="1699">
          <cell r="A1699" t="str">
            <v>480000</v>
          </cell>
          <cell r="B1699" t="str">
            <v>1015</v>
          </cell>
          <cell r="C1699">
            <v>-1604343.49</v>
          </cell>
          <cell r="D1699" t="str">
            <v>204</v>
          </cell>
          <cell r="E1699" t="str">
            <v>453</v>
          </cell>
          <cell r="F1699">
            <v>0</v>
          </cell>
          <cell r="G1699">
            <v>4</v>
          </cell>
          <cell r="H1699" t="str">
            <v>2006-04-30</v>
          </cell>
        </row>
        <row r="1700">
          <cell r="A1700" t="str">
            <v>480000</v>
          </cell>
          <cell r="B1700" t="str">
            <v>1015</v>
          </cell>
          <cell r="C1700">
            <v>2090.79</v>
          </cell>
          <cell r="D1700" t="str">
            <v>205</v>
          </cell>
          <cell r="E1700" t="str">
            <v>453</v>
          </cell>
          <cell r="F1700">
            <v>0</v>
          </cell>
          <cell r="G1700">
            <v>4</v>
          </cell>
          <cell r="H1700" t="str">
            <v>2006-04-30</v>
          </cell>
        </row>
        <row r="1701">
          <cell r="A1701" t="str">
            <v>480001</v>
          </cell>
          <cell r="B1701" t="str">
            <v>1015</v>
          </cell>
          <cell r="C1701">
            <v>153086.68</v>
          </cell>
          <cell r="D1701" t="str">
            <v>202</v>
          </cell>
          <cell r="E1701" t="str">
            <v>453</v>
          </cell>
          <cell r="F1701">
            <v>89339</v>
          </cell>
          <cell r="G1701">
            <v>4</v>
          </cell>
          <cell r="H1701" t="str">
            <v>2006-04-30</v>
          </cell>
        </row>
        <row r="1702">
          <cell r="A1702" t="str">
            <v>480001</v>
          </cell>
          <cell r="B1702" t="str">
            <v>1015</v>
          </cell>
          <cell r="C1702">
            <v>0</v>
          </cell>
          <cell r="D1702" t="str">
            <v>203</v>
          </cell>
          <cell r="E1702" t="str">
            <v>453</v>
          </cell>
          <cell r="F1702">
            <v>0</v>
          </cell>
          <cell r="G1702">
            <v>4</v>
          </cell>
          <cell r="H1702" t="str">
            <v>2006-04-30</v>
          </cell>
        </row>
        <row r="1703">
          <cell r="A1703" t="str">
            <v>480001</v>
          </cell>
          <cell r="B1703" t="str">
            <v>1015</v>
          </cell>
          <cell r="C1703">
            <v>690349.32</v>
          </cell>
          <cell r="D1703" t="str">
            <v>204</v>
          </cell>
          <cell r="E1703" t="str">
            <v>453</v>
          </cell>
          <cell r="F1703">
            <v>0</v>
          </cell>
          <cell r="G1703">
            <v>4</v>
          </cell>
          <cell r="H1703" t="str">
            <v>2006-04-30</v>
          </cell>
        </row>
        <row r="1704">
          <cell r="A1704" t="str">
            <v>480001</v>
          </cell>
          <cell r="B1704" t="str">
            <v>1015</v>
          </cell>
          <cell r="C1704">
            <v>-30533.919999999998</v>
          </cell>
          <cell r="D1704" t="str">
            <v>205</v>
          </cell>
          <cell r="E1704" t="str">
            <v>453</v>
          </cell>
          <cell r="F1704">
            <v>0</v>
          </cell>
          <cell r="G1704">
            <v>4</v>
          </cell>
          <cell r="H1704" t="str">
            <v>2006-04-30</v>
          </cell>
        </row>
        <row r="1705">
          <cell r="A1705" t="str">
            <v>480001</v>
          </cell>
          <cell r="B1705" t="str">
            <v>1015</v>
          </cell>
          <cell r="C1705">
            <v>0</v>
          </cell>
          <cell r="D1705" t="str">
            <v>210</v>
          </cell>
          <cell r="E1705" t="str">
            <v>453</v>
          </cell>
          <cell r="F1705">
            <v>0</v>
          </cell>
          <cell r="G1705">
            <v>4</v>
          </cell>
          <cell r="H1705" t="str">
            <v>2006-04-30</v>
          </cell>
        </row>
        <row r="1706">
          <cell r="A1706" t="str">
            <v>481004</v>
          </cell>
          <cell r="B1706" t="str">
            <v>1015</v>
          </cell>
          <cell r="C1706">
            <v>-226665.19</v>
          </cell>
          <cell r="D1706" t="str">
            <v>202</v>
          </cell>
          <cell r="E1706" t="str">
            <v>453</v>
          </cell>
          <cell r="F1706">
            <v>-125348.5</v>
          </cell>
          <cell r="G1706">
            <v>4</v>
          </cell>
          <cell r="H1706" t="str">
            <v>2006-04-30</v>
          </cell>
        </row>
        <row r="1707">
          <cell r="A1707" t="str">
            <v>481004</v>
          </cell>
          <cell r="B1707" t="str">
            <v>1015</v>
          </cell>
          <cell r="C1707">
            <v>-966972.83</v>
          </cell>
          <cell r="D1707" t="str">
            <v>204</v>
          </cell>
          <cell r="E1707" t="str">
            <v>453</v>
          </cell>
          <cell r="F1707">
            <v>0</v>
          </cell>
          <cell r="G1707">
            <v>4</v>
          </cell>
          <cell r="H1707" t="str">
            <v>2006-04-30</v>
          </cell>
        </row>
        <row r="1708">
          <cell r="A1708" t="str">
            <v>481004</v>
          </cell>
          <cell r="B1708" t="str">
            <v>1015</v>
          </cell>
          <cell r="C1708">
            <v>-24.87</v>
          </cell>
          <cell r="D1708" t="str">
            <v>205</v>
          </cell>
          <cell r="E1708" t="str">
            <v>453</v>
          </cell>
          <cell r="F1708">
            <v>0</v>
          </cell>
          <cell r="G1708">
            <v>4</v>
          </cell>
          <cell r="H1708" t="str">
            <v>2006-04-30</v>
          </cell>
        </row>
        <row r="1709">
          <cell r="A1709" t="str">
            <v>480000</v>
          </cell>
          <cell r="B1709" t="str">
            <v>1015</v>
          </cell>
          <cell r="C1709">
            <v>-30526.78</v>
          </cell>
          <cell r="D1709" t="str">
            <v>202</v>
          </cell>
          <cell r="E1709" t="str">
            <v>455</v>
          </cell>
          <cell r="F1709">
            <v>-10408.14</v>
          </cell>
          <cell r="G1709">
            <v>4</v>
          </cell>
          <cell r="H1709" t="str">
            <v>2006-04-30</v>
          </cell>
        </row>
        <row r="1710">
          <cell r="A1710" t="str">
            <v>480000</v>
          </cell>
          <cell r="B1710" t="str">
            <v>1015</v>
          </cell>
          <cell r="C1710">
            <v>-80317.84</v>
          </cell>
          <cell r="D1710" t="str">
            <v>204</v>
          </cell>
          <cell r="E1710" t="str">
            <v>455</v>
          </cell>
          <cell r="F1710">
            <v>0</v>
          </cell>
          <cell r="G1710">
            <v>4</v>
          </cell>
          <cell r="H1710" t="str">
            <v>2006-04-30</v>
          </cell>
        </row>
        <row r="1711">
          <cell r="A1711" t="str">
            <v>480000</v>
          </cell>
          <cell r="B1711" t="str">
            <v>1015</v>
          </cell>
          <cell r="C1711">
            <v>820.53</v>
          </cell>
          <cell r="D1711" t="str">
            <v>205</v>
          </cell>
          <cell r="E1711" t="str">
            <v>455</v>
          </cell>
          <cell r="F1711">
            <v>0</v>
          </cell>
          <cell r="G1711">
            <v>4</v>
          </cell>
          <cell r="H1711" t="str">
            <v>2006-04-30</v>
          </cell>
        </row>
        <row r="1712">
          <cell r="A1712" t="str">
            <v>480001</v>
          </cell>
          <cell r="B1712" t="str">
            <v>1015</v>
          </cell>
          <cell r="C1712">
            <v>13770.95</v>
          </cell>
          <cell r="D1712" t="str">
            <v>202</v>
          </cell>
          <cell r="E1712" t="str">
            <v>455</v>
          </cell>
          <cell r="F1712">
            <v>5753</v>
          </cell>
          <cell r="G1712">
            <v>4</v>
          </cell>
          <cell r="H1712" t="str">
            <v>2006-04-30</v>
          </cell>
        </row>
        <row r="1713">
          <cell r="A1713" t="str">
            <v>480001</v>
          </cell>
          <cell r="B1713" t="str">
            <v>1015</v>
          </cell>
          <cell r="C1713">
            <v>0</v>
          </cell>
          <cell r="D1713" t="str">
            <v>203</v>
          </cell>
          <cell r="E1713" t="str">
            <v>455</v>
          </cell>
          <cell r="F1713">
            <v>0</v>
          </cell>
          <cell r="G1713">
            <v>4</v>
          </cell>
          <cell r="H1713" t="str">
            <v>2006-04-30</v>
          </cell>
        </row>
        <row r="1714">
          <cell r="A1714" t="str">
            <v>480001</v>
          </cell>
          <cell r="B1714" t="str">
            <v>1015</v>
          </cell>
          <cell r="C1714">
            <v>44279.82</v>
          </cell>
          <cell r="D1714" t="str">
            <v>204</v>
          </cell>
          <cell r="E1714" t="str">
            <v>455</v>
          </cell>
          <cell r="F1714">
            <v>0</v>
          </cell>
          <cell r="G1714">
            <v>4</v>
          </cell>
          <cell r="H1714" t="str">
            <v>2006-04-30</v>
          </cell>
        </row>
        <row r="1715">
          <cell r="A1715" t="str">
            <v>480001</v>
          </cell>
          <cell r="B1715" t="str">
            <v>1015</v>
          </cell>
          <cell r="C1715">
            <v>-964.09</v>
          </cell>
          <cell r="D1715" t="str">
            <v>205</v>
          </cell>
          <cell r="E1715" t="str">
            <v>455</v>
          </cell>
          <cell r="F1715">
            <v>0</v>
          </cell>
          <cell r="G1715">
            <v>4</v>
          </cell>
          <cell r="H1715" t="str">
            <v>2006-04-30</v>
          </cell>
        </row>
        <row r="1716">
          <cell r="A1716" t="str">
            <v>480001</v>
          </cell>
          <cell r="B1716" t="str">
            <v>1015</v>
          </cell>
          <cell r="C1716">
            <v>0</v>
          </cell>
          <cell r="D1716" t="str">
            <v>210</v>
          </cell>
          <cell r="E1716" t="str">
            <v>455</v>
          </cell>
          <cell r="F1716">
            <v>0</v>
          </cell>
          <cell r="G1716">
            <v>4</v>
          </cell>
          <cell r="H1716" t="str">
            <v>2006-04-30</v>
          </cell>
        </row>
        <row r="1717">
          <cell r="A1717" t="str">
            <v>481004</v>
          </cell>
          <cell r="B1717" t="str">
            <v>1015</v>
          </cell>
          <cell r="C1717">
            <v>-16286.17</v>
          </cell>
          <cell r="D1717" t="str">
            <v>202</v>
          </cell>
          <cell r="E1717" t="str">
            <v>455</v>
          </cell>
          <cell r="F1717">
            <v>-6410.75</v>
          </cell>
          <cell r="G1717">
            <v>4</v>
          </cell>
          <cell r="H1717" t="str">
            <v>2006-04-30</v>
          </cell>
        </row>
        <row r="1718">
          <cell r="A1718" t="str">
            <v>481004</v>
          </cell>
          <cell r="B1718" t="str">
            <v>1015</v>
          </cell>
          <cell r="C1718">
            <v>-49278.98</v>
          </cell>
          <cell r="D1718" t="str">
            <v>204</v>
          </cell>
          <cell r="E1718" t="str">
            <v>455</v>
          </cell>
          <cell r="F1718">
            <v>0</v>
          </cell>
          <cell r="G1718">
            <v>4</v>
          </cell>
          <cell r="H1718" t="str">
            <v>2006-04-30</v>
          </cell>
        </row>
        <row r="1719">
          <cell r="A1719" t="str">
            <v>481004</v>
          </cell>
          <cell r="B1719" t="str">
            <v>1015</v>
          </cell>
          <cell r="C1719">
            <v>143.56</v>
          </cell>
          <cell r="D1719" t="str">
            <v>205</v>
          </cell>
          <cell r="E1719" t="str">
            <v>455</v>
          </cell>
          <cell r="F1719">
            <v>0</v>
          </cell>
          <cell r="G1719">
            <v>4</v>
          </cell>
          <cell r="H1719" t="str">
            <v>2006-04-30</v>
          </cell>
        </row>
        <row r="1720">
          <cell r="A1720" t="str">
            <v>481002</v>
          </cell>
          <cell r="B1720" t="str">
            <v>1015</v>
          </cell>
          <cell r="C1720">
            <v>0</v>
          </cell>
          <cell r="D1720" t="str">
            <v>202</v>
          </cell>
          <cell r="E1720" t="str">
            <v>456</v>
          </cell>
          <cell r="F1720">
            <v>0</v>
          </cell>
          <cell r="G1720">
            <v>4</v>
          </cell>
          <cell r="H1720" t="str">
            <v>2006-04-30</v>
          </cell>
        </row>
        <row r="1721">
          <cell r="A1721" t="str">
            <v>481002</v>
          </cell>
          <cell r="B1721" t="str">
            <v>1015</v>
          </cell>
          <cell r="C1721">
            <v>0</v>
          </cell>
          <cell r="D1721" t="str">
            <v>203</v>
          </cell>
          <cell r="E1721" t="str">
            <v>456</v>
          </cell>
          <cell r="F1721">
            <v>0</v>
          </cell>
          <cell r="G1721">
            <v>4</v>
          </cell>
          <cell r="H1721" t="str">
            <v>2006-04-30</v>
          </cell>
        </row>
        <row r="1722">
          <cell r="A1722" t="str">
            <v>481002</v>
          </cell>
          <cell r="B1722" t="str">
            <v>1015</v>
          </cell>
          <cell r="C1722">
            <v>0</v>
          </cell>
          <cell r="D1722" t="str">
            <v>204</v>
          </cell>
          <cell r="E1722" t="str">
            <v>456</v>
          </cell>
          <cell r="F1722">
            <v>0</v>
          </cell>
          <cell r="G1722">
            <v>4</v>
          </cell>
          <cell r="H1722" t="str">
            <v>2006-04-30</v>
          </cell>
        </row>
        <row r="1723">
          <cell r="A1723" t="str">
            <v>481002</v>
          </cell>
          <cell r="B1723" t="str">
            <v>1015</v>
          </cell>
          <cell r="C1723">
            <v>0</v>
          </cell>
          <cell r="D1723" t="str">
            <v>210</v>
          </cell>
          <cell r="E1723" t="str">
            <v>456</v>
          </cell>
          <cell r="F1723">
            <v>0</v>
          </cell>
          <cell r="G1723">
            <v>4</v>
          </cell>
          <cell r="H1723" t="str">
            <v>2006-04-30</v>
          </cell>
        </row>
        <row r="1724">
          <cell r="A1724" t="str">
            <v>481002</v>
          </cell>
          <cell r="B1724" t="str">
            <v>1015</v>
          </cell>
          <cell r="C1724">
            <v>-456.4</v>
          </cell>
          <cell r="D1724" t="str">
            <v>202</v>
          </cell>
          <cell r="E1724" t="str">
            <v>457</v>
          </cell>
          <cell r="F1724">
            <v>-2844.57</v>
          </cell>
          <cell r="G1724">
            <v>4</v>
          </cell>
          <cell r="H1724" t="str">
            <v>2006-04-30</v>
          </cell>
        </row>
        <row r="1725">
          <cell r="A1725" t="str">
            <v>481002</v>
          </cell>
          <cell r="B1725" t="str">
            <v>1015</v>
          </cell>
          <cell r="C1725">
            <v>-520.27</v>
          </cell>
          <cell r="D1725" t="str">
            <v>203</v>
          </cell>
          <cell r="E1725" t="str">
            <v>457</v>
          </cell>
          <cell r="F1725">
            <v>0</v>
          </cell>
          <cell r="G1725">
            <v>4</v>
          </cell>
          <cell r="H1725" t="str">
            <v>2006-04-30</v>
          </cell>
        </row>
        <row r="1726">
          <cell r="A1726" t="str">
            <v>481002</v>
          </cell>
          <cell r="B1726" t="str">
            <v>1015</v>
          </cell>
          <cell r="C1726">
            <v>-16223.64</v>
          </cell>
          <cell r="D1726" t="str">
            <v>204</v>
          </cell>
          <cell r="E1726" t="str">
            <v>457</v>
          </cell>
          <cell r="F1726">
            <v>0</v>
          </cell>
          <cell r="G1726">
            <v>4</v>
          </cell>
          <cell r="H1726" t="str">
            <v>2006-04-30</v>
          </cell>
        </row>
        <row r="1727">
          <cell r="A1727" t="str">
            <v>481002</v>
          </cell>
          <cell r="B1727" t="str">
            <v>1015</v>
          </cell>
          <cell r="C1727">
            <v>0</v>
          </cell>
          <cell r="D1727" t="str">
            <v>210</v>
          </cell>
          <cell r="E1727" t="str">
            <v>457</v>
          </cell>
          <cell r="F1727">
            <v>0</v>
          </cell>
          <cell r="G1727">
            <v>4</v>
          </cell>
          <cell r="H1727" t="str">
            <v>2006-04-30</v>
          </cell>
        </row>
        <row r="1728">
          <cell r="A1728" t="str">
            <v>481005</v>
          </cell>
          <cell r="B1728" t="str">
            <v>1015</v>
          </cell>
          <cell r="C1728">
            <v>-2015</v>
          </cell>
          <cell r="D1728" t="str">
            <v>202</v>
          </cell>
          <cell r="E1728" t="str">
            <v>457</v>
          </cell>
          <cell r="F1728">
            <v>-9753.51</v>
          </cell>
          <cell r="G1728">
            <v>4</v>
          </cell>
          <cell r="H1728" t="str">
            <v>2006-04-30</v>
          </cell>
        </row>
        <row r="1729">
          <cell r="A1729" t="str">
            <v>481005</v>
          </cell>
          <cell r="B1729" t="str">
            <v>1015</v>
          </cell>
          <cell r="C1729">
            <v>-1784</v>
          </cell>
          <cell r="D1729" t="str">
            <v>203</v>
          </cell>
          <cell r="E1729" t="str">
            <v>457</v>
          </cell>
          <cell r="F1729">
            <v>0</v>
          </cell>
          <cell r="G1729">
            <v>4</v>
          </cell>
          <cell r="H1729" t="str">
            <v>2006-04-30</v>
          </cell>
        </row>
        <row r="1730">
          <cell r="A1730" t="str">
            <v>481005</v>
          </cell>
          <cell r="B1730" t="str">
            <v>1015</v>
          </cell>
          <cell r="C1730">
            <v>-55617</v>
          </cell>
          <cell r="D1730" t="str">
            <v>204</v>
          </cell>
          <cell r="E1730" t="str">
            <v>457</v>
          </cell>
          <cell r="F1730">
            <v>0</v>
          </cell>
          <cell r="G1730">
            <v>4</v>
          </cell>
          <cell r="H1730" t="str">
            <v>2006-04-30</v>
          </cell>
        </row>
        <row r="1731">
          <cell r="A1731" t="str">
            <v>481005</v>
          </cell>
          <cell r="B1731" t="str">
            <v>1015</v>
          </cell>
          <cell r="C1731">
            <v>0</v>
          </cell>
          <cell r="D1731" t="str">
            <v>210</v>
          </cell>
          <cell r="E1731" t="str">
            <v>457</v>
          </cell>
          <cell r="F1731">
            <v>0</v>
          </cell>
          <cell r="G1731">
            <v>4</v>
          </cell>
          <cell r="H1731" t="str">
            <v>2006-04-30</v>
          </cell>
        </row>
        <row r="1732">
          <cell r="A1732" t="str">
            <v>489300</v>
          </cell>
          <cell r="B1732" t="str">
            <v>1015</v>
          </cell>
          <cell r="C1732">
            <v>-2810.78</v>
          </cell>
          <cell r="D1732" t="str">
            <v>250</v>
          </cell>
          <cell r="E1732" t="str">
            <v>458</v>
          </cell>
          <cell r="F1732">
            <v>-16544</v>
          </cell>
          <cell r="G1732">
            <v>4</v>
          </cell>
          <cell r="H1732" t="str">
            <v>2006-04-30</v>
          </cell>
        </row>
        <row r="1733">
          <cell r="A1733" t="str">
            <v>489304</v>
          </cell>
          <cell r="B1733" t="str">
            <v>1015</v>
          </cell>
          <cell r="C1733">
            <v>-753.5</v>
          </cell>
          <cell r="D1733" t="str">
            <v>250</v>
          </cell>
          <cell r="E1733" t="str">
            <v>458</v>
          </cell>
          <cell r="F1733">
            <v>-2175</v>
          </cell>
          <cell r="G1733">
            <v>4</v>
          </cell>
          <cell r="H1733" t="str">
            <v>2006-04-30</v>
          </cell>
        </row>
        <row r="1734">
          <cell r="A1734" t="str">
            <v>489300</v>
          </cell>
          <cell r="B1734" t="str">
            <v>1015</v>
          </cell>
          <cell r="C1734">
            <v>-1623.05</v>
          </cell>
          <cell r="D1734" t="str">
            <v>250</v>
          </cell>
          <cell r="E1734" t="str">
            <v>459</v>
          </cell>
          <cell r="F1734">
            <v>-4150</v>
          </cell>
          <cell r="G1734">
            <v>4</v>
          </cell>
          <cell r="H1734" t="str">
            <v>2006-04-30</v>
          </cell>
        </row>
        <row r="1735">
          <cell r="A1735" t="str">
            <v>489304</v>
          </cell>
          <cell r="B1735" t="str">
            <v>1015</v>
          </cell>
          <cell r="C1735">
            <v>0</v>
          </cell>
          <cell r="D1735" t="str">
            <v>250</v>
          </cell>
          <cell r="E1735" t="str">
            <v>459</v>
          </cell>
          <cell r="F1735">
            <v>0</v>
          </cell>
          <cell r="G1735">
            <v>4</v>
          </cell>
          <cell r="H1735" t="str">
            <v>2006-04-30</v>
          </cell>
        </row>
        <row r="1736">
          <cell r="A1736" t="str">
            <v>481003</v>
          </cell>
          <cell r="B1736" t="str">
            <v>1015</v>
          </cell>
          <cell r="C1736">
            <v>-113798.97</v>
          </cell>
          <cell r="D1736" t="str">
            <v>200</v>
          </cell>
          <cell r="F1736">
            <v>-11027.48</v>
          </cell>
          <cell r="G1736">
            <v>4</v>
          </cell>
          <cell r="H1736" t="str">
            <v>2006-04-30</v>
          </cell>
        </row>
        <row r="1737">
          <cell r="A1737" t="str">
            <v>481000</v>
          </cell>
          <cell r="B1737" t="str">
            <v>1015</v>
          </cell>
          <cell r="C1737">
            <v>-17156.46</v>
          </cell>
          <cell r="D1737" t="str">
            <v>202</v>
          </cell>
          <cell r="E1737" t="str">
            <v>402</v>
          </cell>
          <cell r="F1737">
            <v>-40340</v>
          </cell>
          <cell r="G1737">
            <v>5</v>
          </cell>
          <cell r="H1737" t="str">
            <v>2006-05-31</v>
          </cell>
        </row>
        <row r="1738">
          <cell r="A1738" t="str">
            <v>481000</v>
          </cell>
          <cell r="B1738" t="str">
            <v>1015</v>
          </cell>
          <cell r="C1738">
            <v>-20071.98</v>
          </cell>
          <cell r="D1738" t="str">
            <v>203</v>
          </cell>
          <cell r="E1738" t="str">
            <v>402</v>
          </cell>
          <cell r="F1738">
            <v>0</v>
          </cell>
          <cell r="G1738">
            <v>5</v>
          </cell>
          <cell r="H1738" t="str">
            <v>2006-05-31</v>
          </cell>
        </row>
        <row r="1739">
          <cell r="A1739" t="str">
            <v>481000</v>
          </cell>
          <cell r="B1739" t="str">
            <v>1015</v>
          </cell>
          <cell r="C1739">
            <v>-261981.28</v>
          </cell>
          <cell r="D1739" t="str">
            <v>204</v>
          </cell>
          <cell r="E1739" t="str">
            <v>402</v>
          </cell>
          <cell r="F1739">
            <v>0</v>
          </cell>
          <cell r="G1739">
            <v>5</v>
          </cell>
          <cell r="H1739" t="str">
            <v>2006-05-31</v>
          </cell>
        </row>
        <row r="1740">
          <cell r="A1740" t="str">
            <v>481000</v>
          </cell>
          <cell r="B1740" t="str">
            <v>1015</v>
          </cell>
          <cell r="C1740">
            <v>0</v>
          </cell>
          <cell r="D1740" t="str">
            <v>210</v>
          </cell>
          <cell r="E1740" t="str">
            <v>402</v>
          </cell>
          <cell r="F1740">
            <v>0</v>
          </cell>
          <cell r="G1740">
            <v>5</v>
          </cell>
          <cell r="H1740" t="str">
            <v>2006-05-31</v>
          </cell>
        </row>
        <row r="1741">
          <cell r="A1741" t="str">
            <v>481004</v>
          </cell>
          <cell r="B1741" t="str">
            <v>1015</v>
          </cell>
          <cell r="C1741">
            <v>-236453.56</v>
          </cell>
          <cell r="D1741" t="str">
            <v>202</v>
          </cell>
          <cell r="E1741" t="str">
            <v>402</v>
          </cell>
          <cell r="F1741">
            <v>-455361</v>
          </cell>
          <cell r="G1741">
            <v>5</v>
          </cell>
          <cell r="H1741" t="str">
            <v>2006-05-31</v>
          </cell>
        </row>
        <row r="1742">
          <cell r="A1742" t="str">
            <v>481004</v>
          </cell>
          <cell r="B1742" t="str">
            <v>1015</v>
          </cell>
          <cell r="C1742">
            <v>-226573.86</v>
          </cell>
          <cell r="D1742" t="str">
            <v>203</v>
          </cell>
          <cell r="E1742" t="str">
            <v>402</v>
          </cell>
          <cell r="F1742">
            <v>0</v>
          </cell>
          <cell r="G1742">
            <v>5</v>
          </cell>
          <cell r="H1742" t="str">
            <v>2006-05-31</v>
          </cell>
        </row>
        <row r="1743">
          <cell r="A1743" t="str">
            <v>481004</v>
          </cell>
          <cell r="B1743" t="str">
            <v>1015</v>
          </cell>
          <cell r="C1743">
            <v>-2957263.32</v>
          </cell>
          <cell r="D1743" t="str">
            <v>204</v>
          </cell>
          <cell r="E1743" t="str">
            <v>402</v>
          </cell>
          <cell r="F1743">
            <v>0</v>
          </cell>
          <cell r="G1743">
            <v>5</v>
          </cell>
          <cell r="H1743" t="str">
            <v>2006-05-31</v>
          </cell>
        </row>
        <row r="1744">
          <cell r="A1744" t="str">
            <v>481004</v>
          </cell>
          <cell r="B1744" t="str">
            <v>1015</v>
          </cell>
          <cell r="C1744">
            <v>0</v>
          </cell>
          <cell r="D1744" t="str">
            <v>210</v>
          </cell>
          <cell r="E1744" t="str">
            <v>402</v>
          </cell>
          <cell r="F1744">
            <v>0</v>
          </cell>
          <cell r="G1744">
            <v>5</v>
          </cell>
          <cell r="H1744" t="str">
            <v>2006-05-31</v>
          </cell>
        </row>
        <row r="1745">
          <cell r="A1745" t="str">
            <v>481000</v>
          </cell>
          <cell r="B1745" t="str">
            <v>1015</v>
          </cell>
          <cell r="C1745">
            <v>-7313.31</v>
          </cell>
          <cell r="D1745" t="str">
            <v>202</v>
          </cell>
          <cell r="E1745" t="str">
            <v>403</v>
          </cell>
          <cell r="F1745">
            <v>0</v>
          </cell>
          <cell r="G1745">
            <v>5</v>
          </cell>
          <cell r="H1745" t="str">
            <v>2006-05-31</v>
          </cell>
        </row>
        <row r="1746">
          <cell r="A1746" t="str">
            <v>481000</v>
          </cell>
          <cell r="B1746" t="str">
            <v>1015</v>
          </cell>
          <cell r="C1746">
            <v>-1619.75</v>
          </cell>
          <cell r="D1746" t="str">
            <v>203</v>
          </cell>
          <cell r="E1746" t="str">
            <v>403</v>
          </cell>
          <cell r="F1746">
            <v>0</v>
          </cell>
          <cell r="G1746">
            <v>5</v>
          </cell>
          <cell r="H1746" t="str">
            <v>2006-05-31</v>
          </cell>
        </row>
        <row r="1747">
          <cell r="A1747" t="str">
            <v>481000</v>
          </cell>
          <cell r="B1747" t="str">
            <v>1015</v>
          </cell>
          <cell r="C1747">
            <v>-2944.28</v>
          </cell>
          <cell r="D1747" t="str">
            <v>204</v>
          </cell>
          <cell r="E1747" t="str">
            <v>403</v>
          </cell>
          <cell r="F1747">
            <v>0</v>
          </cell>
          <cell r="G1747">
            <v>5</v>
          </cell>
          <cell r="H1747" t="str">
            <v>2006-05-31</v>
          </cell>
        </row>
        <row r="1748">
          <cell r="A1748" t="str">
            <v>481000</v>
          </cell>
          <cell r="B1748" t="str">
            <v>1015</v>
          </cell>
          <cell r="C1748">
            <v>0</v>
          </cell>
          <cell r="D1748" t="str">
            <v>210</v>
          </cell>
          <cell r="E1748" t="str">
            <v>403</v>
          </cell>
          <cell r="F1748">
            <v>0</v>
          </cell>
          <cell r="G1748">
            <v>5</v>
          </cell>
          <cell r="H1748" t="str">
            <v>2006-05-31</v>
          </cell>
        </row>
        <row r="1749">
          <cell r="A1749" t="str">
            <v>481004</v>
          </cell>
          <cell r="B1749" t="str">
            <v>1015</v>
          </cell>
          <cell r="C1749">
            <v>0</v>
          </cell>
          <cell r="D1749" t="str">
            <v>202</v>
          </cell>
          <cell r="E1749" t="str">
            <v>403</v>
          </cell>
          <cell r="F1749">
            <v>0</v>
          </cell>
          <cell r="G1749">
            <v>5</v>
          </cell>
          <cell r="H1749" t="str">
            <v>2006-05-31</v>
          </cell>
        </row>
        <row r="1750">
          <cell r="A1750" t="str">
            <v>481004</v>
          </cell>
          <cell r="B1750" t="str">
            <v>1015</v>
          </cell>
          <cell r="C1750">
            <v>0</v>
          </cell>
          <cell r="D1750" t="str">
            <v>203</v>
          </cell>
          <cell r="E1750" t="str">
            <v>403</v>
          </cell>
          <cell r="F1750">
            <v>0</v>
          </cell>
          <cell r="G1750">
            <v>5</v>
          </cell>
          <cell r="H1750" t="str">
            <v>2006-05-31</v>
          </cell>
        </row>
        <row r="1751">
          <cell r="A1751" t="str">
            <v>481004</v>
          </cell>
          <cell r="B1751" t="str">
            <v>1015</v>
          </cell>
          <cell r="C1751">
            <v>0</v>
          </cell>
          <cell r="D1751" t="str">
            <v>204</v>
          </cell>
          <cell r="E1751" t="str">
            <v>403</v>
          </cell>
          <cell r="F1751">
            <v>0</v>
          </cell>
          <cell r="G1751">
            <v>5</v>
          </cell>
          <cell r="H1751" t="str">
            <v>2006-05-31</v>
          </cell>
        </row>
        <row r="1752">
          <cell r="A1752" t="str">
            <v>481004</v>
          </cell>
          <cell r="B1752" t="str">
            <v>1015</v>
          </cell>
          <cell r="C1752">
            <v>0</v>
          </cell>
          <cell r="D1752" t="str">
            <v>210</v>
          </cell>
          <cell r="E1752" t="str">
            <v>403</v>
          </cell>
          <cell r="F1752">
            <v>0</v>
          </cell>
          <cell r="G1752">
            <v>5</v>
          </cell>
          <cell r="H1752" t="str">
            <v>2006-05-31</v>
          </cell>
        </row>
        <row r="1753">
          <cell r="A1753" t="str">
            <v>481000</v>
          </cell>
          <cell r="B1753" t="str">
            <v>1015</v>
          </cell>
          <cell r="C1753">
            <v>-91010.17</v>
          </cell>
          <cell r="D1753" t="str">
            <v>202</v>
          </cell>
          <cell r="E1753" t="str">
            <v>404</v>
          </cell>
          <cell r="F1753">
            <v>-279000</v>
          </cell>
          <cell r="G1753">
            <v>5</v>
          </cell>
          <cell r="H1753" t="str">
            <v>2006-05-31</v>
          </cell>
        </row>
        <row r="1754">
          <cell r="A1754" t="str">
            <v>481000</v>
          </cell>
          <cell r="B1754" t="str">
            <v>1015</v>
          </cell>
          <cell r="C1754">
            <v>-201457.53</v>
          </cell>
          <cell r="D1754" t="str">
            <v>203</v>
          </cell>
          <cell r="E1754" t="str">
            <v>404</v>
          </cell>
          <cell r="F1754">
            <v>0</v>
          </cell>
          <cell r="G1754">
            <v>5</v>
          </cell>
          <cell r="H1754" t="str">
            <v>2006-05-31</v>
          </cell>
        </row>
        <row r="1755">
          <cell r="A1755" t="str">
            <v>481000</v>
          </cell>
          <cell r="B1755" t="str">
            <v>1015</v>
          </cell>
          <cell r="C1755">
            <v>-1832413.17</v>
          </cell>
          <cell r="D1755" t="str">
            <v>204</v>
          </cell>
          <cell r="E1755" t="str">
            <v>404</v>
          </cell>
          <cell r="F1755">
            <v>0</v>
          </cell>
          <cell r="G1755">
            <v>5</v>
          </cell>
          <cell r="H1755" t="str">
            <v>2006-05-31</v>
          </cell>
        </row>
        <row r="1756">
          <cell r="A1756" t="str">
            <v>481000</v>
          </cell>
          <cell r="B1756" t="str">
            <v>1015</v>
          </cell>
          <cell r="C1756">
            <v>0</v>
          </cell>
          <cell r="D1756" t="str">
            <v>210</v>
          </cell>
          <cell r="E1756" t="str">
            <v>404</v>
          </cell>
          <cell r="F1756">
            <v>0</v>
          </cell>
          <cell r="G1756">
            <v>5</v>
          </cell>
          <cell r="H1756" t="str">
            <v>2006-05-31</v>
          </cell>
        </row>
        <row r="1757">
          <cell r="A1757" t="str">
            <v>481004</v>
          </cell>
          <cell r="B1757" t="str">
            <v>1015</v>
          </cell>
          <cell r="C1757">
            <v>0</v>
          </cell>
          <cell r="D1757" t="str">
            <v>202</v>
          </cell>
          <cell r="E1757" t="str">
            <v>404</v>
          </cell>
          <cell r="F1757">
            <v>0</v>
          </cell>
          <cell r="G1757">
            <v>5</v>
          </cell>
          <cell r="H1757" t="str">
            <v>2006-05-31</v>
          </cell>
        </row>
        <row r="1758">
          <cell r="A1758" t="str">
            <v>481004</v>
          </cell>
          <cell r="B1758" t="str">
            <v>1015</v>
          </cell>
          <cell r="C1758">
            <v>0</v>
          </cell>
          <cell r="D1758" t="str">
            <v>203</v>
          </cell>
          <cell r="E1758" t="str">
            <v>404</v>
          </cell>
          <cell r="F1758">
            <v>0</v>
          </cell>
          <cell r="G1758">
            <v>5</v>
          </cell>
          <cell r="H1758" t="str">
            <v>2006-05-31</v>
          </cell>
        </row>
        <row r="1759">
          <cell r="A1759" t="str">
            <v>481004</v>
          </cell>
          <cell r="B1759" t="str">
            <v>1015</v>
          </cell>
          <cell r="C1759">
            <v>0</v>
          </cell>
          <cell r="D1759" t="str">
            <v>204</v>
          </cell>
          <cell r="E1759" t="str">
            <v>404</v>
          </cell>
          <cell r="F1759">
            <v>0</v>
          </cell>
          <cell r="G1759">
            <v>5</v>
          </cell>
          <cell r="H1759" t="str">
            <v>2006-05-31</v>
          </cell>
        </row>
        <row r="1760">
          <cell r="A1760" t="str">
            <v>481004</v>
          </cell>
          <cell r="B1760" t="str">
            <v>1015</v>
          </cell>
          <cell r="C1760">
            <v>0</v>
          </cell>
          <cell r="D1760" t="str">
            <v>210</v>
          </cell>
          <cell r="E1760" t="str">
            <v>404</v>
          </cell>
          <cell r="F1760">
            <v>0</v>
          </cell>
          <cell r="G1760">
            <v>5</v>
          </cell>
          <cell r="H1760" t="str">
            <v>2006-05-31</v>
          </cell>
        </row>
        <row r="1761">
          <cell r="A1761" t="str">
            <v>489300</v>
          </cell>
          <cell r="B1761" t="str">
            <v>1015</v>
          </cell>
          <cell r="C1761">
            <v>-54587.24</v>
          </cell>
          <cell r="D1761" t="str">
            <v>250</v>
          </cell>
          <cell r="E1761" t="str">
            <v>405</v>
          </cell>
          <cell r="F1761">
            <v>-282950</v>
          </cell>
          <cell r="G1761">
            <v>5</v>
          </cell>
          <cell r="H1761" t="str">
            <v>2006-05-31</v>
          </cell>
        </row>
        <row r="1762">
          <cell r="A1762" t="str">
            <v>489304</v>
          </cell>
          <cell r="B1762" t="str">
            <v>1015</v>
          </cell>
          <cell r="C1762">
            <v>-41090.769999999997</v>
          </cell>
          <cell r="D1762" t="str">
            <v>250</v>
          </cell>
          <cell r="E1762" t="str">
            <v>405</v>
          </cell>
          <cell r="F1762">
            <v>-247894</v>
          </cell>
          <cell r="G1762">
            <v>5</v>
          </cell>
          <cell r="H1762" t="str">
            <v>2006-05-31</v>
          </cell>
        </row>
        <row r="1763">
          <cell r="A1763" t="str">
            <v>489300</v>
          </cell>
          <cell r="B1763" t="str">
            <v>1015</v>
          </cell>
          <cell r="C1763">
            <v>-87581.06</v>
          </cell>
          <cell r="D1763" t="str">
            <v>250</v>
          </cell>
          <cell r="E1763" t="str">
            <v>406</v>
          </cell>
          <cell r="F1763">
            <v>-281795</v>
          </cell>
          <cell r="G1763">
            <v>5</v>
          </cell>
          <cell r="H1763" t="str">
            <v>2006-05-31</v>
          </cell>
        </row>
        <row r="1764">
          <cell r="A1764" t="str">
            <v>489304</v>
          </cell>
          <cell r="B1764" t="str">
            <v>1015</v>
          </cell>
          <cell r="C1764">
            <v>-58707.7</v>
          </cell>
          <cell r="D1764" t="str">
            <v>250</v>
          </cell>
          <cell r="E1764" t="str">
            <v>406</v>
          </cell>
          <cell r="F1764">
            <v>-231742</v>
          </cell>
          <cell r="G1764">
            <v>5</v>
          </cell>
          <cell r="H1764" t="str">
            <v>2006-05-31</v>
          </cell>
        </row>
        <row r="1765">
          <cell r="A1765" t="str">
            <v>480000</v>
          </cell>
          <cell r="B1765" t="str">
            <v>1015</v>
          </cell>
          <cell r="C1765">
            <v>-9334794.2200000007</v>
          </cell>
          <cell r="D1765" t="str">
            <v>202</v>
          </cell>
          <cell r="E1765" t="str">
            <v>407</v>
          </cell>
          <cell r="F1765">
            <v>-3134787.19</v>
          </cell>
          <cell r="G1765">
            <v>5</v>
          </cell>
          <cell r="H1765" t="str">
            <v>2006-05-31</v>
          </cell>
        </row>
        <row r="1766">
          <cell r="A1766" t="str">
            <v>480000</v>
          </cell>
          <cell r="B1766" t="str">
            <v>1015</v>
          </cell>
          <cell r="C1766">
            <v>-1572345.17</v>
          </cell>
          <cell r="D1766" t="str">
            <v>203</v>
          </cell>
          <cell r="E1766" t="str">
            <v>407</v>
          </cell>
          <cell r="F1766">
            <v>0</v>
          </cell>
          <cell r="G1766">
            <v>5</v>
          </cell>
          <cell r="H1766" t="str">
            <v>2006-05-31</v>
          </cell>
        </row>
        <row r="1767">
          <cell r="A1767" t="str">
            <v>480000</v>
          </cell>
          <cell r="B1767" t="str">
            <v>1015</v>
          </cell>
          <cell r="C1767">
            <v>-20536846.43</v>
          </cell>
          <cell r="D1767" t="str">
            <v>204</v>
          </cell>
          <cell r="E1767" t="str">
            <v>407</v>
          </cell>
          <cell r="F1767">
            <v>0</v>
          </cell>
          <cell r="G1767">
            <v>5</v>
          </cell>
          <cell r="H1767" t="str">
            <v>2006-05-31</v>
          </cell>
        </row>
        <row r="1768">
          <cell r="A1768" t="str">
            <v>480000</v>
          </cell>
          <cell r="B1768" t="str">
            <v>1015</v>
          </cell>
          <cell r="C1768">
            <v>-816597.13</v>
          </cell>
          <cell r="D1768" t="str">
            <v>205</v>
          </cell>
          <cell r="E1768" t="str">
            <v>407</v>
          </cell>
          <cell r="F1768">
            <v>0</v>
          </cell>
          <cell r="G1768">
            <v>5</v>
          </cell>
          <cell r="H1768" t="str">
            <v>2006-05-31</v>
          </cell>
        </row>
        <row r="1769">
          <cell r="A1769" t="str">
            <v>480000</v>
          </cell>
          <cell r="B1769" t="str">
            <v>1015</v>
          </cell>
          <cell r="C1769">
            <v>15115.9</v>
          </cell>
          <cell r="D1769" t="str">
            <v>210</v>
          </cell>
          <cell r="E1769" t="str">
            <v>407</v>
          </cell>
          <cell r="F1769">
            <v>2081.1999999999998</v>
          </cell>
          <cell r="G1769">
            <v>5</v>
          </cell>
          <cell r="H1769" t="str">
            <v>2006-05-31</v>
          </cell>
        </row>
        <row r="1770">
          <cell r="A1770" t="str">
            <v>480001</v>
          </cell>
          <cell r="B1770" t="str">
            <v>1015</v>
          </cell>
          <cell r="C1770">
            <v>1673169.98</v>
          </cell>
          <cell r="D1770" t="str">
            <v>202</v>
          </cell>
          <cell r="E1770" t="str">
            <v>407</v>
          </cell>
          <cell r="F1770">
            <v>1234518.6599999999</v>
          </cell>
          <cell r="G1770">
            <v>5</v>
          </cell>
          <cell r="H1770" t="str">
            <v>2006-05-31</v>
          </cell>
        </row>
        <row r="1771">
          <cell r="A1771" t="str">
            <v>480001</v>
          </cell>
          <cell r="B1771" t="str">
            <v>1015</v>
          </cell>
          <cell r="C1771">
            <v>633079.35</v>
          </cell>
          <cell r="D1771" t="str">
            <v>203</v>
          </cell>
          <cell r="E1771" t="str">
            <v>407</v>
          </cell>
          <cell r="F1771">
            <v>0</v>
          </cell>
          <cell r="G1771">
            <v>5</v>
          </cell>
          <cell r="H1771" t="str">
            <v>2006-05-31</v>
          </cell>
        </row>
        <row r="1772">
          <cell r="A1772" t="str">
            <v>480001</v>
          </cell>
          <cell r="B1772" t="str">
            <v>1015</v>
          </cell>
          <cell r="C1772">
            <v>8133949.6600000001</v>
          </cell>
          <cell r="D1772" t="str">
            <v>204</v>
          </cell>
          <cell r="E1772" t="str">
            <v>407</v>
          </cell>
          <cell r="F1772">
            <v>0</v>
          </cell>
          <cell r="G1772">
            <v>5</v>
          </cell>
          <cell r="H1772" t="str">
            <v>2006-05-31</v>
          </cell>
        </row>
        <row r="1773">
          <cell r="A1773" t="str">
            <v>480001</v>
          </cell>
          <cell r="B1773" t="str">
            <v>1015</v>
          </cell>
          <cell r="C1773">
            <v>3323.21</v>
          </cell>
          <cell r="D1773" t="str">
            <v>205</v>
          </cell>
          <cell r="E1773" t="str">
            <v>407</v>
          </cell>
          <cell r="F1773">
            <v>0</v>
          </cell>
          <cell r="G1773">
            <v>5</v>
          </cell>
          <cell r="H1773" t="str">
            <v>2006-05-31</v>
          </cell>
        </row>
        <row r="1774">
          <cell r="A1774" t="str">
            <v>480001</v>
          </cell>
          <cell r="B1774" t="str">
            <v>1015</v>
          </cell>
          <cell r="C1774">
            <v>-15648.22</v>
          </cell>
          <cell r="D1774" t="str">
            <v>210</v>
          </cell>
          <cell r="E1774" t="str">
            <v>407</v>
          </cell>
          <cell r="F1774">
            <v>-2148.9</v>
          </cell>
          <cell r="G1774">
            <v>5</v>
          </cell>
          <cell r="H1774" t="str">
            <v>2006-05-31</v>
          </cell>
        </row>
        <row r="1775">
          <cell r="A1775" t="str">
            <v>481000</v>
          </cell>
          <cell r="B1775" t="str">
            <v>1015</v>
          </cell>
          <cell r="C1775">
            <v>-1304.19</v>
          </cell>
          <cell r="D1775" t="str">
            <v>202</v>
          </cell>
          <cell r="E1775" t="str">
            <v>407</v>
          </cell>
          <cell r="F1775">
            <v>-1392.36</v>
          </cell>
          <cell r="G1775">
            <v>5</v>
          </cell>
          <cell r="H1775" t="str">
            <v>2006-05-31</v>
          </cell>
        </row>
        <row r="1776">
          <cell r="A1776" t="str">
            <v>481000</v>
          </cell>
          <cell r="B1776" t="str">
            <v>1015</v>
          </cell>
          <cell r="C1776">
            <v>-692.83</v>
          </cell>
          <cell r="D1776" t="str">
            <v>203</v>
          </cell>
          <cell r="E1776" t="str">
            <v>407</v>
          </cell>
          <cell r="F1776">
            <v>0</v>
          </cell>
          <cell r="G1776">
            <v>5</v>
          </cell>
          <cell r="H1776" t="str">
            <v>2006-05-31</v>
          </cell>
        </row>
        <row r="1777">
          <cell r="A1777" t="str">
            <v>481000</v>
          </cell>
          <cell r="B1777" t="str">
            <v>1015</v>
          </cell>
          <cell r="C1777">
            <v>-9107.81</v>
          </cell>
          <cell r="D1777" t="str">
            <v>204</v>
          </cell>
          <cell r="E1777" t="str">
            <v>407</v>
          </cell>
          <cell r="F1777">
            <v>0</v>
          </cell>
          <cell r="G1777">
            <v>5</v>
          </cell>
          <cell r="H1777" t="str">
            <v>2006-05-31</v>
          </cell>
        </row>
        <row r="1778">
          <cell r="A1778" t="str">
            <v>481000</v>
          </cell>
          <cell r="B1778" t="str">
            <v>1015</v>
          </cell>
          <cell r="C1778">
            <v>-228.75</v>
          </cell>
          <cell r="D1778" t="str">
            <v>205</v>
          </cell>
          <cell r="E1778" t="str">
            <v>407</v>
          </cell>
          <cell r="F1778">
            <v>0</v>
          </cell>
          <cell r="G1778">
            <v>5</v>
          </cell>
          <cell r="H1778" t="str">
            <v>2006-05-31</v>
          </cell>
        </row>
        <row r="1779">
          <cell r="A1779" t="str">
            <v>481004</v>
          </cell>
          <cell r="B1779" t="str">
            <v>1015</v>
          </cell>
          <cell r="C1779">
            <v>-2224341.7599999998</v>
          </cell>
          <cell r="D1779" t="str">
            <v>202</v>
          </cell>
          <cell r="E1779" t="str">
            <v>407</v>
          </cell>
          <cell r="F1779">
            <v>-1315313.81</v>
          </cell>
          <cell r="G1779">
            <v>5</v>
          </cell>
          <cell r="H1779" t="str">
            <v>2006-05-31</v>
          </cell>
        </row>
        <row r="1780">
          <cell r="A1780" t="str">
            <v>481004</v>
          </cell>
          <cell r="B1780" t="str">
            <v>1015</v>
          </cell>
          <cell r="C1780">
            <v>-660776.18000000005</v>
          </cell>
          <cell r="D1780" t="str">
            <v>203</v>
          </cell>
          <cell r="E1780" t="str">
            <v>407</v>
          </cell>
          <cell r="F1780">
            <v>0</v>
          </cell>
          <cell r="G1780">
            <v>5</v>
          </cell>
          <cell r="H1780" t="str">
            <v>2006-05-31</v>
          </cell>
        </row>
        <row r="1781">
          <cell r="A1781" t="str">
            <v>481004</v>
          </cell>
          <cell r="B1781" t="str">
            <v>1015</v>
          </cell>
          <cell r="C1781">
            <v>-8615793.2300000004</v>
          </cell>
          <cell r="D1781" t="str">
            <v>204</v>
          </cell>
          <cell r="E1781" t="str">
            <v>407</v>
          </cell>
          <cell r="F1781">
            <v>0</v>
          </cell>
          <cell r="G1781">
            <v>5</v>
          </cell>
          <cell r="H1781" t="str">
            <v>2006-05-31</v>
          </cell>
        </row>
        <row r="1782">
          <cell r="A1782" t="str">
            <v>481004</v>
          </cell>
          <cell r="B1782" t="str">
            <v>1015</v>
          </cell>
          <cell r="C1782">
            <v>-196047.08</v>
          </cell>
          <cell r="D1782" t="str">
            <v>205</v>
          </cell>
          <cell r="E1782" t="str">
            <v>407</v>
          </cell>
          <cell r="F1782">
            <v>0</v>
          </cell>
          <cell r="G1782">
            <v>5</v>
          </cell>
          <cell r="H1782" t="str">
            <v>2006-05-31</v>
          </cell>
        </row>
        <row r="1783">
          <cell r="A1783" t="str">
            <v>481004</v>
          </cell>
          <cell r="B1783" t="str">
            <v>1015</v>
          </cell>
          <cell r="C1783">
            <v>532.32000000000005</v>
          </cell>
          <cell r="D1783" t="str">
            <v>210</v>
          </cell>
          <cell r="E1783" t="str">
            <v>407</v>
          </cell>
          <cell r="F1783">
            <v>67.7</v>
          </cell>
          <cell r="G1783">
            <v>5</v>
          </cell>
          <cell r="H1783" t="str">
            <v>2006-05-31</v>
          </cell>
        </row>
        <row r="1784">
          <cell r="A1784" t="str">
            <v>480000</v>
          </cell>
          <cell r="B1784" t="str">
            <v>1015</v>
          </cell>
          <cell r="C1784">
            <v>-86484.4</v>
          </cell>
          <cell r="D1784" t="str">
            <v>202</v>
          </cell>
          <cell r="E1784" t="str">
            <v>408</v>
          </cell>
          <cell r="F1784">
            <v>-21588.46</v>
          </cell>
          <cell r="G1784">
            <v>5</v>
          </cell>
          <cell r="H1784" t="str">
            <v>2006-05-31</v>
          </cell>
        </row>
        <row r="1785">
          <cell r="A1785" t="str">
            <v>480000</v>
          </cell>
          <cell r="B1785" t="str">
            <v>1015</v>
          </cell>
          <cell r="C1785">
            <v>-10787.55</v>
          </cell>
          <cell r="D1785" t="str">
            <v>203</v>
          </cell>
          <cell r="E1785" t="str">
            <v>408</v>
          </cell>
          <cell r="F1785">
            <v>0</v>
          </cell>
          <cell r="G1785">
            <v>5</v>
          </cell>
          <cell r="H1785" t="str">
            <v>2006-05-31</v>
          </cell>
        </row>
        <row r="1786">
          <cell r="A1786" t="str">
            <v>480000</v>
          </cell>
          <cell r="B1786" t="str">
            <v>1015</v>
          </cell>
          <cell r="C1786">
            <v>-141346.72</v>
          </cell>
          <cell r="D1786" t="str">
            <v>204</v>
          </cell>
          <cell r="E1786" t="str">
            <v>408</v>
          </cell>
          <cell r="F1786">
            <v>0</v>
          </cell>
          <cell r="G1786">
            <v>5</v>
          </cell>
          <cell r="H1786" t="str">
            <v>2006-05-31</v>
          </cell>
        </row>
        <row r="1787">
          <cell r="A1787" t="str">
            <v>480000</v>
          </cell>
          <cell r="B1787" t="str">
            <v>1015</v>
          </cell>
          <cell r="C1787">
            <v>-23248.93</v>
          </cell>
          <cell r="D1787" t="str">
            <v>205</v>
          </cell>
          <cell r="E1787" t="str">
            <v>408</v>
          </cell>
          <cell r="F1787">
            <v>0</v>
          </cell>
          <cell r="G1787">
            <v>5</v>
          </cell>
          <cell r="H1787" t="str">
            <v>2006-05-31</v>
          </cell>
        </row>
        <row r="1788">
          <cell r="A1788" t="str">
            <v>480001</v>
          </cell>
          <cell r="B1788" t="str">
            <v>1015</v>
          </cell>
          <cell r="C1788">
            <v>35479.86</v>
          </cell>
          <cell r="D1788" t="str">
            <v>202</v>
          </cell>
          <cell r="E1788" t="str">
            <v>408</v>
          </cell>
          <cell r="F1788">
            <v>10901.86</v>
          </cell>
          <cell r="G1788">
            <v>5</v>
          </cell>
          <cell r="H1788" t="str">
            <v>2006-05-31</v>
          </cell>
        </row>
        <row r="1789">
          <cell r="A1789" t="str">
            <v>480001</v>
          </cell>
          <cell r="B1789" t="str">
            <v>1015</v>
          </cell>
          <cell r="C1789">
            <v>5492.96</v>
          </cell>
          <cell r="D1789" t="str">
            <v>203</v>
          </cell>
          <cell r="E1789" t="str">
            <v>408</v>
          </cell>
          <cell r="F1789">
            <v>0</v>
          </cell>
          <cell r="G1789">
            <v>5</v>
          </cell>
          <cell r="H1789" t="str">
            <v>2006-05-31</v>
          </cell>
        </row>
        <row r="1790">
          <cell r="A1790" t="str">
            <v>480001</v>
          </cell>
          <cell r="B1790" t="str">
            <v>1015</v>
          </cell>
          <cell r="C1790">
            <v>71533.679999999993</v>
          </cell>
          <cell r="D1790" t="str">
            <v>204</v>
          </cell>
          <cell r="E1790" t="str">
            <v>408</v>
          </cell>
          <cell r="F1790">
            <v>0</v>
          </cell>
          <cell r="G1790">
            <v>5</v>
          </cell>
          <cell r="H1790" t="str">
            <v>2006-05-31</v>
          </cell>
        </row>
        <row r="1791">
          <cell r="A1791" t="str">
            <v>480001</v>
          </cell>
          <cell r="B1791" t="str">
            <v>1015</v>
          </cell>
          <cell r="C1791">
            <v>-3552.96</v>
          </cell>
          <cell r="D1791" t="str">
            <v>205</v>
          </cell>
          <cell r="E1791" t="str">
            <v>408</v>
          </cell>
          <cell r="F1791">
            <v>0</v>
          </cell>
          <cell r="G1791">
            <v>5</v>
          </cell>
          <cell r="H1791" t="str">
            <v>2006-05-31</v>
          </cell>
        </row>
        <row r="1792">
          <cell r="A1792" t="str">
            <v>480001</v>
          </cell>
          <cell r="B1792" t="str">
            <v>1015</v>
          </cell>
          <cell r="C1792">
            <v>0</v>
          </cell>
          <cell r="D1792" t="str">
            <v>210</v>
          </cell>
          <cell r="E1792" t="str">
            <v>408</v>
          </cell>
          <cell r="F1792">
            <v>0</v>
          </cell>
          <cell r="G1792">
            <v>5</v>
          </cell>
          <cell r="H1792" t="str">
            <v>2006-05-31</v>
          </cell>
        </row>
        <row r="1793">
          <cell r="A1793" t="str">
            <v>481004</v>
          </cell>
          <cell r="B1793" t="str">
            <v>1015</v>
          </cell>
          <cell r="C1793">
            <v>-45670.46</v>
          </cell>
          <cell r="D1793" t="str">
            <v>202</v>
          </cell>
          <cell r="E1793" t="str">
            <v>408</v>
          </cell>
          <cell r="F1793">
            <v>-11523.4</v>
          </cell>
          <cell r="G1793">
            <v>5</v>
          </cell>
          <cell r="H1793" t="str">
            <v>2006-05-31</v>
          </cell>
        </row>
        <row r="1794">
          <cell r="A1794" t="str">
            <v>481004</v>
          </cell>
          <cell r="B1794" t="str">
            <v>1015</v>
          </cell>
          <cell r="C1794">
            <v>-5756.41</v>
          </cell>
          <cell r="D1794" t="str">
            <v>203</v>
          </cell>
          <cell r="E1794" t="str">
            <v>408</v>
          </cell>
          <cell r="F1794">
            <v>0</v>
          </cell>
          <cell r="G1794">
            <v>5</v>
          </cell>
          <cell r="H1794" t="str">
            <v>2006-05-31</v>
          </cell>
        </row>
        <row r="1795">
          <cell r="A1795" t="str">
            <v>481004</v>
          </cell>
          <cell r="B1795" t="str">
            <v>1015</v>
          </cell>
          <cell r="C1795">
            <v>-75362.960000000006</v>
          </cell>
          <cell r="D1795" t="str">
            <v>204</v>
          </cell>
          <cell r="E1795" t="str">
            <v>408</v>
          </cell>
          <cell r="F1795">
            <v>0</v>
          </cell>
          <cell r="G1795">
            <v>5</v>
          </cell>
          <cell r="H1795" t="str">
            <v>2006-05-31</v>
          </cell>
        </row>
        <row r="1796">
          <cell r="A1796" t="str">
            <v>481004</v>
          </cell>
          <cell r="B1796" t="str">
            <v>1015</v>
          </cell>
          <cell r="C1796">
            <v>-9129.11</v>
          </cell>
          <cell r="D1796" t="str">
            <v>205</v>
          </cell>
          <cell r="E1796" t="str">
            <v>408</v>
          </cell>
          <cell r="F1796">
            <v>0</v>
          </cell>
          <cell r="G1796">
            <v>5</v>
          </cell>
          <cell r="H1796" t="str">
            <v>2006-05-31</v>
          </cell>
        </row>
        <row r="1797">
          <cell r="A1797" t="str">
            <v>481002</v>
          </cell>
          <cell r="B1797" t="str">
            <v>1015</v>
          </cell>
          <cell r="C1797">
            <v>0</v>
          </cell>
          <cell r="D1797" t="str">
            <v>202</v>
          </cell>
          <cell r="E1797" t="str">
            <v>409</v>
          </cell>
          <cell r="F1797">
            <v>0</v>
          </cell>
          <cell r="G1797">
            <v>5</v>
          </cell>
          <cell r="H1797" t="str">
            <v>2006-05-31</v>
          </cell>
        </row>
        <row r="1798">
          <cell r="A1798" t="str">
            <v>481002</v>
          </cell>
          <cell r="B1798" t="str">
            <v>1015</v>
          </cell>
          <cell r="C1798">
            <v>0</v>
          </cell>
          <cell r="D1798" t="str">
            <v>203</v>
          </cell>
          <cell r="E1798" t="str">
            <v>409</v>
          </cell>
          <cell r="F1798">
            <v>0</v>
          </cell>
          <cell r="G1798">
            <v>5</v>
          </cell>
          <cell r="H1798" t="str">
            <v>2006-05-31</v>
          </cell>
        </row>
        <row r="1799">
          <cell r="A1799" t="str">
            <v>481002</v>
          </cell>
          <cell r="B1799" t="str">
            <v>1015</v>
          </cell>
          <cell r="C1799">
            <v>0</v>
          </cell>
          <cell r="D1799" t="str">
            <v>204</v>
          </cell>
          <cell r="E1799" t="str">
            <v>409</v>
          </cell>
          <cell r="F1799">
            <v>0</v>
          </cell>
          <cell r="G1799">
            <v>5</v>
          </cell>
          <cell r="H1799" t="str">
            <v>2006-05-31</v>
          </cell>
        </row>
        <row r="1800">
          <cell r="A1800" t="str">
            <v>481002</v>
          </cell>
          <cell r="B1800" t="str">
            <v>1015</v>
          </cell>
          <cell r="C1800">
            <v>0</v>
          </cell>
          <cell r="D1800" t="str">
            <v>210</v>
          </cell>
          <cell r="E1800" t="str">
            <v>409</v>
          </cell>
          <cell r="F1800">
            <v>0</v>
          </cell>
          <cell r="G1800">
            <v>5</v>
          </cell>
          <cell r="H1800" t="str">
            <v>2006-05-31</v>
          </cell>
        </row>
        <row r="1801">
          <cell r="A1801" t="str">
            <v>481002</v>
          </cell>
          <cell r="B1801" t="str">
            <v>1015</v>
          </cell>
          <cell r="C1801">
            <v>-8004.29</v>
          </cell>
          <cell r="D1801" t="str">
            <v>202</v>
          </cell>
          <cell r="E1801" t="str">
            <v>411</v>
          </cell>
          <cell r="F1801">
            <v>-44337</v>
          </cell>
          <cell r="G1801">
            <v>5</v>
          </cell>
          <cell r="H1801" t="str">
            <v>2006-05-31</v>
          </cell>
        </row>
        <row r="1802">
          <cell r="A1802" t="str">
            <v>481002</v>
          </cell>
          <cell r="B1802" t="str">
            <v>1015</v>
          </cell>
          <cell r="C1802">
            <v>-8107.92</v>
          </cell>
          <cell r="D1802" t="str">
            <v>203</v>
          </cell>
          <cell r="E1802" t="str">
            <v>411</v>
          </cell>
          <cell r="F1802">
            <v>0</v>
          </cell>
          <cell r="G1802">
            <v>5</v>
          </cell>
          <cell r="H1802" t="str">
            <v>2006-05-31</v>
          </cell>
        </row>
        <row r="1803">
          <cell r="A1803" t="str">
            <v>481002</v>
          </cell>
          <cell r="B1803" t="str">
            <v>1015</v>
          </cell>
          <cell r="C1803">
            <v>-253757.95</v>
          </cell>
          <cell r="D1803" t="str">
            <v>204</v>
          </cell>
          <cell r="E1803" t="str">
            <v>411</v>
          </cell>
          <cell r="F1803">
            <v>0</v>
          </cell>
          <cell r="G1803">
            <v>5</v>
          </cell>
          <cell r="H1803" t="str">
            <v>2006-05-31</v>
          </cell>
        </row>
        <row r="1804">
          <cell r="A1804" t="str">
            <v>481002</v>
          </cell>
          <cell r="B1804" t="str">
            <v>1015</v>
          </cell>
          <cell r="C1804">
            <v>0</v>
          </cell>
          <cell r="D1804" t="str">
            <v>210</v>
          </cell>
          <cell r="E1804" t="str">
            <v>411</v>
          </cell>
          <cell r="F1804">
            <v>0</v>
          </cell>
          <cell r="G1804">
            <v>5</v>
          </cell>
          <cell r="H1804" t="str">
            <v>2006-05-31</v>
          </cell>
        </row>
        <row r="1805">
          <cell r="A1805" t="str">
            <v>481005</v>
          </cell>
          <cell r="B1805" t="str">
            <v>1015</v>
          </cell>
          <cell r="C1805">
            <v>-29783.71</v>
          </cell>
          <cell r="D1805" t="str">
            <v>202</v>
          </cell>
          <cell r="E1805" t="str">
            <v>411</v>
          </cell>
          <cell r="F1805">
            <v>-93805</v>
          </cell>
          <cell r="G1805">
            <v>5</v>
          </cell>
          <cell r="H1805" t="str">
            <v>2006-05-31</v>
          </cell>
        </row>
        <row r="1806">
          <cell r="A1806" t="str">
            <v>481005</v>
          </cell>
          <cell r="B1806" t="str">
            <v>1015</v>
          </cell>
          <cell r="C1806">
            <v>-17153.990000000002</v>
          </cell>
          <cell r="D1806" t="str">
            <v>203</v>
          </cell>
          <cell r="E1806" t="str">
            <v>411</v>
          </cell>
          <cell r="F1806">
            <v>0</v>
          </cell>
          <cell r="G1806">
            <v>5</v>
          </cell>
          <cell r="H1806" t="str">
            <v>2006-05-31</v>
          </cell>
        </row>
        <row r="1807">
          <cell r="A1807" t="str">
            <v>481005</v>
          </cell>
          <cell r="B1807" t="str">
            <v>1015</v>
          </cell>
          <cell r="C1807">
            <v>-536882.93000000005</v>
          </cell>
          <cell r="D1807" t="str">
            <v>204</v>
          </cell>
          <cell r="E1807" t="str">
            <v>411</v>
          </cell>
          <cell r="F1807">
            <v>0</v>
          </cell>
          <cell r="G1807">
            <v>5</v>
          </cell>
          <cell r="H1807" t="str">
            <v>2006-05-31</v>
          </cell>
        </row>
        <row r="1808">
          <cell r="A1808" t="str">
            <v>481005</v>
          </cell>
          <cell r="B1808" t="str">
            <v>1015</v>
          </cell>
          <cell r="C1808">
            <v>0</v>
          </cell>
          <cell r="D1808" t="str">
            <v>210</v>
          </cell>
          <cell r="E1808" t="str">
            <v>411</v>
          </cell>
          <cell r="F1808">
            <v>0</v>
          </cell>
          <cell r="G1808">
            <v>5</v>
          </cell>
          <cell r="H1808" t="str">
            <v>2006-05-31</v>
          </cell>
        </row>
        <row r="1809">
          <cell r="A1809" t="str">
            <v>481002</v>
          </cell>
          <cell r="B1809" t="str">
            <v>1015</v>
          </cell>
          <cell r="C1809">
            <v>0</v>
          </cell>
          <cell r="D1809" t="str">
            <v>210</v>
          </cell>
          <cell r="E1809" t="str">
            <v>412</v>
          </cell>
          <cell r="F1809">
            <v>0</v>
          </cell>
          <cell r="G1809">
            <v>5</v>
          </cell>
          <cell r="H1809" t="str">
            <v>2006-05-31</v>
          </cell>
        </row>
        <row r="1810">
          <cell r="A1810" t="str">
            <v>481002</v>
          </cell>
          <cell r="B1810" t="str">
            <v>1015</v>
          </cell>
          <cell r="C1810">
            <v>-3814.84</v>
          </cell>
          <cell r="D1810" t="str">
            <v>202</v>
          </cell>
          <cell r="E1810" t="str">
            <v>414</v>
          </cell>
          <cell r="F1810">
            <v>-9302</v>
          </cell>
          <cell r="G1810">
            <v>5</v>
          </cell>
          <cell r="H1810" t="str">
            <v>2006-05-31</v>
          </cell>
        </row>
        <row r="1811">
          <cell r="A1811" t="str">
            <v>481002</v>
          </cell>
          <cell r="B1811" t="str">
            <v>1015</v>
          </cell>
          <cell r="C1811">
            <v>-1701.06</v>
          </cell>
          <cell r="D1811" t="str">
            <v>203</v>
          </cell>
          <cell r="E1811" t="str">
            <v>414</v>
          </cell>
          <cell r="F1811">
            <v>0</v>
          </cell>
          <cell r="G1811">
            <v>5</v>
          </cell>
          <cell r="H1811" t="str">
            <v>2006-05-31</v>
          </cell>
        </row>
        <row r="1812">
          <cell r="A1812" t="str">
            <v>481002</v>
          </cell>
          <cell r="B1812" t="str">
            <v>1015</v>
          </cell>
          <cell r="C1812">
            <v>-53238.97</v>
          </cell>
          <cell r="D1812" t="str">
            <v>204</v>
          </cell>
          <cell r="E1812" t="str">
            <v>414</v>
          </cell>
          <cell r="F1812">
            <v>0</v>
          </cell>
          <cell r="G1812">
            <v>5</v>
          </cell>
          <cell r="H1812" t="str">
            <v>2006-05-31</v>
          </cell>
        </row>
        <row r="1813">
          <cell r="A1813" t="str">
            <v>481002</v>
          </cell>
          <cell r="B1813" t="str">
            <v>1015</v>
          </cell>
          <cell r="C1813">
            <v>0</v>
          </cell>
          <cell r="D1813" t="str">
            <v>210</v>
          </cell>
          <cell r="E1813" t="str">
            <v>414</v>
          </cell>
          <cell r="F1813">
            <v>0</v>
          </cell>
          <cell r="G1813">
            <v>5</v>
          </cell>
          <cell r="H1813" t="str">
            <v>2006-05-31</v>
          </cell>
        </row>
        <row r="1814">
          <cell r="A1814" t="str">
            <v>481005</v>
          </cell>
          <cell r="B1814" t="str">
            <v>1015</v>
          </cell>
          <cell r="C1814">
            <v>-14431.91</v>
          </cell>
          <cell r="D1814" t="str">
            <v>202</v>
          </cell>
          <cell r="E1814" t="str">
            <v>414</v>
          </cell>
          <cell r="F1814">
            <v>-17082</v>
          </cell>
          <cell r="G1814">
            <v>5</v>
          </cell>
          <cell r="H1814" t="str">
            <v>2006-05-31</v>
          </cell>
        </row>
        <row r="1815">
          <cell r="A1815" t="str">
            <v>481005</v>
          </cell>
          <cell r="B1815" t="str">
            <v>1015</v>
          </cell>
          <cell r="C1815">
            <v>-3123.84</v>
          </cell>
          <cell r="D1815" t="str">
            <v>203</v>
          </cell>
          <cell r="E1815" t="str">
            <v>414</v>
          </cell>
          <cell r="F1815">
            <v>0</v>
          </cell>
          <cell r="G1815">
            <v>5</v>
          </cell>
          <cell r="H1815" t="str">
            <v>2006-05-31</v>
          </cell>
        </row>
        <row r="1816">
          <cell r="A1816" t="str">
            <v>481005</v>
          </cell>
          <cell r="B1816" t="str">
            <v>1015</v>
          </cell>
          <cell r="C1816">
            <v>-97767.42</v>
          </cell>
          <cell r="D1816" t="str">
            <v>204</v>
          </cell>
          <cell r="E1816" t="str">
            <v>414</v>
          </cell>
          <cell r="F1816">
            <v>0</v>
          </cell>
          <cell r="G1816">
            <v>5</v>
          </cell>
          <cell r="H1816" t="str">
            <v>2006-05-31</v>
          </cell>
        </row>
        <row r="1817">
          <cell r="A1817" t="str">
            <v>481005</v>
          </cell>
          <cell r="B1817" t="str">
            <v>1015</v>
          </cell>
          <cell r="C1817">
            <v>0</v>
          </cell>
          <cell r="D1817" t="str">
            <v>210</v>
          </cell>
          <cell r="E1817" t="str">
            <v>414</v>
          </cell>
          <cell r="F1817">
            <v>0</v>
          </cell>
          <cell r="G1817">
            <v>5</v>
          </cell>
          <cell r="H1817" t="str">
            <v>2006-05-31</v>
          </cell>
        </row>
        <row r="1818">
          <cell r="A1818" t="str">
            <v>489300</v>
          </cell>
          <cell r="B1818" t="str">
            <v>1015</v>
          </cell>
          <cell r="C1818">
            <v>-198674.16</v>
          </cell>
          <cell r="D1818" t="str">
            <v>250</v>
          </cell>
          <cell r="E1818" t="str">
            <v>415</v>
          </cell>
          <cell r="F1818">
            <v>-1257505</v>
          </cell>
          <cell r="G1818">
            <v>5</v>
          </cell>
          <cell r="H1818" t="str">
            <v>2006-05-31</v>
          </cell>
        </row>
        <row r="1819">
          <cell r="A1819" t="str">
            <v>489304</v>
          </cell>
          <cell r="B1819" t="str">
            <v>1015</v>
          </cell>
          <cell r="C1819">
            <v>-59691.93</v>
          </cell>
          <cell r="D1819" t="str">
            <v>250</v>
          </cell>
          <cell r="E1819" t="str">
            <v>415</v>
          </cell>
          <cell r="F1819">
            <v>-254416</v>
          </cell>
          <cell r="G1819">
            <v>5</v>
          </cell>
          <cell r="H1819" t="str">
            <v>2006-05-31</v>
          </cell>
        </row>
        <row r="1820">
          <cell r="A1820" t="str">
            <v>489300</v>
          </cell>
          <cell r="B1820" t="str">
            <v>1015</v>
          </cell>
          <cell r="C1820">
            <v>0</v>
          </cell>
          <cell r="D1820" t="str">
            <v>250</v>
          </cell>
          <cell r="E1820" t="str">
            <v>416</v>
          </cell>
          <cell r="F1820">
            <v>0</v>
          </cell>
          <cell r="G1820">
            <v>5</v>
          </cell>
          <cell r="H1820" t="str">
            <v>2006-05-31</v>
          </cell>
        </row>
        <row r="1821">
          <cell r="A1821" t="str">
            <v>489304</v>
          </cell>
          <cell r="B1821" t="str">
            <v>1015</v>
          </cell>
          <cell r="C1821">
            <v>-865.95</v>
          </cell>
          <cell r="D1821" t="str">
            <v>250</v>
          </cell>
          <cell r="E1821" t="str">
            <v>416</v>
          </cell>
          <cell r="F1821">
            <v>-950</v>
          </cell>
          <cell r="G1821">
            <v>5</v>
          </cell>
          <cell r="H1821" t="str">
            <v>2006-05-31</v>
          </cell>
        </row>
        <row r="1822">
          <cell r="A1822" t="str">
            <v>481000</v>
          </cell>
          <cell r="B1822" t="str">
            <v>1015</v>
          </cell>
          <cell r="C1822">
            <v>0</v>
          </cell>
          <cell r="D1822" t="str">
            <v>202</v>
          </cell>
          <cell r="E1822" t="str">
            <v>451</v>
          </cell>
          <cell r="F1822">
            <v>0</v>
          </cell>
          <cell r="G1822">
            <v>5</v>
          </cell>
          <cell r="H1822" t="str">
            <v>2006-05-31</v>
          </cell>
        </row>
        <row r="1823">
          <cell r="A1823" t="str">
            <v>481000</v>
          </cell>
          <cell r="B1823" t="str">
            <v>1015</v>
          </cell>
          <cell r="C1823">
            <v>0</v>
          </cell>
          <cell r="D1823" t="str">
            <v>203</v>
          </cell>
          <cell r="E1823" t="str">
            <v>451</v>
          </cell>
          <cell r="F1823">
            <v>0</v>
          </cell>
          <cell r="G1823">
            <v>5</v>
          </cell>
          <cell r="H1823" t="str">
            <v>2006-05-31</v>
          </cell>
        </row>
        <row r="1824">
          <cell r="A1824" t="str">
            <v>481000</v>
          </cell>
          <cell r="B1824" t="str">
            <v>1015</v>
          </cell>
          <cell r="C1824">
            <v>0</v>
          </cell>
          <cell r="D1824" t="str">
            <v>204</v>
          </cell>
          <cell r="E1824" t="str">
            <v>451</v>
          </cell>
          <cell r="F1824">
            <v>0</v>
          </cell>
          <cell r="G1824">
            <v>5</v>
          </cell>
          <cell r="H1824" t="str">
            <v>2006-05-31</v>
          </cell>
        </row>
        <row r="1825">
          <cell r="A1825" t="str">
            <v>481000</v>
          </cell>
          <cell r="B1825" t="str">
            <v>1015</v>
          </cell>
          <cell r="C1825">
            <v>0</v>
          </cell>
          <cell r="D1825" t="str">
            <v>210</v>
          </cell>
          <cell r="E1825" t="str">
            <v>451</v>
          </cell>
          <cell r="F1825">
            <v>0</v>
          </cell>
          <cell r="G1825">
            <v>5</v>
          </cell>
          <cell r="H1825" t="str">
            <v>2006-05-31</v>
          </cell>
        </row>
        <row r="1826">
          <cell r="A1826" t="str">
            <v>481004</v>
          </cell>
          <cell r="B1826" t="str">
            <v>1015</v>
          </cell>
          <cell r="C1826">
            <v>-17928</v>
          </cell>
          <cell r="D1826" t="str">
            <v>202</v>
          </cell>
          <cell r="E1826" t="str">
            <v>451</v>
          </cell>
          <cell r="F1826">
            <v>-17704</v>
          </cell>
          <cell r="G1826">
            <v>5</v>
          </cell>
          <cell r="H1826" t="str">
            <v>2006-05-31</v>
          </cell>
        </row>
        <row r="1827">
          <cell r="A1827" t="str">
            <v>481004</v>
          </cell>
          <cell r="B1827" t="str">
            <v>1015</v>
          </cell>
          <cell r="C1827">
            <v>0</v>
          </cell>
          <cell r="D1827" t="str">
            <v>203</v>
          </cell>
          <cell r="E1827" t="str">
            <v>451</v>
          </cell>
          <cell r="F1827">
            <v>0</v>
          </cell>
          <cell r="G1827">
            <v>5</v>
          </cell>
          <cell r="H1827" t="str">
            <v>2006-05-31</v>
          </cell>
        </row>
        <row r="1828">
          <cell r="A1828" t="str">
            <v>481004</v>
          </cell>
          <cell r="B1828" t="str">
            <v>1015</v>
          </cell>
          <cell r="C1828">
            <v>-136495</v>
          </cell>
          <cell r="D1828" t="str">
            <v>204</v>
          </cell>
          <cell r="E1828" t="str">
            <v>451</v>
          </cell>
          <cell r="F1828">
            <v>0</v>
          </cell>
          <cell r="G1828">
            <v>5</v>
          </cell>
          <cell r="H1828" t="str">
            <v>2006-05-31</v>
          </cell>
        </row>
        <row r="1829">
          <cell r="A1829" t="str">
            <v>481004</v>
          </cell>
          <cell r="B1829" t="str">
            <v>1015</v>
          </cell>
          <cell r="C1829">
            <v>0</v>
          </cell>
          <cell r="D1829" t="str">
            <v>210</v>
          </cell>
          <cell r="E1829" t="str">
            <v>451</v>
          </cell>
          <cell r="F1829">
            <v>0</v>
          </cell>
          <cell r="G1829">
            <v>5</v>
          </cell>
          <cell r="H1829" t="str">
            <v>2006-05-31</v>
          </cell>
        </row>
        <row r="1830">
          <cell r="A1830" t="str">
            <v>480000</v>
          </cell>
          <cell r="B1830" t="str">
            <v>1015</v>
          </cell>
          <cell r="C1830">
            <v>-427444.22</v>
          </cell>
          <cell r="D1830" t="str">
            <v>202</v>
          </cell>
          <cell r="E1830" t="str">
            <v>453</v>
          </cell>
          <cell r="F1830">
            <v>-122626</v>
          </cell>
          <cell r="G1830">
            <v>5</v>
          </cell>
          <cell r="H1830" t="str">
            <v>2006-05-31</v>
          </cell>
        </row>
        <row r="1831">
          <cell r="A1831" t="str">
            <v>480000</v>
          </cell>
          <cell r="B1831" t="str">
            <v>1015</v>
          </cell>
          <cell r="C1831">
            <v>-946261.15</v>
          </cell>
          <cell r="D1831" t="str">
            <v>204</v>
          </cell>
          <cell r="E1831" t="str">
            <v>453</v>
          </cell>
          <cell r="F1831">
            <v>0</v>
          </cell>
          <cell r="G1831">
            <v>5</v>
          </cell>
          <cell r="H1831" t="str">
            <v>2006-05-31</v>
          </cell>
        </row>
        <row r="1832">
          <cell r="A1832" t="str">
            <v>480000</v>
          </cell>
          <cell r="B1832" t="str">
            <v>1015</v>
          </cell>
          <cell r="C1832">
            <v>-20378.509999999998</v>
          </cell>
          <cell r="D1832" t="str">
            <v>205</v>
          </cell>
          <cell r="E1832" t="str">
            <v>453</v>
          </cell>
          <cell r="F1832">
            <v>0</v>
          </cell>
          <cell r="G1832">
            <v>5</v>
          </cell>
          <cell r="H1832" t="str">
            <v>2006-05-31</v>
          </cell>
        </row>
        <row r="1833">
          <cell r="A1833" t="str">
            <v>480001</v>
          </cell>
          <cell r="B1833" t="str">
            <v>1015</v>
          </cell>
          <cell r="C1833">
            <v>95353.61</v>
          </cell>
          <cell r="D1833" t="str">
            <v>202</v>
          </cell>
          <cell r="E1833" t="str">
            <v>453</v>
          </cell>
          <cell r="F1833">
            <v>55637.18</v>
          </cell>
          <cell r="G1833">
            <v>5</v>
          </cell>
          <cell r="H1833" t="str">
            <v>2006-05-31</v>
          </cell>
        </row>
        <row r="1834">
          <cell r="A1834" t="str">
            <v>480001</v>
          </cell>
          <cell r="B1834" t="str">
            <v>1015</v>
          </cell>
          <cell r="C1834">
            <v>0</v>
          </cell>
          <cell r="D1834" t="str">
            <v>203</v>
          </cell>
          <cell r="E1834" t="str">
            <v>453</v>
          </cell>
          <cell r="F1834">
            <v>0</v>
          </cell>
          <cell r="G1834">
            <v>5</v>
          </cell>
          <cell r="H1834" t="str">
            <v>2006-05-31</v>
          </cell>
        </row>
        <row r="1835">
          <cell r="A1835" t="str">
            <v>480001</v>
          </cell>
          <cell r="B1835" t="str">
            <v>1015</v>
          </cell>
          <cell r="C1835">
            <v>429882.88</v>
          </cell>
          <cell r="D1835" t="str">
            <v>204</v>
          </cell>
          <cell r="E1835" t="str">
            <v>453</v>
          </cell>
          <cell r="F1835">
            <v>0</v>
          </cell>
          <cell r="G1835">
            <v>5</v>
          </cell>
          <cell r="H1835" t="str">
            <v>2006-05-31</v>
          </cell>
        </row>
        <row r="1836">
          <cell r="A1836" t="str">
            <v>480001</v>
          </cell>
          <cell r="B1836" t="str">
            <v>1015</v>
          </cell>
          <cell r="C1836">
            <v>-272.33999999999997</v>
          </cell>
          <cell r="D1836" t="str">
            <v>205</v>
          </cell>
          <cell r="E1836" t="str">
            <v>453</v>
          </cell>
          <cell r="F1836">
            <v>0</v>
          </cell>
          <cell r="G1836">
            <v>5</v>
          </cell>
          <cell r="H1836" t="str">
            <v>2006-05-31</v>
          </cell>
        </row>
        <row r="1837">
          <cell r="A1837" t="str">
            <v>480001</v>
          </cell>
          <cell r="B1837" t="str">
            <v>1015</v>
          </cell>
          <cell r="C1837">
            <v>0</v>
          </cell>
          <cell r="D1837" t="str">
            <v>210</v>
          </cell>
          <cell r="E1837" t="str">
            <v>453</v>
          </cell>
          <cell r="F1837">
            <v>0</v>
          </cell>
          <cell r="G1837">
            <v>5</v>
          </cell>
          <cell r="H1837" t="str">
            <v>2006-05-31</v>
          </cell>
        </row>
        <row r="1838">
          <cell r="A1838" t="str">
            <v>481004</v>
          </cell>
          <cell r="B1838" t="str">
            <v>1015</v>
          </cell>
          <cell r="C1838">
            <v>-151337.39000000001</v>
          </cell>
          <cell r="D1838" t="str">
            <v>202</v>
          </cell>
          <cell r="E1838" t="str">
            <v>453</v>
          </cell>
          <cell r="F1838">
            <v>-77604.179999999993</v>
          </cell>
          <cell r="G1838">
            <v>5</v>
          </cell>
          <cell r="H1838" t="str">
            <v>2006-05-31</v>
          </cell>
        </row>
        <row r="1839">
          <cell r="A1839" t="str">
            <v>481004</v>
          </cell>
          <cell r="B1839" t="str">
            <v>1015</v>
          </cell>
          <cell r="C1839">
            <v>-598408.73</v>
          </cell>
          <cell r="D1839" t="str">
            <v>204</v>
          </cell>
          <cell r="E1839" t="str">
            <v>453</v>
          </cell>
          <cell r="F1839">
            <v>0</v>
          </cell>
          <cell r="G1839">
            <v>5</v>
          </cell>
          <cell r="H1839" t="str">
            <v>2006-05-31</v>
          </cell>
        </row>
        <row r="1840">
          <cell r="A1840" t="str">
            <v>481004</v>
          </cell>
          <cell r="B1840" t="str">
            <v>1015</v>
          </cell>
          <cell r="C1840">
            <v>-8819.15</v>
          </cell>
          <cell r="D1840" t="str">
            <v>205</v>
          </cell>
          <cell r="E1840" t="str">
            <v>453</v>
          </cell>
          <cell r="F1840">
            <v>0</v>
          </cell>
          <cell r="G1840">
            <v>5</v>
          </cell>
          <cell r="H1840" t="str">
            <v>2006-05-31</v>
          </cell>
        </row>
        <row r="1841">
          <cell r="A1841" t="str">
            <v>480000</v>
          </cell>
          <cell r="B1841" t="str">
            <v>1015</v>
          </cell>
          <cell r="C1841">
            <v>-19947.86</v>
          </cell>
          <cell r="D1841" t="str">
            <v>202</v>
          </cell>
          <cell r="E1841" t="str">
            <v>455</v>
          </cell>
          <cell r="F1841">
            <v>-5999.76</v>
          </cell>
          <cell r="G1841">
            <v>5</v>
          </cell>
          <cell r="H1841" t="str">
            <v>2006-05-31</v>
          </cell>
        </row>
        <row r="1842">
          <cell r="A1842" t="str">
            <v>480000</v>
          </cell>
          <cell r="B1842" t="str">
            <v>1015</v>
          </cell>
          <cell r="C1842">
            <v>-46257</v>
          </cell>
          <cell r="D1842" t="str">
            <v>204</v>
          </cell>
          <cell r="E1842" t="str">
            <v>455</v>
          </cell>
          <cell r="F1842">
            <v>0</v>
          </cell>
          <cell r="G1842">
            <v>5</v>
          </cell>
          <cell r="H1842" t="str">
            <v>2006-05-31</v>
          </cell>
        </row>
        <row r="1843">
          <cell r="A1843" t="str">
            <v>480000</v>
          </cell>
          <cell r="B1843" t="str">
            <v>1015</v>
          </cell>
          <cell r="C1843">
            <v>-239.93</v>
          </cell>
          <cell r="D1843" t="str">
            <v>205</v>
          </cell>
          <cell r="E1843" t="str">
            <v>455</v>
          </cell>
          <cell r="F1843">
            <v>0</v>
          </cell>
          <cell r="G1843">
            <v>5</v>
          </cell>
          <cell r="H1843" t="str">
            <v>2006-05-31</v>
          </cell>
        </row>
        <row r="1844">
          <cell r="A1844" t="str">
            <v>480001</v>
          </cell>
          <cell r="B1844" t="str">
            <v>1015</v>
          </cell>
          <cell r="C1844">
            <v>7150.16</v>
          </cell>
          <cell r="D1844" t="str">
            <v>202</v>
          </cell>
          <cell r="E1844" t="str">
            <v>455</v>
          </cell>
          <cell r="F1844">
            <v>2929.08</v>
          </cell>
          <cell r="G1844">
            <v>5</v>
          </cell>
          <cell r="H1844" t="str">
            <v>2006-05-31</v>
          </cell>
        </row>
        <row r="1845">
          <cell r="A1845" t="str">
            <v>480001</v>
          </cell>
          <cell r="B1845" t="str">
            <v>1015</v>
          </cell>
          <cell r="C1845">
            <v>0</v>
          </cell>
          <cell r="D1845" t="str">
            <v>203</v>
          </cell>
          <cell r="E1845" t="str">
            <v>455</v>
          </cell>
          <cell r="F1845">
            <v>0</v>
          </cell>
          <cell r="G1845">
            <v>5</v>
          </cell>
          <cell r="H1845" t="str">
            <v>2006-05-31</v>
          </cell>
        </row>
        <row r="1846">
          <cell r="A1846" t="str">
            <v>480001</v>
          </cell>
          <cell r="B1846" t="str">
            <v>1015</v>
          </cell>
          <cell r="C1846">
            <v>22589.17</v>
          </cell>
          <cell r="D1846" t="str">
            <v>204</v>
          </cell>
          <cell r="E1846" t="str">
            <v>455</v>
          </cell>
          <cell r="F1846">
            <v>0</v>
          </cell>
          <cell r="G1846">
            <v>5</v>
          </cell>
          <cell r="H1846" t="str">
            <v>2006-05-31</v>
          </cell>
        </row>
        <row r="1847">
          <cell r="A1847" t="str">
            <v>480001</v>
          </cell>
          <cell r="B1847" t="str">
            <v>1015</v>
          </cell>
          <cell r="C1847">
            <v>271.8</v>
          </cell>
          <cell r="D1847" t="str">
            <v>205</v>
          </cell>
          <cell r="E1847" t="str">
            <v>455</v>
          </cell>
          <cell r="F1847">
            <v>0</v>
          </cell>
          <cell r="G1847">
            <v>5</v>
          </cell>
          <cell r="H1847" t="str">
            <v>2006-05-31</v>
          </cell>
        </row>
        <row r="1848">
          <cell r="A1848" t="str">
            <v>480001</v>
          </cell>
          <cell r="B1848" t="str">
            <v>1015</v>
          </cell>
          <cell r="C1848">
            <v>0</v>
          </cell>
          <cell r="D1848" t="str">
            <v>210</v>
          </cell>
          <cell r="E1848" t="str">
            <v>455</v>
          </cell>
          <cell r="F1848">
            <v>0</v>
          </cell>
          <cell r="G1848">
            <v>5</v>
          </cell>
          <cell r="H1848" t="str">
            <v>2006-05-31</v>
          </cell>
        </row>
        <row r="1849">
          <cell r="A1849" t="str">
            <v>481004</v>
          </cell>
          <cell r="B1849" t="str">
            <v>1015</v>
          </cell>
          <cell r="C1849">
            <v>-13159.3</v>
          </cell>
          <cell r="D1849" t="str">
            <v>202</v>
          </cell>
          <cell r="E1849" t="str">
            <v>455</v>
          </cell>
          <cell r="F1849">
            <v>-5152.32</v>
          </cell>
          <cell r="G1849">
            <v>5</v>
          </cell>
          <cell r="H1849" t="str">
            <v>2006-05-31</v>
          </cell>
        </row>
        <row r="1850">
          <cell r="A1850" t="str">
            <v>481004</v>
          </cell>
          <cell r="B1850" t="str">
            <v>1015</v>
          </cell>
          <cell r="C1850">
            <v>-39730.17</v>
          </cell>
          <cell r="D1850" t="str">
            <v>204</v>
          </cell>
          <cell r="E1850" t="str">
            <v>455</v>
          </cell>
          <cell r="F1850">
            <v>0</v>
          </cell>
          <cell r="G1850">
            <v>5</v>
          </cell>
          <cell r="H1850" t="str">
            <v>2006-05-31</v>
          </cell>
        </row>
        <row r="1851">
          <cell r="A1851" t="str">
            <v>481004</v>
          </cell>
          <cell r="B1851" t="str">
            <v>1015</v>
          </cell>
          <cell r="C1851">
            <v>-31.87</v>
          </cell>
          <cell r="D1851" t="str">
            <v>205</v>
          </cell>
          <cell r="E1851" t="str">
            <v>455</v>
          </cell>
          <cell r="F1851">
            <v>0</v>
          </cell>
          <cell r="G1851">
            <v>5</v>
          </cell>
          <cell r="H1851" t="str">
            <v>2006-05-31</v>
          </cell>
        </row>
        <row r="1852">
          <cell r="A1852" t="str">
            <v>481002</v>
          </cell>
          <cell r="B1852" t="str">
            <v>1015</v>
          </cell>
          <cell r="C1852">
            <v>0</v>
          </cell>
          <cell r="D1852" t="str">
            <v>202</v>
          </cell>
          <cell r="E1852" t="str">
            <v>456</v>
          </cell>
          <cell r="F1852">
            <v>0</v>
          </cell>
          <cell r="G1852">
            <v>5</v>
          </cell>
          <cell r="H1852" t="str">
            <v>2006-05-31</v>
          </cell>
        </row>
        <row r="1853">
          <cell r="A1853" t="str">
            <v>481002</v>
          </cell>
          <cell r="B1853" t="str">
            <v>1015</v>
          </cell>
          <cell r="C1853">
            <v>0</v>
          </cell>
          <cell r="D1853" t="str">
            <v>203</v>
          </cell>
          <cell r="E1853" t="str">
            <v>456</v>
          </cell>
          <cell r="F1853">
            <v>0</v>
          </cell>
          <cell r="G1853">
            <v>5</v>
          </cell>
          <cell r="H1853" t="str">
            <v>2006-05-31</v>
          </cell>
        </row>
        <row r="1854">
          <cell r="A1854" t="str">
            <v>481002</v>
          </cell>
          <cell r="B1854" t="str">
            <v>1015</v>
          </cell>
          <cell r="C1854">
            <v>0</v>
          </cell>
          <cell r="D1854" t="str">
            <v>204</v>
          </cell>
          <cell r="E1854" t="str">
            <v>456</v>
          </cell>
          <cell r="F1854">
            <v>0</v>
          </cell>
          <cell r="G1854">
            <v>5</v>
          </cell>
          <cell r="H1854" t="str">
            <v>2006-05-31</v>
          </cell>
        </row>
        <row r="1855">
          <cell r="A1855" t="str">
            <v>481002</v>
          </cell>
          <cell r="B1855" t="str">
            <v>1015</v>
          </cell>
          <cell r="C1855">
            <v>0</v>
          </cell>
          <cell r="D1855" t="str">
            <v>210</v>
          </cell>
          <cell r="E1855" t="str">
            <v>456</v>
          </cell>
          <cell r="F1855">
            <v>0</v>
          </cell>
          <cell r="G1855">
            <v>5</v>
          </cell>
          <cell r="H1855" t="str">
            <v>2006-05-31</v>
          </cell>
        </row>
        <row r="1856">
          <cell r="A1856" t="str">
            <v>481002</v>
          </cell>
          <cell r="B1856" t="str">
            <v>1015</v>
          </cell>
          <cell r="C1856">
            <v>-373.59</v>
          </cell>
          <cell r="D1856" t="str">
            <v>202</v>
          </cell>
          <cell r="E1856" t="str">
            <v>457</v>
          </cell>
          <cell r="F1856">
            <v>-2240</v>
          </cell>
          <cell r="G1856">
            <v>5</v>
          </cell>
          <cell r="H1856" t="str">
            <v>2006-05-31</v>
          </cell>
        </row>
        <row r="1857">
          <cell r="A1857" t="str">
            <v>481002</v>
          </cell>
          <cell r="B1857" t="str">
            <v>1015</v>
          </cell>
          <cell r="C1857">
            <v>-409.63</v>
          </cell>
          <cell r="D1857" t="str">
            <v>203</v>
          </cell>
          <cell r="E1857" t="str">
            <v>457</v>
          </cell>
          <cell r="F1857">
            <v>0</v>
          </cell>
          <cell r="G1857">
            <v>5</v>
          </cell>
          <cell r="H1857" t="str">
            <v>2006-05-31</v>
          </cell>
        </row>
        <row r="1858">
          <cell r="A1858" t="str">
            <v>481002</v>
          </cell>
          <cell r="B1858" t="str">
            <v>1015</v>
          </cell>
          <cell r="C1858">
            <v>-12794.72</v>
          </cell>
          <cell r="D1858" t="str">
            <v>204</v>
          </cell>
          <cell r="E1858" t="str">
            <v>457</v>
          </cell>
          <cell r="F1858">
            <v>0</v>
          </cell>
          <cell r="G1858">
            <v>5</v>
          </cell>
          <cell r="H1858" t="str">
            <v>2006-05-31</v>
          </cell>
        </row>
        <row r="1859">
          <cell r="A1859" t="str">
            <v>481002</v>
          </cell>
          <cell r="B1859" t="str">
            <v>1015</v>
          </cell>
          <cell r="C1859">
            <v>0</v>
          </cell>
          <cell r="D1859" t="str">
            <v>210</v>
          </cell>
          <cell r="E1859" t="str">
            <v>457</v>
          </cell>
          <cell r="F1859">
            <v>0</v>
          </cell>
          <cell r="G1859">
            <v>5</v>
          </cell>
          <cell r="H1859" t="str">
            <v>2006-05-31</v>
          </cell>
        </row>
        <row r="1860">
          <cell r="A1860" t="str">
            <v>481005</v>
          </cell>
          <cell r="B1860" t="str">
            <v>1015</v>
          </cell>
          <cell r="C1860">
            <v>-2029</v>
          </cell>
          <cell r="D1860" t="str">
            <v>202</v>
          </cell>
          <cell r="E1860" t="str">
            <v>457</v>
          </cell>
          <cell r="F1860">
            <v>-9861</v>
          </cell>
          <cell r="G1860">
            <v>5</v>
          </cell>
          <cell r="H1860" t="str">
            <v>2006-05-31</v>
          </cell>
        </row>
        <row r="1861">
          <cell r="A1861" t="str">
            <v>481005</v>
          </cell>
          <cell r="B1861" t="str">
            <v>1015</v>
          </cell>
          <cell r="C1861">
            <v>-1803</v>
          </cell>
          <cell r="D1861" t="str">
            <v>203</v>
          </cell>
          <cell r="E1861" t="str">
            <v>457</v>
          </cell>
          <cell r="F1861">
            <v>0</v>
          </cell>
          <cell r="G1861">
            <v>5</v>
          </cell>
          <cell r="H1861" t="str">
            <v>2006-05-31</v>
          </cell>
        </row>
        <row r="1862">
          <cell r="A1862" t="str">
            <v>481005</v>
          </cell>
          <cell r="B1862" t="str">
            <v>1015</v>
          </cell>
          <cell r="C1862">
            <v>-56325</v>
          </cell>
          <cell r="D1862" t="str">
            <v>204</v>
          </cell>
          <cell r="E1862" t="str">
            <v>457</v>
          </cell>
          <cell r="F1862">
            <v>0</v>
          </cell>
          <cell r="G1862">
            <v>5</v>
          </cell>
          <cell r="H1862" t="str">
            <v>2006-05-31</v>
          </cell>
        </row>
        <row r="1863">
          <cell r="A1863" t="str">
            <v>481005</v>
          </cell>
          <cell r="B1863" t="str">
            <v>1015</v>
          </cell>
          <cell r="C1863">
            <v>0</v>
          </cell>
          <cell r="D1863" t="str">
            <v>210</v>
          </cell>
          <cell r="E1863" t="str">
            <v>457</v>
          </cell>
          <cell r="F1863">
            <v>0</v>
          </cell>
          <cell r="G1863">
            <v>5</v>
          </cell>
          <cell r="H1863" t="str">
            <v>2006-05-31</v>
          </cell>
        </row>
        <row r="1864">
          <cell r="A1864" t="str">
            <v>489300</v>
          </cell>
          <cell r="B1864" t="str">
            <v>1015</v>
          </cell>
          <cell r="C1864">
            <v>-3689.51</v>
          </cell>
          <cell r="D1864" t="str">
            <v>250</v>
          </cell>
          <cell r="E1864" t="str">
            <v>458</v>
          </cell>
          <cell r="F1864">
            <v>-31397</v>
          </cell>
          <cell r="G1864">
            <v>5</v>
          </cell>
          <cell r="H1864" t="str">
            <v>2006-05-31</v>
          </cell>
        </row>
        <row r="1865">
          <cell r="A1865" t="str">
            <v>489304</v>
          </cell>
          <cell r="B1865" t="str">
            <v>1015</v>
          </cell>
          <cell r="C1865">
            <v>-651.20000000000005</v>
          </cell>
          <cell r="D1865" t="str">
            <v>250</v>
          </cell>
          <cell r="E1865" t="str">
            <v>458</v>
          </cell>
          <cell r="F1865">
            <v>-1834</v>
          </cell>
          <cell r="G1865">
            <v>5</v>
          </cell>
          <cell r="H1865" t="str">
            <v>2006-05-31</v>
          </cell>
        </row>
        <row r="1866">
          <cell r="A1866" t="str">
            <v>489300</v>
          </cell>
          <cell r="B1866" t="str">
            <v>1015</v>
          </cell>
          <cell r="C1866">
            <v>-1540.65</v>
          </cell>
          <cell r="D1866" t="str">
            <v>250</v>
          </cell>
          <cell r="E1866" t="str">
            <v>459</v>
          </cell>
          <cell r="F1866">
            <v>-3422</v>
          </cell>
          <cell r="G1866">
            <v>5</v>
          </cell>
          <cell r="H1866" t="str">
            <v>2006-05-31</v>
          </cell>
        </row>
        <row r="1867">
          <cell r="A1867" t="str">
            <v>489304</v>
          </cell>
          <cell r="B1867" t="str">
            <v>1015</v>
          </cell>
          <cell r="C1867">
            <v>0</v>
          </cell>
          <cell r="D1867" t="str">
            <v>250</v>
          </cell>
          <cell r="E1867" t="str">
            <v>459</v>
          </cell>
          <cell r="F1867">
            <v>0</v>
          </cell>
          <cell r="G1867">
            <v>5</v>
          </cell>
          <cell r="H1867" t="str">
            <v>2006-05-31</v>
          </cell>
        </row>
        <row r="1868">
          <cell r="A1868" t="str">
            <v>481003</v>
          </cell>
          <cell r="B1868" t="str">
            <v>1015</v>
          </cell>
          <cell r="C1868">
            <v>-109863.19</v>
          </cell>
          <cell r="D1868" t="str">
            <v>200</v>
          </cell>
          <cell r="F1868">
            <v>-11017.59</v>
          </cell>
          <cell r="G1868">
            <v>5</v>
          </cell>
          <cell r="H1868" t="str">
            <v>2006-05-31</v>
          </cell>
        </row>
        <row r="1869">
          <cell r="A1869" t="str">
            <v>481000</v>
          </cell>
          <cell r="B1869" t="str">
            <v>1015</v>
          </cell>
          <cell r="C1869">
            <v>-16390.96</v>
          </cell>
          <cell r="D1869" t="str">
            <v>202</v>
          </cell>
          <cell r="E1869" t="str">
            <v>402</v>
          </cell>
          <cell r="F1869">
            <v>-39583</v>
          </cell>
          <cell r="G1869">
            <v>6</v>
          </cell>
          <cell r="H1869" t="str">
            <v>2006-06-30</v>
          </cell>
        </row>
        <row r="1870">
          <cell r="A1870" t="str">
            <v>481000</v>
          </cell>
          <cell r="B1870" t="str">
            <v>1015</v>
          </cell>
          <cell r="C1870">
            <v>-19695.32</v>
          </cell>
          <cell r="D1870" t="str">
            <v>203</v>
          </cell>
          <cell r="E1870" t="str">
            <v>402</v>
          </cell>
          <cell r="F1870">
            <v>0</v>
          </cell>
          <cell r="G1870">
            <v>6</v>
          </cell>
          <cell r="H1870" t="str">
            <v>2006-06-30</v>
          </cell>
        </row>
        <row r="1871">
          <cell r="A1871" t="str">
            <v>481000</v>
          </cell>
          <cell r="B1871" t="str">
            <v>1015</v>
          </cell>
          <cell r="C1871">
            <v>-257065.07</v>
          </cell>
          <cell r="D1871" t="str">
            <v>204</v>
          </cell>
          <cell r="E1871" t="str">
            <v>402</v>
          </cell>
          <cell r="F1871">
            <v>0</v>
          </cell>
          <cell r="G1871">
            <v>6</v>
          </cell>
          <cell r="H1871" t="str">
            <v>2006-06-30</v>
          </cell>
        </row>
        <row r="1872">
          <cell r="A1872" t="str">
            <v>481000</v>
          </cell>
          <cell r="B1872" t="str">
            <v>1015</v>
          </cell>
          <cell r="C1872">
            <v>0</v>
          </cell>
          <cell r="D1872" t="str">
            <v>210</v>
          </cell>
          <cell r="E1872" t="str">
            <v>402</v>
          </cell>
          <cell r="F1872">
            <v>0</v>
          </cell>
          <cell r="G1872">
            <v>6</v>
          </cell>
          <cell r="H1872" t="str">
            <v>2006-06-30</v>
          </cell>
        </row>
        <row r="1873">
          <cell r="A1873" t="str">
            <v>481004</v>
          </cell>
          <cell r="B1873" t="str">
            <v>1015</v>
          </cell>
          <cell r="C1873">
            <v>-224861.16</v>
          </cell>
          <cell r="D1873" t="str">
            <v>202</v>
          </cell>
          <cell r="E1873" t="str">
            <v>402</v>
          </cell>
          <cell r="F1873">
            <v>-452634</v>
          </cell>
          <cell r="G1873">
            <v>6</v>
          </cell>
          <cell r="H1873" t="str">
            <v>2006-06-30</v>
          </cell>
        </row>
        <row r="1874">
          <cell r="A1874" t="str">
            <v>481004</v>
          </cell>
          <cell r="B1874" t="str">
            <v>1015</v>
          </cell>
          <cell r="C1874">
            <v>-225217.46</v>
          </cell>
          <cell r="D1874" t="str">
            <v>203</v>
          </cell>
          <cell r="E1874" t="str">
            <v>402</v>
          </cell>
          <cell r="F1874">
            <v>0</v>
          </cell>
          <cell r="G1874">
            <v>6</v>
          </cell>
          <cell r="H1874" t="str">
            <v>2006-06-30</v>
          </cell>
        </row>
        <row r="1875">
          <cell r="A1875" t="str">
            <v>481004</v>
          </cell>
          <cell r="B1875" t="str">
            <v>1015</v>
          </cell>
          <cell r="C1875">
            <v>-2939554.74</v>
          </cell>
          <cell r="D1875" t="str">
            <v>204</v>
          </cell>
          <cell r="E1875" t="str">
            <v>402</v>
          </cell>
          <cell r="F1875">
            <v>0</v>
          </cell>
          <cell r="G1875">
            <v>6</v>
          </cell>
          <cell r="H1875" t="str">
            <v>2006-06-30</v>
          </cell>
        </row>
        <row r="1876">
          <cell r="A1876" t="str">
            <v>481004</v>
          </cell>
          <cell r="B1876" t="str">
            <v>1015</v>
          </cell>
          <cell r="C1876">
            <v>0</v>
          </cell>
          <cell r="D1876" t="str">
            <v>210</v>
          </cell>
          <cell r="E1876" t="str">
            <v>402</v>
          </cell>
          <cell r="F1876">
            <v>0</v>
          </cell>
          <cell r="G1876">
            <v>6</v>
          </cell>
          <cell r="H1876" t="str">
            <v>2006-06-30</v>
          </cell>
        </row>
        <row r="1877">
          <cell r="A1877" t="str">
            <v>481000</v>
          </cell>
          <cell r="B1877" t="str">
            <v>1015</v>
          </cell>
          <cell r="C1877">
            <v>-7264.98</v>
          </cell>
          <cell r="D1877" t="str">
            <v>202</v>
          </cell>
          <cell r="E1877" t="str">
            <v>403</v>
          </cell>
          <cell r="F1877">
            <v>0</v>
          </cell>
          <cell r="G1877">
            <v>6</v>
          </cell>
          <cell r="H1877" t="str">
            <v>2006-06-30</v>
          </cell>
        </row>
        <row r="1878">
          <cell r="A1878" t="str">
            <v>481000</v>
          </cell>
          <cell r="B1878" t="str">
            <v>1015</v>
          </cell>
          <cell r="C1878">
            <v>-1619.75</v>
          </cell>
          <cell r="D1878" t="str">
            <v>203</v>
          </cell>
          <cell r="E1878" t="str">
            <v>403</v>
          </cell>
          <cell r="F1878">
            <v>0</v>
          </cell>
          <cell r="G1878">
            <v>6</v>
          </cell>
          <cell r="H1878" t="str">
            <v>2006-06-30</v>
          </cell>
        </row>
        <row r="1879">
          <cell r="A1879" t="str">
            <v>481000</v>
          </cell>
          <cell r="B1879" t="str">
            <v>1015</v>
          </cell>
          <cell r="C1879">
            <v>-2944.28</v>
          </cell>
          <cell r="D1879" t="str">
            <v>204</v>
          </cell>
          <cell r="E1879" t="str">
            <v>403</v>
          </cell>
          <cell r="F1879">
            <v>0</v>
          </cell>
          <cell r="G1879">
            <v>6</v>
          </cell>
          <cell r="H1879" t="str">
            <v>2006-06-30</v>
          </cell>
        </row>
        <row r="1880">
          <cell r="A1880" t="str">
            <v>481000</v>
          </cell>
          <cell r="B1880" t="str">
            <v>1015</v>
          </cell>
          <cell r="C1880">
            <v>-84139.01</v>
          </cell>
          <cell r="D1880" t="str">
            <v>202</v>
          </cell>
          <cell r="E1880" t="str">
            <v>404</v>
          </cell>
          <cell r="F1880">
            <v>-269501</v>
          </cell>
          <cell r="G1880">
            <v>6</v>
          </cell>
          <cell r="H1880" t="str">
            <v>2006-06-30</v>
          </cell>
        </row>
        <row r="1881">
          <cell r="A1881" t="str">
            <v>481000</v>
          </cell>
          <cell r="B1881" t="str">
            <v>1015</v>
          </cell>
          <cell r="C1881">
            <v>-194598.59</v>
          </cell>
          <cell r="D1881" t="str">
            <v>203</v>
          </cell>
          <cell r="E1881" t="str">
            <v>404</v>
          </cell>
          <cell r="F1881">
            <v>0</v>
          </cell>
          <cell r="G1881">
            <v>6</v>
          </cell>
          <cell r="H1881" t="str">
            <v>2006-06-30</v>
          </cell>
        </row>
        <row r="1882">
          <cell r="A1882" t="str">
            <v>481000</v>
          </cell>
          <cell r="B1882" t="str">
            <v>1015</v>
          </cell>
          <cell r="C1882">
            <v>-1750228.43</v>
          </cell>
          <cell r="D1882" t="str">
            <v>204</v>
          </cell>
          <cell r="E1882" t="str">
            <v>404</v>
          </cell>
          <cell r="F1882">
            <v>0</v>
          </cell>
          <cell r="G1882">
            <v>6</v>
          </cell>
          <cell r="H1882" t="str">
            <v>2006-06-30</v>
          </cell>
        </row>
        <row r="1883">
          <cell r="A1883" t="str">
            <v>481004</v>
          </cell>
          <cell r="B1883" t="str">
            <v>1015</v>
          </cell>
          <cell r="C1883">
            <v>0</v>
          </cell>
          <cell r="D1883" t="str">
            <v>202</v>
          </cell>
          <cell r="E1883" t="str">
            <v>404</v>
          </cell>
          <cell r="F1883">
            <v>0</v>
          </cell>
          <cell r="G1883">
            <v>6</v>
          </cell>
          <cell r="H1883" t="str">
            <v>2006-06-30</v>
          </cell>
        </row>
        <row r="1884">
          <cell r="A1884" t="str">
            <v>481004</v>
          </cell>
          <cell r="B1884" t="str">
            <v>1015</v>
          </cell>
          <cell r="C1884">
            <v>0</v>
          </cell>
          <cell r="D1884" t="str">
            <v>203</v>
          </cell>
          <cell r="E1884" t="str">
            <v>404</v>
          </cell>
          <cell r="F1884">
            <v>0</v>
          </cell>
          <cell r="G1884">
            <v>6</v>
          </cell>
          <cell r="H1884" t="str">
            <v>2006-06-30</v>
          </cell>
        </row>
        <row r="1885">
          <cell r="A1885" t="str">
            <v>481004</v>
          </cell>
          <cell r="B1885" t="str">
            <v>1015</v>
          </cell>
          <cell r="C1885">
            <v>0</v>
          </cell>
          <cell r="D1885" t="str">
            <v>204</v>
          </cell>
          <cell r="E1885" t="str">
            <v>404</v>
          </cell>
          <cell r="F1885">
            <v>0</v>
          </cell>
          <cell r="G1885">
            <v>6</v>
          </cell>
          <cell r="H1885" t="str">
            <v>2006-06-30</v>
          </cell>
        </row>
        <row r="1886">
          <cell r="A1886" t="str">
            <v>481004</v>
          </cell>
          <cell r="B1886" t="str">
            <v>1015</v>
          </cell>
          <cell r="C1886">
            <v>0</v>
          </cell>
          <cell r="D1886" t="str">
            <v>210</v>
          </cell>
          <cell r="E1886" t="str">
            <v>404</v>
          </cell>
          <cell r="F1886">
            <v>0</v>
          </cell>
          <cell r="G1886">
            <v>6</v>
          </cell>
          <cell r="H1886" t="str">
            <v>2006-06-30</v>
          </cell>
        </row>
        <row r="1887">
          <cell r="A1887" t="str">
            <v>489300</v>
          </cell>
          <cell r="B1887" t="str">
            <v>1015</v>
          </cell>
          <cell r="C1887">
            <v>-49039.35</v>
          </cell>
          <cell r="D1887" t="str">
            <v>250</v>
          </cell>
          <cell r="E1887" t="str">
            <v>405</v>
          </cell>
          <cell r="F1887">
            <v>-243492</v>
          </cell>
          <cell r="G1887">
            <v>6</v>
          </cell>
          <cell r="H1887" t="str">
            <v>2006-06-30</v>
          </cell>
        </row>
        <row r="1888">
          <cell r="A1888" t="str">
            <v>489304</v>
          </cell>
          <cell r="B1888" t="str">
            <v>1015</v>
          </cell>
          <cell r="C1888">
            <v>-56264.51</v>
          </cell>
          <cell r="D1888" t="str">
            <v>250</v>
          </cell>
          <cell r="E1888" t="str">
            <v>405</v>
          </cell>
          <cell r="F1888">
            <v>-399030</v>
          </cell>
          <cell r="G1888">
            <v>6</v>
          </cell>
          <cell r="H1888" t="str">
            <v>2006-06-30</v>
          </cell>
        </row>
        <row r="1889">
          <cell r="A1889" t="str">
            <v>489300</v>
          </cell>
          <cell r="B1889" t="str">
            <v>1015</v>
          </cell>
          <cell r="C1889">
            <v>-76342.179999999993</v>
          </cell>
          <cell r="D1889" t="str">
            <v>250</v>
          </cell>
          <cell r="E1889" t="str">
            <v>406</v>
          </cell>
          <cell r="F1889">
            <v>-271358</v>
          </cell>
          <cell r="G1889">
            <v>6</v>
          </cell>
          <cell r="H1889" t="str">
            <v>2006-06-30</v>
          </cell>
        </row>
        <row r="1890">
          <cell r="A1890" t="str">
            <v>489304</v>
          </cell>
          <cell r="B1890" t="str">
            <v>1015</v>
          </cell>
          <cell r="C1890">
            <v>-37617.599999999999</v>
          </cell>
          <cell r="D1890" t="str">
            <v>250</v>
          </cell>
          <cell r="E1890" t="str">
            <v>406</v>
          </cell>
          <cell r="F1890">
            <v>-192886</v>
          </cell>
          <cell r="G1890">
            <v>6</v>
          </cell>
          <cell r="H1890" t="str">
            <v>2006-06-30</v>
          </cell>
        </row>
        <row r="1891">
          <cell r="A1891" t="str">
            <v>480000</v>
          </cell>
          <cell r="B1891" t="str">
            <v>1015</v>
          </cell>
          <cell r="C1891">
            <v>-7804307.5499999998</v>
          </cell>
          <cell r="D1891" t="str">
            <v>202</v>
          </cell>
          <cell r="E1891" t="str">
            <v>407</v>
          </cell>
          <cell r="F1891">
            <v>-2299289.17</v>
          </cell>
          <cell r="G1891">
            <v>6</v>
          </cell>
          <cell r="H1891" t="str">
            <v>2006-06-30</v>
          </cell>
        </row>
        <row r="1892">
          <cell r="A1892" t="str">
            <v>480000</v>
          </cell>
          <cell r="B1892" t="str">
            <v>1015</v>
          </cell>
          <cell r="C1892">
            <v>-1152109.3899999999</v>
          </cell>
          <cell r="D1892" t="str">
            <v>203</v>
          </cell>
          <cell r="E1892" t="str">
            <v>407</v>
          </cell>
          <cell r="F1892">
            <v>0</v>
          </cell>
          <cell r="G1892">
            <v>6</v>
          </cell>
          <cell r="H1892" t="str">
            <v>2006-06-30</v>
          </cell>
        </row>
        <row r="1893">
          <cell r="A1893" t="str">
            <v>480000</v>
          </cell>
          <cell r="B1893" t="str">
            <v>1015</v>
          </cell>
          <cell r="C1893">
            <v>-15043047.48</v>
          </cell>
          <cell r="D1893" t="str">
            <v>204</v>
          </cell>
          <cell r="E1893" t="str">
            <v>407</v>
          </cell>
          <cell r="F1893">
            <v>0</v>
          </cell>
          <cell r="G1893">
            <v>6</v>
          </cell>
          <cell r="H1893" t="str">
            <v>2006-06-30</v>
          </cell>
        </row>
        <row r="1894">
          <cell r="A1894" t="str">
            <v>480000</v>
          </cell>
          <cell r="B1894" t="str">
            <v>1015</v>
          </cell>
          <cell r="C1894">
            <v>-657920.71</v>
          </cell>
          <cell r="D1894" t="str">
            <v>205</v>
          </cell>
          <cell r="E1894" t="str">
            <v>407</v>
          </cell>
          <cell r="F1894">
            <v>0</v>
          </cell>
          <cell r="G1894">
            <v>6</v>
          </cell>
          <cell r="H1894" t="str">
            <v>2006-06-30</v>
          </cell>
        </row>
        <row r="1895">
          <cell r="A1895" t="str">
            <v>480000</v>
          </cell>
          <cell r="B1895" t="str">
            <v>1015</v>
          </cell>
          <cell r="C1895">
            <v>92564.45</v>
          </cell>
          <cell r="D1895" t="str">
            <v>210</v>
          </cell>
          <cell r="E1895" t="str">
            <v>407</v>
          </cell>
          <cell r="F1895">
            <v>12648.6</v>
          </cell>
          <cell r="G1895">
            <v>6</v>
          </cell>
          <cell r="H1895" t="str">
            <v>2006-06-30</v>
          </cell>
        </row>
        <row r="1896">
          <cell r="A1896" t="str">
            <v>480001</v>
          </cell>
          <cell r="B1896" t="str">
            <v>1015</v>
          </cell>
          <cell r="C1896">
            <v>-2540540.92</v>
          </cell>
          <cell r="D1896" t="str">
            <v>202</v>
          </cell>
          <cell r="E1896" t="str">
            <v>407</v>
          </cell>
          <cell r="F1896">
            <v>-1954104.95</v>
          </cell>
          <cell r="G1896">
            <v>6</v>
          </cell>
          <cell r="H1896" t="str">
            <v>2006-06-30</v>
          </cell>
        </row>
        <row r="1897">
          <cell r="A1897" t="str">
            <v>480001</v>
          </cell>
          <cell r="B1897" t="str">
            <v>1015</v>
          </cell>
          <cell r="C1897">
            <v>-2389637.33</v>
          </cell>
          <cell r="D1897" t="str">
            <v>203</v>
          </cell>
          <cell r="E1897" t="str">
            <v>407</v>
          </cell>
          <cell r="F1897">
            <v>0</v>
          </cell>
          <cell r="G1897">
            <v>6</v>
          </cell>
          <cell r="H1897" t="str">
            <v>2006-06-30</v>
          </cell>
        </row>
        <row r="1898">
          <cell r="A1898" t="str">
            <v>480001</v>
          </cell>
          <cell r="B1898" t="str">
            <v>1015</v>
          </cell>
          <cell r="C1898">
            <v>-14821690.380000001</v>
          </cell>
          <cell r="D1898" t="str">
            <v>204</v>
          </cell>
          <cell r="E1898" t="str">
            <v>407</v>
          </cell>
          <cell r="F1898">
            <v>0</v>
          </cell>
          <cell r="G1898">
            <v>6</v>
          </cell>
          <cell r="H1898" t="str">
            <v>2006-06-30</v>
          </cell>
        </row>
        <row r="1899">
          <cell r="A1899" t="str">
            <v>480001</v>
          </cell>
          <cell r="B1899" t="str">
            <v>1015</v>
          </cell>
          <cell r="C1899">
            <v>158105.29999999999</v>
          </cell>
          <cell r="D1899" t="str">
            <v>205</v>
          </cell>
          <cell r="E1899" t="str">
            <v>407</v>
          </cell>
          <cell r="F1899">
            <v>0</v>
          </cell>
          <cell r="G1899">
            <v>6</v>
          </cell>
          <cell r="H1899" t="str">
            <v>2006-06-30</v>
          </cell>
        </row>
        <row r="1900">
          <cell r="A1900" t="str">
            <v>480001</v>
          </cell>
          <cell r="B1900" t="str">
            <v>1015</v>
          </cell>
          <cell r="C1900">
            <v>-106975.82</v>
          </cell>
          <cell r="D1900" t="str">
            <v>210</v>
          </cell>
          <cell r="E1900" t="str">
            <v>407</v>
          </cell>
          <cell r="F1900">
            <v>-15020.9</v>
          </cell>
          <cell r="G1900">
            <v>6</v>
          </cell>
          <cell r="H1900" t="str">
            <v>2006-06-30</v>
          </cell>
        </row>
        <row r="1901">
          <cell r="A1901" t="str">
            <v>481000</v>
          </cell>
          <cell r="B1901" t="str">
            <v>1015</v>
          </cell>
          <cell r="C1901">
            <v>-1486.52</v>
          </cell>
          <cell r="D1901" t="str">
            <v>202</v>
          </cell>
          <cell r="E1901" t="str">
            <v>407</v>
          </cell>
          <cell r="F1901">
            <v>-1547.8</v>
          </cell>
          <cell r="G1901">
            <v>6</v>
          </cell>
          <cell r="H1901" t="str">
            <v>2006-06-30</v>
          </cell>
        </row>
        <row r="1902">
          <cell r="A1902" t="str">
            <v>481000</v>
          </cell>
          <cell r="B1902" t="str">
            <v>1015</v>
          </cell>
          <cell r="C1902">
            <v>-770.21</v>
          </cell>
          <cell r="D1902" t="str">
            <v>203</v>
          </cell>
          <cell r="E1902" t="str">
            <v>407</v>
          </cell>
          <cell r="F1902">
            <v>0</v>
          </cell>
          <cell r="G1902">
            <v>6</v>
          </cell>
          <cell r="H1902" t="str">
            <v>2006-06-30</v>
          </cell>
        </row>
        <row r="1903">
          <cell r="A1903" t="str">
            <v>481000</v>
          </cell>
          <cell r="B1903" t="str">
            <v>1015</v>
          </cell>
          <cell r="C1903">
            <v>-10117.58</v>
          </cell>
          <cell r="D1903" t="str">
            <v>204</v>
          </cell>
          <cell r="E1903" t="str">
            <v>407</v>
          </cell>
          <cell r="F1903">
            <v>0</v>
          </cell>
          <cell r="G1903">
            <v>6</v>
          </cell>
          <cell r="H1903" t="str">
            <v>2006-06-30</v>
          </cell>
        </row>
        <row r="1904">
          <cell r="A1904" t="str">
            <v>481000</v>
          </cell>
          <cell r="B1904" t="str">
            <v>1015</v>
          </cell>
          <cell r="C1904">
            <v>-142.46</v>
          </cell>
          <cell r="D1904" t="str">
            <v>205</v>
          </cell>
          <cell r="E1904" t="str">
            <v>407</v>
          </cell>
          <cell r="F1904">
            <v>0</v>
          </cell>
          <cell r="G1904">
            <v>6</v>
          </cell>
          <cell r="H1904" t="str">
            <v>2006-06-30</v>
          </cell>
        </row>
        <row r="1905">
          <cell r="A1905" t="str">
            <v>481004</v>
          </cell>
          <cell r="B1905" t="str">
            <v>1015</v>
          </cell>
          <cell r="C1905">
            <v>-1659710.01</v>
          </cell>
          <cell r="D1905" t="str">
            <v>202</v>
          </cell>
          <cell r="E1905" t="str">
            <v>407</v>
          </cell>
          <cell r="F1905">
            <v>-800587.08</v>
          </cell>
          <cell r="G1905">
            <v>6</v>
          </cell>
          <cell r="H1905" t="str">
            <v>2006-06-30</v>
          </cell>
        </row>
        <row r="1906">
          <cell r="A1906" t="str">
            <v>481004</v>
          </cell>
          <cell r="B1906" t="str">
            <v>1015</v>
          </cell>
          <cell r="C1906">
            <v>-400377.07</v>
          </cell>
          <cell r="D1906" t="str">
            <v>203</v>
          </cell>
          <cell r="E1906" t="str">
            <v>407</v>
          </cell>
          <cell r="F1906">
            <v>0</v>
          </cell>
          <cell r="G1906">
            <v>6</v>
          </cell>
          <cell r="H1906" t="str">
            <v>2006-06-30</v>
          </cell>
        </row>
        <row r="1907">
          <cell r="A1907" t="str">
            <v>481004</v>
          </cell>
          <cell r="B1907" t="str">
            <v>1015</v>
          </cell>
          <cell r="C1907">
            <v>-5231772.5599999996</v>
          </cell>
          <cell r="D1907" t="str">
            <v>204</v>
          </cell>
          <cell r="E1907" t="str">
            <v>407</v>
          </cell>
          <cell r="F1907">
            <v>0</v>
          </cell>
          <cell r="G1907">
            <v>6</v>
          </cell>
          <cell r="H1907" t="str">
            <v>2006-06-30</v>
          </cell>
        </row>
        <row r="1908">
          <cell r="A1908" t="str">
            <v>481004</v>
          </cell>
          <cell r="B1908" t="str">
            <v>1015</v>
          </cell>
          <cell r="C1908">
            <v>-125245.13</v>
          </cell>
          <cell r="D1908" t="str">
            <v>205</v>
          </cell>
          <cell r="E1908" t="str">
            <v>407</v>
          </cell>
          <cell r="F1908">
            <v>0</v>
          </cell>
          <cell r="G1908">
            <v>6</v>
          </cell>
          <cell r="H1908" t="str">
            <v>2006-06-30</v>
          </cell>
        </row>
        <row r="1909">
          <cell r="A1909" t="str">
            <v>481004</v>
          </cell>
          <cell r="B1909" t="str">
            <v>1015</v>
          </cell>
          <cell r="C1909">
            <v>14411.37</v>
          </cell>
          <cell r="D1909" t="str">
            <v>210</v>
          </cell>
          <cell r="E1909" t="str">
            <v>407</v>
          </cell>
          <cell r="F1909">
            <v>2372.3000000000002</v>
          </cell>
          <cell r="G1909">
            <v>6</v>
          </cell>
          <cell r="H1909" t="str">
            <v>2006-06-30</v>
          </cell>
        </row>
        <row r="1910">
          <cell r="A1910" t="str">
            <v>480000</v>
          </cell>
          <cell r="B1910" t="str">
            <v>1015</v>
          </cell>
          <cell r="C1910">
            <v>-53067.25</v>
          </cell>
          <cell r="D1910" t="str">
            <v>202</v>
          </cell>
          <cell r="E1910" t="str">
            <v>408</v>
          </cell>
          <cell r="F1910">
            <v>-12428.48</v>
          </cell>
          <cell r="G1910">
            <v>6</v>
          </cell>
          <cell r="H1910" t="str">
            <v>2006-06-30</v>
          </cell>
        </row>
        <row r="1911">
          <cell r="A1911" t="str">
            <v>480000</v>
          </cell>
          <cell r="B1911" t="str">
            <v>1015</v>
          </cell>
          <cell r="C1911">
            <v>-6214.05</v>
          </cell>
          <cell r="D1911" t="str">
            <v>203</v>
          </cell>
          <cell r="E1911" t="str">
            <v>408</v>
          </cell>
          <cell r="F1911">
            <v>0</v>
          </cell>
          <cell r="G1911">
            <v>6</v>
          </cell>
          <cell r="H1911" t="str">
            <v>2006-06-30</v>
          </cell>
        </row>
        <row r="1912">
          <cell r="A1912" t="str">
            <v>480000</v>
          </cell>
          <cell r="B1912" t="str">
            <v>1015</v>
          </cell>
          <cell r="C1912">
            <v>-81632.66</v>
          </cell>
          <cell r="D1912" t="str">
            <v>204</v>
          </cell>
          <cell r="E1912" t="str">
            <v>408</v>
          </cell>
          <cell r="F1912">
            <v>0</v>
          </cell>
          <cell r="G1912">
            <v>6</v>
          </cell>
          <cell r="H1912" t="str">
            <v>2006-06-30</v>
          </cell>
        </row>
        <row r="1913">
          <cell r="A1913" t="str">
            <v>480000</v>
          </cell>
          <cell r="B1913" t="str">
            <v>1015</v>
          </cell>
          <cell r="C1913">
            <v>-12439.82</v>
          </cell>
          <cell r="D1913" t="str">
            <v>205</v>
          </cell>
          <cell r="E1913" t="str">
            <v>408</v>
          </cell>
          <cell r="F1913">
            <v>0</v>
          </cell>
          <cell r="G1913">
            <v>6</v>
          </cell>
          <cell r="H1913" t="str">
            <v>2006-06-30</v>
          </cell>
        </row>
        <row r="1914">
          <cell r="A1914" t="str">
            <v>480001</v>
          </cell>
          <cell r="B1914" t="str">
            <v>1015</v>
          </cell>
          <cell r="C1914">
            <v>-26605.03</v>
          </cell>
          <cell r="D1914" t="str">
            <v>202</v>
          </cell>
          <cell r="E1914" t="str">
            <v>408</v>
          </cell>
          <cell r="F1914">
            <v>-5014.24</v>
          </cell>
          <cell r="G1914">
            <v>6</v>
          </cell>
          <cell r="H1914" t="str">
            <v>2006-06-30</v>
          </cell>
        </row>
        <row r="1915">
          <cell r="A1915" t="str">
            <v>480001</v>
          </cell>
          <cell r="B1915" t="str">
            <v>1015</v>
          </cell>
          <cell r="C1915">
            <v>-10376.129999999999</v>
          </cell>
          <cell r="D1915" t="str">
            <v>203</v>
          </cell>
          <cell r="E1915" t="str">
            <v>408</v>
          </cell>
          <cell r="F1915">
            <v>0</v>
          </cell>
          <cell r="G1915">
            <v>6</v>
          </cell>
          <cell r="H1915" t="str">
            <v>2006-06-30</v>
          </cell>
        </row>
        <row r="1916">
          <cell r="A1916" t="str">
            <v>480001</v>
          </cell>
          <cell r="B1916" t="str">
            <v>1015</v>
          </cell>
          <cell r="C1916">
            <v>-52355.11</v>
          </cell>
          <cell r="D1916" t="str">
            <v>204</v>
          </cell>
          <cell r="E1916" t="str">
            <v>408</v>
          </cell>
          <cell r="F1916">
            <v>0</v>
          </cell>
          <cell r="G1916">
            <v>6</v>
          </cell>
          <cell r="H1916" t="str">
            <v>2006-06-30</v>
          </cell>
        </row>
        <row r="1917">
          <cell r="A1917" t="str">
            <v>480001</v>
          </cell>
          <cell r="B1917" t="str">
            <v>1015</v>
          </cell>
          <cell r="C1917">
            <v>6714.49</v>
          </cell>
          <cell r="D1917" t="str">
            <v>205</v>
          </cell>
          <cell r="E1917" t="str">
            <v>408</v>
          </cell>
          <cell r="F1917">
            <v>0</v>
          </cell>
          <cell r="G1917">
            <v>6</v>
          </cell>
          <cell r="H1917" t="str">
            <v>2006-06-30</v>
          </cell>
        </row>
        <row r="1918">
          <cell r="A1918" t="str">
            <v>480001</v>
          </cell>
          <cell r="B1918" t="str">
            <v>1015</v>
          </cell>
          <cell r="C1918">
            <v>0</v>
          </cell>
          <cell r="D1918" t="str">
            <v>210</v>
          </cell>
          <cell r="E1918" t="str">
            <v>408</v>
          </cell>
          <cell r="F1918">
            <v>0</v>
          </cell>
          <cell r="G1918">
            <v>6</v>
          </cell>
          <cell r="H1918" t="str">
            <v>2006-06-30</v>
          </cell>
        </row>
        <row r="1919">
          <cell r="A1919" t="str">
            <v>481004</v>
          </cell>
          <cell r="B1919" t="str">
            <v>1015</v>
          </cell>
          <cell r="C1919">
            <v>-30938.720000000001</v>
          </cell>
          <cell r="D1919" t="str">
            <v>202</v>
          </cell>
          <cell r="E1919" t="str">
            <v>408</v>
          </cell>
          <cell r="F1919">
            <v>-7655.28</v>
          </cell>
          <cell r="G1919">
            <v>6</v>
          </cell>
          <cell r="H1919" t="str">
            <v>2006-06-30</v>
          </cell>
        </row>
        <row r="1920">
          <cell r="A1920" t="str">
            <v>481004</v>
          </cell>
          <cell r="B1920" t="str">
            <v>1015</v>
          </cell>
          <cell r="C1920">
            <v>-3811.82</v>
          </cell>
          <cell r="D1920" t="str">
            <v>203</v>
          </cell>
          <cell r="E1920" t="str">
            <v>408</v>
          </cell>
          <cell r="F1920">
            <v>0</v>
          </cell>
          <cell r="G1920">
            <v>6</v>
          </cell>
          <cell r="H1920" t="str">
            <v>2006-06-30</v>
          </cell>
        </row>
        <row r="1921">
          <cell r="A1921" t="str">
            <v>481004</v>
          </cell>
          <cell r="B1921" t="str">
            <v>1015</v>
          </cell>
          <cell r="C1921">
            <v>-50073.23</v>
          </cell>
          <cell r="D1921" t="str">
            <v>204</v>
          </cell>
          <cell r="E1921" t="str">
            <v>408</v>
          </cell>
          <cell r="F1921">
            <v>0</v>
          </cell>
          <cell r="G1921">
            <v>6</v>
          </cell>
          <cell r="H1921" t="str">
            <v>2006-06-30</v>
          </cell>
        </row>
        <row r="1922">
          <cell r="A1922" t="str">
            <v>481004</v>
          </cell>
          <cell r="B1922" t="str">
            <v>1015</v>
          </cell>
          <cell r="C1922">
            <v>-5222.67</v>
          </cell>
          <cell r="D1922" t="str">
            <v>205</v>
          </cell>
          <cell r="E1922" t="str">
            <v>408</v>
          </cell>
          <cell r="F1922">
            <v>0</v>
          </cell>
          <cell r="G1922">
            <v>6</v>
          </cell>
          <cell r="H1922" t="str">
            <v>2006-06-30</v>
          </cell>
        </row>
        <row r="1923">
          <cell r="A1923" t="str">
            <v>481002</v>
          </cell>
          <cell r="B1923" t="str">
            <v>1015</v>
          </cell>
          <cell r="C1923">
            <v>-6551.18</v>
          </cell>
          <cell r="D1923" t="str">
            <v>202</v>
          </cell>
          <cell r="E1923" t="str">
            <v>411</v>
          </cell>
          <cell r="F1923">
            <v>-36560</v>
          </cell>
          <cell r="G1923">
            <v>6</v>
          </cell>
          <cell r="H1923" t="str">
            <v>2006-06-30</v>
          </cell>
        </row>
        <row r="1924">
          <cell r="A1924" t="str">
            <v>481002</v>
          </cell>
          <cell r="B1924" t="str">
            <v>1015</v>
          </cell>
          <cell r="C1924">
            <v>-6685.72</v>
          </cell>
          <cell r="D1924" t="str">
            <v>203</v>
          </cell>
          <cell r="E1924" t="str">
            <v>411</v>
          </cell>
          <cell r="F1924">
            <v>0</v>
          </cell>
          <cell r="G1924">
            <v>6</v>
          </cell>
          <cell r="H1924" t="str">
            <v>2006-06-30</v>
          </cell>
        </row>
        <row r="1925">
          <cell r="A1925" t="str">
            <v>481002</v>
          </cell>
          <cell r="B1925" t="str">
            <v>1015</v>
          </cell>
          <cell r="C1925">
            <v>-175964.37</v>
          </cell>
          <cell r="D1925" t="str">
            <v>204</v>
          </cell>
          <cell r="E1925" t="str">
            <v>411</v>
          </cell>
          <cell r="F1925">
            <v>0</v>
          </cell>
          <cell r="G1925">
            <v>6</v>
          </cell>
          <cell r="H1925" t="str">
            <v>2006-06-30</v>
          </cell>
        </row>
        <row r="1926">
          <cell r="A1926" t="str">
            <v>481005</v>
          </cell>
          <cell r="B1926" t="str">
            <v>1015</v>
          </cell>
          <cell r="C1926">
            <v>-22104.79</v>
          </cell>
          <cell r="D1926" t="str">
            <v>202</v>
          </cell>
          <cell r="E1926" t="str">
            <v>411</v>
          </cell>
          <cell r="F1926">
            <v>-88687</v>
          </cell>
          <cell r="G1926">
            <v>6</v>
          </cell>
          <cell r="H1926" t="str">
            <v>2006-06-30</v>
          </cell>
        </row>
        <row r="1927">
          <cell r="A1927" t="str">
            <v>481005</v>
          </cell>
          <cell r="B1927" t="str">
            <v>1015</v>
          </cell>
          <cell r="C1927">
            <v>-16218.3</v>
          </cell>
          <cell r="D1927" t="str">
            <v>203</v>
          </cell>
          <cell r="E1927" t="str">
            <v>411</v>
          </cell>
          <cell r="F1927">
            <v>0</v>
          </cell>
          <cell r="G1927">
            <v>6</v>
          </cell>
          <cell r="H1927" t="str">
            <v>2006-06-30</v>
          </cell>
        </row>
        <row r="1928">
          <cell r="A1928" t="str">
            <v>481005</v>
          </cell>
          <cell r="B1928" t="str">
            <v>1015</v>
          </cell>
          <cell r="C1928">
            <v>-426853.01</v>
          </cell>
          <cell r="D1928" t="str">
            <v>204</v>
          </cell>
          <cell r="E1928" t="str">
            <v>411</v>
          </cell>
          <cell r="F1928">
            <v>0</v>
          </cell>
          <cell r="G1928">
            <v>6</v>
          </cell>
          <cell r="H1928" t="str">
            <v>2006-06-30</v>
          </cell>
        </row>
        <row r="1929">
          <cell r="A1929" t="str">
            <v>481002</v>
          </cell>
          <cell r="B1929" t="str">
            <v>1015</v>
          </cell>
          <cell r="C1929">
            <v>0</v>
          </cell>
          <cell r="D1929" t="str">
            <v>210</v>
          </cell>
          <cell r="E1929" t="str">
            <v>412</v>
          </cell>
          <cell r="F1929">
            <v>0</v>
          </cell>
          <cell r="G1929">
            <v>6</v>
          </cell>
          <cell r="H1929" t="str">
            <v>2006-06-30</v>
          </cell>
        </row>
        <row r="1930">
          <cell r="A1930" t="str">
            <v>481002</v>
          </cell>
          <cell r="B1930" t="str">
            <v>1015</v>
          </cell>
          <cell r="C1930">
            <v>-2017.49</v>
          </cell>
          <cell r="D1930" t="str">
            <v>202</v>
          </cell>
          <cell r="E1930" t="str">
            <v>414</v>
          </cell>
          <cell r="F1930">
            <v>-706</v>
          </cell>
          <cell r="G1930">
            <v>6</v>
          </cell>
          <cell r="H1930" t="str">
            <v>2006-06-30</v>
          </cell>
        </row>
        <row r="1931">
          <cell r="A1931" t="str">
            <v>481002</v>
          </cell>
          <cell r="B1931" t="str">
            <v>1015</v>
          </cell>
          <cell r="C1931">
            <v>-129.11000000000001</v>
          </cell>
          <cell r="D1931" t="str">
            <v>203</v>
          </cell>
          <cell r="E1931" t="str">
            <v>414</v>
          </cell>
          <cell r="F1931">
            <v>0</v>
          </cell>
          <cell r="G1931">
            <v>6</v>
          </cell>
          <cell r="H1931" t="str">
            <v>2006-06-30</v>
          </cell>
        </row>
        <row r="1932">
          <cell r="A1932" t="str">
            <v>481002</v>
          </cell>
          <cell r="B1932" t="str">
            <v>1015</v>
          </cell>
          <cell r="C1932">
            <v>-3398</v>
          </cell>
          <cell r="D1932" t="str">
            <v>204</v>
          </cell>
          <cell r="E1932" t="str">
            <v>414</v>
          </cell>
          <cell r="F1932">
            <v>0</v>
          </cell>
          <cell r="G1932">
            <v>6</v>
          </cell>
          <cell r="H1932" t="str">
            <v>2006-06-30</v>
          </cell>
        </row>
        <row r="1933">
          <cell r="A1933" t="str">
            <v>481005</v>
          </cell>
          <cell r="B1933" t="str">
            <v>1015</v>
          </cell>
          <cell r="C1933">
            <v>-13372.59</v>
          </cell>
          <cell r="D1933" t="str">
            <v>202</v>
          </cell>
          <cell r="E1933" t="str">
            <v>414</v>
          </cell>
          <cell r="F1933">
            <v>-14778</v>
          </cell>
          <cell r="G1933">
            <v>6</v>
          </cell>
          <cell r="H1933" t="str">
            <v>2006-06-30</v>
          </cell>
        </row>
        <row r="1934">
          <cell r="A1934" t="str">
            <v>481005</v>
          </cell>
          <cell r="B1934" t="str">
            <v>1015</v>
          </cell>
          <cell r="C1934">
            <v>-2702.66</v>
          </cell>
          <cell r="D1934" t="str">
            <v>203</v>
          </cell>
          <cell r="E1934" t="str">
            <v>414</v>
          </cell>
          <cell r="F1934">
            <v>0</v>
          </cell>
          <cell r="G1934">
            <v>6</v>
          </cell>
          <cell r="H1934" t="str">
            <v>2006-06-30</v>
          </cell>
        </row>
        <row r="1935">
          <cell r="A1935" t="str">
            <v>481005</v>
          </cell>
          <cell r="B1935" t="str">
            <v>1015</v>
          </cell>
          <cell r="C1935">
            <v>-71126.929999999993</v>
          </cell>
          <cell r="D1935" t="str">
            <v>204</v>
          </cell>
          <cell r="E1935" t="str">
            <v>414</v>
          </cell>
          <cell r="F1935">
            <v>0</v>
          </cell>
          <cell r="G1935">
            <v>6</v>
          </cell>
          <cell r="H1935" t="str">
            <v>2006-06-30</v>
          </cell>
        </row>
        <row r="1936">
          <cell r="A1936" t="str">
            <v>489300</v>
          </cell>
          <cell r="B1936" t="str">
            <v>1015</v>
          </cell>
          <cell r="C1936">
            <v>-168686.38</v>
          </cell>
          <cell r="D1936" t="str">
            <v>250</v>
          </cell>
          <cell r="E1936" t="str">
            <v>415</v>
          </cell>
          <cell r="F1936">
            <v>-1117429</v>
          </cell>
          <cell r="G1936">
            <v>6</v>
          </cell>
          <cell r="H1936" t="str">
            <v>2006-06-30</v>
          </cell>
        </row>
        <row r="1937">
          <cell r="A1937" t="str">
            <v>489304</v>
          </cell>
          <cell r="B1937" t="str">
            <v>1015</v>
          </cell>
          <cell r="C1937">
            <v>-62851.11</v>
          </cell>
          <cell r="D1937" t="str">
            <v>250</v>
          </cell>
          <cell r="E1937" t="str">
            <v>415</v>
          </cell>
          <cell r="F1937">
            <v>-253455</v>
          </cell>
          <cell r="G1937">
            <v>6</v>
          </cell>
          <cell r="H1937" t="str">
            <v>2006-06-30</v>
          </cell>
        </row>
        <row r="1938">
          <cell r="A1938" t="str">
            <v>489304</v>
          </cell>
          <cell r="B1938" t="str">
            <v>1015</v>
          </cell>
          <cell r="C1938">
            <v>-775.92</v>
          </cell>
          <cell r="D1938" t="str">
            <v>250</v>
          </cell>
          <cell r="E1938" t="str">
            <v>416</v>
          </cell>
          <cell r="F1938">
            <v>-788</v>
          </cell>
          <cell r="G1938">
            <v>6</v>
          </cell>
          <cell r="H1938" t="str">
            <v>2006-06-30</v>
          </cell>
        </row>
        <row r="1939">
          <cell r="A1939" t="str">
            <v>481000</v>
          </cell>
          <cell r="B1939" t="str">
            <v>1015</v>
          </cell>
          <cell r="C1939">
            <v>0</v>
          </cell>
          <cell r="D1939" t="str">
            <v>202</v>
          </cell>
          <cell r="E1939" t="str">
            <v>451</v>
          </cell>
          <cell r="F1939">
            <v>0</v>
          </cell>
          <cell r="G1939">
            <v>6</v>
          </cell>
          <cell r="H1939" t="str">
            <v>2006-06-30</v>
          </cell>
        </row>
        <row r="1940">
          <cell r="A1940" t="str">
            <v>481000</v>
          </cell>
          <cell r="B1940" t="str">
            <v>1015</v>
          </cell>
          <cell r="C1940">
            <v>0</v>
          </cell>
          <cell r="D1940" t="str">
            <v>204</v>
          </cell>
          <cell r="E1940" t="str">
            <v>451</v>
          </cell>
          <cell r="F1940">
            <v>0</v>
          </cell>
          <cell r="G1940">
            <v>6</v>
          </cell>
          <cell r="H1940" t="str">
            <v>2006-06-30</v>
          </cell>
        </row>
        <row r="1941">
          <cell r="A1941" t="str">
            <v>481000</v>
          </cell>
          <cell r="B1941" t="str">
            <v>1015</v>
          </cell>
          <cell r="C1941">
            <v>0</v>
          </cell>
          <cell r="D1941" t="str">
            <v>210</v>
          </cell>
          <cell r="E1941" t="str">
            <v>451</v>
          </cell>
          <cell r="F1941">
            <v>0</v>
          </cell>
          <cell r="G1941">
            <v>6</v>
          </cell>
          <cell r="H1941" t="str">
            <v>2006-06-30</v>
          </cell>
        </row>
        <row r="1942">
          <cell r="A1942" t="str">
            <v>481004</v>
          </cell>
          <cell r="B1942" t="str">
            <v>1015</v>
          </cell>
          <cell r="C1942">
            <v>-16478</v>
          </cell>
          <cell r="D1942" t="str">
            <v>202</v>
          </cell>
          <cell r="E1942" t="str">
            <v>451</v>
          </cell>
          <cell r="F1942">
            <v>-15788</v>
          </cell>
          <cell r="G1942">
            <v>6</v>
          </cell>
          <cell r="H1942" t="str">
            <v>2006-06-30</v>
          </cell>
        </row>
        <row r="1943">
          <cell r="A1943" t="str">
            <v>481004</v>
          </cell>
          <cell r="B1943" t="str">
            <v>1015</v>
          </cell>
          <cell r="C1943">
            <v>-121723</v>
          </cell>
          <cell r="D1943" t="str">
            <v>204</v>
          </cell>
          <cell r="E1943" t="str">
            <v>451</v>
          </cell>
          <cell r="F1943">
            <v>0</v>
          </cell>
          <cell r="G1943">
            <v>6</v>
          </cell>
          <cell r="H1943" t="str">
            <v>2006-06-30</v>
          </cell>
        </row>
        <row r="1944">
          <cell r="A1944" t="str">
            <v>481004</v>
          </cell>
          <cell r="B1944" t="str">
            <v>1015</v>
          </cell>
          <cell r="C1944">
            <v>0</v>
          </cell>
          <cell r="D1944" t="str">
            <v>210</v>
          </cell>
          <cell r="E1944" t="str">
            <v>451</v>
          </cell>
          <cell r="F1944">
            <v>0</v>
          </cell>
          <cell r="G1944">
            <v>6</v>
          </cell>
          <cell r="H1944" t="str">
            <v>2006-06-30</v>
          </cell>
        </row>
        <row r="1945">
          <cell r="A1945" t="str">
            <v>480000</v>
          </cell>
          <cell r="B1945" t="str">
            <v>1015</v>
          </cell>
          <cell r="C1945">
            <v>-320088.11</v>
          </cell>
          <cell r="D1945" t="str">
            <v>202</v>
          </cell>
          <cell r="E1945" t="str">
            <v>453</v>
          </cell>
          <cell r="F1945">
            <v>-69460.929999999993</v>
          </cell>
          <cell r="G1945">
            <v>6</v>
          </cell>
          <cell r="H1945" t="str">
            <v>2006-06-30</v>
          </cell>
        </row>
        <row r="1946">
          <cell r="A1946" t="str">
            <v>480000</v>
          </cell>
          <cell r="B1946" t="str">
            <v>1015</v>
          </cell>
          <cell r="C1946">
            <v>-523651.98</v>
          </cell>
          <cell r="D1946" t="str">
            <v>204</v>
          </cell>
          <cell r="E1946" t="str">
            <v>453</v>
          </cell>
          <cell r="F1946">
            <v>0</v>
          </cell>
          <cell r="G1946">
            <v>6</v>
          </cell>
          <cell r="H1946" t="str">
            <v>2006-06-30</v>
          </cell>
        </row>
        <row r="1947">
          <cell r="A1947" t="str">
            <v>480000</v>
          </cell>
          <cell r="B1947" t="str">
            <v>1015</v>
          </cell>
          <cell r="C1947">
            <v>-35604.19</v>
          </cell>
          <cell r="D1947" t="str">
            <v>205</v>
          </cell>
          <cell r="E1947" t="str">
            <v>453</v>
          </cell>
          <cell r="F1947">
            <v>0</v>
          </cell>
          <cell r="G1947">
            <v>6</v>
          </cell>
          <cell r="H1947" t="str">
            <v>2006-06-30</v>
          </cell>
        </row>
        <row r="1948">
          <cell r="A1948" t="str">
            <v>480000</v>
          </cell>
          <cell r="B1948" t="str">
            <v>1015</v>
          </cell>
          <cell r="C1948">
            <v>14.75</v>
          </cell>
          <cell r="D1948" t="str">
            <v>210</v>
          </cell>
          <cell r="E1948" t="str">
            <v>453</v>
          </cell>
          <cell r="F1948">
            <v>0.9</v>
          </cell>
          <cell r="G1948">
            <v>6</v>
          </cell>
          <cell r="H1948" t="str">
            <v>2006-06-30</v>
          </cell>
        </row>
        <row r="1949">
          <cell r="A1949" t="str">
            <v>480001</v>
          </cell>
          <cell r="B1949" t="str">
            <v>1015</v>
          </cell>
          <cell r="C1949">
            <v>211758.67</v>
          </cell>
          <cell r="D1949" t="str">
            <v>202</v>
          </cell>
          <cell r="E1949" t="str">
            <v>453</v>
          </cell>
          <cell r="F1949">
            <v>2999.35</v>
          </cell>
          <cell r="G1949">
            <v>6</v>
          </cell>
          <cell r="H1949" t="str">
            <v>2006-06-30</v>
          </cell>
        </row>
        <row r="1950">
          <cell r="A1950" t="str">
            <v>480001</v>
          </cell>
          <cell r="B1950" t="str">
            <v>1015</v>
          </cell>
          <cell r="C1950">
            <v>0</v>
          </cell>
          <cell r="D1950" t="str">
            <v>203</v>
          </cell>
          <cell r="E1950" t="str">
            <v>453</v>
          </cell>
          <cell r="F1950">
            <v>0</v>
          </cell>
          <cell r="G1950">
            <v>6</v>
          </cell>
          <cell r="H1950" t="str">
            <v>2006-06-30</v>
          </cell>
        </row>
        <row r="1951">
          <cell r="A1951" t="str">
            <v>480001</v>
          </cell>
          <cell r="B1951" t="str">
            <v>1015</v>
          </cell>
          <cell r="C1951">
            <v>-27380.799999999999</v>
          </cell>
          <cell r="D1951" t="str">
            <v>204</v>
          </cell>
          <cell r="E1951" t="str">
            <v>453</v>
          </cell>
          <cell r="F1951">
            <v>0</v>
          </cell>
          <cell r="G1951">
            <v>6</v>
          </cell>
          <cell r="H1951" t="str">
            <v>2006-06-30</v>
          </cell>
        </row>
        <row r="1952">
          <cell r="A1952" t="str">
            <v>480001</v>
          </cell>
          <cell r="B1952" t="str">
            <v>1015</v>
          </cell>
          <cell r="C1952">
            <v>-6408.45</v>
          </cell>
          <cell r="D1952" t="str">
            <v>205</v>
          </cell>
          <cell r="E1952" t="str">
            <v>453</v>
          </cell>
          <cell r="F1952">
            <v>0</v>
          </cell>
          <cell r="G1952">
            <v>6</v>
          </cell>
          <cell r="H1952" t="str">
            <v>2006-06-30</v>
          </cell>
        </row>
        <row r="1953">
          <cell r="A1953" t="str">
            <v>480001</v>
          </cell>
          <cell r="B1953" t="str">
            <v>1015</v>
          </cell>
          <cell r="C1953">
            <v>-14.75</v>
          </cell>
          <cell r="D1953" t="str">
            <v>210</v>
          </cell>
          <cell r="E1953" t="str">
            <v>453</v>
          </cell>
          <cell r="F1953">
            <v>-0.9</v>
          </cell>
          <cell r="G1953">
            <v>6</v>
          </cell>
          <cell r="H1953" t="str">
            <v>2006-06-30</v>
          </cell>
        </row>
        <row r="1954">
          <cell r="A1954" t="str">
            <v>481004</v>
          </cell>
          <cell r="B1954" t="str">
            <v>1015</v>
          </cell>
          <cell r="C1954">
            <v>-74930.559999999998</v>
          </cell>
          <cell r="D1954" t="str">
            <v>202</v>
          </cell>
          <cell r="E1954" t="str">
            <v>453</v>
          </cell>
          <cell r="F1954">
            <v>-28983.42</v>
          </cell>
          <cell r="G1954">
            <v>6</v>
          </cell>
          <cell r="H1954" t="str">
            <v>2006-06-30</v>
          </cell>
        </row>
        <row r="1955">
          <cell r="A1955" t="str">
            <v>481004</v>
          </cell>
          <cell r="B1955" t="str">
            <v>1015</v>
          </cell>
          <cell r="C1955">
            <v>-217691.22</v>
          </cell>
          <cell r="D1955" t="str">
            <v>204</v>
          </cell>
          <cell r="E1955" t="str">
            <v>453</v>
          </cell>
          <cell r="F1955">
            <v>0</v>
          </cell>
          <cell r="G1955">
            <v>6</v>
          </cell>
          <cell r="H1955" t="str">
            <v>2006-06-30</v>
          </cell>
        </row>
        <row r="1956">
          <cell r="A1956" t="str">
            <v>481004</v>
          </cell>
          <cell r="B1956" t="str">
            <v>1015</v>
          </cell>
          <cell r="C1956">
            <v>-16419.36</v>
          </cell>
          <cell r="D1956" t="str">
            <v>205</v>
          </cell>
          <cell r="E1956" t="str">
            <v>453</v>
          </cell>
          <cell r="F1956">
            <v>0</v>
          </cell>
          <cell r="G1956">
            <v>6</v>
          </cell>
          <cell r="H1956" t="str">
            <v>2006-06-30</v>
          </cell>
        </row>
        <row r="1957">
          <cell r="A1957" t="str">
            <v>480000</v>
          </cell>
          <cell r="B1957" t="str">
            <v>1015</v>
          </cell>
          <cell r="C1957">
            <v>-12116.92</v>
          </cell>
          <cell r="D1957" t="str">
            <v>202</v>
          </cell>
          <cell r="E1957" t="str">
            <v>455</v>
          </cell>
          <cell r="F1957">
            <v>-2777.36</v>
          </cell>
          <cell r="G1957">
            <v>6</v>
          </cell>
          <cell r="H1957" t="str">
            <v>2006-06-30</v>
          </cell>
        </row>
        <row r="1958">
          <cell r="A1958" t="str">
            <v>480000</v>
          </cell>
          <cell r="B1958" t="str">
            <v>1015</v>
          </cell>
          <cell r="C1958">
            <v>-20933.04</v>
          </cell>
          <cell r="D1958" t="str">
            <v>204</v>
          </cell>
          <cell r="E1958" t="str">
            <v>455</v>
          </cell>
          <cell r="F1958">
            <v>0</v>
          </cell>
          <cell r="G1958">
            <v>6</v>
          </cell>
          <cell r="H1958" t="str">
            <v>2006-06-30</v>
          </cell>
        </row>
        <row r="1959">
          <cell r="A1959" t="str">
            <v>480000</v>
          </cell>
          <cell r="B1959" t="str">
            <v>1015</v>
          </cell>
          <cell r="C1959">
            <v>-3444.65</v>
          </cell>
          <cell r="D1959" t="str">
            <v>205</v>
          </cell>
          <cell r="E1959" t="str">
            <v>455</v>
          </cell>
          <cell r="F1959">
            <v>0</v>
          </cell>
          <cell r="G1959">
            <v>6</v>
          </cell>
          <cell r="H1959" t="str">
            <v>2006-06-30</v>
          </cell>
        </row>
        <row r="1960">
          <cell r="A1960" t="str">
            <v>480001</v>
          </cell>
          <cell r="B1960" t="str">
            <v>1015</v>
          </cell>
          <cell r="C1960">
            <v>5726.46</v>
          </cell>
          <cell r="D1960" t="str">
            <v>202</v>
          </cell>
          <cell r="E1960" t="str">
            <v>455</v>
          </cell>
          <cell r="F1960">
            <v>2021.03</v>
          </cell>
          <cell r="G1960">
            <v>6</v>
          </cell>
          <cell r="H1960" t="str">
            <v>2006-06-30</v>
          </cell>
        </row>
        <row r="1961">
          <cell r="A1961" t="str">
            <v>480001</v>
          </cell>
          <cell r="B1961" t="str">
            <v>1015</v>
          </cell>
          <cell r="C1961">
            <v>0</v>
          </cell>
          <cell r="D1961" t="str">
            <v>203</v>
          </cell>
          <cell r="E1961" t="str">
            <v>455</v>
          </cell>
          <cell r="F1961">
            <v>0</v>
          </cell>
          <cell r="G1961">
            <v>6</v>
          </cell>
          <cell r="H1961" t="str">
            <v>2006-06-30</v>
          </cell>
        </row>
        <row r="1962">
          <cell r="A1962" t="str">
            <v>480001</v>
          </cell>
          <cell r="B1962" t="str">
            <v>1015</v>
          </cell>
          <cell r="C1962">
            <v>14720.28</v>
          </cell>
          <cell r="D1962" t="str">
            <v>204</v>
          </cell>
          <cell r="E1962" t="str">
            <v>455</v>
          </cell>
          <cell r="F1962">
            <v>0</v>
          </cell>
          <cell r="G1962">
            <v>6</v>
          </cell>
          <cell r="H1962" t="str">
            <v>2006-06-30</v>
          </cell>
        </row>
        <row r="1963">
          <cell r="A1963" t="str">
            <v>480001</v>
          </cell>
          <cell r="B1963" t="str">
            <v>1015</v>
          </cell>
          <cell r="C1963">
            <v>5526.99</v>
          </cell>
          <cell r="D1963" t="str">
            <v>205</v>
          </cell>
          <cell r="E1963" t="str">
            <v>455</v>
          </cell>
          <cell r="F1963">
            <v>0</v>
          </cell>
          <cell r="G1963">
            <v>6</v>
          </cell>
          <cell r="H1963" t="str">
            <v>2006-06-30</v>
          </cell>
        </row>
        <row r="1964">
          <cell r="A1964" t="str">
            <v>480001</v>
          </cell>
          <cell r="B1964" t="str">
            <v>1015</v>
          </cell>
          <cell r="C1964">
            <v>0</v>
          </cell>
          <cell r="D1964" t="str">
            <v>210</v>
          </cell>
          <cell r="E1964" t="str">
            <v>455</v>
          </cell>
          <cell r="F1964">
            <v>0</v>
          </cell>
          <cell r="G1964">
            <v>6</v>
          </cell>
          <cell r="H1964" t="str">
            <v>2006-06-30</v>
          </cell>
        </row>
        <row r="1965">
          <cell r="A1965" t="str">
            <v>481004</v>
          </cell>
          <cell r="B1965" t="str">
            <v>1015</v>
          </cell>
          <cell r="C1965">
            <v>-4611.54</v>
          </cell>
          <cell r="D1965" t="str">
            <v>202</v>
          </cell>
          <cell r="E1965" t="str">
            <v>455</v>
          </cell>
          <cell r="F1965">
            <v>-1479.67</v>
          </cell>
          <cell r="G1965">
            <v>6</v>
          </cell>
          <cell r="H1965" t="str">
            <v>2006-06-30</v>
          </cell>
        </row>
        <row r="1966">
          <cell r="A1966" t="str">
            <v>481004</v>
          </cell>
          <cell r="B1966" t="str">
            <v>1015</v>
          </cell>
          <cell r="C1966">
            <v>-11026.24</v>
          </cell>
          <cell r="D1966" t="str">
            <v>204</v>
          </cell>
          <cell r="E1966" t="str">
            <v>455</v>
          </cell>
          <cell r="F1966">
            <v>0</v>
          </cell>
          <cell r="G1966">
            <v>6</v>
          </cell>
          <cell r="H1966" t="str">
            <v>2006-06-30</v>
          </cell>
        </row>
        <row r="1967">
          <cell r="A1967" t="str">
            <v>481004</v>
          </cell>
          <cell r="B1967" t="str">
            <v>1015</v>
          </cell>
          <cell r="C1967">
            <v>-2082.34</v>
          </cell>
          <cell r="D1967" t="str">
            <v>205</v>
          </cell>
          <cell r="E1967" t="str">
            <v>455</v>
          </cell>
          <cell r="F1967">
            <v>0</v>
          </cell>
          <cell r="G1967">
            <v>6</v>
          </cell>
          <cell r="H1967" t="str">
            <v>2006-06-30</v>
          </cell>
        </row>
        <row r="1968">
          <cell r="A1968" t="str">
            <v>481002</v>
          </cell>
          <cell r="B1968" t="str">
            <v>1015</v>
          </cell>
          <cell r="C1968">
            <v>0</v>
          </cell>
          <cell r="D1968" t="str">
            <v>202</v>
          </cell>
          <cell r="E1968" t="str">
            <v>456</v>
          </cell>
          <cell r="F1968">
            <v>0</v>
          </cell>
          <cell r="G1968">
            <v>6</v>
          </cell>
          <cell r="H1968" t="str">
            <v>2006-06-30</v>
          </cell>
        </row>
        <row r="1969">
          <cell r="A1969" t="str">
            <v>481002</v>
          </cell>
          <cell r="B1969" t="str">
            <v>1015</v>
          </cell>
          <cell r="C1969">
            <v>0</v>
          </cell>
          <cell r="D1969" t="str">
            <v>203</v>
          </cell>
          <cell r="E1969" t="str">
            <v>456</v>
          </cell>
          <cell r="F1969">
            <v>0</v>
          </cell>
          <cell r="G1969">
            <v>6</v>
          </cell>
          <cell r="H1969" t="str">
            <v>2006-06-30</v>
          </cell>
        </row>
        <row r="1970">
          <cell r="A1970" t="str">
            <v>481002</v>
          </cell>
          <cell r="B1970" t="str">
            <v>1015</v>
          </cell>
          <cell r="C1970">
            <v>0</v>
          </cell>
          <cell r="D1970" t="str">
            <v>204</v>
          </cell>
          <cell r="E1970" t="str">
            <v>456</v>
          </cell>
          <cell r="F1970">
            <v>0</v>
          </cell>
          <cell r="G1970">
            <v>6</v>
          </cell>
          <cell r="H1970" t="str">
            <v>2006-06-30</v>
          </cell>
        </row>
        <row r="1971">
          <cell r="A1971" t="str">
            <v>481002</v>
          </cell>
          <cell r="B1971" t="str">
            <v>1015</v>
          </cell>
          <cell r="C1971">
            <v>0</v>
          </cell>
          <cell r="D1971" t="str">
            <v>210</v>
          </cell>
          <cell r="E1971" t="str">
            <v>456</v>
          </cell>
          <cell r="F1971">
            <v>0</v>
          </cell>
          <cell r="G1971">
            <v>6</v>
          </cell>
          <cell r="H1971" t="str">
            <v>2006-06-30</v>
          </cell>
        </row>
        <row r="1972">
          <cell r="A1972" t="str">
            <v>481002</v>
          </cell>
          <cell r="B1972" t="str">
            <v>1015</v>
          </cell>
          <cell r="C1972">
            <v>-357.71</v>
          </cell>
          <cell r="D1972" t="str">
            <v>202</v>
          </cell>
          <cell r="E1972" t="str">
            <v>457</v>
          </cell>
          <cell r="F1972">
            <v>-2124</v>
          </cell>
          <cell r="G1972">
            <v>6</v>
          </cell>
          <cell r="H1972" t="str">
            <v>2006-06-30</v>
          </cell>
        </row>
        <row r="1973">
          <cell r="A1973" t="str">
            <v>481002</v>
          </cell>
          <cell r="B1973" t="str">
            <v>1015</v>
          </cell>
          <cell r="C1973">
            <v>-388.42</v>
          </cell>
          <cell r="D1973" t="str">
            <v>203</v>
          </cell>
          <cell r="E1973" t="str">
            <v>457</v>
          </cell>
          <cell r="F1973">
            <v>0</v>
          </cell>
          <cell r="G1973">
            <v>6</v>
          </cell>
          <cell r="H1973" t="str">
            <v>2006-06-30</v>
          </cell>
        </row>
        <row r="1974">
          <cell r="A1974" t="str">
            <v>481002</v>
          </cell>
          <cell r="B1974" t="str">
            <v>1015</v>
          </cell>
          <cell r="C1974">
            <v>-10198.56</v>
          </cell>
          <cell r="D1974" t="str">
            <v>204</v>
          </cell>
          <cell r="E1974" t="str">
            <v>457</v>
          </cell>
          <cell r="F1974">
            <v>0</v>
          </cell>
          <cell r="G1974">
            <v>6</v>
          </cell>
          <cell r="H1974" t="str">
            <v>2006-06-30</v>
          </cell>
        </row>
        <row r="1975">
          <cell r="A1975" t="str">
            <v>481005</v>
          </cell>
          <cell r="B1975" t="str">
            <v>1015</v>
          </cell>
          <cell r="C1975">
            <v>-1105</v>
          </cell>
          <cell r="D1975" t="str">
            <v>202</v>
          </cell>
          <cell r="E1975" t="str">
            <v>457</v>
          </cell>
          <cell r="F1975">
            <v>-4812</v>
          </cell>
          <cell r="G1975">
            <v>6</v>
          </cell>
          <cell r="H1975" t="str">
            <v>2006-06-30</v>
          </cell>
        </row>
        <row r="1976">
          <cell r="A1976" t="str">
            <v>481005</v>
          </cell>
          <cell r="B1976" t="str">
            <v>1015</v>
          </cell>
          <cell r="C1976">
            <v>-880</v>
          </cell>
          <cell r="D1976" t="str">
            <v>203</v>
          </cell>
          <cell r="E1976" t="str">
            <v>457</v>
          </cell>
          <cell r="F1976">
            <v>0</v>
          </cell>
          <cell r="G1976">
            <v>6</v>
          </cell>
          <cell r="H1976" t="str">
            <v>2006-06-30</v>
          </cell>
        </row>
        <row r="1977">
          <cell r="A1977" t="str">
            <v>481005</v>
          </cell>
          <cell r="B1977" t="str">
            <v>1015</v>
          </cell>
          <cell r="C1977">
            <v>-23105</v>
          </cell>
          <cell r="D1977" t="str">
            <v>204</v>
          </cell>
          <cell r="E1977" t="str">
            <v>457</v>
          </cell>
          <cell r="F1977">
            <v>0</v>
          </cell>
          <cell r="G1977">
            <v>6</v>
          </cell>
          <cell r="H1977" t="str">
            <v>2006-06-30</v>
          </cell>
        </row>
        <row r="1978">
          <cell r="A1978" t="str">
            <v>489300</v>
          </cell>
          <cell r="B1978" t="str">
            <v>1015</v>
          </cell>
          <cell r="C1978">
            <v>-3169.91</v>
          </cell>
          <cell r="D1978" t="str">
            <v>250</v>
          </cell>
          <cell r="E1978" t="str">
            <v>458</v>
          </cell>
          <cell r="F1978">
            <v>-23894</v>
          </cell>
          <cell r="G1978">
            <v>6</v>
          </cell>
          <cell r="H1978" t="str">
            <v>2006-06-30</v>
          </cell>
        </row>
        <row r="1979">
          <cell r="A1979" t="str">
            <v>489304</v>
          </cell>
          <cell r="B1979" t="str">
            <v>1015</v>
          </cell>
          <cell r="C1979">
            <v>-496.4</v>
          </cell>
          <cell r="D1979" t="str">
            <v>250</v>
          </cell>
          <cell r="E1979" t="str">
            <v>458</v>
          </cell>
          <cell r="F1979">
            <v>-1318</v>
          </cell>
          <cell r="G1979">
            <v>6</v>
          </cell>
          <cell r="H1979" t="str">
            <v>2006-06-30</v>
          </cell>
        </row>
        <row r="1980">
          <cell r="A1980" t="str">
            <v>489300</v>
          </cell>
          <cell r="B1980" t="str">
            <v>1015</v>
          </cell>
          <cell r="C1980">
            <v>-1407.42</v>
          </cell>
          <cell r="D1980" t="str">
            <v>250</v>
          </cell>
          <cell r="E1980" t="str">
            <v>459</v>
          </cell>
          <cell r="F1980">
            <v>-2245</v>
          </cell>
          <cell r="G1980">
            <v>6</v>
          </cell>
          <cell r="H1980" t="str">
            <v>2006-06-30</v>
          </cell>
        </row>
        <row r="1981">
          <cell r="A1981" t="str">
            <v>481003</v>
          </cell>
          <cell r="B1981" t="str">
            <v>1015</v>
          </cell>
          <cell r="C1981">
            <v>-126114.45</v>
          </cell>
          <cell r="D1981" t="str">
            <v>200</v>
          </cell>
          <cell r="F1981">
            <v>-12670.03</v>
          </cell>
          <cell r="G1981">
            <v>6</v>
          </cell>
          <cell r="H1981" t="str">
            <v>2006-06-30</v>
          </cell>
        </row>
        <row r="1982">
          <cell r="A1982" t="str">
            <v>481000</v>
          </cell>
          <cell r="B1982" t="str">
            <v>1015</v>
          </cell>
          <cell r="C1982">
            <v>-14533.59</v>
          </cell>
          <cell r="D1982" t="str">
            <v>202</v>
          </cell>
          <cell r="E1982" t="str">
            <v>402</v>
          </cell>
          <cell r="F1982">
            <v>-34526</v>
          </cell>
          <cell r="G1982">
            <v>7</v>
          </cell>
          <cell r="H1982" t="str">
            <v>2006-07-31</v>
          </cell>
        </row>
        <row r="1983">
          <cell r="A1983" t="str">
            <v>481000</v>
          </cell>
          <cell r="B1983" t="str">
            <v>1015</v>
          </cell>
          <cell r="C1983">
            <v>-17179.11</v>
          </cell>
          <cell r="D1983" t="str">
            <v>203</v>
          </cell>
          <cell r="E1983" t="str">
            <v>402</v>
          </cell>
          <cell r="F1983">
            <v>0</v>
          </cell>
          <cell r="G1983">
            <v>7</v>
          </cell>
          <cell r="H1983" t="str">
            <v>2006-07-31</v>
          </cell>
        </row>
        <row r="1984">
          <cell r="A1984" t="str">
            <v>481000</v>
          </cell>
          <cell r="B1984" t="str">
            <v>1015</v>
          </cell>
          <cell r="C1984">
            <v>-224223.25</v>
          </cell>
          <cell r="D1984" t="str">
            <v>204</v>
          </cell>
          <cell r="E1984" t="str">
            <v>402</v>
          </cell>
          <cell r="F1984">
            <v>0</v>
          </cell>
          <cell r="G1984">
            <v>7</v>
          </cell>
          <cell r="H1984" t="str">
            <v>2006-07-31</v>
          </cell>
        </row>
        <row r="1985">
          <cell r="A1985" t="str">
            <v>481000</v>
          </cell>
          <cell r="B1985" t="str">
            <v>1015</v>
          </cell>
          <cell r="C1985">
            <v>0</v>
          </cell>
          <cell r="D1985" t="str">
            <v>210</v>
          </cell>
          <cell r="E1985" t="str">
            <v>402</v>
          </cell>
          <cell r="F1985">
            <v>0</v>
          </cell>
          <cell r="G1985">
            <v>7</v>
          </cell>
          <cell r="H1985" t="str">
            <v>2006-07-31</v>
          </cell>
        </row>
        <row r="1986">
          <cell r="A1986" t="str">
            <v>481004</v>
          </cell>
          <cell r="B1986" t="str">
            <v>1015</v>
          </cell>
          <cell r="C1986">
            <v>-221026.18</v>
          </cell>
          <cell r="D1986" t="str">
            <v>202</v>
          </cell>
          <cell r="E1986" t="str">
            <v>402</v>
          </cell>
          <cell r="F1986">
            <v>-402038</v>
          </cell>
          <cell r="G1986">
            <v>7</v>
          </cell>
          <cell r="H1986" t="str">
            <v>2006-07-31</v>
          </cell>
        </row>
        <row r="1987">
          <cell r="A1987" t="str">
            <v>481004</v>
          </cell>
          <cell r="B1987" t="str">
            <v>1015</v>
          </cell>
          <cell r="C1987">
            <v>-200041.86</v>
          </cell>
          <cell r="D1987" t="str">
            <v>203</v>
          </cell>
          <cell r="E1987" t="str">
            <v>402</v>
          </cell>
          <cell r="F1987">
            <v>0</v>
          </cell>
          <cell r="G1987">
            <v>7</v>
          </cell>
          <cell r="H1987" t="str">
            <v>2006-07-31</v>
          </cell>
        </row>
        <row r="1988">
          <cell r="A1988" t="str">
            <v>481004</v>
          </cell>
          <cell r="B1988" t="str">
            <v>1015</v>
          </cell>
          <cell r="C1988">
            <v>-2610969.4900000002</v>
          </cell>
          <cell r="D1988" t="str">
            <v>204</v>
          </cell>
          <cell r="E1988" t="str">
            <v>402</v>
          </cell>
          <cell r="F1988">
            <v>0</v>
          </cell>
          <cell r="G1988">
            <v>7</v>
          </cell>
          <cell r="H1988" t="str">
            <v>2006-07-31</v>
          </cell>
        </row>
        <row r="1989">
          <cell r="A1989" t="str">
            <v>481004</v>
          </cell>
          <cell r="B1989" t="str">
            <v>1015</v>
          </cell>
          <cell r="C1989">
            <v>0</v>
          </cell>
          <cell r="D1989" t="str">
            <v>210</v>
          </cell>
          <cell r="E1989" t="str">
            <v>402</v>
          </cell>
          <cell r="F1989">
            <v>0</v>
          </cell>
          <cell r="G1989">
            <v>7</v>
          </cell>
          <cell r="H1989" t="str">
            <v>2006-07-31</v>
          </cell>
        </row>
        <row r="1990">
          <cell r="A1990" t="str">
            <v>481000</v>
          </cell>
          <cell r="B1990" t="str">
            <v>1015</v>
          </cell>
          <cell r="C1990">
            <v>-7143.31</v>
          </cell>
          <cell r="D1990" t="str">
            <v>202</v>
          </cell>
          <cell r="E1990" t="str">
            <v>403</v>
          </cell>
          <cell r="F1990">
            <v>0</v>
          </cell>
          <cell r="G1990">
            <v>7</v>
          </cell>
          <cell r="H1990" t="str">
            <v>2006-07-31</v>
          </cell>
        </row>
        <row r="1991">
          <cell r="A1991" t="str">
            <v>481000</v>
          </cell>
          <cell r="B1991" t="str">
            <v>1015</v>
          </cell>
          <cell r="C1991">
            <v>-1653.21</v>
          </cell>
          <cell r="D1991" t="str">
            <v>203</v>
          </cell>
          <cell r="E1991" t="str">
            <v>403</v>
          </cell>
          <cell r="F1991">
            <v>0</v>
          </cell>
          <cell r="G1991">
            <v>7</v>
          </cell>
          <cell r="H1991" t="str">
            <v>2006-07-31</v>
          </cell>
        </row>
        <row r="1992">
          <cell r="A1992" t="str">
            <v>481000</v>
          </cell>
          <cell r="B1992" t="str">
            <v>1015</v>
          </cell>
          <cell r="C1992">
            <v>-3005.12</v>
          </cell>
          <cell r="D1992" t="str">
            <v>204</v>
          </cell>
          <cell r="E1992" t="str">
            <v>403</v>
          </cell>
          <cell r="F1992">
            <v>0</v>
          </cell>
          <cell r="G1992">
            <v>7</v>
          </cell>
          <cell r="H1992" t="str">
            <v>2006-07-31</v>
          </cell>
        </row>
        <row r="1993">
          <cell r="A1993" t="str">
            <v>481000</v>
          </cell>
          <cell r="B1993" t="str">
            <v>1015</v>
          </cell>
          <cell r="C1993">
            <v>-8730.3700000000008</v>
          </cell>
          <cell r="D1993" t="str">
            <v>202</v>
          </cell>
          <cell r="E1993" t="str">
            <v>404</v>
          </cell>
          <cell r="F1993">
            <v>-27740</v>
          </cell>
          <cell r="G1993">
            <v>7</v>
          </cell>
          <cell r="H1993" t="str">
            <v>2006-07-31</v>
          </cell>
        </row>
        <row r="1994">
          <cell r="A1994" t="str">
            <v>481000</v>
          </cell>
          <cell r="B1994" t="str">
            <v>1015</v>
          </cell>
          <cell r="C1994">
            <v>-20030.22</v>
          </cell>
          <cell r="D1994" t="str">
            <v>203</v>
          </cell>
          <cell r="E1994" t="str">
            <v>404</v>
          </cell>
          <cell r="F1994">
            <v>0</v>
          </cell>
          <cell r="G1994">
            <v>7</v>
          </cell>
          <cell r="H1994" t="str">
            <v>2006-07-31</v>
          </cell>
        </row>
        <row r="1995">
          <cell r="A1995" t="str">
            <v>481000</v>
          </cell>
          <cell r="B1995" t="str">
            <v>1015</v>
          </cell>
          <cell r="C1995">
            <v>-180152.71</v>
          </cell>
          <cell r="D1995" t="str">
            <v>204</v>
          </cell>
          <cell r="E1995" t="str">
            <v>404</v>
          </cell>
          <cell r="F1995">
            <v>0</v>
          </cell>
          <cell r="G1995">
            <v>7</v>
          </cell>
          <cell r="H1995" t="str">
            <v>2006-07-31</v>
          </cell>
        </row>
        <row r="1996">
          <cell r="A1996" t="str">
            <v>481004</v>
          </cell>
          <cell r="B1996" t="str">
            <v>1015</v>
          </cell>
          <cell r="C1996">
            <v>0</v>
          </cell>
          <cell r="D1996" t="str">
            <v>202</v>
          </cell>
          <cell r="E1996" t="str">
            <v>404</v>
          </cell>
          <cell r="F1996">
            <v>0</v>
          </cell>
          <cell r="G1996">
            <v>7</v>
          </cell>
          <cell r="H1996" t="str">
            <v>2006-07-31</v>
          </cell>
        </row>
        <row r="1997">
          <cell r="A1997" t="str">
            <v>481004</v>
          </cell>
          <cell r="B1997" t="str">
            <v>1015</v>
          </cell>
          <cell r="C1997">
            <v>0</v>
          </cell>
          <cell r="D1997" t="str">
            <v>203</v>
          </cell>
          <cell r="E1997" t="str">
            <v>404</v>
          </cell>
          <cell r="F1997">
            <v>0</v>
          </cell>
          <cell r="G1997">
            <v>7</v>
          </cell>
          <cell r="H1997" t="str">
            <v>2006-07-31</v>
          </cell>
        </row>
        <row r="1998">
          <cell r="A1998" t="str">
            <v>481004</v>
          </cell>
          <cell r="B1998" t="str">
            <v>1015</v>
          </cell>
          <cell r="C1998">
            <v>0</v>
          </cell>
          <cell r="D1998" t="str">
            <v>204</v>
          </cell>
          <cell r="E1998" t="str">
            <v>404</v>
          </cell>
          <cell r="F1998">
            <v>0</v>
          </cell>
          <cell r="G1998">
            <v>7</v>
          </cell>
          <cell r="H1998" t="str">
            <v>2006-07-31</v>
          </cell>
        </row>
        <row r="1999">
          <cell r="A1999" t="str">
            <v>481004</v>
          </cell>
          <cell r="B1999" t="str">
            <v>1015</v>
          </cell>
          <cell r="C1999">
            <v>0</v>
          </cell>
          <cell r="D1999" t="str">
            <v>210</v>
          </cell>
          <cell r="E1999" t="str">
            <v>404</v>
          </cell>
          <cell r="F1999">
            <v>0</v>
          </cell>
          <cell r="G1999">
            <v>7</v>
          </cell>
          <cell r="H1999" t="str">
            <v>2006-07-31</v>
          </cell>
        </row>
        <row r="2000">
          <cell r="A2000" t="str">
            <v>489300</v>
          </cell>
          <cell r="B2000" t="str">
            <v>1015</v>
          </cell>
          <cell r="C2000">
            <v>-52273.1</v>
          </cell>
          <cell r="D2000" t="str">
            <v>250</v>
          </cell>
          <cell r="E2000" t="str">
            <v>405</v>
          </cell>
          <cell r="F2000">
            <v>-300319</v>
          </cell>
          <cell r="G2000">
            <v>7</v>
          </cell>
          <cell r="H2000" t="str">
            <v>2006-07-31</v>
          </cell>
        </row>
        <row r="2001">
          <cell r="A2001" t="str">
            <v>489304</v>
          </cell>
          <cell r="B2001" t="str">
            <v>1015</v>
          </cell>
          <cell r="C2001">
            <v>-87536.09</v>
          </cell>
          <cell r="D2001" t="str">
            <v>250</v>
          </cell>
          <cell r="E2001" t="str">
            <v>405</v>
          </cell>
          <cell r="F2001">
            <v>-1021744</v>
          </cell>
          <cell r="G2001">
            <v>7</v>
          </cell>
          <cell r="H2001" t="str">
            <v>2006-07-31</v>
          </cell>
        </row>
        <row r="2002">
          <cell r="A2002" t="str">
            <v>489300</v>
          </cell>
          <cell r="B2002" t="str">
            <v>1015</v>
          </cell>
          <cell r="C2002">
            <v>-111461.91</v>
          </cell>
          <cell r="D2002" t="str">
            <v>250</v>
          </cell>
          <cell r="E2002" t="str">
            <v>406</v>
          </cell>
          <cell r="F2002">
            <v>-482235</v>
          </cell>
          <cell r="G2002">
            <v>7</v>
          </cell>
          <cell r="H2002" t="str">
            <v>2006-07-31</v>
          </cell>
        </row>
        <row r="2003">
          <cell r="A2003" t="str">
            <v>489304</v>
          </cell>
          <cell r="B2003" t="str">
            <v>1015</v>
          </cell>
          <cell r="C2003">
            <v>-34445.519999999997</v>
          </cell>
          <cell r="D2003" t="str">
            <v>250</v>
          </cell>
          <cell r="E2003" t="str">
            <v>406</v>
          </cell>
          <cell r="F2003">
            <v>-115922</v>
          </cell>
          <cell r="G2003">
            <v>7</v>
          </cell>
          <cell r="H2003" t="str">
            <v>2006-07-31</v>
          </cell>
        </row>
        <row r="2004">
          <cell r="A2004" t="str">
            <v>480000</v>
          </cell>
          <cell r="B2004" t="str">
            <v>1015</v>
          </cell>
          <cell r="C2004">
            <v>-6487784.4000000004</v>
          </cell>
          <cell r="D2004" t="str">
            <v>202</v>
          </cell>
          <cell r="E2004" t="str">
            <v>407</v>
          </cell>
          <cell r="F2004">
            <v>-1602724.74</v>
          </cell>
          <cell r="G2004">
            <v>7</v>
          </cell>
          <cell r="H2004" t="str">
            <v>2006-07-31</v>
          </cell>
        </row>
        <row r="2005">
          <cell r="A2005" t="str">
            <v>480000</v>
          </cell>
          <cell r="B2005" t="str">
            <v>1015</v>
          </cell>
          <cell r="C2005">
            <v>-799868.21</v>
          </cell>
          <cell r="D2005" t="str">
            <v>203</v>
          </cell>
          <cell r="E2005" t="str">
            <v>407</v>
          </cell>
          <cell r="F2005">
            <v>0</v>
          </cell>
          <cell r="G2005">
            <v>7</v>
          </cell>
          <cell r="H2005" t="str">
            <v>2006-07-31</v>
          </cell>
        </row>
        <row r="2006">
          <cell r="A2006" t="str">
            <v>480000</v>
          </cell>
          <cell r="B2006" t="str">
            <v>1015</v>
          </cell>
          <cell r="C2006">
            <v>-10500657.93</v>
          </cell>
          <cell r="D2006" t="str">
            <v>204</v>
          </cell>
          <cell r="E2006" t="str">
            <v>407</v>
          </cell>
          <cell r="F2006">
            <v>0</v>
          </cell>
          <cell r="G2006">
            <v>7</v>
          </cell>
          <cell r="H2006" t="str">
            <v>2006-07-31</v>
          </cell>
        </row>
        <row r="2007">
          <cell r="A2007" t="str">
            <v>480000</v>
          </cell>
          <cell r="B2007" t="str">
            <v>1015</v>
          </cell>
          <cell r="C2007">
            <v>-181004.41</v>
          </cell>
          <cell r="D2007" t="str">
            <v>205</v>
          </cell>
          <cell r="E2007" t="str">
            <v>407</v>
          </cell>
          <cell r="F2007">
            <v>0</v>
          </cell>
          <cell r="G2007">
            <v>7</v>
          </cell>
          <cell r="H2007" t="str">
            <v>2006-07-31</v>
          </cell>
        </row>
        <row r="2008">
          <cell r="A2008" t="str">
            <v>480000</v>
          </cell>
          <cell r="B2008" t="str">
            <v>1015</v>
          </cell>
          <cell r="C2008">
            <v>912.17</v>
          </cell>
          <cell r="D2008" t="str">
            <v>210</v>
          </cell>
          <cell r="E2008" t="str">
            <v>407</v>
          </cell>
          <cell r="F2008">
            <v>124</v>
          </cell>
          <cell r="G2008">
            <v>7</v>
          </cell>
          <cell r="H2008" t="str">
            <v>2006-07-31</v>
          </cell>
        </row>
        <row r="2009">
          <cell r="A2009" t="str">
            <v>480001</v>
          </cell>
          <cell r="B2009" t="str">
            <v>1015</v>
          </cell>
          <cell r="C2009">
            <v>241693.96</v>
          </cell>
          <cell r="D2009" t="str">
            <v>202</v>
          </cell>
          <cell r="E2009" t="str">
            <v>407</v>
          </cell>
          <cell r="F2009">
            <v>100947</v>
          </cell>
          <cell r="G2009">
            <v>7</v>
          </cell>
          <cell r="H2009" t="str">
            <v>2006-07-31</v>
          </cell>
        </row>
        <row r="2010">
          <cell r="A2010" t="str">
            <v>480001</v>
          </cell>
          <cell r="B2010" t="str">
            <v>1015</v>
          </cell>
          <cell r="C2010">
            <v>53997.2</v>
          </cell>
          <cell r="D2010" t="str">
            <v>203</v>
          </cell>
          <cell r="E2010" t="str">
            <v>407</v>
          </cell>
          <cell r="F2010">
            <v>0</v>
          </cell>
          <cell r="G2010">
            <v>7</v>
          </cell>
          <cell r="H2010" t="str">
            <v>2006-07-31</v>
          </cell>
        </row>
        <row r="2011">
          <cell r="A2011" t="str">
            <v>480001</v>
          </cell>
          <cell r="B2011" t="str">
            <v>1015</v>
          </cell>
          <cell r="C2011">
            <v>679328.93</v>
          </cell>
          <cell r="D2011" t="str">
            <v>204</v>
          </cell>
          <cell r="E2011" t="str">
            <v>407</v>
          </cell>
          <cell r="F2011">
            <v>0</v>
          </cell>
          <cell r="G2011">
            <v>7</v>
          </cell>
          <cell r="H2011" t="str">
            <v>2006-07-31</v>
          </cell>
        </row>
        <row r="2012">
          <cell r="A2012" t="str">
            <v>480001</v>
          </cell>
          <cell r="B2012" t="str">
            <v>1015</v>
          </cell>
          <cell r="C2012">
            <v>183081.87</v>
          </cell>
          <cell r="D2012" t="str">
            <v>205</v>
          </cell>
          <cell r="E2012" t="str">
            <v>407</v>
          </cell>
          <cell r="F2012">
            <v>0</v>
          </cell>
          <cell r="G2012">
            <v>7</v>
          </cell>
          <cell r="H2012" t="str">
            <v>2006-07-31</v>
          </cell>
        </row>
        <row r="2013">
          <cell r="A2013" t="str">
            <v>480001</v>
          </cell>
          <cell r="B2013" t="str">
            <v>1015</v>
          </cell>
          <cell r="C2013">
            <v>-15388.12</v>
          </cell>
          <cell r="D2013" t="str">
            <v>210</v>
          </cell>
          <cell r="E2013" t="str">
            <v>407</v>
          </cell>
          <cell r="F2013">
            <v>-2553.1999999999998</v>
          </cell>
          <cell r="G2013">
            <v>7</v>
          </cell>
          <cell r="H2013" t="str">
            <v>2006-07-31</v>
          </cell>
        </row>
        <row r="2014">
          <cell r="A2014" t="str">
            <v>481000</v>
          </cell>
          <cell r="B2014" t="str">
            <v>1015</v>
          </cell>
          <cell r="C2014">
            <v>-1748.12</v>
          </cell>
          <cell r="D2014" t="str">
            <v>202</v>
          </cell>
          <cell r="E2014" t="str">
            <v>407</v>
          </cell>
          <cell r="F2014">
            <v>-1555.96</v>
          </cell>
          <cell r="G2014">
            <v>7</v>
          </cell>
          <cell r="H2014" t="str">
            <v>2006-07-31</v>
          </cell>
        </row>
        <row r="2015">
          <cell r="A2015" t="str">
            <v>481000</v>
          </cell>
          <cell r="B2015" t="str">
            <v>1015</v>
          </cell>
          <cell r="C2015">
            <v>-774.25</v>
          </cell>
          <cell r="D2015" t="str">
            <v>203</v>
          </cell>
          <cell r="E2015" t="str">
            <v>407</v>
          </cell>
          <cell r="F2015">
            <v>0</v>
          </cell>
          <cell r="G2015">
            <v>7</v>
          </cell>
          <cell r="H2015" t="str">
            <v>2006-07-31</v>
          </cell>
        </row>
        <row r="2016">
          <cell r="A2016" t="str">
            <v>481000</v>
          </cell>
          <cell r="B2016" t="str">
            <v>1015</v>
          </cell>
          <cell r="C2016">
            <v>-10170.69</v>
          </cell>
          <cell r="D2016" t="str">
            <v>204</v>
          </cell>
          <cell r="E2016" t="str">
            <v>407</v>
          </cell>
          <cell r="F2016">
            <v>0</v>
          </cell>
          <cell r="G2016">
            <v>7</v>
          </cell>
          <cell r="H2016" t="str">
            <v>2006-07-31</v>
          </cell>
        </row>
        <row r="2017">
          <cell r="A2017" t="str">
            <v>481000</v>
          </cell>
          <cell r="B2017" t="str">
            <v>1015</v>
          </cell>
          <cell r="C2017">
            <v>-32.76</v>
          </cell>
          <cell r="D2017" t="str">
            <v>205</v>
          </cell>
          <cell r="E2017" t="str">
            <v>407</v>
          </cell>
          <cell r="F2017">
            <v>0</v>
          </cell>
          <cell r="G2017">
            <v>7</v>
          </cell>
          <cell r="H2017" t="str">
            <v>2006-07-31</v>
          </cell>
        </row>
        <row r="2018">
          <cell r="A2018" t="str">
            <v>481004</v>
          </cell>
          <cell r="B2018" t="str">
            <v>1015</v>
          </cell>
          <cell r="C2018">
            <v>-1349367.44</v>
          </cell>
          <cell r="D2018" t="str">
            <v>202</v>
          </cell>
          <cell r="E2018" t="str">
            <v>407</v>
          </cell>
          <cell r="F2018">
            <v>-523884.3</v>
          </cell>
          <cell r="G2018">
            <v>7</v>
          </cell>
          <cell r="H2018" t="str">
            <v>2006-07-31</v>
          </cell>
        </row>
        <row r="2019">
          <cell r="A2019" t="str">
            <v>481004</v>
          </cell>
          <cell r="B2019" t="str">
            <v>1015</v>
          </cell>
          <cell r="C2019">
            <v>-262077.74</v>
          </cell>
          <cell r="D2019" t="str">
            <v>203</v>
          </cell>
          <cell r="E2019" t="str">
            <v>407</v>
          </cell>
          <cell r="F2019">
            <v>0</v>
          </cell>
          <cell r="G2019">
            <v>7</v>
          </cell>
          <cell r="H2019" t="str">
            <v>2006-07-31</v>
          </cell>
        </row>
        <row r="2020">
          <cell r="A2020" t="str">
            <v>481004</v>
          </cell>
          <cell r="B2020" t="str">
            <v>1015</v>
          </cell>
          <cell r="C2020">
            <v>-3419431.31</v>
          </cell>
          <cell r="D2020" t="str">
            <v>204</v>
          </cell>
          <cell r="E2020" t="str">
            <v>407</v>
          </cell>
          <cell r="F2020">
            <v>0</v>
          </cell>
          <cell r="G2020">
            <v>7</v>
          </cell>
          <cell r="H2020" t="str">
            <v>2006-07-31</v>
          </cell>
        </row>
        <row r="2021">
          <cell r="A2021" t="str">
            <v>481004</v>
          </cell>
          <cell r="B2021" t="str">
            <v>1015</v>
          </cell>
          <cell r="C2021">
            <v>-32180.7</v>
          </cell>
          <cell r="D2021" t="str">
            <v>205</v>
          </cell>
          <cell r="E2021" t="str">
            <v>407</v>
          </cell>
          <cell r="F2021">
            <v>0</v>
          </cell>
          <cell r="G2021">
            <v>7</v>
          </cell>
          <cell r="H2021" t="str">
            <v>2006-07-31</v>
          </cell>
        </row>
        <row r="2022">
          <cell r="A2022" t="str">
            <v>481004</v>
          </cell>
          <cell r="B2022" t="str">
            <v>1015</v>
          </cell>
          <cell r="C2022">
            <v>14475.95</v>
          </cell>
          <cell r="D2022" t="str">
            <v>210</v>
          </cell>
          <cell r="E2022" t="str">
            <v>407</v>
          </cell>
          <cell r="F2022">
            <v>2429.1999999999998</v>
          </cell>
          <cell r="G2022">
            <v>7</v>
          </cell>
          <cell r="H2022" t="str">
            <v>2006-07-31</v>
          </cell>
        </row>
        <row r="2023">
          <cell r="A2023" t="str">
            <v>480000</v>
          </cell>
          <cell r="B2023" t="str">
            <v>1015</v>
          </cell>
          <cell r="C2023">
            <v>-42838.06</v>
          </cell>
          <cell r="D2023" t="str">
            <v>202</v>
          </cell>
          <cell r="E2023" t="str">
            <v>408</v>
          </cell>
          <cell r="F2023">
            <v>-9313.09</v>
          </cell>
          <cell r="G2023">
            <v>7</v>
          </cell>
          <cell r="H2023" t="str">
            <v>2006-07-31</v>
          </cell>
        </row>
        <row r="2024">
          <cell r="A2024" t="str">
            <v>480000</v>
          </cell>
          <cell r="B2024" t="str">
            <v>1015</v>
          </cell>
          <cell r="C2024">
            <v>-4647.37</v>
          </cell>
          <cell r="D2024" t="str">
            <v>203</v>
          </cell>
          <cell r="E2024" t="str">
            <v>408</v>
          </cell>
          <cell r="F2024">
            <v>0</v>
          </cell>
          <cell r="G2024">
            <v>7</v>
          </cell>
          <cell r="H2024" t="str">
            <v>2006-07-31</v>
          </cell>
        </row>
        <row r="2025">
          <cell r="A2025" t="str">
            <v>480000</v>
          </cell>
          <cell r="B2025" t="str">
            <v>1015</v>
          </cell>
          <cell r="C2025">
            <v>-61061.81</v>
          </cell>
          <cell r="D2025" t="str">
            <v>204</v>
          </cell>
          <cell r="E2025" t="str">
            <v>408</v>
          </cell>
          <cell r="F2025">
            <v>0</v>
          </cell>
          <cell r="G2025">
            <v>7</v>
          </cell>
          <cell r="H2025" t="str">
            <v>2006-07-31</v>
          </cell>
        </row>
        <row r="2026">
          <cell r="A2026" t="str">
            <v>480000</v>
          </cell>
          <cell r="B2026" t="str">
            <v>1015</v>
          </cell>
          <cell r="C2026">
            <v>-1508.3</v>
          </cell>
          <cell r="D2026" t="str">
            <v>205</v>
          </cell>
          <cell r="E2026" t="str">
            <v>408</v>
          </cell>
          <cell r="F2026">
            <v>0</v>
          </cell>
          <cell r="G2026">
            <v>7</v>
          </cell>
          <cell r="H2026" t="str">
            <v>2006-07-31</v>
          </cell>
        </row>
        <row r="2027">
          <cell r="A2027" t="str">
            <v>480001</v>
          </cell>
          <cell r="B2027" t="str">
            <v>1015</v>
          </cell>
          <cell r="C2027">
            <v>-2809.85</v>
          </cell>
          <cell r="D2027" t="str">
            <v>202</v>
          </cell>
          <cell r="E2027" t="str">
            <v>408</v>
          </cell>
          <cell r="F2027">
            <v>751.09</v>
          </cell>
          <cell r="G2027">
            <v>7</v>
          </cell>
          <cell r="H2027" t="str">
            <v>2006-07-31</v>
          </cell>
        </row>
        <row r="2028">
          <cell r="A2028" t="str">
            <v>480001</v>
          </cell>
          <cell r="B2028" t="str">
            <v>1015</v>
          </cell>
          <cell r="C2028">
            <v>387.86</v>
          </cell>
          <cell r="D2028" t="str">
            <v>203</v>
          </cell>
          <cell r="E2028" t="str">
            <v>408</v>
          </cell>
          <cell r="F2028">
            <v>0</v>
          </cell>
          <cell r="G2028">
            <v>7</v>
          </cell>
          <cell r="H2028" t="str">
            <v>2006-07-31</v>
          </cell>
        </row>
        <row r="2029">
          <cell r="A2029" t="str">
            <v>480001</v>
          </cell>
          <cell r="B2029" t="str">
            <v>1015</v>
          </cell>
          <cell r="C2029">
            <v>5111.72</v>
          </cell>
          <cell r="D2029" t="str">
            <v>204</v>
          </cell>
          <cell r="E2029" t="str">
            <v>408</v>
          </cell>
          <cell r="F2029">
            <v>0</v>
          </cell>
          <cell r="G2029">
            <v>7</v>
          </cell>
          <cell r="H2029" t="str">
            <v>2006-07-31</v>
          </cell>
        </row>
        <row r="2030">
          <cell r="A2030" t="str">
            <v>480001</v>
          </cell>
          <cell r="B2030" t="str">
            <v>1015</v>
          </cell>
          <cell r="C2030">
            <v>-9290.4599999999991</v>
          </cell>
          <cell r="D2030" t="str">
            <v>205</v>
          </cell>
          <cell r="E2030" t="str">
            <v>408</v>
          </cell>
          <cell r="F2030">
            <v>0</v>
          </cell>
          <cell r="G2030">
            <v>7</v>
          </cell>
          <cell r="H2030" t="str">
            <v>2006-07-31</v>
          </cell>
        </row>
        <row r="2031">
          <cell r="A2031" t="str">
            <v>480001</v>
          </cell>
          <cell r="B2031" t="str">
            <v>1015</v>
          </cell>
          <cell r="C2031">
            <v>0</v>
          </cell>
          <cell r="D2031" t="str">
            <v>210</v>
          </cell>
          <cell r="E2031" t="str">
            <v>408</v>
          </cell>
          <cell r="F2031">
            <v>0</v>
          </cell>
          <cell r="G2031">
            <v>7</v>
          </cell>
          <cell r="H2031" t="str">
            <v>2006-07-31</v>
          </cell>
        </row>
        <row r="2032">
          <cell r="A2032" t="str">
            <v>481004</v>
          </cell>
          <cell r="B2032" t="str">
            <v>1015</v>
          </cell>
          <cell r="C2032">
            <v>-20703.09</v>
          </cell>
          <cell r="D2032" t="str">
            <v>202</v>
          </cell>
          <cell r="E2032" t="str">
            <v>408</v>
          </cell>
          <cell r="F2032">
            <v>-5021</v>
          </cell>
          <cell r="G2032">
            <v>7</v>
          </cell>
          <cell r="H2032" t="str">
            <v>2006-07-31</v>
          </cell>
        </row>
        <row r="2033">
          <cell r="A2033" t="str">
            <v>481004</v>
          </cell>
          <cell r="B2033" t="str">
            <v>1015</v>
          </cell>
          <cell r="C2033">
            <v>-2499.4899999999998</v>
          </cell>
          <cell r="D2033" t="str">
            <v>203</v>
          </cell>
          <cell r="E2033" t="str">
            <v>408</v>
          </cell>
          <cell r="F2033">
            <v>0</v>
          </cell>
          <cell r="G2033">
            <v>7</v>
          </cell>
          <cell r="H2033" t="str">
            <v>2006-07-31</v>
          </cell>
        </row>
        <row r="2034">
          <cell r="A2034" t="str">
            <v>481004</v>
          </cell>
          <cell r="B2034" t="str">
            <v>1015</v>
          </cell>
          <cell r="C2034">
            <v>-32834.910000000003</v>
          </cell>
          <cell r="D2034" t="str">
            <v>204</v>
          </cell>
          <cell r="E2034" t="str">
            <v>408</v>
          </cell>
          <cell r="F2034">
            <v>0</v>
          </cell>
          <cell r="G2034">
            <v>7</v>
          </cell>
          <cell r="H2034" t="str">
            <v>2006-07-31</v>
          </cell>
        </row>
        <row r="2035">
          <cell r="A2035" t="str">
            <v>481004</v>
          </cell>
          <cell r="B2035" t="str">
            <v>1015</v>
          </cell>
          <cell r="C2035">
            <v>-707.24</v>
          </cell>
          <cell r="D2035" t="str">
            <v>205</v>
          </cell>
          <cell r="E2035" t="str">
            <v>408</v>
          </cell>
          <cell r="F2035">
            <v>0</v>
          </cell>
          <cell r="G2035">
            <v>7</v>
          </cell>
          <cell r="H2035" t="str">
            <v>2006-07-31</v>
          </cell>
        </row>
        <row r="2036">
          <cell r="A2036" t="str">
            <v>481002</v>
          </cell>
          <cell r="B2036" t="str">
            <v>1015</v>
          </cell>
          <cell r="C2036">
            <v>-6825.35</v>
          </cell>
          <cell r="D2036" t="str">
            <v>202</v>
          </cell>
          <cell r="E2036" t="str">
            <v>411</v>
          </cell>
          <cell r="F2036">
            <v>-38632</v>
          </cell>
          <cell r="G2036">
            <v>7</v>
          </cell>
          <cell r="H2036" t="str">
            <v>2006-07-31</v>
          </cell>
        </row>
        <row r="2037">
          <cell r="A2037" t="str">
            <v>481002</v>
          </cell>
          <cell r="B2037" t="str">
            <v>1015</v>
          </cell>
          <cell r="C2037">
            <v>-7064.64</v>
          </cell>
          <cell r="D2037" t="str">
            <v>203</v>
          </cell>
          <cell r="E2037" t="str">
            <v>411</v>
          </cell>
          <cell r="F2037">
            <v>0</v>
          </cell>
          <cell r="G2037">
            <v>7</v>
          </cell>
          <cell r="H2037" t="str">
            <v>2006-07-31</v>
          </cell>
        </row>
        <row r="2038">
          <cell r="A2038" t="str">
            <v>481002</v>
          </cell>
          <cell r="B2038" t="str">
            <v>1015</v>
          </cell>
          <cell r="C2038">
            <v>-197518.85</v>
          </cell>
          <cell r="D2038" t="str">
            <v>204</v>
          </cell>
          <cell r="E2038" t="str">
            <v>411</v>
          </cell>
          <cell r="F2038">
            <v>0</v>
          </cell>
          <cell r="G2038">
            <v>7</v>
          </cell>
          <cell r="H2038" t="str">
            <v>2006-07-31</v>
          </cell>
        </row>
        <row r="2039">
          <cell r="A2039" t="str">
            <v>481005</v>
          </cell>
          <cell r="B2039" t="str">
            <v>1015</v>
          </cell>
          <cell r="C2039">
            <v>-26406.18</v>
          </cell>
          <cell r="D2039" t="str">
            <v>202</v>
          </cell>
          <cell r="E2039" t="str">
            <v>411</v>
          </cell>
          <cell r="F2039">
            <v>-101852</v>
          </cell>
          <cell r="G2039">
            <v>7</v>
          </cell>
          <cell r="H2039" t="str">
            <v>2006-07-31</v>
          </cell>
        </row>
        <row r="2040">
          <cell r="A2040" t="str">
            <v>481005</v>
          </cell>
          <cell r="B2040" t="str">
            <v>1015</v>
          </cell>
          <cell r="C2040">
            <v>-18625.84</v>
          </cell>
          <cell r="D2040" t="str">
            <v>203</v>
          </cell>
          <cell r="E2040" t="str">
            <v>411</v>
          </cell>
          <cell r="F2040">
            <v>0</v>
          </cell>
          <cell r="G2040">
            <v>7</v>
          </cell>
          <cell r="H2040" t="str">
            <v>2006-07-31</v>
          </cell>
        </row>
        <row r="2041">
          <cell r="A2041" t="str">
            <v>481005</v>
          </cell>
          <cell r="B2041" t="str">
            <v>1015</v>
          </cell>
          <cell r="C2041">
            <v>-501623.95</v>
          </cell>
          <cell r="D2041" t="str">
            <v>204</v>
          </cell>
          <cell r="E2041" t="str">
            <v>411</v>
          </cell>
          <cell r="F2041">
            <v>0</v>
          </cell>
          <cell r="G2041">
            <v>7</v>
          </cell>
          <cell r="H2041" t="str">
            <v>2006-07-31</v>
          </cell>
        </row>
        <row r="2042">
          <cell r="A2042" t="str">
            <v>481002</v>
          </cell>
          <cell r="B2042" t="str">
            <v>1015</v>
          </cell>
          <cell r="C2042">
            <v>0</v>
          </cell>
          <cell r="D2042" t="str">
            <v>210</v>
          </cell>
          <cell r="E2042" t="str">
            <v>412</v>
          </cell>
          <cell r="F2042">
            <v>0</v>
          </cell>
          <cell r="G2042">
            <v>7</v>
          </cell>
          <cell r="H2042" t="str">
            <v>2006-07-31</v>
          </cell>
        </row>
        <row r="2043">
          <cell r="A2043" t="str">
            <v>481002</v>
          </cell>
          <cell r="B2043" t="str">
            <v>1015</v>
          </cell>
          <cell r="C2043">
            <v>-3129.79</v>
          </cell>
          <cell r="D2043" t="str">
            <v>202</v>
          </cell>
          <cell r="E2043" t="str">
            <v>414</v>
          </cell>
          <cell r="F2043">
            <v>-5543</v>
          </cell>
          <cell r="G2043">
            <v>7</v>
          </cell>
          <cell r="H2043" t="str">
            <v>2006-07-31</v>
          </cell>
        </row>
        <row r="2044">
          <cell r="A2044" t="str">
            <v>481002</v>
          </cell>
          <cell r="B2044" t="str">
            <v>1015</v>
          </cell>
          <cell r="C2044">
            <v>-1013.65</v>
          </cell>
          <cell r="D2044" t="str">
            <v>203</v>
          </cell>
          <cell r="E2044" t="str">
            <v>414</v>
          </cell>
          <cell r="F2044">
            <v>0</v>
          </cell>
          <cell r="G2044">
            <v>7</v>
          </cell>
          <cell r="H2044" t="str">
            <v>2006-07-31</v>
          </cell>
        </row>
        <row r="2045">
          <cell r="A2045" t="str">
            <v>481002</v>
          </cell>
          <cell r="B2045" t="str">
            <v>1015</v>
          </cell>
          <cell r="C2045">
            <v>-28340.42</v>
          </cell>
          <cell r="D2045" t="str">
            <v>204</v>
          </cell>
          <cell r="E2045" t="str">
            <v>414</v>
          </cell>
          <cell r="F2045">
            <v>0</v>
          </cell>
          <cell r="G2045">
            <v>7</v>
          </cell>
          <cell r="H2045" t="str">
            <v>2006-07-31</v>
          </cell>
        </row>
        <row r="2046">
          <cell r="A2046" t="str">
            <v>481005</v>
          </cell>
          <cell r="B2046" t="str">
            <v>1015</v>
          </cell>
          <cell r="C2046">
            <v>-13180.1</v>
          </cell>
          <cell r="D2046" t="str">
            <v>202</v>
          </cell>
          <cell r="E2046" t="str">
            <v>414</v>
          </cell>
          <cell r="F2046">
            <v>-13843</v>
          </cell>
          <cell r="G2046">
            <v>7</v>
          </cell>
          <cell r="H2046" t="str">
            <v>2006-07-31</v>
          </cell>
        </row>
        <row r="2047">
          <cell r="A2047" t="str">
            <v>481005</v>
          </cell>
          <cell r="B2047" t="str">
            <v>1015</v>
          </cell>
          <cell r="C2047">
            <v>-2531.69</v>
          </cell>
          <cell r="D2047" t="str">
            <v>203</v>
          </cell>
          <cell r="E2047" t="str">
            <v>414</v>
          </cell>
          <cell r="F2047">
            <v>0</v>
          </cell>
          <cell r="G2047">
            <v>7</v>
          </cell>
          <cell r="H2047" t="str">
            <v>2006-07-31</v>
          </cell>
        </row>
        <row r="2048">
          <cell r="A2048" t="str">
            <v>481005</v>
          </cell>
          <cell r="B2048" t="str">
            <v>1015</v>
          </cell>
          <cell r="C2048">
            <v>-67755.92</v>
          </cell>
          <cell r="D2048" t="str">
            <v>204</v>
          </cell>
          <cell r="E2048" t="str">
            <v>414</v>
          </cell>
          <cell r="F2048">
            <v>0</v>
          </cell>
          <cell r="G2048">
            <v>7</v>
          </cell>
          <cell r="H2048" t="str">
            <v>2006-07-31</v>
          </cell>
        </row>
        <row r="2049">
          <cell r="A2049" t="str">
            <v>489300</v>
          </cell>
          <cell r="B2049" t="str">
            <v>1015</v>
          </cell>
          <cell r="C2049">
            <v>-187386.77</v>
          </cell>
          <cell r="D2049" t="str">
            <v>250</v>
          </cell>
          <cell r="E2049" t="str">
            <v>415</v>
          </cell>
          <cell r="F2049">
            <v>-1077780</v>
          </cell>
          <cell r="G2049">
            <v>7</v>
          </cell>
          <cell r="H2049" t="str">
            <v>2006-07-31</v>
          </cell>
        </row>
        <row r="2050">
          <cell r="A2050" t="str">
            <v>489304</v>
          </cell>
          <cell r="B2050" t="str">
            <v>1015</v>
          </cell>
          <cell r="C2050">
            <v>-66575.350000000006</v>
          </cell>
          <cell r="D2050" t="str">
            <v>250</v>
          </cell>
          <cell r="E2050" t="str">
            <v>415</v>
          </cell>
          <cell r="F2050">
            <v>-327590</v>
          </cell>
          <cell r="G2050">
            <v>7</v>
          </cell>
          <cell r="H2050" t="str">
            <v>2006-07-31</v>
          </cell>
        </row>
        <row r="2051">
          <cell r="A2051" t="str">
            <v>489304</v>
          </cell>
          <cell r="B2051" t="str">
            <v>1015</v>
          </cell>
          <cell r="C2051">
            <v>-778.07</v>
          </cell>
          <cell r="D2051" t="str">
            <v>250</v>
          </cell>
          <cell r="E2051" t="str">
            <v>416</v>
          </cell>
          <cell r="F2051">
            <v>-794</v>
          </cell>
          <cell r="G2051">
            <v>7</v>
          </cell>
          <cell r="H2051" t="str">
            <v>2006-07-31</v>
          </cell>
        </row>
        <row r="2052">
          <cell r="A2052" t="str">
            <v>481000</v>
          </cell>
          <cell r="B2052" t="str">
            <v>1015</v>
          </cell>
          <cell r="C2052">
            <v>0</v>
          </cell>
          <cell r="D2052" t="str">
            <v>202</v>
          </cell>
          <cell r="E2052" t="str">
            <v>451</v>
          </cell>
          <cell r="F2052">
            <v>0</v>
          </cell>
          <cell r="G2052">
            <v>7</v>
          </cell>
          <cell r="H2052" t="str">
            <v>2006-07-31</v>
          </cell>
        </row>
        <row r="2053">
          <cell r="A2053" t="str">
            <v>481000</v>
          </cell>
          <cell r="B2053" t="str">
            <v>1015</v>
          </cell>
          <cell r="C2053">
            <v>0</v>
          </cell>
          <cell r="D2053" t="str">
            <v>204</v>
          </cell>
          <cell r="E2053" t="str">
            <v>451</v>
          </cell>
          <cell r="F2053">
            <v>0</v>
          </cell>
          <cell r="G2053">
            <v>7</v>
          </cell>
          <cell r="H2053" t="str">
            <v>2006-07-31</v>
          </cell>
        </row>
        <row r="2054">
          <cell r="A2054" t="str">
            <v>481000</v>
          </cell>
          <cell r="B2054" t="str">
            <v>1015</v>
          </cell>
          <cell r="C2054">
            <v>0</v>
          </cell>
          <cell r="D2054" t="str">
            <v>210</v>
          </cell>
          <cell r="E2054" t="str">
            <v>451</v>
          </cell>
          <cell r="F2054">
            <v>0</v>
          </cell>
          <cell r="G2054">
            <v>7</v>
          </cell>
          <cell r="H2054" t="str">
            <v>2006-07-31</v>
          </cell>
        </row>
        <row r="2055">
          <cell r="A2055" t="str">
            <v>481004</v>
          </cell>
          <cell r="B2055" t="str">
            <v>1015</v>
          </cell>
          <cell r="C2055">
            <v>-15651</v>
          </cell>
          <cell r="D2055" t="str">
            <v>202</v>
          </cell>
          <cell r="E2055" t="str">
            <v>451</v>
          </cell>
          <cell r="F2055">
            <v>-14228</v>
          </cell>
          <cell r="G2055">
            <v>7</v>
          </cell>
          <cell r="H2055" t="str">
            <v>2006-07-31</v>
          </cell>
        </row>
        <row r="2056">
          <cell r="A2056" t="str">
            <v>481004</v>
          </cell>
          <cell r="B2056" t="str">
            <v>1015</v>
          </cell>
          <cell r="C2056">
            <v>-109695</v>
          </cell>
          <cell r="D2056" t="str">
            <v>204</v>
          </cell>
          <cell r="E2056" t="str">
            <v>451</v>
          </cell>
          <cell r="F2056">
            <v>0</v>
          </cell>
          <cell r="G2056">
            <v>7</v>
          </cell>
          <cell r="H2056" t="str">
            <v>2006-07-31</v>
          </cell>
        </row>
        <row r="2057">
          <cell r="A2057" t="str">
            <v>481004</v>
          </cell>
          <cell r="B2057" t="str">
            <v>1015</v>
          </cell>
          <cell r="C2057">
            <v>0</v>
          </cell>
          <cell r="D2057" t="str">
            <v>210</v>
          </cell>
          <cell r="E2057" t="str">
            <v>451</v>
          </cell>
          <cell r="F2057">
            <v>0</v>
          </cell>
          <cell r="G2057">
            <v>7</v>
          </cell>
          <cell r="H2057" t="str">
            <v>2006-07-31</v>
          </cell>
        </row>
        <row r="2058">
          <cell r="A2058" t="str">
            <v>480000</v>
          </cell>
          <cell r="B2058" t="str">
            <v>1015</v>
          </cell>
          <cell r="C2058">
            <v>-268183.13</v>
          </cell>
          <cell r="D2058" t="str">
            <v>202</v>
          </cell>
          <cell r="E2058" t="str">
            <v>453</v>
          </cell>
          <cell r="F2058">
            <v>-43968.97</v>
          </cell>
          <cell r="G2058">
            <v>7</v>
          </cell>
          <cell r="H2058" t="str">
            <v>2006-07-31</v>
          </cell>
        </row>
        <row r="2059">
          <cell r="A2059" t="str">
            <v>480000</v>
          </cell>
          <cell r="B2059" t="str">
            <v>1015</v>
          </cell>
          <cell r="C2059">
            <v>-317109.73</v>
          </cell>
          <cell r="D2059" t="str">
            <v>204</v>
          </cell>
          <cell r="E2059" t="str">
            <v>453</v>
          </cell>
          <cell r="F2059">
            <v>0</v>
          </cell>
          <cell r="G2059">
            <v>7</v>
          </cell>
          <cell r="H2059" t="str">
            <v>2006-07-31</v>
          </cell>
        </row>
        <row r="2060">
          <cell r="A2060" t="str">
            <v>480000</v>
          </cell>
          <cell r="B2060" t="str">
            <v>1015</v>
          </cell>
          <cell r="C2060">
            <v>-20604.52</v>
          </cell>
          <cell r="D2060" t="str">
            <v>205</v>
          </cell>
          <cell r="E2060" t="str">
            <v>453</v>
          </cell>
          <cell r="F2060">
            <v>0</v>
          </cell>
          <cell r="G2060">
            <v>7</v>
          </cell>
          <cell r="H2060" t="str">
            <v>2006-07-31</v>
          </cell>
        </row>
        <row r="2061">
          <cell r="A2061" t="str">
            <v>480001</v>
          </cell>
          <cell r="B2061" t="str">
            <v>1015</v>
          </cell>
          <cell r="C2061">
            <v>16477.400000000001</v>
          </cell>
          <cell r="D2061" t="str">
            <v>202</v>
          </cell>
          <cell r="E2061" t="str">
            <v>453</v>
          </cell>
          <cell r="F2061">
            <v>11996.13</v>
          </cell>
          <cell r="G2061">
            <v>7</v>
          </cell>
          <cell r="H2061" t="str">
            <v>2006-07-31</v>
          </cell>
        </row>
        <row r="2062">
          <cell r="A2062" t="str">
            <v>480001</v>
          </cell>
          <cell r="B2062" t="str">
            <v>1015</v>
          </cell>
          <cell r="C2062">
            <v>86849.47</v>
          </cell>
          <cell r="D2062" t="str">
            <v>204</v>
          </cell>
          <cell r="E2062" t="str">
            <v>453</v>
          </cell>
          <cell r="F2062">
            <v>0</v>
          </cell>
          <cell r="G2062">
            <v>7</v>
          </cell>
          <cell r="H2062" t="str">
            <v>2006-07-31</v>
          </cell>
        </row>
        <row r="2063">
          <cell r="A2063" t="str">
            <v>480001</v>
          </cell>
          <cell r="B2063" t="str">
            <v>1015</v>
          </cell>
          <cell r="C2063">
            <v>11176.49</v>
          </cell>
          <cell r="D2063" t="str">
            <v>205</v>
          </cell>
          <cell r="E2063" t="str">
            <v>453</v>
          </cell>
          <cell r="F2063">
            <v>0</v>
          </cell>
          <cell r="G2063">
            <v>7</v>
          </cell>
          <cell r="H2063" t="str">
            <v>2006-07-31</v>
          </cell>
        </row>
        <row r="2064">
          <cell r="A2064" t="str">
            <v>480001</v>
          </cell>
          <cell r="B2064" t="str">
            <v>1015</v>
          </cell>
          <cell r="C2064">
            <v>0</v>
          </cell>
          <cell r="D2064" t="str">
            <v>210</v>
          </cell>
          <cell r="E2064" t="str">
            <v>453</v>
          </cell>
          <cell r="F2064">
            <v>0</v>
          </cell>
          <cell r="G2064">
            <v>7</v>
          </cell>
          <cell r="H2064" t="str">
            <v>2006-07-31</v>
          </cell>
        </row>
        <row r="2065">
          <cell r="A2065" t="str">
            <v>481004</v>
          </cell>
          <cell r="B2065" t="str">
            <v>1015</v>
          </cell>
          <cell r="C2065">
            <v>-56254.27</v>
          </cell>
          <cell r="D2065" t="str">
            <v>202</v>
          </cell>
          <cell r="E2065" t="str">
            <v>453</v>
          </cell>
          <cell r="F2065">
            <v>-19322.16</v>
          </cell>
          <cell r="G2065">
            <v>7</v>
          </cell>
          <cell r="H2065" t="str">
            <v>2006-07-31</v>
          </cell>
        </row>
        <row r="2066">
          <cell r="A2066" t="str">
            <v>481004</v>
          </cell>
          <cell r="B2066" t="str">
            <v>1015</v>
          </cell>
          <cell r="C2066">
            <v>-139278.74</v>
          </cell>
          <cell r="D2066" t="str">
            <v>204</v>
          </cell>
          <cell r="E2066" t="str">
            <v>453</v>
          </cell>
          <cell r="F2066">
            <v>0</v>
          </cell>
          <cell r="G2066">
            <v>7</v>
          </cell>
          <cell r="H2066" t="str">
            <v>2006-07-31</v>
          </cell>
        </row>
        <row r="2067">
          <cell r="A2067" t="str">
            <v>481004</v>
          </cell>
          <cell r="B2067" t="str">
            <v>1015</v>
          </cell>
          <cell r="C2067">
            <v>-5955.97</v>
          </cell>
          <cell r="D2067" t="str">
            <v>205</v>
          </cell>
          <cell r="E2067" t="str">
            <v>453</v>
          </cell>
          <cell r="F2067">
            <v>0</v>
          </cell>
          <cell r="G2067">
            <v>7</v>
          </cell>
          <cell r="H2067" t="str">
            <v>2006-07-31</v>
          </cell>
        </row>
        <row r="2068">
          <cell r="A2068" t="str">
            <v>480000</v>
          </cell>
          <cell r="B2068" t="str">
            <v>1015</v>
          </cell>
          <cell r="C2068">
            <v>-8894.7800000000007</v>
          </cell>
          <cell r="D2068" t="str">
            <v>202</v>
          </cell>
          <cell r="E2068" t="str">
            <v>455</v>
          </cell>
          <cell r="F2068">
            <v>-1507.22</v>
          </cell>
          <cell r="G2068">
            <v>7</v>
          </cell>
          <cell r="H2068" t="str">
            <v>2006-07-31</v>
          </cell>
        </row>
        <row r="2069">
          <cell r="A2069" t="str">
            <v>480000</v>
          </cell>
          <cell r="B2069" t="str">
            <v>1015</v>
          </cell>
          <cell r="C2069">
            <v>-10888.61</v>
          </cell>
          <cell r="D2069" t="str">
            <v>204</v>
          </cell>
          <cell r="E2069" t="str">
            <v>455</v>
          </cell>
          <cell r="F2069">
            <v>0</v>
          </cell>
          <cell r="G2069">
            <v>7</v>
          </cell>
          <cell r="H2069" t="str">
            <v>2006-07-31</v>
          </cell>
        </row>
        <row r="2070">
          <cell r="A2070" t="str">
            <v>480000</v>
          </cell>
          <cell r="B2070" t="str">
            <v>1015</v>
          </cell>
          <cell r="C2070">
            <v>-1112.42</v>
          </cell>
          <cell r="D2070" t="str">
            <v>205</v>
          </cell>
          <cell r="E2070" t="str">
            <v>455</v>
          </cell>
          <cell r="F2070">
            <v>0</v>
          </cell>
          <cell r="G2070">
            <v>7</v>
          </cell>
          <cell r="H2070" t="str">
            <v>2006-07-31</v>
          </cell>
        </row>
        <row r="2071">
          <cell r="A2071" t="str">
            <v>480001</v>
          </cell>
          <cell r="B2071" t="str">
            <v>1015</v>
          </cell>
          <cell r="C2071">
            <v>1907.85</v>
          </cell>
          <cell r="D2071" t="str">
            <v>202</v>
          </cell>
          <cell r="E2071" t="str">
            <v>455</v>
          </cell>
          <cell r="F2071">
            <v>574.08000000000004</v>
          </cell>
          <cell r="G2071">
            <v>7</v>
          </cell>
          <cell r="H2071" t="str">
            <v>2006-07-31</v>
          </cell>
        </row>
        <row r="2072">
          <cell r="A2072" t="str">
            <v>480001</v>
          </cell>
          <cell r="B2072" t="str">
            <v>1015</v>
          </cell>
          <cell r="C2072">
            <v>4170.83</v>
          </cell>
          <cell r="D2072" t="str">
            <v>204</v>
          </cell>
          <cell r="E2072" t="str">
            <v>455</v>
          </cell>
          <cell r="F2072">
            <v>0</v>
          </cell>
          <cell r="G2072">
            <v>7</v>
          </cell>
          <cell r="H2072" t="str">
            <v>2006-07-31</v>
          </cell>
        </row>
        <row r="2073">
          <cell r="A2073" t="str">
            <v>480001</v>
          </cell>
          <cell r="B2073" t="str">
            <v>1015</v>
          </cell>
          <cell r="C2073">
            <v>1507.65</v>
          </cell>
          <cell r="D2073" t="str">
            <v>205</v>
          </cell>
          <cell r="E2073" t="str">
            <v>455</v>
          </cell>
          <cell r="F2073">
            <v>0</v>
          </cell>
          <cell r="G2073">
            <v>7</v>
          </cell>
          <cell r="H2073" t="str">
            <v>2006-07-31</v>
          </cell>
        </row>
        <row r="2074">
          <cell r="A2074" t="str">
            <v>480001</v>
          </cell>
          <cell r="B2074" t="str">
            <v>1015</v>
          </cell>
          <cell r="C2074">
            <v>0</v>
          </cell>
          <cell r="D2074" t="str">
            <v>210</v>
          </cell>
          <cell r="E2074" t="str">
            <v>455</v>
          </cell>
          <cell r="F2074">
            <v>0</v>
          </cell>
          <cell r="G2074">
            <v>7</v>
          </cell>
          <cell r="H2074" t="str">
            <v>2006-07-31</v>
          </cell>
        </row>
        <row r="2075">
          <cell r="A2075" t="str">
            <v>481004</v>
          </cell>
          <cell r="B2075" t="str">
            <v>1015</v>
          </cell>
          <cell r="C2075">
            <v>-3543.07</v>
          </cell>
          <cell r="D2075" t="str">
            <v>202</v>
          </cell>
          <cell r="E2075" t="str">
            <v>455</v>
          </cell>
          <cell r="F2075">
            <v>-1094.8599999999999</v>
          </cell>
          <cell r="G2075">
            <v>7</v>
          </cell>
          <cell r="H2075" t="str">
            <v>2006-07-31</v>
          </cell>
        </row>
        <row r="2076">
          <cell r="A2076" t="str">
            <v>481004</v>
          </cell>
          <cell r="B2076" t="str">
            <v>1015</v>
          </cell>
          <cell r="C2076">
            <v>-7892.22</v>
          </cell>
          <cell r="D2076" t="str">
            <v>204</v>
          </cell>
          <cell r="E2076" t="str">
            <v>455</v>
          </cell>
          <cell r="F2076">
            <v>0</v>
          </cell>
          <cell r="G2076">
            <v>7</v>
          </cell>
          <cell r="H2076" t="str">
            <v>2006-07-31</v>
          </cell>
        </row>
        <row r="2077">
          <cell r="A2077" t="str">
            <v>481004</v>
          </cell>
          <cell r="B2077" t="str">
            <v>1015</v>
          </cell>
          <cell r="C2077">
            <v>-395.23</v>
          </cell>
          <cell r="D2077" t="str">
            <v>205</v>
          </cell>
          <cell r="E2077" t="str">
            <v>455</v>
          </cell>
          <cell r="F2077">
            <v>0</v>
          </cell>
          <cell r="G2077">
            <v>7</v>
          </cell>
          <cell r="H2077" t="str">
            <v>2006-07-31</v>
          </cell>
        </row>
        <row r="2078">
          <cell r="A2078" t="str">
            <v>481002</v>
          </cell>
          <cell r="B2078" t="str">
            <v>1015</v>
          </cell>
          <cell r="C2078">
            <v>0</v>
          </cell>
          <cell r="D2078" t="str">
            <v>202</v>
          </cell>
          <cell r="E2078" t="str">
            <v>456</v>
          </cell>
          <cell r="F2078">
            <v>0</v>
          </cell>
          <cell r="G2078">
            <v>7</v>
          </cell>
          <cell r="H2078" t="str">
            <v>2006-07-31</v>
          </cell>
        </row>
        <row r="2079">
          <cell r="A2079" t="str">
            <v>481002</v>
          </cell>
          <cell r="B2079" t="str">
            <v>1015</v>
          </cell>
          <cell r="C2079">
            <v>0</v>
          </cell>
          <cell r="D2079" t="str">
            <v>203</v>
          </cell>
          <cell r="E2079" t="str">
            <v>456</v>
          </cell>
          <cell r="F2079">
            <v>0</v>
          </cell>
          <cell r="G2079">
            <v>7</v>
          </cell>
          <cell r="H2079" t="str">
            <v>2006-07-31</v>
          </cell>
        </row>
        <row r="2080">
          <cell r="A2080" t="str">
            <v>481002</v>
          </cell>
          <cell r="B2080" t="str">
            <v>1015</v>
          </cell>
          <cell r="C2080">
            <v>0</v>
          </cell>
          <cell r="D2080" t="str">
            <v>204</v>
          </cell>
          <cell r="E2080" t="str">
            <v>456</v>
          </cell>
          <cell r="F2080">
            <v>0</v>
          </cell>
          <cell r="G2080">
            <v>7</v>
          </cell>
          <cell r="H2080" t="str">
            <v>2006-07-31</v>
          </cell>
        </row>
        <row r="2081">
          <cell r="A2081" t="str">
            <v>481002</v>
          </cell>
          <cell r="B2081" t="str">
            <v>1015</v>
          </cell>
          <cell r="C2081">
            <v>0</v>
          </cell>
          <cell r="D2081" t="str">
            <v>210</v>
          </cell>
          <cell r="E2081" t="str">
            <v>456</v>
          </cell>
          <cell r="F2081">
            <v>0</v>
          </cell>
          <cell r="G2081">
            <v>7</v>
          </cell>
          <cell r="H2081" t="str">
            <v>2006-07-31</v>
          </cell>
        </row>
        <row r="2082">
          <cell r="A2082" t="str">
            <v>481002</v>
          </cell>
          <cell r="B2082" t="str">
            <v>1015</v>
          </cell>
          <cell r="C2082">
            <v>-356.75</v>
          </cell>
          <cell r="D2082" t="str">
            <v>202</v>
          </cell>
          <cell r="E2082" t="str">
            <v>457</v>
          </cell>
          <cell r="F2082">
            <v>-2117</v>
          </cell>
          <cell r="G2082">
            <v>7</v>
          </cell>
          <cell r="H2082" t="str">
            <v>2006-07-31</v>
          </cell>
        </row>
        <row r="2083">
          <cell r="A2083" t="str">
            <v>481002</v>
          </cell>
          <cell r="B2083" t="str">
            <v>1015</v>
          </cell>
          <cell r="C2083">
            <v>-387.14</v>
          </cell>
          <cell r="D2083" t="str">
            <v>203</v>
          </cell>
          <cell r="E2083" t="str">
            <v>457</v>
          </cell>
          <cell r="F2083">
            <v>0</v>
          </cell>
          <cell r="G2083">
            <v>7</v>
          </cell>
          <cell r="H2083" t="str">
            <v>2006-07-31</v>
          </cell>
        </row>
        <row r="2084">
          <cell r="A2084" t="str">
            <v>481002</v>
          </cell>
          <cell r="B2084" t="str">
            <v>1015</v>
          </cell>
          <cell r="C2084">
            <v>-10799.6</v>
          </cell>
          <cell r="D2084" t="str">
            <v>204</v>
          </cell>
          <cell r="E2084" t="str">
            <v>457</v>
          </cell>
          <cell r="F2084">
            <v>0</v>
          </cell>
          <cell r="G2084">
            <v>7</v>
          </cell>
          <cell r="H2084" t="str">
            <v>2006-07-31</v>
          </cell>
        </row>
        <row r="2085">
          <cell r="A2085" t="str">
            <v>481005</v>
          </cell>
          <cell r="B2085" t="str">
            <v>1015</v>
          </cell>
          <cell r="C2085">
            <v>-1240</v>
          </cell>
          <cell r="D2085" t="str">
            <v>202</v>
          </cell>
          <cell r="E2085" t="str">
            <v>457</v>
          </cell>
          <cell r="F2085">
            <v>-5821</v>
          </cell>
          <cell r="G2085">
            <v>7</v>
          </cell>
          <cell r="H2085" t="str">
            <v>2006-07-31</v>
          </cell>
        </row>
        <row r="2086">
          <cell r="A2086" t="str">
            <v>481005</v>
          </cell>
          <cell r="B2086" t="str">
            <v>1015</v>
          </cell>
          <cell r="C2086">
            <v>-1064</v>
          </cell>
          <cell r="D2086" t="str">
            <v>203</v>
          </cell>
          <cell r="E2086" t="str">
            <v>457</v>
          </cell>
          <cell r="F2086">
            <v>0</v>
          </cell>
          <cell r="G2086">
            <v>7</v>
          </cell>
          <cell r="H2086" t="str">
            <v>2006-07-31</v>
          </cell>
        </row>
        <row r="2087">
          <cell r="A2087" t="str">
            <v>481005</v>
          </cell>
          <cell r="B2087" t="str">
            <v>1015</v>
          </cell>
          <cell r="C2087">
            <v>-27950</v>
          </cell>
          <cell r="D2087" t="str">
            <v>204</v>
          </cell>
          <cell r="E2087" t="str">
            <v>457</v>
          </cell>
          <cell r="F2087">
            <v>0</v>
          </cell>
          <cell r="G2087">
            <v>7</v>
          </cell>
          <cell r="H2087" t="str">
            <v>2006-07-31</v>
          </cell>
        </row>
        <row r="2088">
          <cell r="A2088" t="str">
            <v>489300</v>
          </cell>
          <cell r="B2088" t="str">
            <v>1015</v>
          </cell>
          <cell r="C2088">
            <v>-2461.04</v>
          </cell>
          <cell r="D2088" t="str">
            <v>250</v>
          </cell>
          <cell r="E2088" t="str">
            <v>458</v>
          </cell>
          <cell r="F2088">
            <v>-15287</v>
          </cell>
          <cell r="G2088">
            <v>7</v>
          </cell>
          <cell r="H2088" t="str">
            <v>2006-07-31</v>
          </cell>
        </row>
        <row r="2089">
          <cell r="A2089" t="str">
            <v>489304</v>
          </cell>
          <cell r="B2089" t="str">
            <v>1015</v>
          </cell>
          <cell r="C2089">
            <v>-438.5</v>
          </cell>
          <cell r="D2089" t="str">
            <v>250</v>
          </cell>
          <cell r="E2089" t="str">
            <v>458</v>
          </cell>
          <cell r="F2089">
            <v>-1125</v>
          </cell>
          <cell r="G2089">
            <v>7</v>
          </cell>
          <cell r="H2089" t="str">
            <v>2006-07-31</v>
          </cell>
        </row>
        <row r="2090">
          <cell r="A2090" t="str">
            <v>489300</v>
          </cell>
          <cell r="B2090" t="str">
            <v>1015</v>
          </cell>
          <cell r="C2090">
            <v>-1393.95</v>
          </cell>
          <cell r="D2090" t="str">
            <v>250</v>
          </cell>
          <cell r="E2090" t="str">
            <v>459</v>
          </cell>
          <cell r="F2090">
            <v>-2126</v>
          </cell>
          <cell r="G2090">
            <v>7</v>
          </cell>
          <cell r="H2090" t="str">
            <v>2006-07-31</v>
          </cell>
        </row>
        <row r="2091">
          <cell r="A2091" t="str">
            <v>481003</v>
          </cell>
          <cell r="B2091" t="str">
            <v>1015</v>
          </cell>
          <cell r="C2091">
            <v>-116916.72</v>
          </cell>
          <cell r="D2091" t="str">
            <v>200</v>
          </cell>
          <cell r="F2091">
            <v>-11884.44</v>
          </cell>
          <cell r="G2091">
            <v>7</v>
          </cell>
          <cell r="H2091" t="str">
            <v>2006-07-31</v>
          </cell>
        </row>
        <row r="2092">
          <cell r="A2092" t="str">
            <v>481000</v>
          </cell>
          <cell r="B2092" t="str">
            <v>1015</v>
          </cell>
          <cell r="C2092">
            <v>-15464.44</v>
          </cell>
          <cell r="D2092" t="str">
            <v>202</v>
          </cell>
          <cell r="E2092" t="str">
            <v>402</v>
          </cell>
          <cell r="F2092">
            <v>-37009</v>
          </cell>
          <cell r="G2092">
            <v>8</v>
          </cell>
          <cell r="H2092" t="str">
            <v>2006-08-31</v>
          </cell>
        </row>
        <row r="2093">
          <cell r="A2093" t="str">
            <v>481000</v>
          </cell>
          <cell r="B2093" t="str">
            <v>1015</v>
          </cell>
          <cell r="C2093">
            <v>-18414.560000000001</v>
          </cell>
          <cell r="D2093" t="str">
            <v>203</v>
          </cell>
          <cell r="E2093" t="str">
            <v>402</v>
          </cell>
          <cell r="F2093">
            <v>0</v>
          </cell>
          <cell r="G2093">
            <v>8</v>
          </cell>
          <cell r="H2093" t="str">
            <v>2006-08-31</v>
          </cell>
        </row>
        <row r="2094">
          <cell r="A2094" t="str">
            <v>481000</v>
          </cell>
          <cell r="B2094" t="str">
            <v>1015</v>
          </cell>
          <cell r="C2094">
            <v>-240348.66</v>
          </cell>
          <cell r="D2094" t="str">
            <v>204</v>
          </cell>
          <cell r="E2094" t="str">
            <v>402</v>
          </cell>
          <cell r="F2094">
            <v>0</v>
          </cell>
          <cell r="G2094">
            <v>8</v>
          </cell>
          <cell r="H2094" t="str">
            <v>2006-08-31</v>
          </cell>
        </row>
        <row r="2095">
          <cell r="A2095" t="str">
            <v>481000</v>
          </cell>
          <cell r="B2095" t="str">
            <v>1015</v>
          </cell>
          <cell r="C2095">
            <v>0</v>
          </cell>
          <cell r="D2095" t="str">
            <v>210</v>
          </cell>
          <cell r="E2095" t="str">
            <v>402</v>
          </cell>
          <cell r="F2095">
            <v>0</v>
          </cell>
          <cell r="G2095">
            <v>8</v>
          </cell>
          <cell r="H2095" t="str">
            <v>2006-08-31</v>
          </cell>
        </row>
        <row r="2096">
          <cell r="A2096" t="str">
            <v>481004</v>
          </cell>
          <cell r="B2096" t="str">
            <v>1015</v>
          </cell>
          <cell r="C2096">
            <v>-221462.01</v>
          </cell>
          <cell r="D2096" t="str">
            <v>202</v>
          </cell>
          <cell r="E2096" t="str">
            <v>402</v>
          </cell>
          <cell r="F2096">
            <v>-401695</v>
          </cell>
          <cell r="G2096">
            <v>8</v>
          </cell>
          <cell r="H2096" t="str">
            <v>2006-08-31</v>
          </cell>
        </row>
        <row r="2097">
          <cell r="A2097" t="str">
            <v>481004</v>
          </cell>
          <cell r="B2097" t="str">
            <v>1015</v>
          </cell>
          <cell r="C2097">
            <v>-199871.97</v>
          </cell>
          <cell r="D2097" t="str">
            <v>203</v>
          </cell>
          <cell r="E2097" t="str">
            <v>402</v>
          </cell>
          <cell r="F2097">
            <v>0</v>
          </cell>
          <cell r="G2097">
            <v>8</v>
          </cell>
          <cell r="H2097" t="str">
            <v>2006-08-31</v>
          </cell>
        </row>
        <row r="2098">
          <cell r="A2098" t="str">
            <v>481004</v>
          </cell>
          <cell r="B2098" t="str">
            <v>1015</v>
          </cell>
          <cell r="C2098">
            <v>-2608742.59</v>
          </cell>
          <cell r="D2098" t="str">
            <v>204</v>
          </cell>
          <cell r="E2098" t="str">
            <v>402</v>
          </cell>
          <cell r="F2098">
            <v>0</v>
          </cell>
          <cell r="G2098">
            <v>8</v>
          </cell>
          <cell r="H2098" t="str">
            <v>2006-08-31</v>
          </cell>
        </row>
        <row r="2099">
          <cell r="A2099" t="str">
            <v>481004</v>
          </cell>
          <cell r="B2099" t="str">
            <v>1015</v>
          </cell>
          <cell r="C2099">
            <v>0</v>
          </cell>
          <cell r="D2099" t="str">
            <v>210</v>
          </cell>
          <cell r="E2099" t="str">
            <v>402</v>
          </cell>
          <cell r="F2099">
            <v>0</v>
          </cell>
          <cell r="G2099">
            <v>8</v>
          </cell>
          <cell r="H2099" t="str">
            <v>2006-08-31</v>
          </cell>
        </row>
        <row r="2100">
          <cell r="A2100" t="str">
            <v>481000</v>
          </cell>
          <cell r="B2100" t="str">
            <v>1015</v>
          </cell>
          <cell r="C2100">
            <v>-7071.01</v>
          </cell>
          <cell r="D2100" t="str">
            <v>202</v>
          </cell>
          <cell r="E2100" t="str">
            <v>403</v>
          </cell>
          <cell r="F2100">
            <v>0</v>
          </cell>
          <cell r="G2100">
            <v>8</v>
          </cell>
          <cell r="H2100" t="str">
            <v>2006-08-31</v>
          </cell>
        </row>
        <row r="2101">
          <cell r="A2101" t="str">
            <v>481000</v>
          </cell>
          <cell r="B2101" t="str">
            <v>1015</v>
          </cell>
          <cell r="C2101">
            <v>-1636.48</v>
          </cell>
          <cell r="D2101" t="str">
            <v>203</v>
          </cell>
          <cell r="E2101" t="str">
            <v>403</v>
          </cell>
          <cell r="F2101">
            <v>0</v>
          </cell>
          <cell r="G2101">
            <v>8</v>
          </cell>
          <cell r="H2101" t="str">
            <v>2006-08-31</v>
          </cell>
        </row>
        <row r="2102">
          <cell r="A2102" t="str">
            <v>481000</v>
          </cell>
          <cell r="B2102" t="str">
            <v>1015</v>
          </cell>
          <cell r="C2102">
            <v>-2974.7</v>
          </cell>
          <cell r="D2102" t="str">
            <v>204</v>
          </cell>
          <cell r="E2102" t="str">
            <v>403</v>
          </cell>
          <cell r="F2102">
            <v>0</v>
          </cell>
          <cell r="G2102">
            <v>8</v>
          </cell>
          <cell r="H2102" t="str">
            <v>2006-08-31</v>
          </cell>
        </row>
        <row r="2103">
          <cell r="A2103" t="str">
            <v>481000</v>
          </cell>
          <cell r="B2103" t="str">
            <v>1015</v>
          </cell>
          <cell r="C2103">
            <v>-9742.31</v>
          </cell>
          <cell r="D2103" t="str">
            <v>202</v>
          </cell>
          <cell r="E2103" t="str">
            <v>404</v>
          </cell>
          <cell r="F2103">
            <v>-31000</v>
          </cell>
          <cell r="G2103">
            <v>8</v>
          </cell>
          <cell r="H2103" t="str">
            <v>2006-08-31</v>
          </cell>
        </row>
        <row r="2104">
          <cell r="A2104" t="str">
            <v>481000</v>
          </cell>
          <cell r="B2104" t="str">
            <v>1015</v>
          </cell>
          <cell r="C2104">
            <v>-22384.17</v>
          </cell>
          <cell r="D2104" t="str">
            <v>203</v>
          </cell>
          <cell r="E2104" t="str">
            <v>404</v>
          </cell>
          <cell r="F2104">
            <v>0</v>
          </cell>
          <cell r="G2104">
            <v>8</v>
          </cell>
          <cell r="H2104" t="str">
            <v>2006-08-31</v>
          </cell>
        </row>
        <row r="2105">
          <cell r="A2105" t="str">
            <v>481000</v>
          </cell>
          <cell r="B2105" t="str">
            <v>1015</v>
          </cell>
          <cell r="C2105">
            <v>-201324.23</v>
          </cell>
          <cell r="D2105" t="str">
            <v>204</v>
          </cell>
          <cell r="E2105" t="str">
            <v>404</v>
          </cell>
          <cell r="F2105">
            <v>0</v>
          </cell>
          <cell r="G2105">
            <v>8</v>
          </cell>
          <cell r="H2105" t="str">
            <v>2006-08-31</v>
          </cell>
        </row>
        <row r="2106">
          <cell r="A2106" t="str">
            <v>481004</v>
          </cell>
          <cell r="B2106" t="str">
            <v>1015</v>
          </cell>
          <cell r="C2106">
            <v>0</v>
          </cell>
          <cell r="D2106" t="str">
            <v>202</v>
          </cell>
          <cell r="E2106" t="str">
            <v>404</v>
          </cell>
          <cell r="F2106">
            <v>0</v>
          </cell>
          <cell r="G2106">
            <v>8</v>
          </cell>
          <cell r="H2106" t="str">
            <v>2006-08-31</v>
          </cell>
        </row>
        <row r="2107">
          <cell r="A2107" t="str">
            <v>481004</v>
          </cell>
          <cell r="B2107" t="str">
            <v>1015</v>
          </cell>
          <cell r="C2107">
            <v>0</v>
          </cell>
          <cell r="D2107" t="str">
            <v>203</v>
          </cell>
          <cell r="E2107" t="str">
            <v>404</v>
          </cell>
          <cell r="F2107">
            <v>0</v>
          </cell>
          <cell r="G2107">
            <v>8</v>
          </cell>
          <cell r="H2107" t="str">
            <v>2006-08-31</v>
          </cell>
        </row>
        <row r="2108">
          <cell r="A2108" t="str">
            <v>481004</v>
          </cell>
          <cell r="B2108" t="str">
            <v>1015</v>
          </cell>
          <cell r="C2108">
            <v>0</v>
          </cell>
          <cell r="D2108" t="str">
            <v>204</v>
          </cell>
          <cell r="E2108" t="str">
            <v>404</v>
          </cell>
          <cell r="F2108">
            <v>0</v>
          </cell>
          <cell r="G2108">
            <v>8</v>
          </cell>
          <cell r="H2108" t="str">
            <v>2006-08-31</v>
          </cell>
        </row>
        <row r="2109">
          <cell r="A2109" t="str">
            <v>481004</v>
          </cell>
          <cell r="B2109" t="str">
            <v>1015</v>
          </cell>
          <cell r="C2109">
            <v>0</v>
          </cell>
          <cell r="D2109" t="str">
            <v>210</v>
          </cell>
          <cell r="E2109" t="str">
            <v>404</v>
          </cell>
          <cell r="F2109">
            <v>0</v>
          </cell>
          <cell r="G2109">
            <v>8</v>
          </cell>
          <cell r="H2109" t="str">
            <v>2006-08-31</v>
          </cell>
        </row>
        <row r="2110">
          <cell r="A2110" t="str">
            <v>489300</v>
          </cell>
          <cell r="B2110" t="str">
            <v>1015</v>
          </cell>
          <cell r="C2110">
            <v>-58054.46</v>
          </cell>
          <cell r="D2110" t="str">
            <v>250</v>
          </cell>
          <cell r="E2110" t="str">
            <v>405</v>
          </cell>
          <cell r="F2110">
            <v>-314539</v>
          </cell>
          <cell r="G2110">
            <v>8</v>
          </cell>
          <cell r="H2110" t="str">
            <v>2006-08-31</v>
          </cell>
        </row>
        <row r="2111">
          <cell r="A2111" t="str">
            <v>489304</v>
          </cell>
          <cell r="B2111" t="str">
            <v>1015</v>
          </cell>
          <cell r="C2111">
            <v>-81797.13</v>
          </cell>
          <cell r="D2111" t="str">
            <v>250</v>
          </cell>
          <cell r="E2111" t="str">
            <v>405</v>
          </cell>
          <cell r="F2111">
            <v>-771063</v>
          </cell>
          <cell r="G2111">
            <v>8</v>
          </cell>
          <cell r="H2111" t="str">
            <v>2006-08-31</v>
          </cell>
        </row>
        <row r="2112">
          <cell r="A2112" t="str">
            <v>489300</v>
          </cell>
          <cell r="B2112" t="str">
            <v>1015</v>
          </cell>
          <cell r="C2112">
            <v>-108100.07</v>
          </cell>
          <cell r="D2112" t="str">
            <v>250</v>
          </cell>
          <cell r="E2112" t="str">
            <v>406</v>
          </cell>
          <cell r="F2112">
            <v>-510251</v>
          </cell>
          <cell r="G2112">
            <v>8</v>
          </cell>
          <cell r="H2112" t="str">
            <v>2006-08-31</v>
          </cell>
        </row>
        <row r="2113">
          <cell r="A2113" t="str">
            <v>489304</v>
          </cell>
          <cell r="B2113" t="str">
            <v>1015</v>
          </cell>
          <cell r="C2113">
            <v>-26667.62</v>
          </cell>
          <cell r="D2113" t="str">
            <v>250</v>
          </cell>
          <cell r="E2113" t="str">
            <v>406</v>
          </cell>
          <cell r="F2113">
            <v>-134868</v>
          </cell>
          <cell r="G2113">
            <v>8</v>
          </cell>
          <cell r="H2113" t="str">
            <v>2006-08-31</v>
          </cell>
        </row>
        <row r="2114">
          <cell r="A2114" t="str">
            <v>480000</v>
          </cell>
          <cell r="B2114" t="str">
            <v>1015</v>
          </cell>
          <cell r="C2114">
            <v>-6368898.2300000004</v>
          </cell>
          <cell r="D2114" t="str">
            <v>202</v>
          </cell>
          <cell r="E2114" t="str">
            <v>407</v>
          </cell>
          <cell r="F2114">
            <v>-1498832.36</v>
          </cell>
          <cell r="G2114">
            <v>8</v>
          </cell>
          <cell r="H2114" t="str">
            <v>2006-08-31</v>
          </cell>
        </row>
        <row r="2115">
          <cell r="A2115" t="str">
            <v>480000</v>
          </cell>
          <cell r="B2115" t="str">
            <v>1015</v>
          </cell>
          <cell r="C2115">
            <v>-749335.28</v>
          </cell>
          <cell r="D2115" t="str">
            <v>203</v>
          </cell>
          <cell r="E2115" t="str">
            <v>407</v>
          </cell>
          <cell r="F2115">
            <v>0</v>
          </cell>
          <cell r="G2115">
            <v>8</v>
          </cell>
          <cell r="H2115" t="str">
            <v>2006-08-31</v>
          </cell>
        </row>
        <row r="2116">
          <cell r="A2116" t="str">
            <v>480000</v>
          </cell>
          <cell r="B2116" t="str">
            <v>1015</v>
          </cell>
          <cell r="C2116">
            <v>-9807754.8000000007</v>
          </cell>
          <cell r="D2116" t="str">
            <v>204</v>
          </cell>
          <cell r="E2116" t="str">
            <v>407</v>
          </cell>
          <cell r="F2116">
            <v>0</v>
          </cell>
          <cell r="G2116">
            <v>8</v>
          </cell>
          <cell r="H2116" t="str">
            <v>2006-08-31</v>
          </cell>
        </row>
        <row r="2117">
          <cell r="A2117" t="str">
            <v>480000</v>
          </cell>
          <cell r="B2117" t="str">
            <v>1015</v>
          </cell>
          <cell r="C2117">
            <v>-7919.42</v>
          </cell>
          <cell r="D2117" t="str">
            <v>205</v>
          </cell>
          <cell r="E2117" t="str">
            <v>407</v>
          </cell>
          <cell r="F2117">
            <v>0</v>
          </cell>
          <cell r="G2117">
            <v>8</v>
          </cell>
          <cell r="H2117" t="str">
            <v>2006-08-31</v>
          </cell>
        </row>
        <row r="2118">
          <cell r="A2118" t="str">
            <v>480000</v>
          </cell>
          <cell r="B2118" t="str">
            <v>1015</v>
          </cell>
          <cell r="C2118">
            <v>34494.230000000003</v>
          </cell>
          <cell r="D2118" t="str">
            <v>210</v>
          </cell>
          <cell r="E2118" t="str">
            <v>407</v>
          </cell>
          <cell r="F2118">
            <v>4790.6000000000004</v>
          </cell>
          <cell r="G2118">
            <v>8</v>
          </cell>
          <cell r="H2118" t="str">
            <v>2006-08-31</v>
          </cell>
        </row>
        <row r="2119">
          <cell r="A2119" t="str">
            <v>480001</v>
          </cell>
          <cell r="B2119" t="str">
            <v>1015</v>
          </cell>
          <cell r="C2119">
            <v>240727.86</v>
          </cell>
          <cell r="D2119" t="str">
            <v>202</v>
          </cell>
          <cell r="E2119" t="str">
            <v>407</v>
          </cell>
          <cell r="F2119">
            <v>62956.5</v>
          </cell>
          <cell r="G2119">
            <v>8</v>
          </cell>
          <cell r="H2119" t="str">
            <v>2006-08-31</v>
          </cell>
        </row>
        <row r="2120">
          <cell r="A2120" t="str">
            <v>480001</v>
          </cell>
          <cell r="B2120" t="str">
            <v>1015</v>
          </cell>
          <cell r="C2120">
            <v>35442.81</v>
          </cell>
          <cell r="D2120" t="str">
            <v>203</v>
          </cell>
          <cell r="E2120" t="str">
            <v>407</v>
          </cell>
          <cell r="F2120">
            <v>0</v>
          </cell>
          <cell r="G2120">
            <v>8</v>
          </cell>
          <cell r="H2120" t="str">
            <v>2006-08-31</v>
          </cell>
        </row>
        <row r="2121">
          <cell r="A2121" t="str">
            <v>480001</v>
          </cell>
          <cell r="B2121" t="str">
            <v>1015</v>
          </cell>
          <cell r="C2121">
            <v>421950.94</v>
          </cell>
          <cell r="D2121" t="str">
            <v>204</v>
          </cell>
          <cell r="E2121" t="str">
            <v>407</v>
          </cell>
          <cell r="F2121">
            <v>0</v>
          </cell>
          <cell r="G2121">
            <v>8</v>
          </cell>
          <cell r="H2121" t="str">
            <v>2006-08-31</v>
          </cell>
        </row>
        <row r="2122">
          <cell r="A2122" t="str">
            <v>480001</v>
          </cell>
          <cell r="B2122" t="str">
            <v>1015</v>
          </cell>
          <cell r="C2122">
            <v>8798.7900000000009</v>
          </cell>
          <cell r="D2122" t="str">
            <v>205</v>
          </cell>
          <cell r="E2122" t="str">
            <v>407</v>
          </cell>
          <cell r="F2122">
            <v>0</v>
          </cell>
          <cell r="G2122">
            <v>8</v>
          </cell>
          <cell r="H2122" t="str">
            <v>2006-08-31</v>
          </cell>
        </row>
        <row r="2123">
          <cell r="A2123" t="str">
            <v>480001</v>
          </cell>
          <cell r="B2123" t="str">
            <v>1015</v>
          </cell>
          <cell r="C2123">
            <v>-38376.620000000003</v>
          </cell>
          <cell r="D2123" t="str">
            <v>210</v>
          </cell>
          <cell r="E2123" t="str">
            <v>407</v>
          </cell>
          <cell r="F2123">
            <v>-5332.3</v>
          </cell>
          <cell r="G2123">
            <v>8</v>
          </cell>
          <cell r="H2123" t="str">
            <v>2006-08-31</v>
          </cell>
        </row>
        <row r="2124">
          <cell r="A2124" t="str">
            <v>481000</v>
          </cell>
          <cell r="B2124" t="str">
            <v>1015</v>
          </cell>
          <cell r="C2124">
            <v>-1663.58</v>
          </cell>
          <cell r="D2124" t="str">
            <v>202</v>
          </cell>
          <cell r="E2124" t="str">
            <v>407</v>
          </cell>
          <cell r="F2124">
            <v>-1328.26</v>
          </cell>
          <cell r="G2124">
            <v>8</v>
          </cell>
          <cell r="H2124" t="str">
            <v>2006-08-31</v>
          </cell>
        </row>
        <row r="2125">
          <cell r="A2125" t="str">
            <v>481000</v>
          </cell>
          <cell r="B2125" t="str">
            <v>1015</v>
          </cell>
          <cell r="C2125">
            <v>-660.95</v>
          </cell>
          <cell r="D2125" t="str">
            <v>203</v>
          </cell>
          <cell r="E2125" t="str">
            <v>407</v>
          </cell>
          <cell r="F2125">
            <v>0</v>
          </cell>
          <cell r="G2125">
            <v>8</v>
          </cell>
          <cell r="H2125" t="str">
            <v>2006-08-31</v>
          </cell>
        </row>
        <row r="2126">
          <cell r="A2126" t="str">
            <v>481000</v>
          </cell>
          <cell r="B2126" t="str">
            <v>1015</v>
          </cell>
          <cell r="C2126">
            <v>-8682.2900000000009</v>
          </cell>
          <cell r="D2126" t="str">
            <v>204</v>
          </cell>
          <cell r="E2126" t="str">
            <v>407</v>
          </cell>
          <cell r="F2126">
            <v>0</v>
          </cell>
          <cell r="G2126">
            <v>8</v>
          </cell>
          <cell r="H2126" t="str">
            <v>2006-08-31</v>
          </cell>
        </row>
        <row r="2127">
          <cell r="A2127" t="str">
            <v>481000</v>
          </cell>
          <cell r="B2127" t="str">
            <v>1015</v>
          </cell>
          <cell r="C2127">
            <v>-8.33</v>
          </cell>
          <cell r="D2127" t="str">
            <v>205</v>
          </cell>
          <cell r="E2127" t="str">
            <v>407</v>
          </cell>
          <cell r="F2127">
            <v>0</v>
          </cell>
          <cell r="G2127">
            <v>8</v>
          </cell>
          <cell r="H2127" t="str">
            <v>2006-08-31</v>
          </cell>
        </row>
        <row r="2128">
          <cell r="A2128" t="str">
            <v>481004</v>
          </cell>
          <cell r="B2128" t="str">
            <v>1015</v>
          </cell>
          <cell r="C2128">
            <v>-1312825.05</v>
          </cell>
          <cell r="D2128" t="str">
            <v>202</v>
          </cell>
          <cell r="E2128" t="str">
            <v>407</v>
          </cell>
          <cell r="F2128">
            <v>-488185.88</v>
          </cell>
          <cell r="G2128">
            <v>8</v>
          </cell>
          <cell r="H2128" t="str">
            <v>2006-08-31</v>
          </cell>
        </row>
        <row r="2129">
          <cell r="A2129" t="str">
            <v>481004</v>
          </cell>
          <cell r="B2129" t="str">
            <v>1015</v>
          </cell>
          <cell r="C2129">
            <v>-243501.58</v>
          </cell>
          <cell r="D2129" t="str">
            <v>203</v>
          </cell>
          <cell r="E2129" t="str">
            <v>407</v>
          </cell>
          <cell r="F2129">
            <v>0</v>
          </cell>
          <cell r="G2129">
            <v>8</v>
          </cell>
          <cell r="H2129" t="str">
            <v>2006-08-31</v>
          </cell>
        </row>
        <row r="2130">
          <cell r="A2130" t="str">
            <v>481004</v>
          </cell>
          <cell r="B2130" t="str">
            <v>1015</v>
          </cell>
          <cell r="C2130">
            <v>-3190844.85</v>
          </cell>
          <cell r="D2130" t="str">
            <v>204</v>
          </cell>
          <cell r="E2130" t="str">
            <v>407</v>
          </cell>
          <cell r="F2130">
            <v>0</v>
          </cell>
          <cell r="G2130">
            <v>8</v>
          </cell>
          <cell r="H2130" t="str">
            <v>2006-08-31</v>
          </cell>
        </row>
        <row r="2131">
          <cell r="A2131" t="str">
            <v>481004</v>
          </cell>
          <cell r="B2131" t="str">
            <v>1015</v>
          </cell>
          <cell r="C2131">
            <v>-1357.04</v>
          </cell>
          <cell r="D2131" t="str">
            <v>205</v>
          </cell>
          <cell r="E2131" t="str">
            <v>407</v>
          </cell>
          <cell r="F2131">
            <v>0</v>
          </cell>
          <cell r="G2131">
            <v>8</v>
          </cell>
          <cell r="H2131" t="str">
            <v>2006-08-31</v>
          </cell>
        </row>
        <row r="2132">
          <cell r="A2132" t="str">
            <v>481004</v>
          </cell>
          <cell r="B2132" t="str">
            <v>1015</v>
          </cell>
          <cell r="C2132">
            <v>3882.39</v>
          </cell>
          <cell r="D2132" t="str">
            <v>210</v>
          </cell>
          <cell r="E2132" t="str">
            <v>407</v>
          </cell>
          <cell r="F2132">
            <v>541.70000000000005</v>
          </cell>
          <cell r="G2132">
            <v>8</v>
          </cell>
          <cell r="H2132" t="str">
            <v>2006-08-31</v>
          </cell>
        </row>
        <row r="2133">
          <cell r="A2133" t="str">
            <v>480000</v>
          </cell>
          <cell r="B2133" t="str">
            <v>1015</v>
          </cell>
          <cell r="C2133">
            <v>-40308.629999999997</v>
          </cell>
          <cell r="D2133" t="str">
            <v>202</v>
          </cell>
          <cell r="E2133" t="str">
            <v>408</v>
          </cell>
          <cell r="F2133">
            <v>-8511.9500000000007</v>
          </cell>
          <cell r="G2133">
            <v>8</v>
          </cell>
          <cell r="H2133" t="str">
            <v>2006-08-31</v>
          </cell>
        </row>
        <row r="2134">
          <cell r="A2134" t="str">
            <v>480000</v>
          </cell>
          <cell r="B2134" t="str">
            <v>1015</v>
          </cell>
          <cell r="C2134">
            <v>-4249.04</v>
          </cell>
          <cell r="D2134" t="str">
            <v>203</v>
          </cell>
          <cell r="E2134" t="str">
            <v>408</v>
          </cell>
          <cell r="F2134">
            <v>0</v>
          </cell>
          <cell r="G2134">
            <v>8</v>
          </cell>
          <cell r="H2134" t="str">
            <v>2006-08-31</v>
          </cell>
        </row>
        <row r="2135">
          <cell r="A2135" t="str">
            <v>480000</v>
          </cell>
          <cell r="B2135" t="str">
            <v>1015</v>
          </cell>
          <cell r="C2135">
            <v>-55822.73</v>
          </cell>
          <cell r="D2135" t="str">
            <v>204</v>
          </cell>
          <cell r="E2135" t="str">
            <v>408</v>
          </cell>
          <cell r="F2135">
            <v>0</v>
          </cell>
          <cell r="G2135">
            <v>8</v>
          </cell>
          <cell r="H2135" t="str">
            <v>2006-08-31</v>
          </cell>
        </row>
        <row r="2136">
          <cell r="A2136" t="str">
            <v>480000</v>
          </cell>
          <cell r="B2136" t="str">
            <v>1015</v>
          </cell>
          <cell r="C2136">
            <v>-314.49</v>
          </cell>
          <cell r="D2136" t="str">
            <v>205</v>
          </cell>
          <cell r="E2136" t="str">
            <v>408</v>
          </cell>
          <cell r="F2136">
            <v>0</v>
          </cell>
          <cell r="G2136">
            <v>8</v>
          </cell>
          <cell r="H2136" t="str">
            <v>2006-08-31</v>
          </cell>
        </row>
        <row r="2137">
          <cell r="A2137" t="str">
            <v>480001</v>
          </cell>
          <cell r="B2137" t="str">
            <v>1015</v>
          </cell>
          <cell r="C2137">
            <v>-4012.32</v>
          </cell>
          <cell r="D2137" t="str">
            <v>202</v>
          </cell>
          <cell r="E2137" t="str">
            <v>408</v>
          </cell>
          <cell r="F2137">
            <v>85.6</v>
          </cell>
          <cell r="G2137">
            <v>8</v>
          </cell>
          <cell r="H2137" t="str">
            <v>2006-08-31</v>
          </cell>
        </row>
        <row r="2138">
          <cell r="A2138" t="str">
            <v>480001</v>
          </cell>
          <cell r="B2138" t="str">
            <v>1015</v>
          </cell>
          <cell r="C2138">
            <v>57.17</v>
          </cell>
          <cell r="D2138" t="str">
            <v>203</v>
          </cell>
          <cell r="E2138" t="str">
            <v>408</v>
          </cell>
          <cell r="F2138">
            <v>0</v>
          </cell>
          <cell r="G2138">
            <v>8</v>
          </cell>
          <cell r="H2138" t="str">
            <v>2006-08-31</v>
          </cell>
        </row>
        <row r="2139">
          <cell r="A2139" t="str">
            <v>480001</v>
          </cell>
          <cell r="B2139" t="str">
            <v>1015</v>
          </cell>
          <cell r="C2139">
            <v>758.81</v>
          </cell>
          <cell r="D2139" t="str">
            <v>204</v>
          </cell>
          <cell r="E2139" t="str">
            <v>408</v>
          </cell>
          <cell r="F2139">
            <v>0</v>
          </cell>
          <cell r="G2139">
            <v>8</v>
          </cell>
          <cell r="H2139" t="str">
            <v>2006-08-31</v>
          </cell>
        </row>
        <row r="2140">
          <cell r="A2140" t="str">
            <v>480001</v>
          </cell>
          <cell r="B2140" t="str">
            <v>1015</v>
          </cell>
          <cell r="C2140">
            <v>-991.95</v>
          </cell>
          <cell r="D2140" t="str">
            <v>205</v>
          </cell>
          <cell r="E2140" t="str">
            <v>408</v>
          </cell>
          <cell r="F2140">
            <v>0</v>
          </cell>
          <cell r="G2140">
            <v>8</v>
          </cell>
          <cell r="H2140" t="str">
            <v>2006-08-31</v>
          </cell>
        </row>
        <row r="2141">
          <cell r="A2141" t="str">
            <v>480001</v>
          </cell>
          <cell r="B2141" t="str">
            <v>1015</v>
          </cell>
          <cell r="C2141">
            <v>0</v>
          </cell>
          <cell r="D2141" t="str">
            <v>210</v>
          </cell>
          <cell r="E2141" t="str">
            <v>408</v>
          </cell>
          <cell r="F2141">
            <v>0</v>
          </cell>
          <cell r="G2141">
            <v>8</v>
          </cell>
          <cell r="H2141" t="str">
            <v>2006-08-31</v>
          </cell>
        </row>
        <row r="2142">
          <cell r="A2142" t="str">
            <v>481004</v>
          </cell>
          <cell r="B2142" t="str">
            <v>1015</v>
          </cell>
          <cell r="C2142">
            <v>-23289.05</v>
          </cell>
          <cell r="D2142" t="str">
            <v>202</v>
          </cell>
          <cell r="E2142" t="str">
            <v>408</v>
          </cell>
          <cell r="F2142">
            <v>-5689.65</v>
          </cell>
          <cell r="G2142">
            <v>8</v>
          </cell>
          <cell r="H2142" t="str">
            <v>2006-08-31</v>
          </cell>
        </row>
        <row r="2143">
          <cell r="A2143" t="str">
            <v>481004</v>
          </cell>
          <cell r="B2143" t="str">
            <v>1015</v>
          </cell>
          <cell r="C2143">
            <v>-2832.13</v>
          </cell>
          <cell r="D2143" t="str">
            <v>203</v>
          </cell>
          <cell r="E2143" t="str">
            <v>408</v>
          </cell>
          <cell r="F2143">
            <v>0</v>
          </cell>
          <cell r="G2143">
            <v>8</v>
          </cell>
          <cell r="H2143" t="str">
            <v>2006-08-31</v>
          </cell>
        </row>
        <row r="2144">
          <cell r="A2144" t="str">
            <v>481004</v>
          </cell>
          <cell r="B2144" t="str">
            <v>1015</v>
          </cell>
          <cell r="C2144">
            <v>-37205.08</v>
          </cell>
          <cell r="D2144" t="str">
            <v>204</v>
          </cell>
          <cell r="E2144" t="str">
            <v>408</v>
          </cell>
          <cell r="F2144">
            <v>0</v>
          </cell>
          <cell r="G2144">
            <v>8</v>
          </cell>
          <cell r="H2144" t="str">
            <v>2006-08-31</v>
          </cell>
        </row>
        <row r="2145">
          <cell r="A2145" t="str">
            <v>481004</v>
          </cell>
          <cell r="B2145" t="str">
            <v>1015</v>
          </cell>
          <cell r="C2145">
            <v>-181.56</v>
          </cell>
          <cell r="D2145" t="str">
            <v>205</v>
          </cell>
          <cell r="E2145" t="str">
            <v>408</v>
          </cell>
          <cell r="F2145">
            <v>0</v>
          </cell>
          <cell r="G2145">
            <v>8</v>
          </cell>
          <cell r="H2145" t="str">
            <v>2006-08-31</v>
          </cell>
        </row>
        <row r="2146">
          <cell r="A2146" t="str">
            <v>481002</v>
          </cell>
          <cell r="B2146" t="str">
            <v>1015</v>
          </cell>
          <cell r="C2146">
            <v>-3467.12</v>
          </cell>
          <cell r="D2146" t="str">
            <v>202</v>
          </cell>
          <cell r="E2146" t="str">
            <v>411</v>
          </cell>
          <cell r="F2146">
            <v>-13123</v>
          </cell>
          <cell r="G2146">
            <v>8</v>
          </cell>
          <cell r="H2146" t="str">
            <v>2006-08-31</v>
          </cell>
        </row>
        <row r="2147">
          <cell r="A2147" t="str">
            <v>481002</v>
          </cell>
          <cell r="B2147" t="str">
            <v>1015</v>
          </cell>
          <cell r="C2147">
            <v>-2399.81</v>
          </cell>
          <cell r="D2147" t="str">
            <v>203</v>
          </cell>
          <cell r="E2147" t="str">
            <v>411</v>
          </cell>
          <cell r="F2147">
            <v>0</v>
          </cell>
          <cell r="G2147">
            <v>8</v>
          </cell>
          <cell r="H2147" t="str">
            <v>2006-08-31</v>
          </cell>
        </row>
        <row r="2148">
          <cell r="A2148" t="str">
            <v>481002</v>
          </cell>
          <cell r="B2148" t="str">
            <v>1015</v>
          </cell>
          <cell r="C2148">
            <v>-79577.87</v>
          </cell>
          <cell r="D2148" t="str">
            <v>204</v>
          </cell>
          <cell r="E2148" t="str">
            <v>411</v>
          </cell>
          <cell r="F2148">
            <v>0</v>
          </cell>
          <cell r="G2148">
            <v>8</v>
          </cell>
          <cell r="H2148" t="str">
            <v>2006-08-31</v>
          </cell>
        </row>
        <row r="2149">
          <cell r="A2149" t="str">
            <v>481005</v>
          </cell>
          <cell r="B2149" t="str">
            <v>1015</v>
          </cell>
          <cell r="C2149">
            <v>-35129.72</v>
          </cell>
          <cell r="D2149" t="str">
            <v>202</v>
          </cell>
          <cell r="E2149" t="str">
            <v>411</v>
          </cell>
          <cell r="F2149">
            <v>-168314</v>
          </cell>
          <cell r="G2149">
            <v>8</v>
          </cell>
          <cell r="H2149" t="str">
            <v>2006-08-31</v>
          </cell>
        </row>
        <row r="2150">
          <cell r="A2150" t="str">
            <v>481005</v>
          </cell>
          <cell r="B2150" t="str">
            <v>1015</v>
          </cell>
          <cell r="C2150">
            <v>-30779.84</v>
          </cell>
          <cell r="D2150" t="str">
            <v>203</v>
          </cell>
          <cell r="E2150" t="str">
            <v>411</v>
          </cell>
          <cell r="F2150">
            <v>0</v>
          </cell>
          <cell r="G2150">
            <v>8</v>
          </cell>
          <cell r="H2150" t="str">
            <v>2006-08-31</v>
          </cell>
        </row>
        <row r="2151">
          <cell r="A2151" t="str">
            <v>481005</v>
          </cell>
          <cell r="B2151" t="str">
            <v>1015</v>
          </cell>
          <cell r="C2151">
            <v>-1020655.74</v>
          </cell>
          <cell r="D2151" t="str">
            <v>204</v>
          </cell>
          <cell r="E2151" t="str">
            <v>411</v>
          </cell>
          <cell r="F2151">
            <v>0</v>
          </cell>
          <cell r="G2151">
            <v>8</v>
          </cell>
          <cell r="H2151" t="str">
            <v>2006-08-31</v>
          </cell>
        </row>
        <row r="2152">
          <cell r="A2152" t="str">
            <v>481002</v>
          </cell>
          <cell r="B2152" t="str">
            <v>1015</v>
          </cell>
          <cell r="C2152">
            <v>0</v>
          </cell>
          <cell r="D2152" t="str">
            <v>210</v>
          </cell>
          <cell r="E2152" t="str">
            <v>412</v>
          </cell>
          <cell r="F2152">
            <v>0</v>
          </cell>
          <cell r="G2152">
            <v>8</v>
          </cell>
          <cell r="H2152" t="str">
            <v>2006-08-31</v>
          </cell>
        </row>
        <row r="2153">
          <cell r="A2153" t="str">
            <v>481002</v>
          </cell>
          <cell r="B2153" t="str">
            <v>1015</v>
          </cell>
          <cell r="C2153">
            <v>-5315.26</v>
          </cell>
          <cell r="D2153" t="str">
            <v>202</v>
          </cell>
          <cell r="E2153" t="str">
            <v>414</v>
          </cell>
          <cell r="F2153">
            <v>-21350</v>
          </cell>
          <cell r="G2153">
            <v>8</v>
          </cell>
          <cell r="H2153" t="str">
            <v>2006-08-31</v>
          </cell>
        </row>
        <row r="2154">
          <cell r="A2154" t="str">
            <v>481002</v>
          </cell>
          <cell r="B2154" t="str">
            <v>1015</v>
          </cell>
          <cell r="C2154">
            <v>-3904.27</v>
          </cell>
          <cell r="D2154" t="str">
            <v>203</v>
          </cell>
          <cell r="E2154" t="str">
            <v>414</v>
          </cell>
          <cell r="F2154">
            <v>0</v>
          </cell>
          <cell r="G2154">
            <v>8</v>
          </cell>
          <cell r="H2154" t="str">
            <v>2006-08-31</v>
          </cell>
        </row>
        <row r="2155">
          <cell r="A2155" t="str">
            <v>481002</v>
          </cell>
          <cell r="B2155" t="str">
            <v>1015</v>
          </cell>
          <cell r="C2155">
            <v>-129466.4</v>
          </cell>
          <cell r="D2155" t="str">
            <v>204</v>
          </cell>
          <cell r="E2155" t="str">
            <v>414</v>
          </cell>
          <cell r="F2155">
            <v>0</v>
          </cell>
          <cell r="G2155">
            <v>8</v>
          </cell>
          <cell r="H2155" t="str">
            <v>2006-08-31</v>
          </cell>
        </row>
        <row r="2156">
          <cell r="A2156" t="str">
            <v>481005</v>
          </cell>
          <cell r="B2156" t="str">
            <v>1015</v>
          </cell>
          <cell r="C2156">
            <v>-13115.27</v>
          </cell>
          <cell r="D2156" t="str">
            <v>202</v>
          </cell>
          <cell r="E2156" t="str">
            <v>414</v>
          </cell>
          <cell r="F2156">
            <v>-13530</v>
          </cell>
          <cell r="G2156">
            <v>8</v>
          </cell>
          <cell r="H2156" t="str">
            <v>2006-08-31</v>
          </cell>
        </row>
        <row r="2157">
          <cell r="A2157" t="str">
            <v>481005</v>
          </cell>
          <cell r="B2157" t="str">
            <v>1015</v>
          </cell>
          <cell r="C2157">
            <v>-2474.4</v>
          </cell>
          <cell r="D2157" t="str">
            <v>203</v>
          </cell>
          <cell r="E2157" t="str">
            <v>414</v>
          </cell>
          <cell r="F2157">
            <v>0</v>
          </cell>
          <cell r="G2157">
            <v>8</v>
          </cell>
          <cell r="H2157" t="str">
            <v>2006-08-31</v>
          </cell>
        </row>
        <row r="2158">
          <cell r="A2158" t="str">
            <v>481005</v>
          </cell>
          <cell r="B2158" t="str">
            <v>1015</v>
          </cell>
          <cell r="C2158">
            <v>-82045.62</v>
          </cell>
          <cell r="D2158" t="str">
            <v>204</v>
          </cell>
          <cell r="E2158" t="str">
            <v>414</v>
          </cell>
          <cell r="F2158">
            <v>0</v>
          </cell>
          <cell r="G2158">
            <v>8</v>
          </cell>
          <cell r="H2158" t="str">
            <v>2006-08-31</v>
          </cell>
        </row>
        <row r="2159">
          <cell r="A2159" t="str">
            <v>489300</v>
          </cell>
          <cell r="B2159" t="str">
            <v>1015</v>
          </cell>
          <cell r="C2159">
            <v>-187291.21</v>
          </cell>
          <cell r="D2159" t="str">
            <v>250</v>
          </cell>
          <cell r="E2159" t="str">
            <v>415</v>
          </cell>
          <cell r="F2159">
            <v>-1155623</v>
          </cell>
          <cell r="G2159">
            <v>8</v>
          </cell>
          <cell r="H2159" t="str">
            <v>2006-08-31</v>
          </cell>
        </row>
        <row r="2160">
          <cell r="A2160" t="str">
            <v>489304</v>
          </cell>
          <cell r="B2160" t="str">
            <v>1015</v>
          </cell>
          <cell r="C2160">
            <v>-56222.23</v>
          </cell>
          <cell r="D2160" t="str">
            <v>250</v>
          </cell>
          <cell r="E2160" t="str">
            <v>415</v>
          </cell>
          <cell r="F2160">
            <v>-253851</v>
          </cell>
          <cell r="G2160">
            <v>8</v>
          </cell>
          <cell r="H2160" t="str">
            <v>2006-08-31</v>
          </cell>
        </row>
        <row r="2161">
          <cell r="A2161" t="str">
            <v>489304</v>
          </cell>
          <cell r="B2161" t="str">
            <v>1015</v>
          </cell>
          <cell r="C2161">
            <v>-764.83</v>
          </cell>
          <cell r="D2161" t="str">
            <v>250</v>
          </cell>
          <cell r="E2161" t="str">
            <v>416</v>
          </cell>
          <cell r="F2161">
            <v>-757</v>
          </cell>
          <cell r="G2161">
            <v>8</v>
          </cell>
          <cell r="H2161" t="str">
            <v>2006-08-31</v>
          </cell>
        </row>
        <row r="2162">
          <cell r="A2162" t="str">
            <v>481000</v>
          </cell>
          <cell r="B2162" t="str">
            <v>1015</v>
          </cell>
          <cell r="C2162">
            <v>0</v>
          </cell>
          <cell r="D2162" t="str">
            <v>202</v>
          </cell>
          <cell r="E2162" t="str">
            <v>451</v>
          </cell>
          <cell r="F2162">
            <v>0</v>
          </cell>
          <cell r="G2162">
            <v>8</v>
          </cell>
          <cell r="H2162" t="str">
            <v>2006-08-31</v>
          </cell>
        </row>
        <row r="2163">
          <cell r="A2163" t="str">
            <v>481000</v>
          </cell>
          <cell r="B2163" t="str">
            <v>1015</v>
          </cell>
          <cell r="C2163">
            <v>0</v>
          </cell>
          <cell r="D2163" t="str">
            <v>204</v>
          </cell>
          <cell r="E2163" t="str">
            <v>451</v>
          </cell>
          <cell r="F2163">
            <v>0</v>
          </cell>
          <cell r="G2163">
            <v>8</v>
          </cell>
          <cell r="H2163" t="str">
            <v>2006-08-31</v>
          </cell>
        </row>
        <row r="2164">
          <cell r="A2164" t="str">
            <v>481000</v>
          </cell>
          <cell r="B2164" t="str">
            <v>1015</v>
          </cell>
          <cell r="C2164">
            <v>0</v>
          </cell>
          <cell r="D2164" t="str">
            <v>210</v>
          </cell>
          <cell r="E2164" t="str">
            <v>451</v>
          </cell>
          <cell r="F2164">
            <v>0</v>
          </cell>
          <cell r="G2164">
            <v>8</v>
          </cell>
          <cell r="H2164" t="str">
            <v>2006-08-31</v>
          </cell>
        </row>
        <row r="2165">
          <cell r="A2165" t="str">
            <v>481004</v>
          </cell>
          <cell r="B2165" t="str">
            <v>1015</v>
          </cell>
          <cell r="C2165">
            <v>-14176</v>
          </cell>
          <cell r="D2165" t="str">
            <v>202</v>
          </cell>
          <cell r="E2165" t="str">
            <v>451</v>
          </cell>
          <cell r="F2165">
            <v>-12501</v>
          </cell>
          <cell r="G2165">
            <v>8</v>
          </cell>
          <cell r="H2165" t="str">
            <v>2006-08-31</v>
          </cell>
        </row>
        <row r="2166">
          <cell r="A2166" t="str">
            <v>481004</v>
          </cell>
          <cell r="B2166" t="str">
            <v>1015</v>
          </cell>
          <cell r="C2166">
            <v>-96381</v>
          </cell>
          <cell r="D2166" t="str">
            <v>204</v>
          </cell>
          <cell r="E2166" t="str">
            <v>451</v>
          </cell>
          <cell r="F2166">
            <v>0</v>
          </cell>
          <cell r="G2166">
            <v>8</v>
          </cell>
          <cell r="H2166" t="str">
            <v>2006-08-31</v>
          </cell>
        </row>
        <row r="2167">
          <cell r="A2167" t="str">
            <v>481004</v>
          </cell>
          <cell r="B2167" t="str">
            <v>1015</v>
          </cell>
          <cell r="C2167">
            <v>0</v>
          </cell>
          <cell r="D2167" t="str">
            <v>210</v>
          </cell>
          <cell r="E2167" t="str">
            <v>451</v>
          </cell>
          <cell r="F2167">
            <v>0</v>
          </cell>
          <cell r="G2167">
            <v>8</v>
          </cell>
          <cell r="H2167" t="str">
            <v>2006-08-31</v>
          </cell>
        </row>
        <row r="2168">
          <cell r="A2168" t="str">
            <v>480000</v>
          </cell>
          <cell r="B2168" t="str">
            <v>1015</v>
          </cell>
          <cell r="C2168">
            <v>-254602.23</v>
          </cell>
          <cell r="D2168" t="str">
            <v>202</v>
          </cell>
          <cell r="E2168" t="str">
            <v>453</v>
          </cell>
          <cell r="F2168">
            <v>-37022.69</v>
          </cell>
          <cell r="G2168">
            <v>8</v>
          </cell>
          <cell r="H2168" t="str">
            <v>2006-08-31</v>
          </cell>
        </row>
        <row r="2169">
          <cell r="A2169" t="str">
            <v>480000</v>
          </cell>
          <cell r="B2169" t="str">
            <v>1015</v>
          </cell>
          <cell r="C2169">
            <v>-267549.63</v>
          </cell>
          <cell r="D2169" t="str">
            <v>204</v>
          </cell>
          <cell r="E2169" t="str">
            <v>453</v>
          </cell>
          <cell r="F2169">
            <v>0</v>
          </cell>
          <cell r="G2169">
            <v>8</v>
          </cell>
          <cell r="H2169" t="str">
            <v>2006-08-31</v>
          </cell>
        </row>
        <row r="2170">
          <cell r="A2170" t="str">
            <v>480000</v>
          </cell>
          <cell r="B2170" t="str">
            <v>1015</v>
          </cell>
          <cell r="C2170">
            <v>-5239.3599999999997</v>
          </cell>
          <cell r="D2170" t="str">
            <v>205</v>
          </cell>
          <cell r="E2170" t="str">
            <v>453</v>
          </cell>
          <cell r="F2170">
            <v>0</v>
          </cell>
          <cell r="G2170">
            <v>8</v>
          </cell>
          <cell r="H2170" t="str">
            <v>2006-08-31</v>
          </cell>
        </row>
        <row r="2171">
          <cell r="A2171" t="str">
            <v>480001</v>
          </cell>
          <cell r="B2171" t="str">
            <v>1015</v>
          </cell>
          <cell r="C2171">
            <v>-5078.72</v>
          </cell>
          <cell r="D2171" t="str">
            <v>202</v>
          </cell>
          <cell r="E2171" t="str">
            <v>453</v>
          </cell>
          <cell r="F2171">
            <v>550.14</v>
          </cell>
          <cell r="G2171">
            <v>8</v>
          </cell>
          <cell r="H2171" t="str">
            <v>2006-08-31</v>
          </cell>
        </row>
        <row r="2172">
          <cell r="A2172" t="str">
            <v>480001</v>
          </cell>
          <cell r="B2172" t="str">
            <v>1015</v>
          </cell>
          <cell r="C2172">
            <v>4876.26</v>
          </cell>
          <cell r="D2172" t="str">
            <v>204</v>
          </cell>
          <cell r="E2172" t="str">
            <v>453</v>
          </cell>
          <cell r="F2172">
            <v>0</v>
          </cell>
          <cell r="G2172">
            <v>8</v>
          </cell>
          <cell r="H2172" t="str">
            <v>2006-08-31</v>
          </cell>
        </row>
        <row r="2173">
          <cell r="A2173" t="str">
            <v>480001</v>
          </cell>
          <cell r="B2173" t="str">
            <v>1015</v>
          </cell>
          <cell r="C2173">
            <v>4603.24</v>
          </cell>
          <cell r="D2173" t="str">
            <v>205</v>
          </cell>
          <cell r="E2173" t="str">
            <v>453</v>
          </cell>
          <cell r="F2173">
            <v>0</v>
          </cell>
          <cell r="G2173">
            <v>8</v>
          </cell>
          <cell r="H2173" t="str">
            <v>2006-08-31</v>
          </cell>
        </row>
        <row r="2174">
          <cell r="A2174" t="str">
            <v>480001</v>
          </cell>
          <cell r="B2174" t="str">
            <v>1015</v>
          </cell>
          <cell r="C2174">
            <v>0</v>
          </cell>
          <cell r="D2174" t="str">
            <v>210</v>
          </cell>
          <cell r="E2174" t="str">
            <v>453</v>
          </cell>
          <cell r="F2174">
            <v>0</v>
          </cell>
          <cell r="G2174">
            <v>8</v>
          </cell>
          <cell r="H2174" t="str">
            <v>2006-08-31</v>
          </cell>
        </row>
        <row r="2175">
          <cell r="A2175" t="str">
            <v>481004</v>
          </cell>
          <cell r="B2175" t="str">
            <v>1015</v>
          </cell>
          <cell r="C2175">
            <v>-51359.05</v>
          </cell>
          <cell r="D2175" t="str">
            <v>202</v>
          </cell>
          <cell r="E2175" t="str">
            <v>453</v>
          </cell>
          <cell r="F2175">
            <v>-16393.45</v>
          </cell>
          <cell r="G2175">
            <v>8</v>
          </cell>
          <cell r="H2175" t="str">
            <v>2006-08-31</v>
          </cell>
        </row>
        <row r="2176">
          <cell r="A2176" t="str">
            <v>481004</v>
          </cell>
          <cell r="B2176" t="str">
            <v>1015</v>
          </cell>
          <cell r="C2176">
            <v>-118183.63</v>
          </cell>
          <cell r="D2176" t="str">
            <v>204</v>
          </cell>
          <cell r="E2176" t="str">
            <v>453</v>
          </cell>
          <cell r="F2176">
            <v>0</v>
          </cell>
          <cell r="G2176">
            <v>8</v>
          </cell>
          <cell r="H2176" t="str">
            <v>2006-08-31</v>
          </cell>
        </row>
        <row r="2177">
          <cell r="A2177" t="str">
            <v>481004</v>
          </cell>
          <cell r="B2177" t="str">
            <v>1015</v>
          </cell>
          <cell r="C2177">
            <v>-1847.88</v>
          </cell>
          <cell r="D2177" t="str">
            <v>205</v>
          </cell>
          <cell r="E2177" t="str">
            <v>453</v>
          </cell>
          <cell r="F2177">
            <v>0</v>
          </cell>
          <cell r="G2177">
            <v>8</v>
          </cell>
          <cell r="H2177" t="str">
            <v>2006-08-31</v>
          </cell>
        </row>
        <row r="2178">
          <cell r="A2178" t="str">
            <v>480000</v>
          </cell>
          <cell r="B2178" t="str">
            <v>1015</v>
          </cell>
          <cell r="C2178">
            <v>-7930.09</v>
          </cell>
          <cell r="D2178" t="str">
            <v>202</v>
          </cell>
          <cell r="E2178" t="str">
            <v>455</v>
          </cell>
          <cell r="F2178">
            <v>-1130.48</v>
          </cell>
          <cell r="G2178">
            <v>8</v>
          </cell>
          <cell r="H2178" t="str">
            <v>2006-08-31</v>
          </cell>
        </row>
        <row r="2179">
          <cell r="A2179" t="str">
            <v>480000</v>
          </cell>
          <cell r="B2179" t="str">
            <v>1015</v>
          </cell>
          <cell r="C2179">
            <v>-8163.19</v>
          </cell>
          <cell r="D2179" t="str">
            <v>204</v>
          </cell>
          <cell r="E2179" t="str">
            <v>455</v>
          </cell>
          <cell r="F2179">
            <v>0</v>
          </cell>
          <cell r="G2179">
            <v>8</v>
          </cell>
          <cell r="H2179" t="str">
            <v>2006-08-31</v>
          </cell>
        </row>
        <row r="2180">
          <cell r="A2180" t="str">
            <v>480000</v>
          </cell>
          <cell r="B2180" t="str">
            <v>1015</v>
          </cell>
          <cell r="C2180">
            <v>-207.59</v>
          </cell>
          <cell r="D2180" t="str">
            <v>205</v>
          </cell>
          <cell r="E2180" t="str">
            <v>455</v>
          </cell>
          <cell r="F2180">
            <v>0</v>
          </cell>
          <cell r="G2180">
            <v>8</v>
          </cell>
          <cell r="H2180" t="str">
            <v>2006-08-31</v>
          </cell>
        </row>
        <row r="2181">
          <cell r="A2181" t="str">
            <v>480001</v>
          </cell>
          <cell r="B2181" t="str">
            <v>1015</v>
          </cell>
          <cell r="C2181">
            <v>469.17</v>
          </cell>
          <cell r="D2181" t="str">
            <v>202</v>
          </cell>
          <cell r="E2181" t="str">
            <v>455</v>
          </cell>
          <cell r="F2181">
            <v>13.61</v>
          </cell>
          <cell r="G2181">
            <v>8</v>
          </cell>
          <cell r="H2181" t="str">
            <v>2006-08-31</v>
          </cell>
        </row>
        <row r="2182">
          <cell r="A2182" t="str">
            <v>480001</v>
          </cell>
          <cell r="B2182" t="str">
            <v>1015</v>
          </cell>
          <cell r="C2182">
            <v>120.61</v>
          </cell>
          <cell r="D2182" t="str">
            <v>204</v>
          </cell>
          <cell r="E2182" t="str">
            <v>455</v>
          </cell>
          <cell r="F2182">
            <v>0</v>
          </cell>
          <cell r="G2182">
            <v>8</v>
          </cell>
          <cell r="H2182" t="str">
            <v>2006-08-31</v>
          </cell>
        </row>
        <row r="2183">
          <cell r="A2183" t="str">
            <v>480001</v>
          </cell>
          <cell r="B2183" t="str">
            <v>1015</v>
          </cell>
          <cell r="C2183">
            <v>248.07</v>
          </cell>
          <cell r="D2183" t="str">
            <v>205</v>
          </cell>
          <cell r="E2183" t="str">
            <v>455</v>
          </cell>
          <cell r="F2183">
            <v>0</v>
          </cell>
          <cell r="G2183">
            <v>8</v>
          </cell>
          <cell r="H2183" t="str">
            <v>2006-08-31</v>
          </cell>
        </row>
        <row r="2184">
          <cell r="A2184" t="str">
            <v>480001</v>
          </cell>
          <cell r="B2184" t="str">
            <v>1015</v>
          </cell>
          <cell r="C2184">
            <v>0</v>
          </cell>
          <cell r="D2184" t="str">
            <v>210</v>
          </cell>
          <cell r="E2184" t="str">
            <v>455</v>
          </cell>
          <cell r="F2184">
            <v>0</v>
          </cell>
          <cell r="G2184">
            <v>8</v>
          </cell>
          <cell r="H2184" t="str">
            <v>2006-08-31</v>
          </cell>
        </row>
        <row r="2185">
          <cell r="A2185" t="str">
            <v>481004</v>
          </cell>
          <cell r="B2185" t="str">
            <v>1015</v>
          </cell>
          <cell r="C2185">
            <v>-2908.08</v>
          </cell>
          <cell r="D2185" t="str">
            <v>202</v>
          </cell>
          <cell r="E2185" t="str">
            <v>455</v>
          </cell>
          <cell r="F2185">
            <v>-833.13</v>
          </cell>
          <cell r="G2185">
            <v>8</v>
          </cell>
          <cell r="H2185" t="str">
            <v>2006-08-31</v>
          </cell>
        </row>
        <row r="2186">
          <cell r="A2186" t="str">
            <v>481004</v>
          </cell>
          <cell r="B2186" t="str">
            <v>1015</v>
          </cell>
          <cell r="C2186">
            <v>-6005.42</v>
          </cell>
          <cell r="D2186" t="str">
            <v>204</v>
          </cell>
          <cell r="E2186" t="str">
            <v>455</v>
          </cell>
          <cell r="F2186">
            <v>0</v>
          </cell>
          <cell r="G2186">
            <v>8</v>
          </cell>
          <cell r="H2186" t="str">
            <v>2006-08-31</v>
          </cell>
        </row>
        <row r="2187">
          <cell r="A2187" t="str">
            <v>481004</v>
          </cell>
          <cell r="B2187" t="str">
            <v>1015</v>
          </cell>
          <cell r="C2187">
            <v>-40.479999999999997</v>
          </cell>
          <cell r="D2187" t="str">
            <v>205</v>
          </cell>
          <cell r="E2187" t="str">
            <v>455</v>
          </cell>
          <cell r="F2187">
            <v>0</v>
          </cell>
          <cell r="G2187">
            <v>8</v>
          </cell>
          <cell r="H2187" t="str">
            <v>2006-08-31</v>
          </cell>
        </row>
        <row r="2188">
          <cell r="A2188" t="str">
            <v>481002</v>
          </cell>
          <cell r="B2188" t="str">
            <v>1015</v>
          </cell>
          <cell r="C2188">
            <v>0</v>
          </cell>
          <cell r="D2188" t="str">
            <v>202</v>
          </cell>
          <cell r="E2188" t="str">
            <v>456</v>
          </cell>
          <cell r="F2188">
            <v>0</v>
          </cell>
          <cell r="G2188">
            <v>8</v>
          </cell>
          <cell r="H2188" t="str">
            <v>2006-08-31</v>
          </cell>
        </row>
        <row r="2189">
          <cell r="A2189" t="str">
            <v>481002</v>
          </cell>
          <cell r="B2189" t="str">
            <v>1015</v>
          </cell>
          <cell r="C2189">
            <v>0</v>
          </cell>
          <cell r="D2189" t="str">
            <v>203</v>
          </cell>
          <cell r="E2189" t="str">
            <v>456</v>
          </cell>
          <cell r="F2189">
            <v>0</v>
          </cell>
          <cell r="G2189">
            <v>8</v>
          </cell>
          <cell r="H2189" t="str">
            <v>2006-08-31</v>
          </cell>
        </row>
        <row r="2190">
          <cell r="A2190" t="str">
            <v>481002</v>
          </cell>
          <cell r="B2190" t="str">
            <v>1015</v>
          </cell>
          <cell r="C2190">
            <v>0</v>
          </cell>
          <cell r="D2190" t="str">
            <v>204</v>
          </cell>
          <cell r="E2190" t="str">
            <v>456</v>
          </cell>
          <cell r="F2190">
            <v>0</v>
          </cell>
          <cell r="G2190">
            <v>8</v>
          </cell>
          <cell r="H2190" t="str">
            <v>2006-08-31</v>
          </cell>
        </row>
        <row r="2191">
          <cell r="A2191" t="str">
            <v>481002</v>
          </cell>
          <cell r="B2191" t="str">
            <v>1015</v>
          </cell>
          <cell r="C2191">
            <v>0</v>
          </cell>
          <cell r="D2191" t="str">
            <v>210</v>
          </cell>
          <cell r="E2191" t="str">
            <v>456</v>
          </cell>
          <cell r="F2191">
            <v>0</v>
          </cell>
          <cell r="G2191">
            <v>8</v>
          </cell>
          <cell r="H2191" t="str">
            <v>2006-08-31</v>
          </cell>
        </row>
        <row r="2192">
          <cell r="A2192" t="str">
            <v>481002</v>
          </cell>
          <cell r="B2192" t="str">
            <v>1015</v>
          </cell>
          <cell r="C2192">
            <v>-382.44</v>
          </cell>
          <cell r="D2192" t="str">
            <v>202</v>
          </cell>
          <cell r="E2192" t="str">
            <v>457</v>
          </cell>
          <cell r="F2192">
            <v>-4131.25</v>
          </cell>
          <cell r="G2192">
            <v>8</v>
          </cell>
          <cell r="H2192" t="str">
            <v>2006-08-31</v>
          </cell>
        </row>
        <row r="2193">
          <cell r="A2193" t="str">
            <v>481002</v>
          </cell>
          <cell r="B2193" t="str">
            <v>1015</v>
          </cell>
          <cell r="C2193">
            <v>-504.9</v>
          </cell>
          <cell r="D2193" t="str">
            <v>203</v>
          </cell>
          <cell r="E2193" t="str">
            <v>457</v>
          </cell>
          <cell r="F2193">
            <v>0</v>
          </cell>
          <cell r="G2193">
            <v>8</v>
          </cell>
          <cell r="H2193" t="str">
            <v>2006-08-31</v>
          </cell>
        </row>
        <row r="2194">
          <cell r="A2194" t="str">
            <v>481002</v>
          </cell>
          <cell r="B2194" t="str">
            <v>1015</v>
          </cell>
          <cell r="C2194">
            <v>-24005.05</v>
          </cell>
          <cell r="D2194" t="str">
            <v>204</v>
          </cell>
          <cell r="E2194" t="str">
            <v>457</v>
          </cell>
          <cell r="F2194">
            <v>0</v>
          </cell>
          <cell r="G2194">
            <v>8</v>
          </cell>
          <cell r="H2194" t="str">
            <v>2006-08-31</v>
          </cell>
        </row>
        <row r="2195">
          <cell r="A2195" t="str">
            <v>481005</v>
          </cell>
          <cell r="B2195" t="str">
            <v>1015</v>
          </cell>
          <cell r="C2195">
            <v>-1050.46</v>
          </cell>
          <cell r="D2195" t="str">
            <v>202</v>
          </cell>
          <cell r="E2195" t="str">
            <v>457</v>
          </cell>
          <cell r="F2195">
            <v>-2567.75</v>
          </cell>
          <cell r="G2195">
            <v>8</v>
          </cell>
          <cell r="H2195" t="str">
            <v>2006-08-31</v>
          </cell>
        </row>
        <row r="2196">
          <cell r="A2196" t="str">
            <v>481005</v>
          </cell>
          <cell r="B2196" t="str">
            <v>1015</v>
          </cell>
          <cell r="C2196">
            <v>-720</v>
          </cell>
          <cell r="D2196" t="str">
            <v>203</v>
          </cell>
          <cell r="E2196" t="str">
            <v>457</v>
          </cell>
          <cell r="F2196">
            <v>0</v>
          </cell>
          <cell r="G2196">
            <v>8</v>
          </cell>
          <cell r="H2196" t="str">
            <v>2006-08-31</v>
          </cell>
        </row>
        <row r="2197">
          <cell r="A2197" t="str">
            <v>481005</v>
          </cell>
          <cell r="B2197" t="str">
            <v>1015</v>
          </cell>
          <cell r="C2197">
            <v>-16541.07</v>
          </cell>
          <cell r="D2197" t="str">
            <v>204</v>
          </cell>
          <cell r="E2197" t="str">
            <v>457</v>
          </cell>
          <cell r="F2197">
            <v>0</v>
          </cell>
          <cell r="G2197">
            <v>8</v>
          </cell>
          <cell r="H2197" t="str">
            <v>2006-08-31</v>
          </cell>
        </row>
        <row r="2198">
          <cell r="A2198" t="str">
            <v>489300</v>
          </cell>
          <cell r="B2198" t="str">
            <v>1015</v>
          </cell>
          <cell r="C2198">
            <v>-2579.4299999999998</v>
          </cell>
          <cell r="D2198" t="str">
            <v>250</v>
          </cell>
          <cell r="E2198" t="str">
            <v>458</v>
          </cell>
          <cell r="F2198">
            <v>-17485</v>
          </cell>
          <cell r="G2198">
            <v>8</v>
          </cell>
          <cell r="H2198" t="str">
            <v>2006-08-31</v>
          </cell>
        </row>
        <row r="2199">
          <cell r="A2199" t="str">
            <v>489304</v>
          </cell>
          <cell r="B2199" t="str">
            <v>1015</v>
          </cell>
          <cell r="C2199">
            <v>-496.7</v>
          </cell>
          <cell r="D2199" t="str">
            <v>250</v>
          </cell>
          <cell r="E2199" t="str">
            <v>458</v>
          </cell>
          <cell r="F2199">
            <v>-1319</v>
          </cell>
          <cell r="G2199">
            <v>8</v>
          </cell>
          <cell r="H2199" t="str">
            <v>2006-08-31</v>
          </cell>
        </row>
        <row r="2200">
          <cell r="A2200" t="str">
            <v>489300</v>
          </cell>
          <cell r="B2200" t="str">
            <v>1015</v>
          </cell>
          <cell r="C2200">
            <v>-1441.94</v>
          </cell>
          <cell r="D2200" t="str">
            <v>250</v>
          </cell>
          <cell r="E2200" t="str">
            <v>459</v>
          </cell>
          <cell r="F2200">
            <v>-2550</v>
          </cell>
          <cell r="G2200">
            <v>8</v>
          </cell>
          <cell r="H2200" t="str">
            <v>2006-08-31</v>
          </cell>
        </row>
        <row r="2201">
          <cell r="A2201" t="str">
            <v>481003</v>
          </cell>
          <cell r="B2201" t="str">
            <v>1015</v>
          </cell>
          <cell r="C2201">
            <v>-129252.52</v>
          </cell>
          <cell r="D2201" t="str">
            <v>200</v>
          </cell>
          <cell r="F2201">
            <v>-13124.43</v>
          </cell>
          <cell r="G2201">
            <v>8</v>
          </cell>
          <cell r="H2201" t="str">
            <v>2006-08-31</v>
          </cell>
        </row>
        <row r="2202">
          <cell r="A2202" t="str">
            <v>481000</v>
          </cell>
          <cell r="B2202" t="str">
            <v>1015</v>
          </cell>
          <cell r="C2202">
            <v>-15667.93</v>
          </cell>
          <cell r="D2202" t="str">
            <v>202</v>
          </cell>
          <cell r="E2202" t="str">
            <v>402</v>
          </cell>
          <cell r="F2202">
            <v>-37531</v>
          </cell>
          <cell r="G2202">
            <v>9</v>
          </cell>
          <cell r="H2202" t="str">
            <v>2006-09-30</v>
          </cell>
        </row>
        <row r="2203">
          <cell r="A2203" t="str">
            <v>481000</v>
          </cell>
          <cell r="B2203" t="str">
            <v>1015</v>
          </cell>
          <cell r="C2203">
            <v>-18674.3</v>
          </cell>
          <cell r="D2203" t="str">
            <v>203</v>
          </cell>
          <cell r="E2203" t="str">
            <v>402</v>
          </cell>
          <cell r="F2203">
            <v>0</v>
          </cell>
          <cell r="G2203">
            <v>9</v>
          </cell>
          <cell r="H2203" t="str">
            <v>2006-09-30</v>
          </cell>
        </row>
        <row r="2204">
          <cell r="A2204" t="str">
            <v>481000</v>
          </cell>
          <cell r="B2204" t="str">
            <v>1015</v>
          </cell>
          <cell r="C2204">
            <v>-243738.7</v>
          </cell>
          <cell r="D2204" t="str">
            <v>204</v>
          </cell>
          <cell r="E2204" t="str">
            <v>402</v>
          </cell>
          <cell r="F2204">
            <v>0</v>
          </cell>
          <cell r="G2204">
            <v>9</v>
          </cell>
          <cell r="H2204" t="str">
            <v>2006-09-30</v>
          </cell>
        </row>
        <row r="2205">
          <cell r="A2205" t="str">
            <v>481000</v>
          </cell>
          <cell r="B2205" t="str">
            <v>1015</v>
          </cell>
          <cell r="C2205">
            <v>0</v>
          </cell>
          <cell r="D2205" t="str">
            <v>210</v>
          </cell>
          <cell r="E2205" t="str">
            <v>402</v>
          </cell>
          <cell r="F2205">
            <v>0</v>
          </cell>
          <cell r="G2205">
            <v>9</v>
          </cell>
          <cell r="H2205" t="str">
            <v>2006-09-30</v>
          </cell>
        </row>
        <row r="2206">
          <cell r="A2206" t="str">
            <v>481004</v>
          </cell>
          <cell r="B2206" t="str">
            <v>1015</v>
          </cell>
          <cell r="C2206">
            <v>-243666.88</v>
          </cell>
          <cell r="D2206" t="str">
            <v>202</v>
          </cell>
          <cell r="E2206" t="str">
            <v>402</v>
          </cell>
          <cell r="F2206">
            <v>-464429</v>
          </cell>
          <cell r="G2206">
            <v>9</v>
          </cell>
          <cell r="H2206" t="str">
            <v>2006-09-30</v>
          </cell>
        </row>
        <row r="2207">
          <cell r="A2207" t="str">
            <v>481004</v>
          </cell>
          <cell r="B2207" t="str">
            <v>1015</v>
          </cell>
          <cell r="C2207">
            <v>-231086.11</v>
          </cell>
          <cell r="D2207" t="str">
            <v>203</v>
          </cell>
          <cell r="E2207" t="str">
            <v>402</v>
          </cell>
          <cell r="F2207">
            <v>0</v>
          </cell>
          <cell r="G2207">
            <v>9</v>
          </cell>
          <cell r="H2207" t="str">
            <v>2006-09-30</v>
          </cell>
        </row>
        <row r="2208">
          <cell r="A2208" t="str">
            <v>481004</v>
          </cell>
          <cell r="B2208" t="str">
            <v>1015</v>
          </cell>
          <cell r="C2208">
            <v>-3016158.05</v>
          </cell>
          <cell r="D2208" t="str">
            <v>204</v>
          </cell>
          <cell r="E2208" t="str">
            <v>402</v>
          </cell>
          <cell r="F2208">
            <v>0</v>
          </cell>
          <cell r="G2208">
            <v>9</v>
          </cell>
          <cell r="H2208" t="str">
            <v>2006-09-30</v>
          </cell>
        </row>
        <row r="2209">
          <cell r="A2209" t="str">
            <v>481004</v>
          </cell>
          <cell r="B2209" t="str">
            <v>1015</v>
          </cell>
          <cell r="C2209">
            <v>0</v>
          </cell>
          <cell r="D2209" t="str">
            <v>210</v>
          </cell>
          <cell r="E2209" t="str">
            <v>402</v>
          </cell>
          <cell r="F2209">
            <v>0</v>
          </cell>
          <cell r="G2209">
            <v>9</v>
          </cell>
          <cell r="H2209" t="str">
            <v>2006-09-30</v>
          </cell>
        </row>
        <row r="2210">
          <cell r="A2210" t="str">
            <v>481000</v>
          </cell>
          <cell r="B2210" t="str">
            <v>1015</v>
          </cell>
          <cell r="C2210">
            <v>-6998.71</v>
          </cell>
          <cell r="D2210" t="str">
            <v>202</v>
          </cell>
          <cell r="E2210" t="str">
            <v>403</v>
          </cell>
          <cell r="F2210">
            <v>0</v>
          </cell>
          <cell r="G2210">
            <v>9</v>
          </cell>
          <cell r="H2210" t="str">
            <v>2006-09-30</v>
          </cell>
        </row>
        <row r="2211">
          <cell r="A2211" t="str">
            <v>481000</v>
          </cell>
          <cell r="B2211" t="str">
            <v>1015</v>
          </cell>
          <cell r="C2211">
            <v>-1619.75</v>
          </cell>
          <cell r="D2211" t="str">
            <v>203</v>
          </cell>
          <cell r="E2211" t="str">
            <v>403</v>
          </cell>
          <cell r="F2211">
            <v>0</v>
          </cell>
          <cell r="G2211">
            <v>9</v>
          </cell>
          <cell r="H2211" t="str">
            <v>2006-09-30</v>
          </cell>
        </row>
        <row r="2212">
          <cell r="A2212" t="str">
            <v>481000</v>
          </cell>
          <cell r="B2212" t="str">
            <v>1015</v>
          </cell>
          <cell r="C2212">
            <v>-2944.28</v>
          </cell>
          <cell r="D2212" t="str">
            <v>204</v>
          </cell>
          <cell r="E2212" t="str">
            <v>403</v>
          </cell>
          <cell r="F2212">
            <v>0</v>
          </cell>
          <cell r="G2212">
            <v>9</v>
          </cell>
          <cell r="H2212" t="str">
            <v>2006-09-30</v>
          </cell>
        </row>
        <row r="2213">
          <cell r="A2213" t="str">
            <v>481000</v>
          </cell>
          <cell r="B2213" t="str">
            <v>1015</v>
          </cell>
          <cell r="C2213">
            <v>-9431.9</v>
          </cell>
          <cell r="D2213" t="str">
            <v>202</v>
          </cell>
          <cell r="E2213" t="str">
            <v>404</v>
          </cell>
          <cell r="F2213">
            <v>-30000</v>
          </cell>
          <cell r="G2213">
            <v>9</v>
          </cell>
          <cell r="H2213" t="str">
            <v>2006-09-30</v>
          </cell>
        </row>
        <row r="2214">
          <cell r="A2214" t="str">
            <v>481000</v>
          </cell>
          <cell r="B2214" t="str">
            <v>1015</v>
          </cell>
          <cell r="C2214">
            <v>-21662.1</v>
          </cell>
          <cell r="D2214" t="str">
            <v>203</v>
          </cell>
          <cell r="E2214" t="str">
            <v>404</v>
          </cell>
          <cell r="F2214">
            <v>0</v>
          </cell>
          <cell r="G2214">
            <v>9</v>
          </cell>
          <cell r="H2214" t="str">
            <v>2006-09-30</v>
          </cell>
        </row>
        <row r="2215">
          <cell r="A2215" t="str">
            <v>481000</v>
          </cell>
          <cell r="B2215" t="str">
            <v>1015</v>
          </cell>
          <cell r="C2215">
            <v>-194829.9</v>
          </cell>
          <cell r="D2215" t="str">
            <v>204</v>
          </cell>
          <cell r="E2215" t="str">
            <v>404</v>
          </cell>
          <cell r="F2215">
            <v>0</v>
          </cell>
          <cell r="G2215">
            <v>9</v>
          </cell>
          <cell r="H2215" t="str">
            <v>2006-09-30</v>
          </cell>
        </row>
        <row r="2216">
          <cell r="A2216" t="str">
            <v>481004</v>
          </cell>
          <cell r="B2216" t="str">
            <v>1015</v>
          </cell>
          <cell r="C2216">
            <v>0</v>
          </cell>
          <cell r="D2216" t="str">
            <v>202</v>
          </cell>
          <cell r="E2216" t="str">
            <v>404</v>
          </cell>
          <cell r="F2216">
            <v>0</v>
          </cell>
          <cell r="G2216">
            <v>9</v>
          </cell>
          <cell r="H2216" t="str">
            <v>2006-09-30</v>
          </cell>
        </row>
        <row r="2217">
          <cell r="A2217" t="str">
            <v>481004</v>
          </cell>
          <cell r="B2217" t="str">
            <v>1015</v>
          </cell>
          <cell r="C2217">
            <v>0</v>
          </cell>
          <cell r="D2217" t="str">
            <v>203</v>
          </cell>
          <cell r="E2217" t="str">
            <v>404</v>
          </cell>
          <cell r="F2217">
            <v>0</v>
          </cell>
          <cell r="G2217">
            <v>9</v>
          </cell>
          <cell r="H2217" t="str">
            <v>2006-09-30</v>
          </cell>
        </row>
        <row r="2218">
          <cell r="A2218" t="str">
            <v>481004</v>
          </cell>
          <cell r="B2218" t="str">
            <v>1015</v>
          </cell>
          <cell r="C2218">
            <v>0</v>
          </cell>
          <cell r="D2218" t="str">
            <v>204</v>
          </cell>
          <cell r="E2218" t="str">
            <v>404</v>
          </cell>
          <cell r="F2218">
            <v>0</v>
          </cell>
          <cell r="G2218">
            <v>9</v>
          </cell>
          <cell r="H2218" t="str">
            <v>2006-09-30</v>
          </cell>
        </row>
        <row r="2219">
          <cell r="A2219" t="str">
            <v>481004</v>
          </cell>
          <cell r="B2219" t="str">
            <v>1015</v>
          </cell>
          <cell r="C2219">
            <v>0</v>
          </cell>
          <cell r="D2219" t="str">
            <v>210</v>
          </cell>
          <cell r="E2219" t="str">
            <v>404</v>
          </cell>
          <cell r="F2219">
            <v>0</v>
          </cell>
          <cell r="G2219">
            <v>9</v>
          </cell>
          <cell r="H2219" t="str">
            <v>2006-09-30</v>
          </cell>
        </row>
        <row r="2220">
          <cell r="A2220" t="str">
            <v>489300</v>
          </cell>
          <cell r="B2220" t="str">
            <v>1015</v>
          </cell>
          <cell r="C2220">
            <v>-54707.31</v>
          </cell>
          <cell r="D2220" t="str">
            <v>250</v>
          </cell>
          <cell r="E2220" t="str">
            <v>405</v>
          </cell>
          <cell r="F2220">
            <v>-297239</v>
          </cell>
          <cell r="G2220">
            <v>9</v>
          </cell>
          <cell r="H2220" t="str">
            <v>2006-09-30</v>
          </cell>
        </row>
        <row r="2221">
          <cell r="A2221" t="str">
            <v>489304</v>
          </cell>
          <cell r="B2221" t="str">
            <v>1015</v>
          </cell>
          <cell r="C2221">
            <v>-85649.06</v>
          </cell>
          <cell r="D2221" t="str">
            <v>250</v>
          </cell>
          <cell r="E2221" t="str">
            <v>405</v>
          </cell>
          <cell r="F2221">
            <v>-818893</v>
          </cell>
          <cell r="G2221">
            <v>9</v>
          </cell>
          <cell r="H2221" t="str">
            <v>2006-09-30</v>
          </cell>
        </row>
        <row r="2222">
          <cell r="A2222" t="str">
            <v>489300</v>
          </cell>
          <cell r="B2222" t="str">
            <v>1015</v>
          </cell>
          <cell r="C2222">
            <v>-100643.96</v>
          </cell>
          <cell r="D2222" t="str">
            <v>250</v>
          </cell>
          <cell r="E2222" t="str">
            <v>406</v>
          </cell>
          <cell r="F2222">
            <v>-504075</v>
          </cell>
          <cell r="G2222">
            <v>9</v>
          </cell>
          <cell r="H2222" t="str">
            <v>2006-09-30</v>
          </cell>
        </row>
        <row r="2223">
          <cell r="A2223" t="str">
            <v>489304</v>
          </cell>
          <cell r="B2223" t="str">
            <v>1015</v>
          </cell>
          <cell r="C2223">
            <v>-37277.19</v>
          </cell>
          <cell r="D2223" t="str">
            <v>250</v>
          </cell>
          <cell r="E2223" t="str">
            <v>406</v>
          </cell>
          <cell r="F2223">
            <v>-199708</v>
          </cell>
          <cell r="G2223">
            <v>9</v>
          </cell>
          <cell r="H2223" t="str">
            <v>2006-09-30</v>
          </cell>
        </row>
        <row r="2224">
          <cell r="A2224" t="str">
            <v>480000</v>
          </cell>
          <cell r="B2224" t="str">
            <v>1015</v>
          </cell>
          <cell r="C2224">
            <v>-6803097.6200000001</v>
          </cell>
          <cell r="D2224" t="str">
            <v>202</v>
          </cell>
          <cell r="E2224" t="str">
            <v>407</v>
          </cell>
          <cell r="F2224">
            <v>-1793263.04</v>
          </cell>
          <cell r="G2224">
            <v>9</v>
          </cell>
          <cell r="H2224" t="str">
            <v>2006-09-30</v>
          </cell>
        </row>
        <row r="2225">
          <cell r="A2225" t="str">
            <v>480000</v>
          </cell>
          <cell r="B2225" t="str">
            <v>1015</v>
          </cell>
          <cell r="C2225">
            <v>-894073.47</v>
          </cell>
          <cell r="D2225" t="str">
            <v>203</v>
          </cell>
          <cell r="E2225" t="str">
            <v>407</v>
          </cell>
          <cell r="F2225">
            <v>0</v>
          </cell>
          <cell r="G2225">
            <v>9</v>
          </cell>
          <cell r="H2225" t="str">
            <v>2006-09-30</v>
          </cell>
        </row>
        <row r="2226">
          <cell r="A2226" t="str">
            <v>480000</v>
          </cell>
          <cell r="B2226" t="str">
            <v>1015</v>
          </cell>
          <cell r="C2226">
            <v>-11745676.49</v>
          </cell>
          <cell r="D2226" t="str">
            <v>204</v>
          </cell>
          <cell r="E2226" t="str">
            <v>407</v>
          </cell>
          <cell r="F2226">
            <v>0</v>
          </cell>
          <cell r="G2226">
            <v>9</v>
          </cell>
          <cell r="H2226" t="str">
            <v>2006-09-30</v>
          </cell>
        </row>
        <row r="2227">
          <cell r="A2227" t="str">
            <v>480000</v>
          </cell>
          <cell r="B2227" t="str">
            <v>1015</v>
          </cell>
          <cell r="C2227">
            <v>97600.56</v>
          </cell>
          <cell r="D2227" t="str">
            <v>205</v>
          </cell>
          <cell r="E2227" t="str">
            <v>407</v>
          </cell>
          <cell r="F2227">
            <v>0</v>
          </cell>
          <cell r="G2227">
            <v>9</v>
          </cell>
          <cell r="H2227" t="str">
            <v>2006-09-30</v>
          </cell>
        </row>
        <row r="2228">
          <cell r="A2228" t="str">
            <v>480000</v>
          </cell>
          <cell r="B2228" t="str">
            <v>1015</v>
          </cell>
          <cell r="C2228">
            <v>2047.84</v>
          </cell>
          <cell r="D2228" t="str">
            <v>210</v>
          </cell>
          <cell r="E2228" t="str">
            <v>407</v>
          </cell>
          <cell r="F2228">
            <v>291.7</v>
          </cell>
          <cell r="G2228">
            <v>9</v>
          </cell>
          <cell r="H2228" t="str">
            <v>2006-09-30</v>
          </cell>
        </row>
        <row r="2229">
          <cell r="A2229" t="str">
            <v>480001</v>
          </cell>
          <cell r="B2229" t="str">
            <v>1015</v>
          </cell>
          <cell r="C2229">
            <v>-594948.41</v>
          </cell>
          <cell r="D2229" t="str">
            <v>202</v>
          </cell>
          <cell r="E2229" t="str">
            <v>407</v>
          </cell>
          <cell r="F2229">
            <v>-432180.35</v>
          </cell>
          <cell r="G2229">
            <v>9</v>
          </cell>
          <cell r="H2229" t="str">
            <v>2006-09-30</v>
          </cell>
        </row>
        <row r="2230">
          <cell r="A2230" t="str">
            <v>480001</v>
          </cell>
          <cell r="B2230" t="str">
            <v>1015</v>
          </cell>
          <cell r="C2230">
            <v>-213790.7</v>
          </cell>
          <cell r="D2230" t="str">
            <v>203</v>
          </cell>
          <cell r="E2230" t="str">
            <v>407</v>
          </cell>
          <cell r="F2230">
            <v>0</v>
          </cell>
          <cell r="G2230">
            <v>9</v>
          </cell>
          <cell r="H2230" t="str">
            <v>2006-09-30</v>
          </cell>
        </row>
        <row r="2231">
          <cell r="A2231" t="str">
            <v>480001</v>
          </cell>
          <cell r="B2231" t="str">
            <v>1015</v>
          </cell>
          <cell r="C2231">
            <v>-2799295.52</v>
          </cell>
          <cell r="D2231" t="str">
            <v>204</v>
          </cell>
          <cell r="E2231" t="str">
            <v>407</v>
          </cell>
          <cell r="F2231">
            <v>0</v>
          </cell>
          <cell r="G2231">
            <v>9</v>
          </cell>
          <cell r="H2231" t="str">
            <v>2006-09-30</v>
          </cell>
        </row>
        <row r="2232">
          <cell r="A2232" t="str">
            <v>480001</v>
          </cell>
          <cell r="B2232" t="str">
            <v>1015</v>
          </cell>
          <cell r="C2232">
            <v>-48784.33</v>
          </cell>
          <cell r="D2232" t="str">
            <v>205</v>
          </cell>
          <cell r="E2232" t="str">
            <v>407</v>
          </cell>
          <cell r="F2232">
            <v>0</v>
          </cell>
          <cell r="G2232">
            <v>9</v>
          </cell>
          <cell r="H2232" t="str">
            <v>2006-09-30</v>
          </cell>
        </row>
        <row r="2233">
          <cell r="A2233" t="str">
            <v>480001</v>
          </cell>
          <cell r="B2233" t="str">
            <v>1015</v>
          </cell>
          <cell r="C2233">
            <v>-3460.02</v>
          </cell>
          <cell r="D2233" t="str">
            <v>210</v>
          </cell>
          <cell r="E2233" t="str">
            <v>407</v>
          </cell>
          <cell r="F2233">
            <v>-492.2</v>
          </cell>
          <cell r="G2233">
            <v>9</v>
          </cell>
          <cell r="H2233" t="str">
            <v>2006-09-30</v>
          </cell>
        </row>
        <row r="2234">
          <cell r="A2234" t="str">
            <v>481000</v>
          </cell>
          <cell r="B2234" t="str">
            <v>1015</v>
          </cell>
          <cell r="C2234">
            <v>-2414.7199999999998</v>
          </cell>
          <cell r="D2234" t="str">
            <v>202</v>
          </cell>
          <cell r="E2234" t="str">
            <v>407</v>
          </cell>
          <cell r="F2234">
            <v>-2541.77</v>
          </cell>
          <cell r="G2234">
            <v>9</v>
          </cell>
          <cell r="H2234" t="str">
            <v>2006-09-30</v>
          </cell>
        </row>
        <row r="2235">
          <cell r="A2235" t="str">
            <v>481000</v>
          </cell>
          <cell r="B2235" t="str">
            <v>1015</v>
          </cell>
          <cell r="C2235">
            <v>-1264.76</v>
          </cell>
          <cell r="D2235" t="str">
            <v>203</v>
          </cell>
          <cell r="E2235" t="str">
            <v>407</v>
          </cell>
          <cell r="F2235">
            <v>0</v>
          </cell>
          <cell r="G2235">
            <v>9</v>
          </cell>
          <cell r="H2235" t="str">
            <v>2006-09-30</v>
          </cell>
        </row>
        <row r="2236">
          <cell r="A2236" t="str">
            <v>481000</v>
          </cell>
          <cell r="B2236" t="str">
            <v>1015</v>
          </cell>
          <cell r="C2236">
            <v>-16614.37</v>
          </cell>
          <cell r="D2236" t="str">
            <v>204</v>
          </cell>
          <cell r="E2236" t="str">
            <v>407</v>
          </cell>
          <cell r="F2236">
            <v>0</v>
          </cell>
          <cell r="G2236">
            <v>9</v>
          </cell>
          <cell r="H2236" t="str">
            <v>2006-09-30</v>
          </cell>
        </row>
        <row r="2237">
          <cell r="A2237" t="str">
            <v>481000</v>
          </cell>
          <cell r="B2237" t="str">
            <v>1015</v>
          </cell>
          <cell r="C2237">
            <v>39.69</v>
          </cell>
          <cell r="D2237" t="str">
            <v>205</v>
          </cell>
          <cell r="E2237" t="str">
            <v>407</v>
          </cell>
          <cell r="F2237">
            <v>0</v>
          </cell>
          <cell r="G2237">
            <v>9</v>
          </cell>
          <cell r="H2237" t="str">
            <v>2006-09-30</v>
          </cell>
        </row>
        <row r="2238">
          <cell r="A2238" t="str">
            <v>481004</v>
          </cell>
          <cell r="B2238" t="str">
            <v>1015</v>
          </cell>
          <cell r="C2238">
            <v>-1433412.44</v>
          </cell>
          <cell r="D2238" t="str">
            <v>202</v>
          </cell>
          <cell r="E2238" t="str">
            <v>407</v>
          </cell>
          <cell r="F2238">
            <v>-616026.84</v>
          </cell>
          <cell r="G2238">
            <v>9</v>
          </cell>
          <cell r="H2238" t="str">
            <v>2006-09-30</v>
          </cell>
        </row>
        <row r="2239">
          <cell r="A2239" t="str">
            <v>481004</v>
          </cell>
          <cell r="B2239" t="str">
            <v>1015</v>
          </cell>
          <cell r="C2239">
            <v>-306022.43</v>
          </cell>
          <cell r="D2239" t="str">
            <v>203</v>
          </cell>
          <cell r="E2239" t="str">
            <v>407</v>
          </cell>
          <cell r="F2239">
            <v>0</v>
          </cell>
          <cell r="G2239">
            <v>9</v>
          </cell>
          <cell r="H2239" t="str">
            <v>2006-09-30</v>
          </cell>
        </row>
        <row r="2240">
          <cell r="A2240" t="str">
            <v>481004</v>
          </cell>
          <cell r="B2240" t="str">
            <v>1015</v>
          </cell>
          <cell r="C2240">
            <v>-4028325.08</v>
          </cell>
          <cell r="D2240" t="str">
            <v>204</v>
          </cell>
          <cell r="E2240" t="str">
            <v>407</v>
          </cell>
          <cell r="F2240">
            <v>0</v>
          </cell>
          <cell r="G2240">
            <v>9</v>
          </cell>
          <cell r="H2240" t="str">
            <v>2006-09-30</v>
          </cell>
        </row>
        <row r="2241">
          <cell r="A2241" t="str">
            <v>481004</v>
          </cell>
          <cell r="B2241" t="str">
            <v>1015</v>
          </cell>
          <cell r="C2241">
            <v>17678.71</v>
          </cell>
          <cell r="D2241" t="str">
            <v>205</v>
          </cell>
          <cell r="E2241" t="str">
            <v>407</v>
          </cell>
          <cell r="F2241">
            <v>0</v>
          </cell>
          <cell r="G2241">
            <v>9</v>
          </cell>
          <cell r="H2241" t="str">
            <v>2006-09-30</v>
          </cell>
        </row>
        <row r="2242">
          <cell r="A2242" t="str">
            <v>481004</v>
          </cell>
          <cell r="B2242" t="str">
            <v>1015</v>
          </cell>
          <cell r="C2242">
            <v>1412.18</v>
          </cell>
          <cell r="D2242" t="str">
            <v>210</v>
          </cell>
          <cell r="E2242" t="str">
            <v>407</v>
          </cell>
          <cell r="F2242">
            <v>200.5</v>
          </cell>
          <cell r="G2242">
            <v>9</v>
          </cell>
          <cell r="H2242" t="str">
            <v>2006-09-30</v>
          </cell>
        </row>
        <row r="2243">
          <cell r="A2243" t="str">
            <v>480000</v>
          </cell>
          <cell r="B2243" t="str">
            <v>1015</v>
          </cell>
          <cell r="C2243">
            <v>-44851.79</v>
          </cell>
          <cell r="D2243" t="str">
            <v>202</v>
          </cell>
          <cell r="E2243" t="str">
            <v>408</v>
          </cell>
          <cell r="F2243">
            <v>-10098.69</v>
          </cell>
          <cell r="G2243">
            <v>9</v>
          </cell>
          <cell r="H2243" t="str">
            <v>2006-09-30</v>
          </cell>
        </row>
        <row r="2244">
          <cell r="A2244" t="str">
            <v>480000</v>
          </cell>
          <cell r="B2244" t="str">
            <v>1015</v>
          </cell>
          <cell r="C2244">
            <v>-5037.45</v>
          </cell>
          <cell r="D2244" t="str">
            <v>203</v>
          </cell>
          <cell r="E2244" t="str">
            <v>408</v>
          </cell>
          <cell r="F2244">
            <v>0</v>
          </cell>
          <cell r="G2244">
            <v>9</v>
          </cell>
          <cell r="H2244" t="str">
            <v>2006-09-30</v>
          </cell>
        </row>
        <row r="2245">
          <cell r="A2245" t="str">
            <v>480000</v>
          </cell>
          <cell r="B2245" t="str">
            <v>1015</v>
          </cell>
          <cell r="C2245">
            <v>-66192.92</v>
          </cell>
          <cell r="D2245" t="str">
            <v>204</v>
          </cell>
          <cell r="E2245" t="str">
            <v>408</v>
          </cell>
          <cell r="F2245">
            <v>0</v>
          </cell>
          <cell r="G2245">
            <v>9</v>
          </cell>
          <cell r="H2245" t="str">
            <v>2006-09-30</v>
          </cell>
        </row>
        <row r="2246">
          <cell r="A2246" t="str">
            <v>480000</v>
          </cell>
          <cell r="B2246" t="str">
            <v>1015</v>
          </cell>
          <cell r="C2246">
            <v>-1106.3800000000001</v>
          </cell>
          <cell r="D2246" t="str">
            <v>205</v>
          </cell>
          <cell r="E2246" t="str">
            <v>408</v>
          </cell>
          <cell r="F2246">
            <v>0</v>
          </cell>
          <cell r="G2246">
            <v>9</v>
          </cell>
          <cell r="H2246" t="str">
            <v>2006-09-30</v>
          </cell>
        </row>
        <row r="2247">
          <cell r="A2247" t="str">
            <v>480001</v>
          </cell>
          <cell r="B2247" t="str">
            <v>1015</v>
          </cell>
          <cell r="C2247">
            <v>-7514.57</v>
          </cell>
          <cell r="D2247" t="str">
            <v>202</v>
          </cell>
          <cell r="E2247" t="str">
            <v>408</v>
          </cell>
          <cell r="F2247">
            <v>-1209.79</v>
          </cell>
          <cell r="G2247">
            <v>9</v>
          </cell>
          <cell r="H2247" t="str">
            <v>2006-09-30</v>
          </cell>
        </row>
        <row r="2248">
          <cell r="A2248" t="str">
            <v>480001</v>
          </cell>
          <cell r="B2248" t="str">
            <v>1015</v>
          </cell>
          <cell r="C2248">
            <v>-588.66999999999996</v>
          </cell>
          <cell r="D2248" t="str">
            <v>203</v>
          </cell>
          <cell r="E2248" t="str">
            <v>408</v>
          </cell>
          <cell r="F2248">
            <v>0</v>
          </cell>
          <cell r="G2248">
            <v>9</v>
          </cell>
          <cell r="H2248" t="str">
            <v>2006-09-30</v>
          </cell>
        </row>
        <row r="2249">
          <cell r="A2249" t="str">
            <v>480001</v>
          </cell>
          <cell r="B2249" t="str">
            <v>1015</v>
          </cell>
          <cell r="C2249">
            <v>-7709.05</v>
          </cell>
          <cell r="D2249" t="str">
            <v>204</v>
          </cell>
          <cell r="E2249" t="str">
            <v>408</v>
          </cell>
          <cell r="F2249">
            <v>0</v>
          </cell>
          <cell r="G2249">
            <v>9</v>
          </cell>
          <cell r="H2249" t="str">
            <v>2006-09-30</v>
          </cell>
        </row>
        <row r="2250">
          <cell r="A2250" t="str">
            <v>480001</v>
          </cell>
          <cell r="B2250" t="str">
            <v>1015</v>
          </cell>
          <cell r="C2250">
            <v>-2346.56</v>
          </cell>
          <cell r="D2250" t="str">
            <v>205</v>
          </cell>
          <cell r="E2250" t="str">
            <v>408</v>
          </cell>
          <cell r="F2250">
            <v>0</v>
          </cell>
          <cell r="G2250">
            <v>9</v>
          </cell>
          <cell r="H2250" t="str">
            <v>2006-09-30</v>
          </cell>
        </row>
        <row r="2251">
          <cell r="A2251" t="str">
            <v>480001</v>
          </cell>
          <cell r="B2251" t="str">
            <v>1015</v>
          </cell>
          <cell r="C2251">
            <v>0</v>
          </cell>
          <cell r="D2251" t="str">
            <v>210</v>
          </cell>
          <cell r="E2251" t="str">
            <v>408</v>
          </cell>
          <cell r="F2251">
            <v>0</v>
          </cell>
          <cell r="G2251">
            <v>9</v>
          </cell>
          <cell r="H2251" t="str">
            <v>2006-09-30</v>
          </cell>
        </row>
        <row r="2252">
          <cell r="A2252" t="str">
            <v>481004</v>
          </cell>
          <cell r="B2252" t="str">
            <v>1015</v>
          </cell>
          <cell r="C2252">
            <v>-24482.639999999999</v>
          </cell>
          <cell r="D2252" t="str">
            <v>202</v>
          </cell>
          <cell r="E2252" t="str">
            <v>408</v>
          </cell>
          <cell r="F2252">
            <v>-6052.52</v>
          </cell>
          <cell r="G2252">
            <v>9</v>
          </cell>
          <cell r="H2252" t="str">
            <v>2006-09-30</v>
          </cell>
        </row>
        <row r="2253">
          <cell r="A2253" t="str">
            <v>481004</v>
          </cell>
          <cell r="B2253" t="str">
            <v>1015</v>
          </cell>
          <cell r="C2253">
            <v>-3012.88</v>
          </cell>
          <cell r="D2253" t="str">
            <v>203</v>
          </cell>
          <cell r="E2253" t="str">
            <v>408</v>
          </cell>
          <cell r="F2253">
            <v>0</v>
          </cell>
          <cell r="G2253">
            <v>9</v>
          </cell>
          <cell r="H2253" t="str">
            <v>2006-09-30</v>
          </cell>
        </row>
        <row r="2254">
          <cell r="A2254" t="str">
            <v>481004</v>
          </cell>
          <cell r="B2254" t="str">
            <v>1015</v>
          </cell>
          <cell r="C2254">
            <v>-39578.03</v>
          </cell>
          <cell r="D2254" t="str">
            <v>204</v>
          </cell>
          <cell r="E2254" t="str">
            <v>408</v>
          </cell>
          <cell r="F2254">
            <v>0</v>
          </cell>
          <cell r="G2254">
            <v>9</v>
          </cell>
          <cell r="H2254" t="str">
            <v>2006-09-30</v>
          </cell>
        </row>
        <row r="2255">
          <cell r="A2255" t="str">
            <v>481004</v>
          </cell>
          <cell r="B2255" t="str">
            <v>1015</v>
          </cell>
          <cell r="C2255">
            <v>-719.06</v>
          </cell>
          <cell r="D2255" t="str">
            <v>205</v>
          </cell>
          <cell r="E2255" t="str">
            <v>408</v>
          </cell>
          <cell r="F2255">
            <v>0</v>
          </cell>
          <cell r="G2255">
            <v>9</v>
          </cell>
          <cell r="H2255" t="str">
            <v>2006-09-30</v>
          </cell>
        </row>
        <row r="2256">
          <cell r="A2256" t="str">
            <v>481002</v>
          </cell>
          <cell r="B2256" t="str">
            <v>1015</v>
          </cell>
          <cell r="C2256">
            <v>-4728.4399999999996</v>
          </cell>
          <cell r="D2256" t="str">
            <v>202</v>
          </cell>
          <cell r="E2256" t="str">
            <v>411</v>
          </cell>
          <cell r="F2256">
            <v>-24728</v>
          </cell>
          <cell r="G2256">
            <v>9</v>
          </cell>
          <cell r="H2256" t="str">
            <v>2006-09-30</v>
          </cell>
        </row>
        <row r="2257">
          <cell r="A2257" t="str">
            <v>481002</v>
          </cell>
          <cell r="B2257" t="str">
            <v>1015</v>
          </cell>
          <cell r="C2257">
            <v>-4522.01</v>
          </cell>
          <cell r="D2257" t="str">
            <v>203</v>
          </cell>
          <cell r="E2257" t="str">
            <v>411</v>
          </cell>
          <cell r="F2257">
            <v>0</v>
          </cell>
          <cell r="G2257">
            <v>9</v>
          </cell>
          <cell r="H2257" t="str">
            <v>2006-09-30</v>
          </cell>
        </row>
        <row r="2258">
          <cell r="A2258" t="str">
            <v>481002</v>
          </cell>
          <cell r="B2258" t="str">
            <v>1015</v>
          </cell>
          <cell r="C2258">
            <v>-116740.39</v>
          </cell>
          <cell r="D2258" t="str">
            <v>204</v>
          </cell>
          <cell r="E2258" t="str">
            <v>411</v>
          </cell>
          <cell r="F2258">
            <v>0</v>
          </cell>
          <cell r="G2258">
            <v>9</v>
          </cell>
          <cell r="H2258" t="str">
            <v>2006-09-30</v>
          </cell>
        </row>
        <row r="2259">
          <cell r="A2259" t="str">
            <v>481005</v>
          </cell>
          <cell r="B2259" t="str">
            <v>1015</v>
          </cell>
          <cell r="C2259">
            <v>-17869.34</v>
          </cell>
          <cell r="D2259" t="str">
            <v>202</v>
          </cell>
          <cell r="E2259" t="str">
            <v>411</v>
          </cell>
          <cell r="F2259">
            <v>-38268</v>
          </cell>
          <cell r="G2259">
            <v>9</v>
          </cell>
          <cell r="H2259" t="str">
            <v>2006-09-30</v>
          </cell>
        </row>
        <row r="2260">
          <cell r="A2260" t="str">
            <v>481005</v>
          </cell>
          <cell r="B2260" t="str">
            <v>1015</v>
          </cell>
          <cell r="C2260">
            <v>-6998.48</v>
          </cell>
          <cell r="D2260" t="str">
            <v>203</v>
          </cell>
          <cell r="E2260" t="str">
            <v>411</v>
          </cell>
          <cell r="F2260">
            <v>0</v>
          </cell>
          <cell r="G2260">
            <v>9</v>
          </cell>
          <cell r="H2260" t="str">
            <v>2006-09-30</v>
          </cell>
        </row>
        <row r="2261">
          <cell r="A2261" t="str">
            <v>481005</v>
          </cell>
          <cell r="B2261" t="str">
            <v>1015</v>
          </cell>
          <cell r="C2261">
            <v>-180662.1</v>
          </cell>
          <cell r="D2261" t="str">
            <v>204</v>
          </cell>
          <cell r="E2261" t="str">
            <v>411</v>
          </cell>
          <cell r="F2261">
            <v>0</v>
          </cell>
          <cell r="G2261">
            <v>9</v>
          </cell>
          <cell r="H2261" t="str">
            <v>2006-09-30</v>
          </cell>
        </row>
        <row r="2262">
          <cell r="A2262" t="str">
            <v>481002</v>
          </cell>
          <cell r="B2262" t="str">
            <v>1015</v>
          </cell>
          <cell r="C2262">
            <v>0</v>
          </cell>
          <cell r="D2262" t="str">
            <v>210</v>
          </cell>
          <cell r="E2262" t="str">
            <v>412</v>
          </cell>
          <cell r="F2262">
            <v>0</v>
          </cell>
          <cell r="G2262">
            <v>9</v>
          </cell>
          <cell r="H2262" t="str">
            <v>2006-09-30</v>
          </cell>
        </row>
        <row r="2263">
          <cell r="A2263" t="str">
            <v>481002</v>
          </cell>
          <cell r="B2263" t="str">
            <v>1015</v>
          </cell>
          <cell r="C2263">
            <v>-3588.12</v>
          </cell>
          <cell r="D2263" t="str">
            <v>202</v>
          </cell>
          <cell r="E2263" t="str">
            <v>414</v>
          </cell>
          <cell r="F2263">
            <v>-8858</v>
          </cell>
          <cell r="G2263">
            <v>9</v>
          </cell>
          <cell r="H2263" t="str">
            <v>2006-09-30</v>
          </cell>
        </row>
        <row r="2264">
          <cell r="A2264" t="str">
            <v>481002</v>
          </cell>
          <cell r="B2264" t="str">
            <v>1015</v>
          </cell>
          <cell r="C2264">
            <v>-1619.86</v>
          </cell>
          <cell r="D2264" t="str">
            <v>203</v>
          </cell>
          <cell r="E2264" t="str">
            <v>414</v>
          </cell>
          <cell r="F2264">
            <v>0</v>
          </cell>
          <cell r="G2264">
            <v>9</v>
          </cell>
          <cell r="H2264" t="str">
            <v>2006-09-30</v>
          </cell>
        </row>
        <row r="2265">
          <cell r="A2265" t="str">
            <v>481002</v>
          </cell>
          <cell r="B2265" t="str">
            <v>1015</v>
          </cell>
          <cell r="C2265">
            <v>-41818.44</v>
          </cell>
          <cell r="D2265" t="str">
            <v>204</v>
          </cell>
          <cell r="E2265" t="str">
            <v>414</v>
          </cell>
          <cell r="F2265">
            <v>0</v>
          </cell>
          <cell r="G2265">
            <v>9</v>
          </cell>
          <cell r="H2265" t="str">
            <v>2006-09-30</v>
          </cell>
        </row>
        <row r="2266">
          <cell r="A2266" t="str">
            <v>481005</v>
          </cell>
          <cell r="B2266" t="str">
            <v>1015</v>
          </cell>
          <cell r="C2266">
            <v>-11553.73</v>
          </cell>
          <cell r="D2266" t="str">
            <v>202</v>
          </cell>
          <cell r="E2266" t="str">
            <v>414</v>
          </cell>
          <cell r="F2266">
            <v>-8153</v>
          </cell>
          <cell r="G2266">
            <v>9</v>
          </cell>
          <cell r="H2266" t="str">
            <v>2006-09-30</v>
          </cell>
        </row>
        <row r="2267">
          <cell r="A2267" t="str">
            <v>481005</v>
          </cell>
          <cell r="B2267" t="str">
            <v>1015</v>
          </cell>
          <cell r="C2267">
            <v>-1491.29</v>
          </cell>
          <cell r="D2267" t="str">
            <v>203</v>
          </cell>
          <cell r="E2267" t="str">
            <v>414</v>
          </cell>
          <cell r="F2267">
            <v>0</v>
          </cell>
          <cell r="G2267">
            <v>9</v>
          </cell>
          <cell r="H2267" t="str">
            <v>2006-09-30</v>
          </cell>
        </row>
        <row r="2268">
          <cell r="A2268" t="str">
            <v>481005</v>
          </cell>
          <cell r="B2268" t="str">
            <v>1015</v>
          </cell>
          <cell r="C2268">
            <v>-38489.68</v>
          </cell>
          <cell r="D2268" t="str">
            <v>204</v>
          </cell>
          <cell r="E2268" t="str">
            <v>414</v>
          </cell>
          <cell r="F2268">
            <v>0</v>
          </cell>
          <cell r="G2268">
            <v>9</v>
          </cell>
          <cell r="H2268" t="str">
            <v>2006-09-30</v>
          </cell>
        </row>
        <row r="2269">
          <cell r="A2269" t="str">
            <v>489300</v>
          </cell>
          <cell r="B2269" t="str">
            <v>1015</v>
          </cell>
          <cell r="C2269">
            <v>-162554.63</v>
          </cell>
          <cell r="D2269" t="str">
            <v>250</v>
          </cell>
          <cell r="E2269" t="str">
            <v>415</v>
          </cell>
          <cell r="F2269">
            <v>-1005350</v>
          </cell>
          <cell r="G2269">
            <v>9</v>
          </cell>
          <cell r="H2269" t="str">
            <v>2006-09-30</v>
          </cell>
        </row>
        <row r="2270">
          <cell r="A2270" t="str">
            <v>489304</v>
          </cell>
          <cell r="B2270" t="str">
            <v>1015</v>
          </cell>
          <cell r="C2270">
            <v>-50460.22</v>
          </cell>
          <cell r="D2270" t="str">
            <v>250</v>
          </cell>
          <cell r="E2270" t="str">
            <v>415</v>
          </cell>
          <cell r="F2270">
            <v>-206631</v>
          </cell>
          <cell r="G2270">
            <v>9</v>
          </cell>
          <cell r="H2270" t="str">
            <v>2006-09-30</v>
          </cell>
        </row>
        <row r="2271">
          <cell r="A2271" t="str">
            <v>489304</v>
          </cell>
          <cell r="B2271" t="str">
            <v>1015</v>
          </cell>
          <cell r="C2271">
            <v>-785.58</v>
          </cell>
          <cell r="D2271" t="str">
            <v>250</v>
          </cell>
          <cell r="E2271" t="str">
            <v>416</v>
          </cell>
          <cell r="F2271">
            <v>-815</v>
          </cell>
          <cell r="G2271">
            <v>9</v>
          </cell>
          <cell r="H2271" t="str">
            <v>2006-09-30</v>
          </cell>
        </row>
        <row r="2272">
          <cell r="A2272" t="str">
            <v>481000</v>
          </cell>
          <cell r="B2272" t="str">
            <v>1015</v>
          </cell>
          <cell r="C2272">
            <v>0</v>
          </cell>
          <cell r="D2272" t="str">
            <v>202</v>
          </cell>
          <cell r="E2272" t="str">
            <v>451</v>
          </cell>
          <cell r="F2272">
            <v>0</v>
          </cell>
          <cell r="G2272">
            <v>9</v>
          </cell>
          <cell r="H2272" t="str">
            <v>2006-09-30</v>
          </cell>
        </row>
        <row r="2273">
          <cell r="A2273" t="str">
            <v>481000</v>
          </cell>
          <cell r="B2273" t="str">
            <v>1015</v>
          </cell>
          <cell r="C2273">
            <v>0</v>
          </cell>
          <cell r="D2273" t="str">
            <v>204</v>
          </cell>
          <cell r="E2273" t="str">
            <v>451</v>
          </cell>
          <cell r="F2273">
            <v>0</v>
          </cell>
          <cell r="G2273">
            <v>9</v>
          </cell>
          <cell r="H2273" t="str">
            <v>2006-09-30</v>
          </cell>
        </row>
        <row r="2274">
          <cell r="A2274" t="str">
            <v>481000</v>
          </cell>
          <cell r="B2274" t="str">
            <v>1015</v>
          </cell>
          <cell r="C2274">
            <v>0</v>
          </cell>
          <cell r="D2274" t="str">
            <v>210</v>
          </cell>
          <cell r="E2274" t="str">
            <v>451</v>
          </cell>
          <cell r="F2274">
            <v>0</v>
          </cell>
          <cell r="G2274">
            <v>9</v>
          </cell>
          <cell r="H2274" t="str">
            <v>2006-09-30</v>
          </cell>
        </row>
        <row r="2275">
          <cell r="A2275" t="str">
            <v>481004</v>
          </cell>
          <cell r="B2275" t="str">
            <v>1015</v>
          </cell>
          <cell r="C2275">
            <v>-18125</v>
          </cell>
          <cell r="D2275" t="str">
            <v>202</v>
          </cell>
          <cell r="E2275" t="str">
            <v>451</v>
          </cell>
          <cell r="F2275">
            <v>-17474</v>
          </cell>
          <cell r="G2275">
            <v>9</v>
          </cell>
          <cell r="H2275" t="str">
            <v>2006-09-30</v>
          </cell>
        </row>
        <row r="2276">
          <cell r="A2276" t="str">
            <v>481004</v>
          </cell>
          <cell r="B2276" t="str">
            <v>1015</v>
          </cell>
          <cell r="C2276">
            <v>-134722</v>
          </cell>
          <cell r="D2276" t="str">
            <v>204</v>
          </cell>
          <cell r="E2276" t="str">
            <v>451</v>
          </cell>
          <cell r="F2276">
            <v>0</v>
          </cell>
          <cell r="G2276">
            <v>9</v>
          </cell>
          <cell r="H2276" t="str">
            <v>2006-09-30</v>
          </cell>
        </row>
        <row r="2277">
          <cell r="A2277" t="str">
            <v>481004</v>
          </cell>
          <cell r="B2277" t="str">
            <v>1015</v>
          </cell>
          <cell r="C2277">
            <v>0</v>
          </cell>
          <cell r="D2277" t="str">
            <v>210</v>
          </cell>
          <cell r="E2277" t="str">
            <v>451</v>
          </cell>
          <cell r="F2277">
            <v>0</v>
          </cell>
          <cell r="G2277">
            <v>9</v>
          </cell>
          <cell r="H2277" t="str">
            <v>2006-09-30</v>
          </cell>
        </row>
        <row r="2278">
          <cell r="A2278" t="str">
            <v>480000</v>
          </cell>
          <cell r="B2278" t="str">
            <v>1015</v>
          </cell>
          <cell r="C2278">
            <v>-285847.76</v>
          </cell>
          <cell r="D2278" t="str">
            <v>202</v>
          </cell>
          <cell r="E2278" t="str">
            <v>453</v>
          </cell>
          <cell r="F2278">
            <v>-52686.7</v>
          </cell>
          <cell r="G2278">
            <v>9</v>
          </cell>
          <cell r="H2278" t="str">
            <v>2006-09-30</v>
          </cell>
        </row>
        <row r="2279">
          <cell r="A2279" t="str">
            <v>480000</v>
          </cell>
          <cell r="B2279" t="str">
            <v>1015</v>
          </cell>
          <cell r="C2279">
            <v>-380299.12</v>
          </cell>
          <cell r="D2279" t="str">
            <v>204</v>
          </cell>
          <cell r="E2279" t="str">
            <v>453</v>
          </cell>
          <cell r="F2279">
            <v>0</v>
          </cell>
          <cell r="G2279">
            <v>9</v>
          </cell>
          <cell r="H2279" t="str">
            <v>2006-09-30</v>
          </cell>
        </row>
        <row r="2280">
          <cell r="A2280" t="str">
            <v>480000</v>
          </cell>
          <cell r="B2280" t="str">
            <v>1015</v>
          </cell>
          <cell r="C2280">
            <v>644.65</v>
          </cell>
          <cell r="D2280" t="str">
            <v>205</v>
          </cell>
          <cell r="E2280" t="str">
            <v>453</v>
          </cell>
          <cell r="F2280">
            <v>0</v>
          </cell>
          <cell r="G2280">
            <v>9</v>
          </cell>
          <cell r="H2280" t="str">
            <v>2006-09-30</v>
          </cell>
        </row>
        <row r="2281">
          <cell r="A2281" t="str">
            <v>480001</v>
          </cell>
          <cell r="B2281" t="str">
            <v>1015</v>
          </cell>
          <cell r="C2281">
            <v>-98545.87</v>
          </cell>
          <cell r="D2281" t="str">
            <v>202</v>
          </cell>
          <cell r="E2281" t="str">
            <v>453</v>
          </cell>
          <cell r="F2281">
            <v>-48478.11</v>
          </cell>
          <cell r="G2281">
            <v>9</v>
          </cell>
          <cell r="H2281" t="str">
            <v>2006-09-30</v>
          </cell>
        </row>
        <row r="2282">
          <cell r="A2282" t="str">
            <v>480001</v>
          </cell>
          <cell r="B2282" t="str">
            <v>1015</v>
          </cell>
          <cell r="C2282">
            <v>-3181.72</v>
          </cell>
          <cell r="D2282" t="str">
            <v>202</v>
          </cell>
          <cell r="E2282" t="str">
            <v>453</v>
          </cell>
          <cell r="F2282">
            <v>0</v>
          </cell>
          <cell r="G2282">
            <v>9</v>
          </cell>
          <cell r="H2282" t="str">
            <v>2006-09-30</v>
          </cell>
        </row>
        <row r="2283">
          <cell r="A2283" t="str">
            <v>480001</v>
          </cell>
          <cell r="B2283" t="str">
            <v>1015</v>
          </cell>
          <cell r="C2283">
            <v>-344166.75</v>
          </cell>
          <cell r="D2283" t="str">
            <v>204</v>
          </cell>
          <cell r="E2283" t="str">
            <v>453</v>
          </cell>
          <cell r="F2283">
            <v>0</v>
          </cell>
          <cell r="G2283">
            <v>9</v>
          </cell>
          <cell r="H2283" t="str">
            <v>2006-09-30</v>
          </cell>
        </row>
        <row r="2284">
          <cell r="A2284" t="str">
            <v>480001</v>
          </cell>
          <cell r="B2284" t="str">
            <v>1015</v>
          </cell>
          <cell r="C2284">
            <v>-30936.76</v>
          </cell>
          <cell r="D2284" t="str">
            <v>205</v>
          </cell>
          <cell r="E2284" t="str">
            <v>453</v>
          </cell>
          <cell r="F2284">
            <v>0</v>
          </cell>
          <cell r="G2284">
            <v>9</v>
          </cell>
          <cell r="H2284" t="str">
            <v>2006-09-30</v>
          </cell>
        </row>
        <row r="2285">
          <cell r="A2285" t="str">
            <v>480001</v>
          </cell>
          <cell r="B2285" t="str">
            <v>1015</v>
          </cell>
          <cell r="C2285">
            <v>0</v>
          </cell>
          <cell r="D2285" t="str">
            <v>210</v>
          </cell>
          <cell r="E2285" t="str">
            <v>453</v>
          </cell>
          <cell r="F2285">
            <v>0</v>
          </cell>
          <cell r="G2285">
            <v>9</v>
          </cell>
          <cell r="H2285" t="str">
            <v>2006-09-30</v>
          </cell>
        </row>
        <row r="2286">
          <cell r="A2286" t="str">
            <v>481004</v>
          </cell>
          <cell r="B2286" t="str">
            <v>1015</v>
          </cell>
          <cell r="C2286">
            <v>-63103.57</v>
          </cell>
          <cell r="D2286" t="str">
            <v>202</v>
          </cell>
          <cell r="E2286" t="str">
            <v>453</v>
          </cell>
          <cell r="F2286">
            <v>-23135.19</v>
          </cell>
          <cell r="G2286">
            <v>9</v>
          </cell>
          <cell r="H2286" t="str">
            <v>2006-09-30</v>
          </cell>
        </row>
        <row r="2287">
          <cell r="A2287" t="str">
            <v>481004</v>
          </cell>
          <cell r="B2287" t="str">
            <v>1015</v>
          </cell>
          <cell r="C2287">
            <v>-166748.26999999999</v>
          </cell>
          <cell r="D2287" t="str">
            <v>204</v>
          </cell>
          <cell r="E2287" t="str">
            <v>453</v>
          </cell>
          <cell r="F2287">
            <v>0</v>
          </cell>
          <cell r="G2287">
            <v>9</v>
          </cell>
          <cell r="H2287" t="str">
            <v>2006-09-30</v>
          </cell>
        </row>
        <row r="2288">
          <cell r="A2288" t="str">
            <v>481004</v>
          </cell>
          <cell r="B2288" t="str">
            <v>1015</v>
          </cell>
          <cell r="C2288">
            <v>150.53</v>
          </cell>
          <cell r="D2288" t="str">
            <v>205</v>
          </cell>
          <cell r="E2288" t="str">
            <v>453</v>
          </cell>
          <cell r="F2288">
            <v>0</v>
          </cell>
          <cell r="G2288">
            <v>9</v>
          </cell>
          <cell r="H2288" t="str">
            <v>2006-09-30</v>
          </cell>
        </row>
        <row r="2289">
          <cell r="A2289" t="str">
            <v>480000</v>
          </cell>
          <cell r="B2289" t="str">
            <v>1015</v>
          </cell>
          <cell r="C2289">
            <v>-9435.14</v>
          </cell>
          <cell r="D2289" t="str">
            <v>202</v>
          </cell>
          <cell r="E2289" t="str">
            <v>455</v>
          </cell>
          <cell r="F2289">
            <v>-1669.81</v>
          </cell>
          <cell r="G2289">
            <v>9</v>
          </cell>
          <cell r="H2289" t="str">
            <v>2006-09-30</v>
          </cell>
        </row>
        <row r="2290">
          <cell r="A2290" t="str">
            <v>480000</v>
          </cell>
          <cell r="B2290" t="str">
            <v>1015</v>
          </cell>
          <cell r="C2290">
            <v>-12059.83</v>
          </cell>
          <cell r="D2290" t="str">
            <v>204</v>
          </cell>
          <cell r="E2290" t="str">
            <v>455</v>
          </cell>
          <cell r="F2290">
            <v>0</v>
          </cell>
          <cell r="G2290">
            <v>9</v>
          </cell>
          <cell r="H2290" t="str">
            <v>2006-09-30</v>
          </cell>
        </row>
        <row r="2291">
          <cell r="A2291" t="str">
            <v>480000</v>
          </cell>
          <cell r="B2291" t="str">
            <v>1015</v>
          </cell>
          <cell r="C2291">
            <v>-420.9</v>
          </cell>
          <cell r="D2291" t="str">
            <v>205</v>
          </cell>
          <cell r="E2291" t="str">
            <v>455</v>
          </cell>
          <cell r="F2291">
            <v>0</v>
          </cell>
          <cell r="G2291">
            <v>9</v>
          </cell>
          <cell r="H2291" t="str">
            <v>2006-09-30</v>
          </cell>
        </row>
        <row r="2292">
          <cell r="A2292" t="str">
            <v>480001</v>
          </cell>
          <cell r="B2292" t="str">
            <v>1015</v>
          </cell>
          <cell r="C2292">
            <v>-7443.04</v>
          </cell>
          <cell r="D2292" t="str">
            <v>202</v>
          </cell>
          <cell r="E2292" t="str">
            <v>455</v>
          </cell>
          <cell r="F2292">
            <v>-3156.09</v>
          </cell>
          <cell r="G2292">
            <v>9</v>
          </cell>
          <cell r="H2292" t="str">
            <v>2006-09-30</v>
          </cell>
        </row>
        <row r="2293">
          <cell r="A2293" t="str">
            <v>480001</v>
          </cell>
          <cell r="B2293" t="str">
            <v>1015</v>
          </cell>
          <cell r="C2293">
            <v>-22702.54</v>
          </cell>
          <cell r="D2293" t="str">
            <v>204</v>
          </cell>
          <cell r="E2293" t="str">
            <v>455</v>
          </cell>
          <cell r="F2293">
            <v>0</v>
          </cell>
          <cell r="G2293">
            <v>9</v>
          </cell>
          <cell r="H2293" t="str">
            <v>2006-09-30</v>
          </cell>
        </row>
        <row r="2294">
          <cell r="A2294" t="str">
            <v>480001</v>
          </cell>
          <cell r="B2294" t="str">
            <v>1015</v>
          </cell>
          <cell r="C2294">
            <v>642.69000000000005</v>
          </cell>
          <cell r="D2294" t="str">
            <v>205</v>
          </cell>
          <cell r="E2294" t="str">
            <v>455</v>
          </cell>
          <cell r="F2294">
            <v>0</v>
          </cell>
          <cell r="G2294">
            <v>9</v>
          </cell>
          <cell r="H2294" t="str">
            <v>2006-09-30</v>
          </cell>
        </row>
        <row r="2295">
          <cell r="A2295" t="str">
            <v>480001</v>
          </cell>
          <cell r="B2295" t="str">
            <v>1015</v>
          </cell>
          <cell r="C2295">
            <v>0</v>
          </cell>
          <cell r="D2295" t="str">
            <v>210</v>
          </cell>
          <cell r="E2295" t="str">
            <v>455</v>
          </cell>
          <cell r="F2295">
            <v>0</v>
          </cell>
          <cell r="G2295">
            <v>9</v>
          </cell>
          <cell r="H2295" t="str">
            <v>2006-09-30</v>
          </cell>
        </row>
        <row r="2296">
          <cell r="A2296" t="str">
            <v>481004</v>
          </cell>
          <cell r="B2296" t="str">
            <v>1015</v>
          </cell>
          <cell r="C2296">
            <v>-3870.82</v>
          </cell>
          <cell r="D2296" t="str">
            <v>202</v>
          </cell>
          <cell r="E2296" t="str">
            <v>455</v>
          </cell>
          <cell r="F2296">
            <v>-1238.0999999999999</v>
          </cell>
          <cell r="G2296">
            <v>9</v>
          </cell>
          <cell r="H2296" t="str">
            <v>2006-09-30</v>
          </cell>
        </row>
        <row r="2297">
          <cell r="A2297" t="str">
            <v>481004</v>
          </cell>
          <cell r="B2297" t="str">
            <v>1015</v>
          </cell>
          <cell r="C2297">
            <v>-8923.6299999999992</v>
          </cell>
          <cell r="D2297" t="str">
            <v>204</v>
          </cell>
          <cell r="E2297" t="str">
            <v>455</v>
          </cell>
          <cell r="F2297">
            <v>0</v>
          </cell>
          <cell r="G2297">
            <v>9</v>
          </cell>
          <cell r="H2297" t="str">
            <v>2006-09-30</v>
          </cell>
        </row>
        <row r="2298">
          <cell r="A2298" t="str">
            <v>481004</v>
          </cell>
          <cell r="B2298" t="str">
            <v>1015</v>
          </cell>
          <cell r="C2298">
            <v>-221.79</v>
          </cell>
          <cell r="D2298" t="str">
            <v>205</v>
          </cell>
          <cell r="E2298" t="str">
            <v>455</v>
          </cell>
          <cell r="F2298">
            <v>0</v>
          </cell>
          <cell r="G2298">
            <v>9</v>
          </cell>
          <cell r="H2298" t="str">
            <v>2006-09-30</v>
          </cell>
        </row>
        <row r="2299">
          <cell r="A2299" t="str">
            <v>481002</v>
          </cell>
          <cell r="B2299" t="str">
            <v>1015</v>
          </cell>
          <cell r="C2299">
            <v>0</v>
          </cell>
          <cell r="D2299" t="str">
            <v>202</v>
          </cell>
          <cell r="E2299" t="str">
            <v>456</v>
          </cell>
          <cell r="F2299">
            <v>0</v>
          </cell>
          <cell r="G2299">
            <v>9</v>
          </cell>
          <cell r="H2299" t="str">
            <v>2006-09-30</v>
          </cell>
        </row>
        <row r="2300">
          <cell r="A2300" t="str">
            <v>481002</v>
          </cell>
          <cell r="B2300" t="str">
            <v>1015</v>
          </cell>
          <cell r="C2300">
            <v>0</v>
          </cell>
          <cell r="D2300" t="str">
            <v>203</v>
          </cell>
          <cell r="E2300" t="str">
            <v>456</v>
          </cell>
          <cell r="F2300">
            <v>0</v>
          </cell>
          <cell r="G2300">
            <v>9</v>
          </cell>
          <cell r="H2300" t="str">
            <v>2006-09-30</v>
          </cell>
        </row>
        <row r="2301">
          <cell r="A2301" t="str">
            <v>481002</v>
          </cell>
          <cell r="B2301" t="str">
            <v>1015</v>
          </cell>
          <cell r="C2301">
            <v>0</v>
          </cell>
          <cell r="D2301" t="str">
            <v>204</v>
          </cell>
          <cell r="E2301" t="str">
            <v>456</v>
          </cell>
          <cell r="F2301">
            <v>0</v>
          </cell>
          <cell r="G2301">
            <v>9</v>
          </cell>
          <cell r="H2301" t="str">
            <v>2006-09-30</v>
          </cell>
        </row>
        <row r="2302">
          <cell r="A2302" t="str">
            <v>481002</v>
          </cell>
          <cell r="B2302" t="str">
            <v>1015</v>
          </cell>
          <cell r="C2302">
            <v>0</v>
          </cell>
          <cell r="D2302" t="str">
            <v>210</v>
          </cell>
          <cell r="E2302" t="str">
            <v>456</v>
          </cell>
          <cell r="F2302">
            <v>0</v>
          </cell>
          <cell r="G2302">
            <v>9</v>
          </cell>
          <cell r="H2302" t="str">
            <v>2006-09-30</v>
          </cell>
        </row>
        <row r="2303">
          <cell r="A2303" t="str">
            <v>481002</v>
          </cell>
          <cell r="B2303" t="str">
            <v>1015</v>
          </cell>
          <cell r="C2303">
            <v>-438.6</v>
          </cell>
          <cell r="D2303" t="str">
            <v>202</v>
          </cell>
          <cell r="E2303" t="str">
            <v>457</v>
          </cell>
          <cell r="F2303">
            <v>-2715</v>
          </cell>
          <cell r="G2303">
            <v>9</v>
          </cell>
          <cell r="H2303" t="str">
            <v>2006-09-30</v>
          </cell>
        </row>
        <row r="2304">
          <cell r="A2304" t="str">
            <v>481002</v>
          </cell>
          <cell r="B2304" t="str">
            <v>1015</v>
          </cell>
          <cell r="C2304">
            <v>-496.49</v>
          </cell>
          <cell r="D2304" t="str">
            <v>203</v>
          </cell>
          <cell r="E2304" t="str">
            <v>457</v>
          </cell>
          <cell r="F2304">
            <v>0</v>
          </cell>
          <cell r="G2304">
            <v>9</v>
          </cell>
          <cell r="H2304" t="str">
            <v>2006-09-30</v>
          </cell>
        </row>
        <row r="2305">
          <cell r="A2305" t="str">
            <v>481002</v>
          </cell>
          <cell r="B2305" t="str">
            <v>1015</v>
          </cell>
          <cell r="C2305">
            <v>-12786.4</v>
          </cell>
          <cell r="D2305" t="str">
            <v>204</v>
          </cell>
          <cell r="E2305" t="str">
            <v>457</v>
          </cell>
          <cell r="F2305">
            <v>0</v>
          </cell>
          <cell r="G2305">
            <v>9</v>
          </cell>
          <cell r="H2305" t="str">
            <v>2006-09-30</v>
          </cell>
        </row>
        <row r="2306">
          <cell r="A2306" t="str">
            <v>481005</v>
          </cell>
          <cell r="B2306" t="str">
            <v>1015</v>
          </cell>
          <cell r="C2306">
            <v>-1967</v>
          </cell>
          <cell r="D2306" t="str">
            <v>202</v>
          </cell>
          <cell r="E2306" t="str">
            <v>457</v>
          </cell>
          <cell r="F2306">
            <v>-11267</v>
          </cell>
          <cell r="G2306">
            <v>9</v>
          </cell>
          <cell r="H2306" t="str">
            <v>2006-09-30</v>
          </cell>
        </row>
        <row r="2307">
          <cell r="A2307" t="str">
            <v>481005</v>
          </cell>
          <cell r="B2307" t="str">
            <v>1015</v>
          </cell>
          <cell r="C2307">
            <v>-2060</v>
          </cell>
          <cell r="D2307" t="str">
            <v>203</v>
          </cell>
          <cell r="E2307" t="str">
            <v>457</v>
          </cell>
          <cell r="F2307">
            <v>0</v>
          </cell>
          <cell r="G2307">
            <v>9</v>
          </cell>
          <cell r="H2307" t="str">
            <v>2006-09-30</v>
          </cell>
        </row>
        <row r="2308">
          <cell r="A2308" t="str">
            <v>481005</v>
          </cell>
          <cell r="B2308" t="str">
            <v>1015</v>
          </cell>
          <cell r="C2308">
            <v>-53062</v>
          </cell>
          <cell r="D2308" t="str">
            <v>204</v>
          </cell>
          <cell r="E2308" t="str">
            <v>457</v>
          </cell>
          <cell r="F2308">
            <v>0</v>
          </cell>
          <cell r="G2308">
            <v>9</v>
          </cell>
          <cell r="H2308" t="str">
            <v>2006-09-30</v>
          </cell>
        </row>
        <row r="2309">
          <cell r="A2309" t="str">
            <v>489300</v>
          </cell>
          <cell r="B2309" t="str">
            <v>1015</v>
          </cell>
          <cell r="C2309">
            <v>-2582.19</v>
          </cell>
          <cell r="D2309" t="str">
            <v>250</v>
          </cell>
          <cell r="E2309" t="str">
            <v>458</v>
          </cell>
          <cell r="F2309">
            <v>-15163</v>
          </cell>
          <cell r="G2309">
            <v>9</v>
          </cell>
          <cell r="H2309" t="str">
            <v>2006-09-30</v>
          </cell>
        </row>
        <row r="2310">
          <cell r="A2310" t="str">
            <v>489304</v>
          </cell>
          <cell r="B2310" t="str">
            <v>1015</v>
          </cell>
          <cell r="C2310">
            <v>-658.7</v>
          </cell>
          <cell r="D2310" t="str">
            <v>250</v>
          </cell>
          <cell r="E2310" t="str">
            <v>458</v>
          </cell>
          <cell r="F2310">
            <v>-1859</v>
          </cell>
          <cell r="G2310">
            <v>9</v>
          </cell>
          <cell r="H2310" t="str">
            <v>2006-09-30</v>
          </cell>
        </row>
        <row r="2311">
          <cell r="A2311" t="str">
            <v>489300</v>
          </cell>
          <cell r="B2311" t="str">
            <v>1015</v>
          </cell>
          <cell r="C2311">
            <v>-1471.71</v>
          </cell>
          <cell r="D2311" t="str">
            <v>250</v>
          </cell>
          <cell r="E2311" t="str">
            <v>459</v>
          </cell>
          <cell r="F2311">
            <v>-2813</v>
          </cell>
          <cell r="G2311">
            <v>9</v>
          </cell>
          <cell r="H2311" t="str">
            <v>2006-09-30</v>
          </cell>
        </row>
        <row r="2312">
          <cell r="A2312" t="str">
            <v>480004</v>
          </cell>
          <cell r="B2312" t="str">
            <v>1015</v>
          </cell>
          <cell r="C2312">
            <v>640012.46</v>
          </cell>
          <cell r="D2312" t="str">
            <v>215</v>
          </cell>
          <cell r="E2312" t="str">
            <v>CET</v>
          </cell>
          <cell r="F2312">
            <v>0</v>
          </cell>
          <cell r="G2312">
            <v>9</v>
          </cell>
          <cell r="H2312" t="str">
            <v>2006-09-30</v>
          </cell>
        </row>
        <row r="2313">
          <cell r="A2313" t="str">
            <v>481003</v>
          </cell>
          <cell r="B2313" t="str">
            <v>1015</v>
          </cell>
          <cell r="C2313">
            <v>-126878.36</v>
          </cell>
          <cell r="D2313" t="str">
            <v>200</v>
          </cell>
          <cell r="F2313">
            <v>-12866.43</v>
          </cell>
          <cell r="G2313">
            <v>9</v>
          </cell>
          <cell r="H2313" t="str">
            <v>2006-09-30</v>
          </cell>
        </row>
        <row r="2314">
          <cell r="A2314" t="str">
            <v>481000</v>
          </cell>
          <cell r="B2314" t="str">
            <v>1015</v>
          </cell>
          <cell r="C2314">
            <v>-17919.439999999999</v>
          </cell>
          <cell r="D2314" t="str">
            <v>202</v>
          </cell>
          <cell r="E2314" t="str">
            <v>402</v>
          </cell>
          <cell r="F2314">
            <v>-43829</v>
          </cell>
          <cell r="G2314">
            <v>10</v>
          </cell>
          <cell r="H2314" t="str">
            <v>2006-10-31</v>
          </cell>
        </row>
        <row r="2315">
          <cell r="A2315" t="str">
            <v>481000</v>
          </cell>
          <cell r="B2315" t="str">
            <v>1015</v>
          </cell>
          <cell r="C2315">
            <v>-21807.99</v>
          </cell>
          <cell r="D2315" t="str">
            <v>203</v>
          </cell>
          <cell r="E2315" t="str">
            <v>402</v>
          </cell>
          <cell r="F2315">
            <v>0</v>
          </cell>
          <cell r="G2315">
            <v>10</v>
          </cell>
          <cell r="H2315" t="str">
            <v>2006-10-31</v>
          </cell>
        </row>
        <row r="2316">
          <cell r="A2316" t="str">
            <v>481000</v>
          </cell>
          <cell r="B2316" t="str">
            <v>1015</v>
          </cell>
          <cell r="C2316">
            <v>-284639.99</v>
          </cell>
          <cell r="D2316" t="str">
            <v>204</v>
          </cell>
          <cell r="E2316" t="str">
            <v>402</v>
          </cell>
          <cell r="F2316">
            <v>0</v>
          </cell>
          <cell r="G2316">
            <v>10</v>
          </cell>
          <cell r="H2316" t="str">
            <v>2006-10-31</v>
          </cell>
        </row>
        <row r="2317">
          <cell r="A2317" t="str">
            <v>481000</v>
          </cell>
          <cell r="B2317" t="str">
            <v>1015</v>
          </cell>
          <cell r="C2317">
            <v>0</v>
          </cell>
          <cell r="D2317" t="str">
            <v>210</v>
          </cell>
          <cell r="E2317" t="str">
            <v>402</v>
          </cell>
          <cell r="F2317">
            <v>0</v>
          </cell>
          <cell r="G2317">
            <v>10</v>
          </cell>
          <cell r="H2317" t="str">
            <v>2006-10-31</v>
          </cell>
        </row>
        <row r="2318">
          <cell r="A2318" t="str">
            <v>481004</v>
          </cell>
          <cell r="B2318" t="str">
            <v>1015</v>
          </cell>
          <cell r="C2318">
            <v>-275522.21000000002</v>
          </cell>
          <cell r="D2318" t="str">
            <v>202</v>
          </cell>
          <cell r="E2318" t="str">
            <v>402</v>
          </cell>
          <cell r="F2318">
            <v>-552865</v>
          </cell>
          <cell r="G2318">
            <v>10</v>
          </cell>
          <cell r="H2318" t="str">
            <v>2006-10-31</v>
          </cell>
        </row>
        <row r="2319">
          <cell r="A2319" t="str">
            <v>481004</v>
          </cell>
          <cell r="B2319" t="str">
            <v>1015</v>
          </cell>
          <cell r="C2319">
            <v>-275088.69</v>
          </cell>
          <cell r="D2319" t="str">
            <v>203</v>
          </cell>
          <cell r="E2319" t="str">
            <v>402</v>
          </cell>
          <cell r="F2319">
            <v>0</v>
          </cell>
          <cell r="G2319">
            <v>10</v>
          </cell>
          <cell r="H2319" t="str">
            <v>2006-10-31</v>
          </cell>
        </row>
        <row r="2320">
          <cell r="A2320" t="str">
            <v>481004</v>
          </cell>
          <cell r="B2320" t="str">
            <v>1015</v>
          </cell>
          <cell r="C2320">
            <v>-3590489.36</v>
          </cell>
          <cell r="D2320" t="str">
            <v>204</v>
          </cell>
          <cell r="E2320" t="str">
            <v>402</v>
          </cell>
          <cell r="F2320">
            <v>0</v>
          </cell>
          <cell r="G2320">
            <v>10</v>
          </cell>
          <cell r="H2320" t="str">
            <v>2006-10-31</v>
          </cell>
        </row>
        <row r="2321">
          <cell r="A2321" t="str">
            <v>481004</v>
          </cell>
          <cell r="B2321" t="str">
            <v>1015</v>
          </cell>
          <cell r="C2321">
            <v>0</v>
          </cell>
          <cell r="D2321" t="str">
            <v>210</v>
          </cell>
          <cell r="E2321" t="str">
            <v>402</v>
          </cell>
          <cell r="F2321">
            <v>0</v>
          </cell>
          <cell r="G2321">
            <v>10</v>
          </cell>
          <cell r="H2321" t="str">
            <v>2006-10-31</v>
          </cell>
        </row>
        <row r="2322">
          <cell r="A2322" t="str">
            <v>481000</v>
          </cell>
          <cell r="B2322" t="str">
            <v>1015</v>
          </cell>
          <cell r="C2322">
            <v>-7071.01</v>
          </cell>
          <cell r="D2322" t="str">
            <v>202</v>
          </cell>
          <cell r="E2322" t="str">
            <v>403</v>
          </cell>
          <cell r="F2322">
            <v>0</v>
          </cell>
          <cell r="G2322">
            <v>10</v>
          </cell>
          <cell r="H2322" t="str">
            <v>2006-10-31</v>
          </cell>
        </row>
        <row r="2323">
          <cell r="A2323" t="str">
            <v>481000</v>
          </cell>
          <cell r="B2323" t="str">
            <v>1015</v>
          </cell>
          <cell r="C2323">
            <v>-1636.48</v>
          </cell>
          <cell r="D2323" t="str">
            <v>203</v>
          </cell>
          <cell r="E2323" t="str">
            <v>403</v>
          </cell>
          <cell r="F2323">
            <v>0</v>
          </cell>
          <cell r="G2323">
            <v>10</v>
          </cell>
          <cell r="H2323" t="str">
            <v>2006-10-31</v>
          </cell>
        </row>
        <row r="2324">
          <cell r="A2324" t="str">
            <v>481000</v>
          </cell>
          <cell r="B2324" t="str">
            <v>1015</v>
          </cell>
          <cell r="C2324">
            <v>-2974.7</v>
          </cell>
          <cell r="D2324" t="str">
            <v>204</v>
          </cell>
          <cell r="E2324" t="str">
            <v>403</v>
          </cell>
          <cell r="F2324">
            <v>0</v>
          </cell>
          <cell r="G2324">
            <v>10</v>
          </cell>
          <cell r="H2324" t="str">
            <v>2006-10-31</v>
          </cell>
        </row>
        <row r="2325">
          <cell r="A2325" t="str">
            <v>481000</v>
          </cell>
          <cell r="B2325" t="str">
            <v>1015</v>
          </cell>
          <cell r="C2325">
            <v>-9742.31</v>
          </cell>
          <cell r="D2325" t="str">
            <v>202</v>
          </cell>
          <cell r="E2325" t="str">
            <v>404</v>
          </cell>
          <cell r="F2325">
            <v>-31000</v>
          </cell>
          <cell r="G2325">
            <v>10</v>
          </cell>
          <cell r="H2325" t="str">
            <v>2006-10-31</v>
          </cell>
        </row>
        <row r="2326">
          <cell r="A2326" t="str">
            <v>481000</v>
          </cell>
          <cell r="B2326" t="str">
            <v>1015</v>
          </cell>
          <cell r="C2326">
            <v>-22384.17</v>
          </cell>
          <cell r="D2326" t="str">
            <v>203</v>
          </cell>
          <cell r="E2326" t="str">
            <v>404</v>
          </cell>
          <cell r="F2326">
            <v>0</v>
          </cell>
          <cell r="G2326">
            <v>10</v>
          </cell>
          <cell r="H2326" t="str">
            <v>2006-10-31</v>
          </cell>
        </row>
        <row r="2327">
          <cell r="A2327" t="str">
            <v>481000</v>
          </cell>
          <cell r="B2327" t="str">
            <v>1015</v>
          </cell>
          <cell r="C2327">
            <v>-201324.23</v>
          </cell>
          <cell r="D2327" t="str">
            <v>204</v>
          </cell>
          <cell r="E2327" t="str">
            <v>404</v>
          </cell>
          <cell r="F2327">
            <v>0</v>
          </cell>
          <cell r="G2327">
            <v>10</v>
          </cell>
          <cell r="H2327" t="str">
            <v>2006-10-31</v>
          </cell>
        </row>
        <row r="2328">
          <cell r="A2328" t="str">
            <v>481004</v>
          </cell>
          <cell r="B2328" t="str">
            <v>1015</v>
          </cell>
          <cell r="C2328">
            <v>0</v>
          </cell>
          <cell r="D2328" t="str">
            <v>202</v>
          </cell>
          <cell r="E2328" t="str">
            <v>404</v>
          </cell>
          <cell r="F2328">
            <v>0</v>
          </cell>
          <cell r="G2328">
            <v>10</v>
          </cell>
          <cell r="H2328" t="str">
            <v>2006-10-31</v>
          </cell>
        </row>
        <row r="2329">
          <cell r="A2329" t="str">
            <v>481004</v>
          </cell>
          <cell r="B2329" t="str">
            <v>1015</v>
          </cell>
          <cell r="C2329">
            <v>0</v>
          </cell>
          <cell r="D2329" t="str">
            <v>203</v>
          </cell>
          <cell r="E2329" t="str">
            <v>404</v>
          </cell>
          <cell r="F2329">
            <v>0</v>
          </cell>
          <cell r="G2329">
            <v>10</v>
          </cell>
          <cell r="H2329" t="str">
            <v>2006-10-31</v>
          </cell>
        </row>
        <row r="2330">
          <cell r="A2330" t="str">
            <v>481004</v>
          </cell>
          <cell r="B2330" t="str">
            <v>1015</v>
          </cell>
          <cell r="C2330">
            <v>0</v>
          </cell>
          <cell r="D2330" t="str">
            <v>204</v>
          </cell>
          <cell r="E2330" t="str">
            <v>404</v>
          </cell>
          <cell r="F2330">
            <v>0</v>
          </cell>
          <cell r="G2330">
            <v>10</v>
          </cell>
          <cell r="H2330" t="str">
            <v>2006-10-31</v>
          </cell>
        </row>
        <row r="2331">
          <cell r="A2331" t="str">
            <v>481004</v>
          </cell>
          <cell r="B2331" t="str">
            <v>1015</v>
          </cell>
          <cell r="C2331">
            <v>0</v>
          </cell>
          <cell r="D2331" t="str">
            <v>210</v>
          </cell>
          <cell r="E2331" t="str">
            <v>404</v>
          </cell>
          <cell r="F2331">
            <v>0</v>
          </cell>
          <cell r="G2331">
            <v>10</v>
          </cell>
          <cell r="H2331" t="str">
            <v>2006-10-31</v>
          </cell>
        </row>
        <row r="2332">
          <cell r="A2332" t="str">
            <v>489300</v>
          </cell>
          <cell r="B2332" t="str">
            <v>1015</v>
          </cell>
          <cell r="C2332">
            <v>-65581.2</v>
          </cell>
          <cell r="D2332" t="str">
            <v>250</v>
          </cell>
          <cell r="E2332" t="str">
            <v>405</v>
          </cell>
          <cell r="F2332">
            <v>-337094</v>
          </cell>
          <cell r="G2332">
            <v>10</v>
          </cell>
          <cell r="H2332" t="str">
            <v>2006-10-31</v>
          </cell>
        </row>
        <row r="2333">
          <cell r="A2333" t="str">
            <v>489304</v>
          </cell>
          <cell r="B2333" t="str">
            <v>1015</v>
          </cell>
          <cell r="C2333">
            <v>-72103.070000000007</v>
          </cell>
          <cell r="D2333" t="str">
            <v>250</v>
          </cell>
          <cell r="E2333" t="str">
            <v>405</v>
          </cell>
          <cell r="F2333">
            <v>-525267</v>
          </cell>
          <cell r="G2333">
            <v>10</v>
          </cell>
          <cell r="H2333" t="str">
            <v>2006-10-31</v>
          </cell>
        </row>
        <row r="2334">
          <cell r="A2334" t="str">
            <v>489300</v>
          </cell>
          <cell r="B2334" t="str">
            <v>1015</v>
          </cell>
          <cell r="C2334">
            <v>-109072.01</v>
          </cell>
          <cell r="D2334" t="str">
            <v>250</v>
          </cell>
          <cell r="E2334" t="str">
            <v>406</v>
          </cell>
          <cell r="F2334">
            <v>-549448</v>
          </cell>
          <cell r="G2334">
            <v>10</v>
          </cell>
          <cell r="H2334" t="str">
            <v>2006-10-31</v>
          </cell>
        </row>
        <row r="2335">
          <cell r="A2335" t="str">
            <v>489304</v>
          </cell>
          <cell r="B2335" t="str">
            <v>1015</v>
          </cell>
          <cell r="C2335">
            <v>-37781.870000000003</v>
          </cell>
          <cell r="D2335" t="str">
            <v>250</v>
          </cell>
          <cell r="E2335" t="str">
            <v>406</v>
          </cell>
          <cell r="F2335">
            <v>-212969</v>
          </cell>
          <cell r="G2335">
            <v>10</v>
          </cell>
          <cell r="H2335" t="str">
            <v>2006-10-31</v>
          </cell>
        </row>
        <row r="2336">
          <cell r="A2336" t="str">
            <v>480000</v>
          </cell>
          <cell r="B2336" t="str">
            <v>1015</v>
          </cell>
          <cell r="C2336">
            <v>-8763865.75</v>
          </cell>
          <cell r="D2336" t="str">
            <v>202</v>
          </cell>
          <cell r="E2336" t="str">
            <v>407</v>
          </cell>
          <cell r="F2336">
            <v>-2958717.44</v>
          </cell>
          <cell r="G2336">
            <v>10</v>
          </cell>
          <cell r="H2336" t="str">
            <v>2006-10-31</v>
          </cell>
        </row>
        <row r="2337">
          <cell r="A2337" t="str">
            <v>480000</v>
          </cell>
          <cell r="B2337" t="str">
            <v>1015</v>
          </cell>
          <cell r="C2337">
            <v>-1473880</v>
          </cell>
          <cell r="D2337" t="str">
            <v>203</v>
          </cell>
          <cell r="E2337" t="str">
            <v>407</v>
          </cell>
          <cell r="F2337">
            <v>0</v>
          </cell>
          <cell r="G2337">
            <v>10</v>
          </cell>
          <cell r="H2337" t="str">
            <v>2006-10-31</v>
          </cell>
        </row>
        <row r="2338">
          <cell r="A2338" t="str">
            <v>480000</v>
          </cell>
          <cell r="B2338" t="str">
            <v>1015</v>
          </cell>
          <cell r="C2338">
            <v>-19363936.859999999</v>
          </cell>
          <cell r="D2338" t="str">
            <v>204</v>
          </cell>
          <cell r="E2338" t="str">
            <v>407</v>
          </cell>
          <cell r="F2338">
            <v>0</v>
          </cell>
          <cell r="G2338">
            <v>10</v>
          </cell>
          <cell r="H2338" t="str">
            <v>2006-10-31</v>
          </cell>
        </row>
        <row r="2339">
          <cell r="A2339" t="str">
            <v>480000</v>
          </cell>
          <cell r="B2339" t="str">
            <v>1015</v>
          </cell>
          <cell r="C2339">
            <v>607796.47</v>
          </cell>
          <cell r="D2339" t="str">
            <v>205</v>
          </cell>
          <cell r="E2339" t="str">
            <v>407</v>
          </cell>
          <cell r="F2339">
            <v>0</v>
          </cell>
          <cell r="G2339">
            <v>10</v>
          </cell>
          <cell r="H2339" t="str">
            <v>2006-10-31</v>
          </cell>
        </row>
        <row r="2340">
          <cell r="A2340" t="str">
            <v>480001</v>
          </cell>
          <cell r="B2340" t="str">
            <v>1015</v>
          </cell>
          <cell r="C2340">
            <v>-2803183.43</v>
          </cell>
          <cell r="D2340" t="str">
            <v>202</v>
          </cell>
          <cell r="E2340" t="str">
            <v>407</v>
          </cell>
          <cell r="F2340">
            <v>-1996466.21</v>
          </cell>
          <cell r="G2340">
            <v>10</v>
          </cell>
          <cell r="H2340" t="str">
            <v>2006-10-31</v>
          </cell>
        </row>
        <row r="2341">
          <cell r="A2341" t="str">
            <v>480001</v>
          </cell>
          <cell r="B2341" t="str">
            <v>1015</v>
          </cell>
          <cell r="C2341">
            <v>-991661.24</v>
          </cell>
          <cell r="D2341" t="str">
            <v>203</v>
          </cell>
          <cell r="E2341" t="str">
            <v>407</v>
          </cell>
          <cell r="F2341">
            <v>0</v>
          </cell>
          <cell r="G2341">
            <v>10</v>
          </cell>
          <cell r="H2341" t="str">
            <v>2006-10-31</v>
          </cell>
        </row>
        <row r="2342">
          <cell r="A2342" t="str">
            <v>480001</v>
          </cell>
          <cell r="B2342" t="str">
            <v>1015</v>
          </cell>
          <cell r="C2342">
            <v>-13024223.43</v>
          </cell>
          <cell r="D2342" t="str">
            <v>204</v>
          </cell>
          <cell r="E2342" t="str">
            <v>407</v>
          </cell>
          <cell r="F2342">
            <v>0</v>
          </cell>
          <cell r="G2342">
            <v>10</v>
          </cell>
          <cell r="H2342" t="str">
            <v>2006-10-31</v>
          </cell>
        </row>
        <row r="2343">
          <cell r="A2343" t="str">
            <v>480001</v>
          </cell>
          <cell r="B2343" t="str">
            <v>1015</v>
          </cell>
          <cell r="C2343">
            <v>338573.23</v>
          </cell>
          <cell r="D2343" t="str">
            <v>205</v>
          </cell>
          <cell r="E2343" t="str">
            <v>407</v>
          </cell>
          <cell r="F2343">
            <v>0</v>
          </cell>
          <cell r="G2343">
            <v>10</v>
          </cell>
          <cell r="H2343" t="str">
            <v>2006-10-31</v>
          </cell>
        </row>
        <row r="2344">
          <cell r="A2344" t="str">
            <v>480001</v>
          </cell>
          <cell r="B2344" t="str">
            <v>1015</v>
          </cell>
          <cell r="C2344">
            <v>-69.11</v>
          </cell>
          <cell r="D2344" t="str">
            <v>210</v>
          </cell>
          <cell r="E2344" t="str">
            <v>407</v>
          </cell>
          <cell r="F2344">
            <v>-7.9</v>
          </cell>
          <cell r="G2344">
            <v>10</v>
          </cell>
          <cell r="H2344" t="str">
            <v>2006-10-31</v>
          </cell>
        </row>
        <row r="2345">
          <cell r="A2345" t="str">
            <v>481000</v>
          </cell>
          <cell r="B2345" t="str">
            <v>1015</v>
          </cell>
          <cell r="C2345">
            <v>-1922.68</v>
          </cell>
          <cell r="D2345" t="str">
            <v>202</v>
          </cell>
          <cell r="E2345" t="str">
            <v>407</v>
          </cell>
          <cell r="F2345">
            <v>-1728.84</v>
          </cell>
          <cell r="G2345">
            <v>10</v>
          </cell>
          <cell r="H2345" t="str">
            <v>2006-10-31</v>
          </cell>
        </row>
        <row r="2346">
          <cell r="A2346" t="str">
            <v>481000</v>
          </cell>
          <cell r="B2346" t="str">
            <v>1015</v>
          </cell>
          <cell r="C2346">
            <v>-860.26</v>
          </cell>
          <cell r="D2346" t="str">
            <v>203</v>
          </cell>
          <cell r="E2346" t="str">
            <v>407</v>
          </cell>
          <cell r="F2346">
            <v>0</v>
          </cell>
          <cell r="G2346">
            <v>10</v>
          </cell>
          <cell r="H2346" t="str">
            <v>2006-10-31</v>
          </cell>
        </row>
        <row r="2347">
          <cell r="A2347" t="str">
            <v>481000</v>
          </cell>
          <cell r="B2347" t="str">
            <v>1015</v>
          </cell>
          <cell r="C2347">
            <v>-11300.78</v>
          </cell>
          <cell r="D2347" t="str">
            <v>204</v>
          </cell>
          <cell r="E2347" t="str">
            <v>407</v>
          </cell>
          <cell r="F2347">
            <v>0</v>
          </cell>
          <cell r="G2347">
            <v>10</v>
          </cell>
          <cell r="H2347" t="str">
            <v>2006-10-31</v>
          </cell>
        </row>
        <row r="2348">
          <cell r="A2348" t="str">
            <v>481000</v>
          </cell>
          <cell r="B2348" t="str">
            <v>1015</v>
          </cell>
          <cell r="C2348">
            <v>49.91</v>
          </cell>
          <cell r="D2348" t="str">
            <v>205</v>
          </cell>
          <cell r="E2348" t="str">
            <v>407</v>
          </cell>
          <cell r="F2348">
            <v>0</v>
          </cell>
          <cell r="G2348">
            <v>10</v>
          </cell>
          <cell r="H2348" t="str">
            <v>2006-10-31</v>
          </cell>
        </row>
        <row r="2349">
          <cell r="A2349" t="str">
            <v>481004</v>
          </cell>
          <cell r="B2349" t="str">
            <v>1015</v>
          </cell>
          <cell r="C2349">
            <v>-1904821.14</v>
          </cell>
          <cell r="D2349" t="str">
            <v>202</v>
          </cell>
          <cell r="E2349" t="str">
            <v>407</v>
          </cell>
          <cell r="F2349">
            <v>-1074245.51</v>
          </cell>
          <cell r="G2349">
            <v>10</v>
          </cell>
          <cell r="H2349" t="str">
            <v>2006-10-31</v>
          </cell>
        </row>
        <row r="2350">
          <cell r="A2350" t="str">
            <v>481004</v>
          </cell>
          <cell r="B2350" t="str">
            <v>1015</v>
          </cell>
          <cell r="C2350">
            <v>-534642.5</v>
          </cell>
          <cell r="D2350" t="str">
            <v>203</v>
          </cell>
          <cell r="E2350" t="str">
            <v>407</v>
          </cell>
          <cell r="F2350">
            <v>0</v>
          </cell>
          <cell r="G2350">
            <v>10</v>
          </cell>
          <cell r="H2350" t="str">
            <v>2006-10-31</v>
          </cell>
        </row>
        <row r="2351">
          <cell r="A2351" t="str">
            <v>481004</v>
          </cell>
          <cell r="B2351" t="str">
            <v>1015</v>
          </cell>
          <cell r="C2351">
            <v>-7023263.9299999997</v>
          </cell>
          <cell r="D2351" t="str">
            <v>204</v>
          </cell>
          <cell r="E2351" t="str">
            <v>407</v>
          </cell>
          <cell r="F2351">
            <v>0</v>
          </cell>
          <cell r="G2351">
            <v>10</v>
          </cell>
          <cell r="H2351" t="str">
            <v>2006-10-31</v>
          </cell>
        </row>
        <row r="2352">
          <cell r="A2352" t="str">
            <v>481004</v>
          </cell>
          <cell r="B2352" t="str">
            <v>1015</v>
          </cell>
          <cell r="C2352">
            <v>136807.39000000001</v>
          </cell>
          <cell r="D2352" t="str">
            <v>205</v>
          </cell>
          <cell r="E2352" t="str">
            <v>407</v>
          </cell>
          <cell r="F2352">
            <v>0</v>
          </cell>
          <cell r="G2352">
            <v>10</v>
          </cell>
          <cell r="H2352" t="str">
            <v>2006-10-31</v>
          </cell>
        </row>
        <row r="2353">
          <cell r="A2353" t="str">
            <v>481004</v>
          </cell>
          <cell r="B2353" t="str">
            <v>1015</v>
          </cell>
          <cell r="C2353">
            <v>69.11</v>
          </cell>
          <cell r="D2353" t="str">
            <v>210</v>
          </cell>
          <cell r="E2353" t="str">
            <v>407</v>
          </cell>
          <cell r="F2353">
            <v>7.9</v>
          </cell>
          <cell r="G2353">
            <v>10</v>
          </cell>
          <cell r="H2353" t="str">
            <v>2006-10-31</v>
          </cell>
        </row>
        <row r="2354">
          <cell r="A2354" t="str">
            <v>480000</v>
          </cell>
          <cell r="B2354" t="str">
            <v>1015</v>
          </cell>
          <cell r="C2354">
            <v>-65424.63</v>
          </cell>
          <cell r="D2354" t="str">
            <v>202</v>
          </cell>
          <cell r="E2354" t="str">
            <v>408</v>
          </cell>
          <cell r="F2354">
            <v>-16502.61</v>
          </cell>
          <cell r="G2354">
            <v>10</v>
          </cell>
          <cell r="H2354" t="str">
            <v>2006-10-31</v>
          </cell>
        </row>
        <row r="2355">
          <cell r="A2355" t="str">
            <v>480000</v>
          </cell>
          <cell r="B2355" t="str">
            <v>1015</v>
          </cell>
          <cell r="C2355">
            <v>-8227.34</v>
          </cell>
          <cell r="D2355" t="str">
            <v>203</v>
          </cell>
          <cell r="E2355" t="str">
            <v>408</v>
          </cell>
          <cell r="F2355">
            <v>0</v>
          </cell>
          <cell r="G2355">
            <v>10</v>
          </cell>
          <cell r="H2355" t="str">
            <v>2006-10-31</v>
          </cell>
        </row>
        <row r="2356">
          <cell r="A2356" t="str">
            <v>480000</v>
          </cell>
          <cell r="B2356" t="str">
            <v>1015</v>
          </cell>
          <cell r="C2356">
            <v>-108069.65</v>
          </cell>
          <cell r="D2356" t="str">
            <v>204</v>
          </cell>
          <cell r="E2356" t="str">
            <v>408</v>
          </cell>
          <cell r="F2356">
            <v>0</v>
          </cell>
          <cell r="G2356">
            <v>10</v>
          </cell>
          <cell r="H2356" t="str">
            <v>2006-10-31</v>
          </cell>
        </row>
        <row r="2357">
          <cell r="A2357" t="str">
            <v>480000</v>
          </cell>
          <cell r="B2357" t="str">
            <v>1015</v>
          </cell>
          <cell r="C2357">
            <v>3360.73</v>
          </cell>
          <cell r="D2357" t="str">
            <v>205</v>
          </cell>
          <cell r="E2357" t="str">
            <v>408</v>
          </cell>
          <cell r="F2357">
            <v>0</v>
          </cell>
          <cell r="G2357">
            <v>10</v>
          </cell>
          <cell r="H2357" t="str">
            <v>2006-10-31</v>
          </cell>
        </row>
        <row r="2358">
          <cell r="A2358" t="str">
            <v>480001</v>
          </cell>
          <cell r="B2358" t="str">
            <v>1015</v>
          </cell>
          <cell r="C2358">
            <v>-23988.43</v>
          </cell>
          <cell r="D2358" t="str">
            <v>202</v>
          </cell>
          <cell r="E2358" t="str">
            <v>408</v>
          </cell>
          <cell r="F2358">
            <v>-5979.44</v>
          </cell>
          <cell r="G2358">
            <v>10</v>
          </cell>
          <cell r="H2358" t="str">
            <v>2006-10-31</v>
          </cell>
        </row>
        <row r="2359">
          <cell r="A2359" t="str">
            <v>480001</v>
          </cell>
          <cell r="B2359" t="str">
            <v>1015</v>
          </cell>
          <cell r="C2359">
            <v>-2958.27</v>
          </cell>
          <cell r="D2359" t="str">
            <v>203</v>
          </cell>
          <cell r="E2359" t="str">
            <v>408</v>
          </cell>
          <cell r="F2359">
            <v>0</v>
          </cell>
          <cell r="G2359">
            <v>10</v>
          </cell>
          <cell r="H2359" t="str">
            <v>2006-10-31</v>
          </cell>
        </row>
        <row r="2360">
          <cell r="A2360" t="str">
            <v>480001</v>
          </cell>
          <cell r="B2360" t="str">
            <v>1015</v>
          </cell>
          <cell r="C2360">
            <v>-38865.279999999999</v>
          </cell>
          <cell r="D2360" t="str">
            <v>204</v>
          </cell>
          <cell r="E2360" t="str">
            <v>408</v>
          </cell>
          <cell r="F2360">
            <v>0</v>
          </cell>
          <cell r="G2360">
            <v>10</v>
          </cell>
          <cell r="H2360" t="str">
            <v>2006-10-31</v>
          </cell>
        </row>
        <row r="2361">
          <cell r="A2361" t="str">
            <v>480001</v>
          </cell>
          <cell r="B2361" t="str">
            <v>1015</v>
          </cell>
          <cell r="C2361">
            <v>-5030.37</v>
          </cell>
          <cell r="D2361" t="str">
            <v>205</v>
          </cell>
          <cell r="E2361" t="str">
            <v>408</v>
          </cell>
          <cell r="F2361">
            <v>0</v>
          </cell>
          <cell r="G2361">
            <v>10</v>
          </cell>
          <cell r="H2361" t="str">
            <v>2006-10-31</v>
          </cell>
        </row>
        <row r="2362">
          <cell r="A2362" t="str">
            <v>480001</v>
          </cell>
          <cell r="B2362" t="str">
            <v>1015</v>
          </cell>
          <cell r="C2362">
            <v>0</v>
          </cell>
          <cell r="D2362" t="str">
            <v>210</v>
          </cell>
          <cell r="E2362" t="str">
            <v>408</v>
          </cell>
          <cell r="F2362">
            <v>0</v>
          </cell>
          <cell r="G2362">
            <v>10</v>
          </cell>
          <cell r="H2362" t="str">
            <v>2006-10-31</v>
          </cell>
        </row>
        <row r="2363">
          <cell r="A2363" t="str">
            <v>481004</v>
          </cell>
          <cell r="B2363" t="str">
            <v>1015</v>
          </cell>
          <cell r="C2363">
            <v>-32902.94</v>
          </cell>
          <cell r="D2363" t="str">
            <v>202</v>
          </cell>
          <cell r="E2363" t="str">
            <v>408</v>
          </cell>
          <cell r="F2363">
            <v>-8536.9500000000007</v>
          </cell>
          <cell r="G2363">
            <v>10</v>
          </cell>
          <cell r="H2363" t="str">
            <v>2006-10-31</v>
          </cell>
        </row>
        <row r="2364">
          <cell r="A2364" t="str">
            <v>481004</v>
          </cell>
          <cell r="B2364" t="str">
            <v>1015</v>
          </cell>
          <cell r="C2364">
            <v>-4249.3900000000003</v>
          </cell>
          <cell r="D2364" t="str">
            <v>203</v>
          </cell>
          <cell r="E2364" t="str">
            <v>408</v>
          </cell>
          <cell r="F2364">
            <v>0</v>
          </cell>
          <cell r="G2364">
            <v>10</v>
          </cell>
          <cell r="H2364" t="str">
            <v>2006-10-31</v>
          </cell>
        </row>
        <row r="2365">
          <cell r="A2365" t="str">
            <v>481004</v>
          </cell>
          <cell r="B2365" t="str">
            <v>1015</v>
          </cell>
          <cell r="C2365">
            <v>-55821.07</v>
          </cell>
          <cell r="D2365" t="str">
            <v>204</v>
          </cell>
          <cell r="E2365" t="str">
            <v>408</v>
          </cell>
          <cell r="F2365">
            <v>0</v>
          </cell>
          <cell r="G2365">
            <v>10</v>
          </cell>
          <cell r="H2365" t="str">
            <v>2006-10-31</v>
          </cell>
        </row>
        <row r="2366">
          <cell r="A2366" t="str">
            <v>481004</v>
          </cell>
          <cell r="B2366" t="str">
            <v>1015</v>
          </cell>
          <cell r="C2366">
            <v>1929.64</v>
          </cell>
          <cell r="D2366" t="str">
            <v>205</v>
          </cell>
          <cell r="E2366" t="str">
            <v>408</v>
          </cell>
          <cell r="F2366">
            <v>0</v>
          </cell>
          <cell r="G2366">
            <v>10</v>
          </cell>
          <cell r="H2366" t="str">
            <v>2006-10-31</v>
          </cell>
        </row>
        <row r="2367">
          <cell r="A2367" t="str">
            <v>481002</v>
          </cell>
          <cell r="B2367" t="str">
            <v>1015</v>
          </cell>
          <cell r="C2367">
            <v>-7900.04</v>
          </cell>
          <cell r="D2367" t="str">
            <v>202</v>
          </cell>
          <cell r="E2367" t="str">
            <v>411</v>
          </cell>
          <cell r="F2367">
            <v>-48973</v>
          </cell>
          <cell r="G2367">
            <v>10</v>
          </cell>
          <cell r="H2367" t="str">
            <v>2006-10-31</v>
          </cell>
        </row>
        <row r="2368">
          <cell r="A2368" t="str">
            <v>481002</v>
          </cell>
          <cell r="B2368" t="str">
            <v>1015</v>
          </cell>
          <cell r="C2368">
            <v>-8955.69</v>
          </cell>
          <cell r="D2368" t="str">
            <v>203</v>
          </cell>
          <cell r="E2368" t="str">
            <v>411</v>
          </cell>
          <cell r="F2368">
            <v>0</v>
          </cell>
          <cell r="G2368">
            <v>10</v>
          </cell>
          <cell r="H2368" t="str">
            <v>2006-10-31</v>
          </cell>
        </row>
        <row r="2369">
          <cell r="A2369" t="str">
            <v>481002</v>
          </cell>
          <cell r="B2369" t="str">
            <v>1015</v>
          </cell>
          <cell r="C2369">
            <v>-137851.17000000001</v>
          </cell>
          <cell r="D2369" t="str">
            <v>204</v>
          </cell>
          <cell r="E2369" t="str">
            <v>411</v>
          </cell>
          <cell r="F2369">
            <v>0</v>
          </cell>
          <cell r="G2369">
            <v>10</v>
          </cell>
          <cell r="H2369" t="str">
            <v>2006-10-31</v>
          </cell>
        </row>
        <row r="2370">
          <cell r="A2370" t="str">
            <v>481005</v>
          </cell>
          <cell r="B2370" t="str">
            <v>1015</v>
          </cell>
          <cell r="C2370">
            <v>-32148.639999999999</v>
          </cell>
          <cell r="D2370" t="str">
            <v>202</v>
          </cell>
          <cell r="E2370" t="str">
            <v>411</v>
          </cell>
          <cell r="F2370">
            <v>-145682</v>
          </cell>
          <cell r="G2370">
            <v>10</v>
          </cell>
          <cell r="H2370" t="str">
            <v>2006-10-31</v>
          </cell>
        </row>
        <row r="2371">
          <cell r="A2371" t="str">
            <v>481005</v>
          </cell>
          <cell r="B2371" t="str">
            <v>1015</v>
          </cell>
          <cell r="C2371">
            <v>-26641.05</v>
          </cell>
          <cell r="D2371" t="str">
            <v>203</v>
          </cell>
          <cell r="E2371" t="str">
            <v>411</v>
          </cell>
          <cell r="F2371">
            <v>0</v>
          </cell>
          <cell r="G2371">
            <v>10</v>
          </cell>
          <cell r="H2371" t="str">
            <v>2006-10-31</v>
          </cell>
        </row>
        <row r="2372">
          <cell r="A2372" t="str">
            <v>481005</v>
          </cell>
          <cell r="B2372" t="str">
            <v>1015</v>
          </cell>
          <cell r="C2372">
            <v>-410071.45</v>
          </cell>
          <cell r="D2372" t="str">
            <v>204</v>
          </cell>
          <cell r="E2372" t="str">
            <v>411</v>
          </cell>
          <cell r="F2372">
            <v>0</v>
          </cell>
          <cell r="G2372">
            <v>10</v>
          </cell>
          <cell r="H2372" t="str">
            <v>2006-10-31</v>
          </cell>
        </row>
        <row r="2373">
          <cell r="A2373" t="str">
            <v>481002</v>
          </cell>
          <cell r="B2373" t="str">
            <v>1015</v>
          </cell>
          <cell r="C2373">
            <v>0</v>
          </cell>
          <cell r="D2373" t="str">
            <v>210</v>
          </cell>
          <cell r="E2373" t="str">
            <v>412</v>
          </cell>
          <cell r="F2373">
            <v>0</v>
          </cell>
          <cell r="G2373">
            <v>10</v>
          </cell>
          <cell r="H2373" t="str">
            <v>2006-10-31</v>
          </cell>
        </row>
        <row r="2374">
          <cell r="A2374" t="str">
            <v>481002</v>
          </cell>
          <cell r="B2374" t="str">
            <v>1015</v>
          </cell>
          <cell r="C2374">
            <v>-4861.22</v>
          </cell>
          <cell r="D2374" t="str">
            <v>202</v>
          </cell>
          <cell r="E2374" t="str">
            <v>414</v>
          </cell>
          <cell r="F2374">
            <v>-18066</v>
          </cell>
          <cell r="G2374">
            <v>10</v>
          </cell>
          <cell r="H2374" t="str">
            <v>2006-10-31</v>
          </cell>
        </row>
        <row r="2375">
          <cell r="A2375" t="str">
            <v>481002</v>
          </cell>
          <cell r="B2375" t="str">
            <v>1015</v>
          </cell>
          <cell r="C2375">
            <v>-3303.73</v>
          </cell>
          <cell r="D2375" t="str">
            <v>203</v>
          </cell>
          <cell r="E2375" t="str">
            <v>414</v>
          </cell>
          <cell r="F2375">
            <v>0</v>
          </cell>
          <cell r="G2375">
            <v>10</v>
          </cell>
          <cell r="H2375" t="str">
            <v>2006-10-31</v>
          </cell>
        </row>
        <row r="2376">
          <cell r="A2376" t="str">
            <v>481002</v>
          </cell>
          <cell r="B2376" t="str">
            <v>1015</v>
          </cell>
          <cell r="C2376">
            <v>-50852.9</v>
          </cell>
          <cell r="D2376" t="str">
            <v>204</v>
          </cell>
          <cell r="E2376" t="str">
            <v>414</v>
          </cell>
          <cell r="F2376">
            <v>0</v>
          </cell>
          <cell r="G2376">
            <v>10</v>
          </cell>
          <cell r="H2376" t="str">
            <v>2006-10-31</v>
          </cell>
        </row>
        <row r="2377">
          <cell r="A2377" t="str">
            <v>481005</v>
          </cell>
          <cell r="B2377" t="str">
            <v>1015</v>
          </cell>
          <cell r="C2377">
            <v>-11871.33</v>
          </cell>
          <cell r="D2377" t="str">
            <v>202</v>
          </cell>
          <cell r="E2377" t="str">
            <v>414</v>
          </cell>
          <cell r="F2377">
            <v>-18171</v>
          </cell>
          <cell r="G2377">
            <v>10</v>
          </cell>
          <cell r="H2377" t="str">
            <v>2006-10-31</v>
          </cell>
        </row>
        <row r="2378">
          <cell r="A2378" t="str">
            <v>481005</v>
          </cell>
          <cell r="B2378" t="str">
            <v>1015</v>
          </cell>
          <cell r="C2378">
            <v>-3323.09</v>
          </cell>
          <cell r="D2378" t="str">
            <v>203</v>
          </cell>
          <cell r="E2378" t="str">
            <v>414</v>
          </cell>
          <cell r="F2378">
            <v>0</v>
          </cell>
          <cell r="G2378">
            <v>10</v>
          </cell>
          <cell r="H2378" t="str">
            <v>2006-10-31</v>
          </cell>
        </row>
        <row r="2379">
          <cell r="A2379" t="str">
            <v>481005</v>
          </cell>
          <cell r="B2379" t="str">
            <v>1015</v>
          </cell>
          <cell r="C2379">
            <v>-51148.4</v>
          </cell>
          <cell r="D2379" t="str">
            <v>204</v>
          </cell>
          <cell r="E2379" t="str">
            <v>414</v>
          </cell>
          <cell r="F2379">
            <v>0</v>
          </cell>
          <cell r="G2379">
            <v>10</v>
          </cell>
          <cell r="H2379" t="str">
            <v>2006-10-31</v>
          </cell>
        </row>
        <row r="2380">
          <cell r="A2380" t="str">
            <v>489300</v>
          </cell>
          <cell r="B2380" t="str">
            <v>1015</v>
          </cell>
          <cell r="C2380">
            <v>-182896.43</v>
          </cell>
          <cell r="D2380" t="str">
            <v>250</v>
          </cell>
          <cell r="E2380" t="str">
            <v>415</v>
          </cell>
          <cell r="F2380">
            <v>-1170163</v>
          </cell>
          <cell r="G2380">
            <v>10</v>
          </cell>
          <cell r="H2380" t="str">
            <v>2006-10-31</v>
          </cell>
        </row>
        <row r="2381">
          <cell r="A2381" t="str">
            <v>489304</v>
          </cell>
          <cell r="B2381" t="str">
            <v>1015</v>
          </cell>
          <cell r="C2381">
            <v>-54058.01</v>
          </cell>
          <cell r="D2381" t="str">
            <v>250</v>
          </cell>
          <cell r="E2381" t="str">
            <v>415</v>
          </cell>
          <cell r="F2381">
            <v>-228386</v>
          </cell>
          <cell r="G2381">
            <v>10</v>
          </cell>
          <cell r="H2381" t="str">
            <v>2006-10-31</v>
          </cell>
        </row>
        <row r="2382">
          <cell r="A2382" t="str">
            <v>489304</v>
          </cell>
          <cell r="B2382" t="str">
            <v>1015</v>
          </cell>
          <cell r="C2382">
            <v>-943.72</v>
          </cell>
          <cell r="D2382" t="str">
            <v>250</v>
          </cell>
          <cell r="E2382" t="str">
            <v>416</v>
          </cell>
          <cell r="F2382">
            <v>-1257</v>
          </cell>
          <cell r="G2382">
            <v>10</v>
          </cell>
          <cell r="H2382" t="str">
            <v>2006-10-31</v>
          </cell>
        </row>
        <row r="2383">
          <cell r="A2383" t="str">
            <v>481000</v>
          </cell>
          <cell r="B2383" t="str">
            <v>1015</v>
          </cell>
          <cell r="C2383">
            <v>0</v>
          </cell>
          <cell r="D2383" t="str">
            <v>202</v>
          </cell>
          <cell r="E2383" t="str">
            <v>451</v>
          </cell>
          <cell r="F2383">
            <v>0</v>
          </cell>
          <cell r="G2383">
            <v>10</v>
          </cell>
          <cell r="H2383" t="str">
            <v>2006-10-31</v>
          </cell>
        </row>
        <row r="2384">
          <cell r="A2384" t="str">
            <v>481000</v>
          </cell>
          <cell r="B2384" t="str">
            <v>1015</v>
          </cell>
          <cell r="C2384">
            <v>0</v>
          </cell>
          <cell r="D2384" t="str">
            <v>204</v>
          </cell>
          <cell r="E2384" t="str">
            <v>451</v>
          </cell>
          <cell r="F2384">
            <v>0</v>
          </cell>
          <cell r="G2384">
            <v>10</v>
          </cell>
          <cell r="H2384" t="str">
            <v>2006-10-31</v>
          </cell>
        </row>
        <row r="2385">
          <cell r="A2385" t="str">
            <v>481000</v>
          </cell>
          <cell r="B2385" t="str">
            <v>1015</v>
          </cell>
          <cell r="C2385">
            <v>0</v>
          </cell>
          <cell r="D2385" t="str">
            <v>210</v>
          </cell>
          <cell r="E2385" t="str">
            <v>451</v>
          </cell>
          <cell r="F2385">
            <v>0</v>
          </cell>
          <cell r="G2385">
            <v>10</v>
          </cell>
          <cell r="H2385" t="str">
            <v>2006-10-31</v>
          </cell>
        </row>
        <row r="2386">
          <cell r="A2386" t="str">
            <v>481004</v>
          </cell>
          <cell r="B2386" t="str">
            <v>1015</v>
          </cell>
          <cell r="C2386">
            <v>-20639</v>
          </cell>
          <cell r="D2386" t="str">
            <v>202</v>
          </cell>
          <cell r="E2386" t="str">
            <v>451</v>
          </cell>
          <cell r="F2386">
            <v>-20859</v>
          </cell>
          <cell r="G2386">
            <v>10</v>
          </cell>
          <cell r="H2386" t="str">
            <v>2006-10-31</v>
          </cell>
        </row>
        <row r="2387">
          <cell r="A2387" t="str">
            <v>481004</v>
          </cell>
          <cell r="B2387" t="str">
            <v>1015</v>
          </cell>
          <cell r="C2387">
            <v>-160819</v>
          </cell>
          <cell r="D2387" t="str">
            <v>204</v>
          </cell>
          <cell r="E2387" t="str">
            <v>451</v>
          </cell>
          <cell r="F2387">
            <v>0</v>
          </cell>
          <cell r="G2387">
            <v>10</v>
          </cell>
          <cell r="H2387" t="str">
            <v>2006-10-31</v>
          </cell>
        </row>
        <row r="2388">
          <cell r="A2388" t="str">
            <v>481004</v>
          </cell>
          <cell r="B2388" t="str">
            <v>1015</v>
          </cell>
          <cell r="C2388">
            <v>0</v>
          </cell>
          <cell r="D2388" t="str">
            <v>210</v>
          </cell>
          <cell r="E2388" t="str">
            <v>451</v>
          </cell>
          <cell r="F2388">
            <v>0</v>
          </cell>
          <cell r="G2388">
            <v>10</v>
          </cell>
          <cell r="H2388" t="str">
            <v>2006-10-31</v>
          </cell>
        </row>
        <row r="2389">
          <cell r="A2389" t="str">
            <v>480000</v>
          </cell>
          <cell r="B2389" t="str">
            <v>1015</v>
          </cell>
          <cell r="C2389">
            <v>-396890.22</v>
          </cell>
          <cell r="D2389" t="str">
            <v>202</v>
          </cell>
          <cell r="E2389" t="str">
            <v>453</v>
          </cell>
          <cell r="F2389">
            <v>-107261.21</v>
          </cell>
          <cell r="G2389">
            <v>10</v>
          </cell>
          <cell r="H2389" t="str">
            <v>2006-10-31</v>
          </cell>
        </row>
        <row r="2390">
          <cell r="A2390" t="str">
            <v>480000</v>
          </cell>
          <cell r="B2390" t="str">
            <v>1015</v>
          </cell>
          <cell r="C2390">
            <v>-773436.19</v>
          </cell>
          <cell r="D2390" t="str">
            <v>204</v>
          </cell>
          <cell r="E2390" t="str">
            <v>453</v>
          </cell>
          <cell r="F2390">
            <v>0</v>
          </cell>
          <cell r="G2390">
            <v>10</v>
          </cell>
          <cell r="H2390" t="str">
            <v>2006-10-31</v>
          </cell>
        </row>
        <row r="2391">
          <cell r="A2391" t="str">
            <v>480000</v>
          </cell>
          <cell r="B2391" t="str">
            <v>1015</v>
          </cell>
          <cell r="C2391">
            <v>15916.14</v>
          </cell>
          <cell r="D2391" t="str">
            <v>205</v>
          </cell>
          <cell r="E2391" t="str">
            <v>453</v>
          </cell>
          <cell r="F2391">
            <v>0</v>
          </cell>
          <cell r="G2391">
            <v>10</v>
          </cell>
          <cell r="H2391" t="str">
            <v>2006-10-31</v>
          </cell>
        </row>
        <row r="2392">
          <cell r="A2392" t="str">
            <v>480001</v>
          </cell>
          <cell r="B2392" t="str">
            <v>1015</v>
          </cell>
          <cell r="C2392">
            <v>-112793.87</v>
          </cell>
          <cell r="D2392" t="str">
            <v>202</v>
          </cell>
          <cell r="E2392" t="str">
            <v>453</v>
          </cell>
          <cell r="F2392">
            <v>-56389.63</v>
          </cell>
          <cell r="G2392">
            <v>10</v>
          </cell>
          <cell r="H2392" t="str">
            <v>2006-10-31</v>
          </cell>
        </row>
        <row r="2393">
          <cell r="A2393" t="str">
            <v>480001</v>
          </cell>
          <cell r="B2393" t="str">
            <v>1015</v>
          </cell>
          <cell r="C2393">
            <v>-405535.95</v>
          </cell>
          <cell r="D2393" t="str">
            <v>204</v>
          </cell>
          <cell r="E2393" t="str">
            <v>453</v>
          </cell>
          <cell r="F2393">
            <v>0</v>
          </cell>
          <cell r="G2393">
            <v>10</v>
          </cell>
          <cell r="H2393" t="str">
            <v>2006-10-31</v>
          </cell>
        </row>
        <row r="2394">
          <cell r="A2394" t="str">
            <v>480001</v>
          </cell>
          <cell r="B2394" t="str">
            <v>1015</v>
          </cell>
          <cell r="C2394">
            <v>-15090.03</v>
          </cell>
          <cell r="D2394" t="str">
            <v>205</v>
          </cell>
          <cell r="E2394" t="str">
            <v>453</v>
          </cell>
          <cell r="F2394">
            <v>0</v>
          </cell>
          <cell r="G2394">
            <v>10</v>
          </cell>
          <cell r="H2394" t="str">
            <v>2006-10-31</v>
          </cell>
        </row>
        <row r="2395">
          <cell r="A2395" t="str">
            <v>480001</v>
          </cell>
          <cell r="B2395" t="str">
            <v>1015</v>
          </cell>
          <cell r="C2395">
            <v>0</v>
          </cell>
          <cell r="D2395" t="str">
            <v>210</v>
          </cell>
          <cell r="E2395" t="str">
            <v>453</v>
          </cell>
          <cell r="F2395">
            <v>0</v>
          </cell>
          <cell r="G2395">
            <v>10</v>
          </cell>
          <cell r="H2395" t="str">
            <v>2006-10-31</v>
          </cell>
        </row>
        <row r="2396">
          <cell r="A2396" t="str">
            <v>481004</v>
          </cell>
          <cell r="B2396" t="str">
            <v>1015</v>
          </cell>
          <cell r="C2396">
            <v>-125360.91</v>
          </cell>
          <cell r="D2396" t="str">
            <v>202</v>
          </cell>
          <cell r="E2396" t="str">
            <v>453</v>
          </cell>
          <cell r="F2396">
            <v>-60013.16</v>
          </cell>
          <cell r="G2396">
            <v>10</v>
          </cell>
          <cell r="H2396" t="str">
            <v>2006-10-31</v>
          </cell>
        </row>
        <row r="2397">
          <cell r="A2397" t="str">
            <v>481004</v>
          </cell>
          <cell r="B2397" t="str">
            <v>1015</v>
          </cell>
          <cell r="C2397">
            <v>-432347.86</v>
          </cell>
          <cell r="D2397" t="str">
            <v>204</v>
          </cell>
          <cell r="E2397" t="str">
            <v>453</v>
          </cell>
          <cell r="F2397">
            <v>0</v>
          </cell>
          <cell r="G2397">
            <v>10</v>
          </cell>
          <cell r="H2397" t="str">
            <v>2006-10-31</v>
          </cell>
        </row>
        <row r="2398">
          <cell r="A2398" t="str">
            <v>481004</v>
          </cell>
          <cell r="B2398" t="str">
            <v>1015</v>
          </cell>
          <cell r="C2398">
            <v>7678.89</v>
          </cell>
          <cell r="D2398" t="str">
            <v>205</v>
          </cell>
          <cell r="E2398" t="str">
            <v>453</v>
          </cell>
          <cell r="F2398">
            <v>0</v>
          </cell>
          <cell r="G2398">
            <v>10</v>
          </cell>
          <cell r="H2398" t="str">
            <v>2006-10-31</v>
          </cell>
        </row>
        <row r="2399">
          <cell r="A2399" t="str">
            <v>480000</v>
          </cell>
          <cell r="B2399" t="str">
            <v>1015</v>
          </cell>
          <cell r="C2399">
            <v>-17444.89</v>
          </cell>
          <cell r="D2399" t="str">
            <v>202</v>
          </cell>
          <cell r="E2399" t="str">
            <v>455</v>
          </cell>
          <cell r="F2399">
            <v>-4866.9399999999996</v>
          </cell>
          <cell r="G2399">
            <v>10</v>
          </cell>
          <cell r="H2399" t="str">
            <v>2006-10-31</v>
          </cell>
        </row>
        <row r="2400">
          <cell r="A2400" t="str">
            <v>480000</v>
          </cell>
          <cell r="B2400" t="str">
            <v>1015</v>
          </cell>
          <cell r="C2400">
            <v>-35094.5</v>
          </cell>
          <cell r="D2400" t="str">
            <v>204</v>
          </cell>
          <cell r="E2400" t="str">
            <v>455</v>
          </cell>
          <cell r="F2400">
            <v>0</v>
          </cell>
          <cell r="G2400">
            <v>10</v>
          </cell>
          <cell r="H2400" t="str">
            <v>2006-10-31</v>
          </cell>
        </row>
        <row r="2401">
          <cell r="A2401" t="str">
            <v>480000</v>
          </cell>
          <cell r="B2401" t="str">
            <v>1015</v>
          </cell>
          <cell r="C2401">
            <v>1344.62</v>
          </cell>
          <cell r="D2401" t="str">
            <v>205</v>
          </cell>
          <cell r="E2401" t="str">
            <v>455</v>
          </cell>
          <cell r="F2401">
            <v>0</v>
          </cell>
          <cell r="G2401">
            <v>10</v>
          </cell>
          <cell r="H2401" t="str">
            <v>2006-10-31</v>
          </cell>
        </row>
        <row r="2402">
          <cell r="A2402" t="str">
            <v>480001</v>
          </cell>
          <cell r="B2402" t="str">
            <v>1015</v>
          </cell>
          <cell r="C2402">
            <v>-8583.49</v>
          </cell>
          <cell r="D2402" t="str">
            <v>202</v>
          </cell>
          <cell r="E2402" t="str">
            <v>455</v>
          </cell>
          <cell r="F2402">
            <v>-3466.04</v>
          </cell>
          <cell r="G2402">
            <v>10</v>
          </cell>
          <cell r="H2402" t="str">
            <v>2006-10-31</v>
          </cell>
        </row>
        <row r="2403">
          <cell r="A2403" t="str">
            <v>480001</v>
          </cell>
          <cell r="B2403" t="str">
            <v>1015</v>
          </cell>
          <cell r="C2403">
            <v>-24933.26</v>
          </cell>
          <cell r="D2403" t="str">
            <v>204</v>
          </cell>
          <cell r="E2403" t="str">
            <v>455</v>
          </cell>
          <cell r="F2403">
            <v>0</v>
          </cell>
          <cell r="G2403">
            <v>10</v>
          </cell>
          <cell r="H2403" t="str">
            <v>2006-10-31</v>
          </cell>
        </row>
        <row r="2404">
          <cell r="A2404" t="str">
            <v>480001</v>
          </cell>
          <cell r="B2404" t="str">
            <v>1015</v>
          </cell>
          <cell r="C2404">
            <v>-2214.2600000000002</v>
          </cell>
          <cell r="D2404" t="str">
            <v>205</v>
          </cell>
          <cell r="E2404" t="str">
            <v>455</v>
          </cell>
          <cell r="F2404">
            <v>0</v>
          </cell>
          <cell r="G2404">
            <v>10</v>
          </cell>
          <cell r="H2404" t="str">
            <v>2006-10-31</v>
          </cell>
        </row>
        <row r="2405">
          <cell r="A2405" t="str">
            <v>480001</v>
          </cell>
          <cell r="B2405" t="str">
            <v>1015</v>
          </cell>
          <cell r="C2405">
            <v>0</v>
          </cell>
          <cell r="D2405" t="str">
            <v>210</v>
          </cell>
          <cell r="E2405" t="str">
            <v>455</v>
          </cell>
          <cell r="F2405">
            <v>0</v>
          </cell>
          <cell r="G2405">
            <v>10</v>
          </cell>
          <cell r="H2405" t="str">
            <v>2006-10-31</v>
          </cell>
        </row>
        <row r="2406">
          <cell r="A2406" t="str">
            <v>481004</v>
          </cell>
          <cell r="B2406" t="str">
            <v>1015</v>
          </cell>
          <cell r="C2406">
            <v>-9605.6200000000008</v>
          </cell>
          <cell r="D2406" t="str">
            <v>202</v>
          </cell>
          <cell r="E2406" t="str">
            <v>455</v>
          </cell>
          <cell r="F2406">
            <v>-3648.02</v>
          </cell>
          <cell r="G2406">
            <v>10</v>
          </cell>
          <cell r="H2406" t="str">
            <v>2006-10-31</v>
          </cell>
        </row>
        <row r="2407">
          <cell r="A2407" t="str">
            <v>481004</v>
          </cell>
          <cell r="B2407" t="str">
            <v>1015</v>
          </cell>
          <cell r="C2407">
            <v>-26286.240000000002</v>
          </cell>
          <cell r="D2407" t="str">
            <v>204</v>
          </cell>
          <cell r="E2407" t="str">
            <v>455</v>
          </cell>
          <cell r="F2407">
            <v>0</v>
          </cell>
          <cell r="G2407">
            <v>10</v>
          </cell>
          <cell r="H2407" t="str">
            <v>2006-10-31</v>
          </cell>
        </row>
        <row r="2408">
          <cell r="A2408" t="str">
            <v>481004</v>
          </cell>
          <cell r="B2408" t="str">
            <v>1015</v>
          </cell>
          <cell r="C2408">
            <v>869.64</v>
          </cell>
          <cell r="D2408" t="str">
            <v>205</v>
          </cell>
          <cell r="E2408" t="str">
            <v>455</v>
          </cell>
          <cell r="F2408">
            <v>0</v>
          </cell>
          <cell r="G2408">
            <v>10</v>
          </cell>
          <cell r="H2408" t="str">
            <v>2006-10-31</v>
          </cell>
        </row>
        <row r="2409">
          <cell r="A2409" t="str">
            <v>481002</v>
          </cell>
          <cell r="B2409" t="str">
            <v>1015</v>
          </cell>
          <cell r="C2409">
            <v>0</v>
          </cell>
          <cell r="D2409" t="str">
            <v>202</v>
          </cell>
          <cell r="E2409" t="str">
            <v>456</v>
          </cell>
          <cell r="F2409">
            <v>0</v>
          </cell>
          <cell r="G2409">
            <v>10</v>
          </cell>
          <cell r="H2409" t="str">
            <v>2006-10-31</v>
          </cell>
        </row>
        <row r="2410">
          <cell r="A2410" t="str">
            <v>481002</v>
          </cell>
          <cell r="B2410" t="str">
            <v>1015</v>
          </cell>
          <cell r="C2410">
            <v>0</v>
          </cell>
          <cell r="D2410" t="str">
            <v>203</v>
          </cell>
          <cell r="E2410" t="str">
            <v>456</v>
          </cell>
          <cell r="F2410">
            <v>0</v>
          </cell>
          <cell r="G2410">
            <v>10</v>
          </cell>
          <cell r="H2410" t="str">
            <v>2006-10-31</v>
          </cell>
        </row>
        <row r="2411">
          <cell r="A2411" t="str">
            <v>481002</v>
          </cell>
          <cell r="B2411" t="str">
            <v>1015</v>
          </cell>
          <cell r="C2411">
            <v>0</v>
          </cell>
          <cell r="D2411" t="str">
            <v>204</v>
          </cell>
          <cell r="E2411" t="str">
            <v>456</v>
          </cell>
          <cell r="F2411">
            <v>0</v>
          </cell>
          <cell r="G2411">
            <v>10</v>
          </cell>
          <cell r="H2411" t="str">
            <v>2006-10-31</v>
          </cell>
        </row>
        <row r="2412">
          <cell r="A2412" t="str">
            <v>481002</v>
          </cell>
          <cell r="B2412" t="str">
            <v>1015</v>
          </cell>
          <cell r="C2412">
            <v>0</v>
          </cell>
          <cell r="D2412" t="str">
            <v>210</v>
          </cell>
          <cell r="E2412" t="str">
            <v>456</v>
          </cell>
          <cell r="F2412">
            <v>0</v>
          </cell>
          <cell r="G2412">
            <v>10</v>
          </cell>
          <cell r="H2412" t="str">
            <v>2006-10-31</v>
          </cell>
        </row>
        <row r="2413">
          <cell r="A2413" t="str">
            <v>481002</v>
          </cell>
          <cell r="B2413" t="str">
            <v>1015</v>
          </cell>
          <cell r="C2413">
            <v>-473.91</v>
          </cell>
          <cell r="D2413" t="str">
            <v>202</v>
          </cell>
          <cell r="E2413" t="str">
            <v>457</v>
          </cell>
          <cell r="F2413">
            <v>-2973</v>
          </cell>
          <cell r="G2413">
            <v>10</v>
          </cell>
          <cell r="H2413" t="str">
            <v>2006-10-31</v>
          </cell>
        </row>
        <row r="2414">
          <cell r="A2414" t="str">
            <v>481002</v>
          </cell>
          <cell r="B2414" t="str">
            <v>1015</v>
          </cell>
          <cell r="C2414">
            <v>-543.66999999999996</v>
          </cell>
          <cell r="D2414" t="str">
            <v>203</v>
          </cell>
          <cell r="E2414" t="str">
            <v>457</v>
          </cell>
          <cell r="F2414">
            <v>0</v>
          </cell>
          <cell r="G2414">
            <v>10</v>
          </cell>
          <cell r="H2414" t="str">
            <v>2006-10-31</v>
          </cell>
        </row>
        <row r="2415">
          <cell r="A2415" t="str">
            <v>481002</v>
          </cell>
          <cell r="B2415" t="str">
            <v>1015</v>
          </cell>
          <cell r="C2415">
            <v>-8334.51</v>
          </cell>
          <cell r="D2415" t="str">
            <v>204</v>
          </cell>
          <cell r="E2415" t="str">
            <v>457</v>
          </cell>
          <cell r="F2415">
            <v>0</v>
          </cell>
          <cell r="G2415">
            <v>10</v>
          </cell>
          <cell r="H2415" t="str">
            <v>2006-10-31</v>
          </cell>
        </row>
        <row r="2416">
          <cell r="A2416" t="str">
            <v>481005</v>
          </cell>
          <cell r="B2416" t="str">
            <v>1015</v>
          </cell>
          <cell r="C2416">
            <v>-1736</v>
          </cell>
          <cell r="D2416" t="str">
            <v>202</v>
          </cell>
          <cell r="E2416" t="str">
            <v>457</v>
          </cell>
          <cell r="F2416">
            <v>-9539</v>
          </cell>
          <cell r="G2416">
            <v>10</v>
          </cell>
          <cell r="H2416" t="str">
            <v>2006-10-31</v>
          </cell>
        </row>
        <row r="2417">
          <cell r="A2417" t="str">
            <v>481005</v>
          </cell>
          <cell r="B2417" t="str">
            <v>1015</v>
          </cell>
          <cell r="C2417">
            <v>-1744</v>
          </cell>
          <cell r="D2417" t="str">
            <v>203</v>
          </cell>
          <cell r="E2417" t="str">
            <v>457</v>
          </cell>
          <cell r="F2417">
            <v>0</v>
          </cell>
          <cell r="G2417">
            <v>10</v>
          </cell>
          <cell r="H2417" t="str">
            <v>2006-10-31</v>
          </cell>
        </row>
        <row r="2418">
          <cell r="A2418" t="str">
            <v>481005</v>
          </cell>
          <cell r="B2418" t="str">
            <v>1015</v>
          </cell>
          <cell r="C2418">
            <v>-26742</v>
          </cell>
          <cell r="D2418" t="str">
            <v>204</v>
          </cell>
          <cell r="E2418" t="str">
            <v>457</v>
          </cell>
          <cell r="F2418">
            <v>0</v>
          </cell>
          <cell r="G2418">
            <v>10</v>
          </cell>
          <cell r="H2418" t="str">
            <v>2006-10-31</v>
          </cell>
        </row>
        <row r="2419">
          <cell r="A2419" t="str">
            <v>489300</v>
          </cell>
          <cell r="B2419" t="str">
            <v>1015</v>
          </cell>
          <cell r="C2419">
            <v>-2923.96</v>
          </cell>
          <cell r="D2419" t="str">
            <v>250</v>
          </cell>
          <cell r="E2419" t="str">
            <v>458</v>
          </cell>
          <cell r="F2419">
            <v>-17449</v>
          </cell>
          <cell r="G2419">
            <v>10</v>
          </cell>
          <cell r="H2419" t="str">
            <v>2006-10-31</v>
          </cell>
        </row>
        <row r="2420">
          <cell r="A2420" t="str">
            <v>489304</v>
          </cell>
          <cell r="B2420" t="str">
            <v>1015</v>
          </cell>
          <cell r="C2420">
            <v>-834.2</v>
          </cell>
          <cell r="D2420" t="str">
            <v>250</v>
          </cell>
          <cell r="E2420" t="str">
            <v>458</v>
          </cell>
          <cell r="F2420">
            <v>-2444</v>
          </cell>
          <cell r="G2420">
            <v>10</v>
          </cell>
          <cell r="H2420" t="str">
            <v>2006-10-31</v>
          </cell>
        </row>
        <row r="2421">
          <cell r="A2421" t="str">
            <v>489300</v>
          </cell>
          <cell r="B2421" t="str">
            <v>1015</v>
          </cell>
          <cell r="C2421">
            <v>-1702.96</v>
          </cell>
          <cell r="D2421" t="str">
            <v>250</v>
          </cell>
          <cell r="E2421" t="str">
            <v>459</v>
          </cell>
          <cell r="F2421">
            <v>-4856</v>
          </cell>
          <cell r="G2421">
            <v>10</v>
          </cell>
          <cell r="H2421" t="str">
            <v>2006-10-31</v>
          </cell>
        </row>
        <row r="2422">
          <cell r="A2422" t="str">
            <v>480004</v>
          </cell>
          <cell r="B2422" t="str">
            <v>1015</v>
          </cell>
          <cell r="C2422">
            <v>-97509.84</v>
          </cell>
          <cell r="D2422" t="str">
            <v>215</v>
          </cell>
          <cell r="E2422" t="str">
            <v>CET</v>
          </cell>
          <cell r="F2422">
            <v>0</v>
          </cell>
          <cell r="G2422">
            <v>10</v>
          </cell>
          <cell r="H2422" t="str">
            <v>2006-10-31</v>
          </cell>
        </row>
        <row r="2423">
          <cell r="A2423" t="str">
            <v>481003</v>
          </cell>
          <cell r="B2423" t="str">
            <v>1015</v>
          </cell>
          <cell r="C2423">
            <v>-117350.93</v>
          </cell>
          <cell r="D2423" t="str">
            <v>200</v>
          </cell>
          <cell r="F2423">
            <v>-12447.63</v>
          </cell>
          <cell r="G2423">
            <v>10</v>
          </cell>
          <cell r="H2423" t="str">
            <v>2006-10-31</v>
          </cell>
        </row>
        <row r="2424">
          <cell r="A2424" t="str">
            <v>481000</v>
          </cell>
          <cell r="B2424" t="str">
            <v>1015</v>
          </cell>
          <cell r="C2424">
            <v>-12628.77</v>
          </cell>
          <cell r="D2424" t="str">
            <v>202</v>
          </cell>
          <cell r="E2424" t="str">
            <v>402</v>
          </cell>
          <cell r="F2424">
            <v>0</v>
          </cell>
          <cell r="G2424">
            <v>11</v>
          </cell>
          <cell r="H2424" t="str">
            <v>2006-11-30</v>
          </cell>
        </row>
        <row r="2425">
          <cell r="A2425" t="str">
            <v>481000</v>
          </cell>
          <cell r="B2425" t="str">
            <v>1015</v>
          </cell>
          <cell r="C2425">
            <v>-2606.56</v>
          </cell>
          <cell r="D2425" t="str">
            <v>202</v>
          </cell>
          <cell r="E2425" t="str">
            <v>402</v>
          </cell>
          <cell r="F2425">
            <v>-5478.32</v>
          </cell>
          <cell r="G2425">
            <v>11</v>
          </cell>
          <cell r="H2425" t="str">
            <v>2006-11-30</v>
          </cell>
        </row>
        <row r="2426">
          <cell r="A2426" t="str">
            <v>481000</v>
          </cell>
          <cell r="B2426" t="str">
            <v>1015</v>
          </cell>
          <cell r="C2426">
            <v>-2521.4299999999998</v>
          </cell>
          <cell r="D2426" t="str">
            <v>202</v>
          </cell>
          <cell r="E2426" t="str">
            <v>402</v>
          </cell>
          <cell r="F2426">
            <v>-5371.25</v>
          </cell>
          <cell r="G2426">
            <v>11</v>
          </cell>
          <cell r="H2426" t="str">
            <v>2006-11-30</v>
          </cell>
        </row>
        <row r="2427">
          <cell r="A2427" t="str">
            <v>481000</v>
          </cell>
          <cell r="B2427" t="str">
            <v>1015</v>
          </cell>
          <cell r="C2427">
            <v>-2326.23</v>
          </cell>
          <cell r="D2427" t="str">
            <v>202</v>
          </cell>
          <cell r="E2427" t="str">
            <v>402</v>
          </cell>
          <cell r="F2427">
            <v>-5107.72</v>
          </cell>
          <cell r="G2427">
            <v>11</v>
          </cell>
          <cell r="H2427" t="str">
            <v>2006-11-30</v>
          </cell>
        </row>
        <row r="2428">
          <cell r="A2428" t="str">
            <v>481000</v>
          </cell>
          <cell r="B2428" t="str">
            <v>1015</v>
          </cell>
          <cell r="C2428">
            <v>-2172.66</v>
          </cell>
          <cell r="D2428" t="str">
            <v>202</v>
          </cell>
          <cell r="E2428" t="str">
            <v>402</v>
          </cell>
          <cell r="F2428">
            <v>-4729.25</v>
          </cell>
          <cell r="G2428">
            <v>11</v>
          </cell>
          <cell r="H2428" t="str">
            <v>2006-11-30</v>
          </cell>
        </row>
        <row r="2429">
          <cell r="A2429" t="str">
            <v>481000</v>
          </cell>
          <cell r="B2429" t="str">
            <v>1015</v>
          </cell>
          <cell r="C2429">
            <v>-1956.23</v>
          </cell>
          <cell r="D2429" t="str">
            <v>202</v>
          </cell>
          <cell r="E2429" t="str">
            <v>402</v>
          </cell>
          <cell r="F2429">
            <v>-4167.46</v>
          </cell>
          <cell r="G2429">
            <v>11</v>
          </cell>
          <cell r="H2429" t="str">
            <v>2006-11-30</v>
          </cell>
        </row>
        <row r="2430">
          <cell r="A2430" t="str">
            <v>481000</v>
          </cell>
          <cell r="B2430" t="str">
            <v>1015</v>
          </cell>
          <cell r="C2430">
            <v>-1715.77</v>
          </cell>
          <cell r="D2430" t="str">
            <v>202</v>
          </cell>
          <cell r="E2430" t="str">
            <v>402</v>
          </cell>
          <cell r="F2430">
            <v>-3980.65</v>
          </cell>
          <cell r="G2430">
            <v>11</v>
          </cell>
          <cell r="H2430" t="str">
            <v>2006-11-30</v>
          </cell>
        </row>
        <row r="2431">
          <cell r="A2431" t="str">
            <v>481000</v>
          </cell>
          <cell r="B2431" t="str">
            <v>1015</v>
          </cell>
          <cell r="C2431">
            <v>-1418.03</v>
          </cell>
          <cell r="D2431" t="str">
            <v>202</v>
          </cell>
          <cell r="E2431" t="str">
            <v>402</v>
          </cell>
          <cell r="F2431">
            <v>-2949.45</v>
          </cell>
          <cell r="G2431">
            <v>11</v>
          </cell>
          <cell r="H2431" t="str">
            <v>2006-11-30</v>
          </cell>
        </row>
        <row r="2432">
          <cell r="A2432" t="str">
            <v>481000</v>
          </cell>
          <cell r="B2432" t="str">
            <v>1015</v>
          </cell>
          <cell r="C2432">
            <v>-531.39</v>
          </cell>
          <cell r="D2432" t="str">
            <v>202</v>
          </cell>
          <cell r="E2432" t="str">
            <v>402</v>
          </cell>
          <cell r="F2432">
            <v>-1250.32</v>
          </cell>
          <cell r="G2432">
            <v>11</v>
          </cell>
          <cell r="H2432" t="str">
            <v>2006-11-30</v>
          </cell>
        </row>
        <row r="2433">
          <cell r="A2433" t="str">
            <v>481000</v>
          </cell>
          <cell r="B2433" t="str">
            <v>1015</v>
          </cell>
          <cell r="C2433">
            <v>-20461.41</v>
          </cell>
          <cell r="D2433" t="str">
            <v>202</v>
          </cell>
          <cell r="E2433" t="str">
            <v>402</v>
          </cell>
          <cell r="F2433">
            <v>-53781.55</v>
          </cell>
          <cell r="G2433">
            <v>11</v>
          </cell>
          <cell r="H2433" t="str">
            <v>2006-11-30</v>
          </cell>
        </row>
        <row r="2434">
          <cell r="A2434" t="str">
            <v>481000</v>
          </cell>
          <cell r="B2434" t="str">
            <v>1015</v>
          </cell>
          <cell r="C2434">
            <v>-12143.6</v>
          </cell>
          <cell r="D2434" t="str">
            <v>202</v>
          </cell>
          <cell r="E2434" t="str">
            <v>402</v>
          </cell>
          <cell r="F2434">
            <v>-27655.19</v>
          </cell>
          <cell r="G2434">
            <v>11</v>
          </cell>
          <cell r="H2434" t="str">
            <v>2006-11-30</v>
          </cell>
        </row>
        <row r="2435">
          <cell r="A2435" t="str">
            <v>481000</v>
          </cell>
          <cell r="B2435" t="str">
            <v>1015</v>
          </cell>
          <cell r="C2435">
            <v>-11537</v>
          </cell>
          <cell r="D2435" t="str">
            <v>202</v>
          </cell>
          <cell r="E2435" t="str">
            <v>402</v>
          </cell>
          <cell r="F2435">
            <v>-27150.33</v>
          </cell>
          <cell r="G2435">
            <v>11</v>
          </cell>
          <cell r="H2435" t="str">
            <v>2006-11-30</v>
          </cell>
        </row>
        <row r="2436">
          <cell r="A2436" t="str">
            <v>481000</v>
          </cell>
          <cell r="B2436" t="str">
            <v>1015</v>
          </cell>
          <cell r="C2436">
            <v>-8823.61</v>
          </cell>
          <cell r="D2436" t="str">
            <v>202</v>
          </cell>
          <cell r="E2436" t="str">
            <v>402</v>
          </cell>
          <cell r="F2436">
            <v>-20928.53</v>
          </cell>
          <cell r="G2436">
            <v>11</v>
          </cell>
          <cell r="H2436" t="str">
            <v>2006-11-30</v>
          </cell>
        </row>
        <row r="2437">
          <cell r="A2437" t="str">
            <v>481000</v>
          </cell>
          <cell r="B2437" t="str">
            <v>1015</v>
          </cell>
          <cell r="C2437">
            <v>-8946.66</v>
          </cell>
          <cell r="D2437" t="str">
            <v>202</v>
          </cell>
          <cell r="E2437" t="str">
            <v>402</v>
          </cell>
          <cell r="F2437">
            <v>-20736.439999999999</v>
          </cell>
          <cell r="G2437">
            <v>11</v>
          </cell>
          <cell r="H2437" t="str">
            <v>2006-11-30</v>
          </cell>
        </row>
        <row r="2438">
          <cell r="A2438" t="str">
            <v>481000</v>
          </cell>
          <cell r="B2438" t="str">
            <v>1015</v>
          </cell>
          <cell r="C2438">
            <v>-8226.83</v>
          </cell>
          <cell r="D2438" t="str">
            <v>202</v>
          </cell>
          <cell r="E2438" t="str">
            <v>402</v>
          </cell>
          <cell r="F2438">
            <v>-19511.48</v>
          </cell>
          <cell r="G2438">
            <v>11</v>
          </cell>
          <cell r="H2438" t="str">
            <v>2006-11-30</v>
          </cell>
        </row>
        <row r="2439">
          <cell r="A2439" t="str">
            <v>481000</v>
          </cell>
          <cell r="B2439" t="str">
            <v>1015</v>
          </cell>
          <cell r="C2439">
            <v>-6145.02</v>
          </cell>
          <cell r="D2439" t="str">
            <v>202</v>
          </cell>
          <cell r="E2439" t="str">
            <v>402</v>
          </cell>
          <cell r="F2439">
            <v>-14371.14</v>
          </cell>
          <cell r="G2439">
            <v>11</v>
          </cell>
          <cell r="H2439" t="str">
            <v>2006-11-30</v>
          </cell>
        </row>
        <row r="2440">
          <cell r="A2440" t="str">
            <v>481000</v>
          </cell>
          <cell r="B2440" t="str">
            <v>1015</v>
          </cell>
          <cell r="C2440">
            <v>602562.09</v>
          </cell>
          <cell r="D2440" t="str">
            <v>202</v>
          </cell>
          <cell r="E2440" t="str">
            <v>402</v>
          </cell>
          <cell r="F2440">
            <v>1249759.3400000001</v>
          </cell>
          <cell r="G2440">
            <v>11</v>
          </cell>
          <cell r="H2440" t="str">
            <v>2006-11-30</v>
          </cell>
        </row>
        <row r="2441">
          <cell r="A2441" t="str">
            <v>481000</v>
          </cell>
          <cell r="B2441" t="str">
            <v>1015</v>
          </cell>
          <cell r="C2441">
            <v>-521499.19</v>
          </cell>
          <cell r="D2441" t="str">
            <v>202</v>
          </cell>
          <cell r="E2441" t="str">
            <v>402</v>
          </cell>
          <cell r="F2441">
            <v>-1081816.26</v>
          </cell>
          <cell r="G2441">
            <v>11</v>
          </cell>
          <cell r="H2441" t="str">
            <v>2006-11-30</v>
          </cell>
        </row>
        <row r="2442">
          <cell r="A2442" t="str">
            <v>481000</v>
          </cell>
          <cell r="B2442" t="str">
            <v>1015</v>
          </cell>
          <cell r="C2442">
            <v>-58973.73</v>
          </cell>
          <cell r="D2442" t="str">
            <v>203</v>
          </cell>
          <cell r="E2442" t="str">
            <v>402</v>
          </cell>
          <cell r="F2442">
            <v>0</v>
          </cell>
          <cell r="G2442">
            <v>11</v>
          </cell>
          <cell r="H2442" t="str">
            <v>2006-11-30</v>
          </cell>
        </row>
        <row r="2443">
          <cell r="A2443" t="str">
            <v>481000</v>
          </cell>
          <cell r="B2443" t="str">
            <v>1015</v>
          </cell>
          <cell r="C2443">
            <v>-262504.55</v>
          </cell>
          <cell r="D2443" t="str">
            <v>204</v>
          </cell>
          <cell r="E2443" t="str">
            <v>402</v>
          </cell>
          <cell r="F2443">
            <v>0</v>
          </cell>
          <cell r="G2443">
            <v>11</v>
          </cell>
          <cell r="H2443" t="str">
            <v>2006-11-30</v>
          </cell>
        </row>
        <row r="2444">
          <cell r="A2444" t="str">
            <v>481000</v>
          </cell>
          <cell r="B2444" t="str">
            <v>1015</v>
          </cell>
          <cell r="C2444">
            <v>4980289.62</v>
          </cell>
          <cell r="D2444" t="str">
            <v>210</v>
          </cell>
          <cell r="E2444" t="str">
            <v>402</v>
          </cell>
          <cell r="F2444">
            <v>927877</v>
          </cell>
          <cell r="G2444">
            <v>11</v>
          </cell>
          <cell r="H2444" t="str">
            <v>2006-11-30</v>
          </cell>
        </row>
        <row r="2445">
          <cell r="A2445" t="str">
            <v>481000</v>
          </cell>
          <cell r="B2445" t="str">
            <v>1015</v>
          </cell>
          <cell r="C2445">
            <v>-4980289.62</v>
          </cell>
          <cell r="D2445" t="str">
            <v>210</v>
          </cell>
          <cell r="E2445" t="str">
            <v>402</v>
          </cell>
          <cell r="F2445">
            <v>-927877</v>
          </cell>
          <cell r="G2445">
            <v>11</v>
          </cell>
          <cell r="H2445" t="str">
            <v>2006-11-30</v>
          </cell>
        </row>
        <row r="2446">
          <cell r="A2446" t="str">
            <v>481004</v>
          </cell>
          <cell r="B2446" t="str">
            <v>1015</v>
          </cell>
          <cell r="C2446">
            <v>-34946.949999999997</v>
          </cell>
          <cell r="D2446" t="str">
            <v>202</v>
          </cell>
          <cell r="E2446" t="str">
            <v>402</v>
          </cell>
          <cell r="F2446">
            <v>0</v>
          </cell>
          <cell r="G2446">
            <v>11</v>
          </cell>
          <cell r="H2446" t="str">
            <v>2006-11-30</v>
          </cell>
        </row>
        <row r="2447">
          <cell r="A2447" t="str">
            <v>481004</v>
          </cell>
          <cell r="B2447" t="str">
            <v>1015</v>
          </cell>
          <cell r="C2447">
            <v>-50.93</v>
          </cell>
          <cell r="D2447" t="str">
            <v>202</v>
          </cell>
          <cell r="E2447" t="str">
            <v>402</v>
          </cell>
          <cell r="F2447">
            <v>-94.48</v>
          </cell>
          <cell r="G2447">
            <v>11</v>
          </cell>
          <cell r="H2447" t="str">
            <v>2006-11-30</v>
          </cell>
        </row>
        <row r="2448">
          <cell r="A2448" t="str">
            <v>481004</v>
          </cell>
          <cell r="B2448" t="str">
            <v>1015</v>
          </cell>
          <cell r="C2448">
            <v>485.79</v>
          </cell>
          <cell r="D2448" t="str">
            <v>202</v>
          </cell>
          <cell r="E2448" t="str">
            <v>402</v>
          </cell>
          <cell r="F2448">
            <v>621.79</v>
          </cell>
          <cell r="G2448">
            <v>11</v>
          </cell>
          <cell r="H2448" t="str">
            <v>2006-11-30</v>
          </cell>
        </row>
        <row r="2449">
          <cell r="A2449" t="str">
            <v>481004</v>
          </cell>
          <cell r="B2449" t="str">
            <v>1015</v>
          </cell>
          <cell r="C2449">
            <v>-4386.03</v>
          </cell>
          <cell r="D2449" t="str">
            <v>202</v>
          </cell>
          <cell r="E2449" t="str">
            <v>402</v>
          </cell>
          <cell r="F2449">
            <v>-9554.35</v>
          </cell>
          <cell r="G2449">
            <v>11</v>
          </cell>
          <cell r="H2449" t="str">
            <v>2006-11-30</v>
          </cell>
        </row>
        <row r="2450">
          <cell r="A2450" t="str">
            <v>481004</v>
          </cell>
          <cell r="B2450" t="str">
            <v>1015</v>
          </cell>
          <cell r="C2450">
            <v>-3477.68</v>
          </cell>
          <cell r="D2450" t="str">
            <v>202</v>
          </cell>
          <cell r="E2450" t="str">
            <v>402</v>
          </cell>
          <cell r="F2450">
            <v>-7674.25</v>
          </cell>
          <cell r="G2450">
            <v>11</v>
          </cell>
          <cell r="H2450" t="str">
            <v>2006-11-30</v>
          </cell>
        </row>
        <row r="2451">
          <cell r="A2451" t="str">
            <v>481004</v>
          </cell>
          <cell r="B2451" t="str">
            <v>1015</v>
          </cell>
          <cell r="C2451">
            <v>-2806.96</v>
          </cell>
          <cell r="D2451" t="str">
            <v>202</v>
          </cell>
          <cell r="E2451" t="str">
            <v>402</v>
          </cell>
          <cell r="F2451">
            <v>-6138.51</v>
          </cell>
          <cell r="G2451">
            <v>11</v>
          </cell>
          <cell r="H2451" t="str">
            <v>2006-11-30</v>
          </cell>
        </row>
        <row r="2452">
          <cell r="A2452" t="str">
            <v>481004</v>
          </cell>
          <cell r="B2452" t="str">
            <v>1015</v>
          </cell>
          <cell r="C2452">
            <v>-2460.81</v>
          </cell>
          <cell r="D2452" t="str">
            <v>202</v>
          </cell>
          <cell r="E2452" t="str">
            <v>402</v>
          </cell>
          <cell r="F2452">
            <v>-5099.49</v>
          </cell>
          <cell r="G2452">
            <v>11</v>
          </cell>
          <cell r="H2452" t="str">
            <v>2006-11-30</v>
          </cell>
        </row>
        <row r="2453">
          <cell r="A2453" t="str">
            <v>481004</v>
          </cell>
          <cell r="B2453" t="str">
            <v>1015</v>
          </cell>
          <cell r="C2453">
            <v>-2005.75</v>
          </cell>
          <cell r="D2453" t="str">
            <v>202</v>
          </cell>
          <cell r="E2453" t="str">
            <v>402</v>
          </cell>
          <cell r="F2453">
            <v>-4090.53</v>
          </cell>
          <cell r="G2453">
            <v>11</v>
          </cell>
          <cell r="H2453" t="str">
            <v>2006-11-30</v>
          </cell>
        </row>
        <row r="2454">
          <cell r="A2454" t="str">
            <v>481004</v>
          </cell>
          <cell r="B2454" t="str">
            <v>1015</v>
          </cell>
          <cell r="C2454">
            <v>-811.08</v>
          </cell>
          <cell r="D2454" t="str">
            <v>202</v>
          </cell>
          <cell r="E2454" t="str">
            <v>402</v>
          </cell>
          <cell r="F2454">
            <v>-1787.13</v>
          </cell>
          <cell r="G2454">
            <v>11</v>
          </cell>
          <cell r="H2454" t="str">
            <v>2006-11-30</v>
          </cell>
        </row>
        <row r="2455">
          <cell r="A2455" t="str">
            <v>481004</v>
          </cell>
          <cell r="B2455" t="str">
            <v>1015</v>
          </cell>
          <cell r="C2455">
            <v>-485.79</v>
          </cell>
          <cell r="D2455" t="str">
            <v>202</v>
          </cell>
          <cell r="E2455" t="str">
            <v>402</v>
          </cell>
          <cell r="F2455">
            <v>-622.1</v>
          </cell>
          <cell r="G2455">
            <v>11</v>
          </cell>
          <cell r="H2455" t="str">
            <v>2006-11-30</v>
          </cell>
        </row>
        <row r="2456">
          <cell r="A2456" t="str">
            <v>481004</v>
          </cell>
          <cell r="B2456" t="str">
            <v>1015</v>
          </cell>
          <cell r="C2456">
            <v>-235.25</v>
          </cell>
          <cell r="D2456" t="str">
            <v>202</v>
          </cell>
          <cell r="E2456" t="str">
            <v>402</v>
          </cell>
          <cell r="F2456">
            <v>-473.69</v>
          </cell>
          <cell r="G2456">
            <v>11</v>
          </cell>
          <cell r="H2456" t="str">
            <v>2006-11-30</v>
          </cell>
        </row>
        <row r="2457">
          <cell r="A2457" t="str">
            <v>481004</v>
          </cell>
          <cell r="B2457" t="str">
            <v>1015</v>
          </cell>
          <cell r="C2457">
            <v>-35151.699999999997</v>
          </cell>
          <cell r="D2457" t="str">
            <v>202</v>
          </cell>
          <cell r="E2457" t="str">
            <v>402</v>
          </cell>
          <cell r="F2457">
            <v>-89777.36</v>
          </cell>
          <cell r="G2457">
            <v>11</v>
          </cell>
          <cell r="H2457" t="str">
            <v>2006-11-30</v>
          </cell>
        </row>
        <row r="2458">
          <cell r="A2458" t="str">
            <v>481004</v>
          </cell>
          <cell r="B2458" t="str">
            <v>1015</v>
          </cell>
          <cell r="C2458">
            <v>-20867.349999999999</v>
          </cell>
          <cell r="D2458" t="str">
            <v>202</v>
          </cell>
          <cell r="E2458" t="str">
            <v>402</v>
          </cell>
          <cell r="F2458">
            <v>-53752.06</v>
          </cell>
          <cell r="G2458">
            <v>11</v>
          </cell>
          <cell r="H2458" t="str">
            <v>2006-11-30</v>
          </cell>
        </row>
        <row r="2459">
          <cell r="A2459" t="str">
            <v>481004</v>
          </cell>
          <cell r="B2459" t="str">
            <v>1015</v>
          </cell>
          <cell r="C2459">
            <v>-24454.91</v>
          </cell>
          <cell r="D2459" t="str">
            <v>202</v>
          </cell>
          <cell r="E2459" t="str">
            <v>402</v>
          </cell>
          <cell r="F2459">
            <v>-53371.39</v>
          </cell>
          <cell r="G2459">
            <v>11</v>
          </cell>
          <cell r="H2459" t="str">
            <v>2006-11-30</v>
          </cell>
        </row>
        <row r="2460">
          <cell r="A2460" t="str">
            <v>481004</v>
          </cell>
          <cell r="B2460" t="str">
            <v>1015</v>
          </cell>
          <cell r="C2460">
            <v>-18682.12</v>
          </cell>
          <cell r="D2460" t="str">
            <v>202</v>
          </cell>
          <cell r="E2460" t="str">
            <v>402</v>
          </cell>
          <cell r="F2460">
            <v>-42227.56</v>
          </cell>
          <cell r="G2460">
            <v>11</v>
          </cell>
          <cell r="H2460" t="str">
            <v>2006-11-30</v>
          </cell>
        </row>
        <row r="2461">
          <cell r="A2461" t="str">
            <v>481004</v>
          </cell>
          <cell r="B2461" t="str">
            <v>1015</v>
          </cell>
          <cell r="C2461">
            <v>-13461.87</v>
          </cell>
          <cell r="D2461" t="str">
            <v>202</v>
          </cell>
          <cell r="E2461" t="str">
            <v>402</v>
          </cell>
          <cell r="F2461">
            <v>-29399.69</v>
          </cell>
          <cell r="G2461">
            <v>11</v>
          </cell>
          <cell r="H2461" t="str">
            <v>2006-11-30</v>
          </cell>
        </row>
        <row r="2462">
          <cell r="A2462" t="str">
            <v>481004</v>
          </cell>
          <cell r="B2462" t="str">
            <v>1015</v>
          </cell>
          <cell r="C2462">
            <v>-11331.53</v>
          </cell>
          <cell r="D2462" t="str">
            <v>202</v>
          </cell>
          <cell r="E2462" t="str">
            <v>402</v>
          </cell>
          <cell r="F2462">
            <v>-25466.35</v>
          </cell>
          <cell r="G2462">
            <v>11</v>
          </cell>
          <cell r="H2462" t="str">
            <v>2006-11-30</v>
          </cell>
        </row>
        <row r="2463">
          <cell r="A2463" t="str">
            <v>481004</v>
          </cell>
          <cell r="B2463" t="str">
            <v>1015</v>
          </cell>
          <cell r="C2463">
            <v>-10357.6</v>
          </cell>
          <cell r="D2463" t="str">
            <v>202</v>
          </cell>
          <cell r="E2463" t="str">
            <v>402</v>
          </cell>
          <cell r="F2463">
            <v>-24284.67</v>
          </cell>
          <cell r="G2463">
            <v>11</v>
          </cell>
          <cell r="H2463" t="str">
            <v>2006-11-30</v>
          </cell>
        </row>
        <row r="2464">
          <cell r="A2464" t="str">
            <v>481004</v>
          </cell>
          <cell r="B2464" t="str">
            <v>1015</v>
          </cell>
          <cell r="C2464">
            <v>-7932.42</v>
          </cell>
          <cell r="D2464" t="str">
            <v>202</v>
          </cell>
          <cell r="E2464" t="str">
            <v>402</v>
          </cell>
          <cell r="F2464">
            <v>-16643.12</v>
          </cell>
          <cell r="G2464">
            <v>11</v>
          </cell>
          <cell r="H2464" t="str">
            <v>2006-11-30</v>
          </cell>
        </row>
        <row r="2465">
          <cell r="A2465" t="str">
            <v>481004</v>
          </cell>
          <cell r="B2465" t="str">
            <v>1015</v>
          </cell>
          <cell r="C2465">
            <v>-7543.38</v>
          </cell>
          <cell r="D2465" t="str">
            <v>202</v>
          </cell>
          <cell r="E2465" t="str">
            <v>402</v>
          </cell>
          <cell r="F2465">
            <v>-15854.21</v>
          </cell>
          <cell r="G2465">
            <v>11</v>
          </cell>
          <cell r="H2465" t="str">
            <v>2006-11-30</v>
          </cell>
        </row>
        <row r="2466">
          <cell r="A2466" t="str">
            <v>481004</v>
          </cell>
          <cell r="B2466" t="str">
            <v>1015</v>
          </cell>
          <cell r="C2466">
            <v>-6279.94</v>
          </cell>
          <cell r="D2466" t="str">
            <v>202</v>
          </cell>
          <cell r="E2466" t="str">
            <v>402</v>
          </cell>
          <cell r="F2466">
            <v>-12596.06</v>
          </cell>
          <cell r="G2466">
            <v>11</v>
          </cell>
          <cell r="H2466" t="str">
            <v>2006-11-30</v>
          </cell>
        </row>
        <row r="2467">
          <cell r="A2467" t="str">
            <v>481004</v>
          </cell>
          <cell r="B2467" t="str">
            <v>1015</v>
          </cell>
          <cell r="C2467">
            <v>501247.4</v>
          </cell>
          <cell r="D2467" t="str">
            <v>202</v>
          </cell>
          <cell r="E2467" t="str">
            <v>402</v>
          </cell>
          <cell r="F2467">
            <v>1792821.98</v>
          </cell>
          <cell r="G2467">
            <v>11</v>
          </cell>
          <cell r="H2467" t="str">
            <v>2006-11-30</v>
          </cell>
        </row>
        <row r="2468">
          <cell r="A2468" t="str">
            <v>481004</v>
          </cell>
          <cell r="B2468" t="str">
            <v>1015</v>
          </cell>
          <cell r="C2468">
            <v>-634326.9</v>
          </cell>
          <cell r="D2468" t="str">
            <v>202</v>
          </cell>
          <cell r="E2468" t="str">
            <v>402</v>
          </cell>
          <cell r="F2468">
            <v>-2015773.77</v>
          </cell>
          <cell r="G2468">
            <v>11</v>
          </cell>
          <cell r="H2468" t="str">
            <v>2006-11-30</v>
          </cell>
        </row>
        <row r="2469">
          <cell r="A2469" t="str">
            <v>481004</v>
          </cell>
          <cell r="B2469" t="str">
            <v>1015</v>
          </cell>
          <cell r="C2469">
            <v>-744116.95</v>
          </cell>
          <cell r="D2469" t="str">
            <v>203</v>
          </cell>
          <cell r="E2469" t="str">
            <v>402</v>
          </cell>
          <cell r="F2469">
            <v>0</v>
          </cell>
          <cell r="G2469">
            <v>11</v>
          </cell>
          <cell r="H2469" t="str">
            <v>2006-11-30</v>
          </cell>
        </row>
        <row r="2470">
          <cell r="A2470" t="str">
            <v>481004</v>
          </cell>
          <cell r="B2470" t="str">
            <v>1015</v>
          </cell>
          <cell r="C2470">
            <v>-3313059.32</v>
          </cell>
          <cell r="D2470" t="str">
            <v>204</v>
          </cell>
          <cell r="E2470" t="str">
            <v>402</v>
          </cell>
          <cell r="F2470">
            <v>0</v>
          </cell>
          <cell r="G2470">
            <v>11</v>
          </cell>
          <cell r="H2470" t="str">
            <v>2006-11-30</v>
          </cell>
        </row>
        <row r="2471">
          <cell r="A2471" t="str">
            <v>481004</v>
          </cell>
          <cell r="B2471" t="str">
            <v>1015</v>
          </cell>
          <cell r="C2471">
            <v>4327182.79</v>
          </cell>
          <cell r="D2471" t="str">
            <v>210</v>
          </cell>
          <cell r="E2471" t="str">
            <v>402</v>
          </cell>
          <cell r="F2471">
            <v>842511</v>
          </cell>
          <cell r="G2471">
            <v>11</v>
          </cell>
          <cell r="H2471" t="str">
            <v>2006-11-30</v>
          </cell>
        </row>
        <row r="2472">
          <cell r="A2472" t="str">
            <v>481004</v>
          </cell>
          <cell r="B2472" t="str">
            <v>1015</v>
          </cell>
          <cell r="C2472">
            <v>-4327182.79</v>
          </cell>
          <cell r="D2472" t="str">
            <v>210</v>
          </cell>
          <cell r="E2472" t="str">
            <v>402</v>
          </cell>
          <cell r="F2472">
            <v>-842511</v>
          </cell>
          <cell r="G2472">
            <v>11</v>
          </cell>
          <cell r="H2472" t="str">
            <v>2006-11-30</v>
          </cell>
        </row>
        <row r="2473">
          <cell r="A2473" t="str">
            <v>481000</v>
          </cell>
          <cell r="B2473" t="str">
            <v>1015</v>
          </cell>
          <cell r="C2473">
            <v>-7071.01</v>
          </cell>
          <cell r="D2473" t="str">
            <v>202</v>
          </cell>
          <cell r="E2473" t="str">
            <v>403</v>
          </cell>
          <cell r="F2473">
            <v>0</v>
          </cell>
          <cell r="G2473">
            <v>11</v>
          </cell>
          <cell r="H2473" t="str">
            <v>2006-11-30</v>
          </cell>
        </row>
        <row r="2474">
          <cell r="A2474" t="str">
            <v>481000</v>
          </cell>
          <cell r="B2474" t="str">
            <v>1015</v>
          </cell>
          <cell r="C2474">
            <v>-1663.3</v>
          </cell>
          <cell r="D2474" t="str">
            <v>203</v>
          </cell>
          <cell r="E2474" t="str">
            <v>403</v>
          </cell>
          <cell r="F2474">
            <v>0</v>
          </cell>
          <cell r="G2474">
            <v>11</v>
          </cell>
          <cell r="H2474" t="str">
            <v>2006-11-30</v>
          </cell>
        </row>
        <row r="2475">
          <cell r="A2475" t="str">
            <v>481000</v>
          </cell>
          <cell r="B2475" t="str">
            <v>1015</v>
          </cell>
          <cell r="C2475">
            <v>-2974.7</v>
          </cell>
          <cell r="D2475" t="str">
            <v>204</v>
          </cell>
          <cell r="E2475" t="str">
            <v>403</v>
          </cell>
          <cell r="F2475">
            <v>0</v>
          </cell>
          <cell r="G2475">
            <v>11</v>
          </cell>
          <cell r="H2475" t="str">
            <v>2006-11-30</v>
          </cell>
        </row>
        <row r="2476">
          <cell r="A2476" t="str">
            <v>481000</v>
          </cell>
          <cell r="B2476" t="str">
            <v>1015</v>
          </cell>
          <cell r="C2476">
            <v>-9431.9</v>
          </cell>
          <cell r="D2476" t="str">
            <v>202</v>
          </cell>
          <cell r="E2476" t="str">
            <v>404</v>
          </cell>
          <cell r="F2476">
            <v>-30000</v>
          </cell>
          <cell r="G2476">
            <v>11</v>
          </cell>
          <cell r="H2476" t="str">
            <v>2006-11-30</v>
          </cell>
        </row>
        <row r="2477">
          <cell r="A2477" t="str">
            <v>481000</v>
          </cell>
          <cell r="B2477" t="str">
            <v>1015</v>
          </cell>
          <cell r="C2477">
            <v>9742.31</v>
          </cell>
          <cell r="D2477" t="str">
            <v>202</v>
          </cell>
          <cell r="E2477" t="str">
            <v>404</v>
          </cell>
          <cell r="F2477">
            <v>31000</v>
          </cell>
          <cell r="G2477">
            <v>11</v>
          </cell>
          <cell r="H2477" t="str">
            <v>2006-11-30</v>
          </cell>
        </row>
        <row r="2478">
          <cell r="A2478" t="str">
            <v>481000</v>
          </cell>
          <cell r="B2478" t="str">
            <v>1015</v>
          </cell>
          <cell r="C2478">
            <v>-9742.31</v>
          </cell>
          <cell r="D2478" t="str">
            <v>202</v>
          </cell>
          <cell r="E2478" t="str">
            <v>404</v>
          </cell>
          <cell r="F2478">
            <v>-31000</v>
          </cell>
          <cell r="G2478">
            <v>11</v>
          </cell>
          <cell r="H2478" t="str">
            <v>2006-11-30</v>
          </cell>
        </row>
        <row r="2479">
          <cell r="A2479" t="str">
            <v>481000</v>
          </cell>
          <cell r="B2479" t="str">
            <v>1015</v>
          </cell>
          <cell r="C2479">
            <v>-25142.400000000001</v>
          </cell>
          <cell r="D2479" t="str">
            <v>203</v>
          </cell>
          <cell r="E2479" t="str">
            <v>404</v>
          </cell>
          <cell r="F2479">
            <v>0</v>
          </cell>
          <cell r="G2479">
            <v>11</v>
          </cell>
          <cell r="H2479" t="str">
            <v>2006-11-30</v>
          </cell>
        </row>
        <row r="2480">
          <cell r="A2480" t="str">
            <v>481000</v>
          </cell>
          <cell r="B2480" t="str">
            <v>1015</v>
          </cell>
          <cell r="C2480">
            <v>-159979.20000000001</v>
          </cell>
          <cell r="D2480" t="str">
            <v>204</v>
          </cell>
          <cell r="E2480" t="str">
            <v>404</v>
          </cell>
          <cell r="F2480">
            <v>0</v>
          </cell>
          <cell r="G2480">
            <v>11</v>
          </cell>
          <cell r="H2480" t="str">
            <v>2006-11-30</v>
          </cell>
        </row>
        <row r="2481">
          <cell r="A2481" t="str">
            <v>481004</v>
          </cell>
          <cell r="B2481" t="str">
            <v>1015</v>
          </cell>
          <cell r="C2481">
            <v>0</v>
          </cell>
          <cell r="D2481" t="str">
            <v>202</v>
          </cell>
          <cell r="E2481" t="str">
            <v>404</v>
          </cell>
          <cell r="F2481">
            <v>0</v>
          </cell>
          <cell r="G2481">
            <v>11</v>
          </cell>
          <cell r="H2481" t="str">
            <v>2006-11-30</v>
          </cell>
        </row>
        <row r="2482">
          <cell r="A2482" t="str">
            <v>481004</v>
          </cell>
          <cell r="B2482" t="str">
            <v>1015</v>
          </cell>
          <cell r="C2482">
            <v>0</v>
          </cell>
          <cell r="D2482" t="str">
            <v>203</v>
          </cell>
          <cell r="E2482" t="str">
            <v>404</v>
          </cell>
          <cell r="F2482">
            <v>0</v>
          </cell>
          <cell r="G2482">
            <v>11</v>
          </cell>
          <cell r="H2482" t="str">
            <v>2006-11-30</v>
          </cell>
        </row>
        <row r="2483">
          <cell r="A2483" t="str">
            <v>481004</v>
          </cell>
          <cell r="B2483" t="str">
            <v>1015</v>
          </cell>
          <cell r="C2483">
            <v>0</v>
          </cell>
          <cell r="D2483" t="str">
            <v>204</v>
          </cell>
          <cell r="E2483" t="str">
            <v>404</v>
          </cell>
          <cell r="F2483">
            <v>0</v>
          </cell>
          <cell r="G2483">
            <v>11</v>
          </cell>
          <cell r="H2483" t="str">
            <v>2006-11-30</v>
          </cell>
        </row>
        <row r="2484">
          <cell r="A2484" t="str">
            <v>481004</v>
          </cell>
          <cell r="B2484" t="str">
            <v>1015</v>
          </cell>
          <cell r="C2484">
            <v>0</v>
          </cell>
          <cell r="D2484" t="str">
            <v>210</v>
          </cell>
          <cell r="E2484" t="str">
            <v>404</v>
          </cell>
          <cell r="F2484">
            <v>0</v>
          </cell>
          <cell r="G2484">
            <v>11</v>
          </cell>
          <cell r="H2484" t="str">
            <v>2006-11-30</v>
          </cell>
        </row>
        <row r="2485">
          <cell r="A2485" t="str">
            <v>489300</v>
          </cell>
          <cell r="B2485" t="str">
            <v>1015</v>
          </cell>
          <cell r="C2485">
            <v>-206085.34</v>
          </cell>
          <cell r="D2485" t="str">
            <v>250</v>
          </cell>
          <cell r="E2485" t="str">
            <v>405</v>
          </cell>
          <cell r="F2485">
            <v>0</v>
          </cell>
          <cell r="G2485">
            <v>11</v>
          </cell>
          <cell r="H2485" t="str">
            <v>2006-11-30</v>
          </cell>
        </row>
        <row r="2486">
          <cell r="A2486" t="str">
            <v>489300</v>
          </cell>
          <cell r="B2486" t="str">
            <v>1015</v>
          </cell>
          <cell r="C2486">
            <v>58293.2</v>
          </cell>
          <cell r="D2486" t="str">
            <v>250</v>
          </cell>
          <cell r="E2486" t="str">
            <v>405</v>
          </cell>
          <cell r="F2486">
            <v>337094</v>
          </cell>
          <cell r="G2486">
            <v>11</v>
          </cell>
          <cell r="H2486" t="str">
            <v>2006-11-30</v>
          </cell>
        </row>
        <row r="2487">
          <cell r="A2487" t="str">
            <v>489300</v>
          </cell>
          <cell r="B2487" t="str">
            <v>1015</v>
          </cell>
          <cell r="C2487">
            <v>-51770.99</v>
          </cell>
          <cell r="D2487" t="str">
            <v>250</v>
          </cell>
          <cell r="E2487" t="str">
            <v>405</v>
          </cell>
          <cell r="F2487">
            <v>-341576</v>
          </cell>
          <cell r="G2487">
            <v>11</v>
          </cell>
          <cell r="H2487" t="str">
            <v>2006-11-30</v>
          </cell>
        </row>
        <row r="2488">
          <cell r="A2488" t="str">
            <v>489300</v>
          </cell>
          <cell r="B2488" t="str">
            <v>1015</v>
          </cell>
          <cell r="C2488">
            <v>-56230.62</v>
          </cell>
          <cell r="D2488" t="str">
            <v>250</v>
          </cell>
          <cell r="E2488" t="str">
            <v>405</v>
          </cell>
          <cell r="F2488">
            <v>-320922</v>
          </cell>
          <cell r="G2488">
            <v>11</v>
          </cell>
          <cell r="H2488" t="str">
            <v>2006-11-30</v>
          </cell>
        </row>
        <row r="2489">
          <cell r="A2489" t="str">
            <v>489304</v>
          </cell>
          <cell r="B2489" t="str">
            <v>1015</v>
          </cell>
          <cell r="C2489">
            <v>-2090.34</v>
          </cell>
          <cell r="D2489" t="str">
            <v>250</v>
          </cell>
          <cell r="E2489" t="str">
            <v>405</v>
          </cell>
          <cell r="F2489">
            <v>0</v>
          </cell>
          <cell r="G2489">
            <v>11</v>
          </cell>
          <cell r="H2489" t="str">
            <v>2006-11-30</v>
          </cell>
        </row>
        <row r="2490">
          <cell r="A2490" t="str">
            <v>489304</v>
          </cell>
          <cell r="B2490" t="str">
            <v>1015</v>
          </cell>
          <cell r="C2490">
            <v>72103.070000000007</v>
          </cell>
          <cell r="D2490" t="str">
            <v>250</v>
          </cell>
          <cell r="E2490" t="str">
            <v>405</v>
          </cell>
          <cell r="F2490">
            <v>525267</v>
          </cell>
          <cell r="G2490">
            <v>11</v>
          </cell>
          <cell r="H2490" t="str">
            <v>2006-11-30</v>
          </cell>
        </row>
        <row r="2491">
          <cell r="A2491" t="str">
            <v>489304</v>
          </cell>
          <cell r="B2491" t="str">
            <v>1015</v>
          </cell>
          <cell r="C2491">
            <v>-74930.649999999994</v>
          </cell>
          <cell r="D2491" t="str">
            <v>250</v>
          </cell>
          <cell r="E2491" t="str">
            <v>405</v>
          </cell>
          <cell r="F2491">
            <v>-535294</v>
          </cell>
          <cell r="G2491">
            <v>11</v>
          </cell>
          <cell r="H2491" t="str">
            <v>2006-11-30</v>
          </cell>
        </row>
        <row r="2492">
          <cell r="A2492" t="str">
            <v>489304</v>
          </cell>
          <cell r="B2492" t="str">
            <v>1015</v>
          </cell>
          <cell r="C2492">
            <v>-70012.73</v>
          </cell>
          <cell r="D2492" t="str">
            <v>250</v>
          </cell>
          <cell r="E2492" t="str">
            <v>405</v>
          </cell>
          <cell r="F2492">
            <v>-525267</v>
          </cell>
          <cell r="G2492">
            <v>11</v>
          </cell>
          <cell r="H2492" t="str">
            <v>2006-11-30</v>
          </cell>
        </row>
        <row r="2493">
          <cell r="A2493" t="str">
            <v>489300</v>
          </cell>
          <cell r="B2493" t="str">
            <v>1015</v>
          </cell>
          <cell r="C2493">
            <v>-20279.8</v>
          </cell>
          <cell r="D2493" t="str">
            <v>250</v>
          </cell>
          <cell r="E2493" t="str">
            <v>406</v>
          </cell>
          <cell r="F2493">
            <v>0</v>
          </cell>
          <cell r="G2493">
            <v>11</v>
          </cell>
          <cell r="H2493" t="str">
            <v>2006-11-30</v>
          </cell>
        </row>
        <row r="2494">
          <cell r="A2494" t="str">
            <v>489300</v>
          </cell>
          <cell r="B2494" t="str">
            <v>1015</v>
          </cell>
          <cell r="C2494">
            <v>116541.98</v>
          </cell>
          <cell r="D2494" t="str">
            <v>250</v>
          </cell>
          <cell r="E2494" t="str">
            <v>406</v>
          </cell>
          <cell r="F2494">
            <v>549448</v>
          </cell>
          <cell r="G2494">
            <v>11</v>
          </cell>
          <cell r="H2494" t="str">
            <v>2006-11-30</v>
          </cell>
        </row>
        <row r="2495">
          <cell r="A2495" t="str">
            <v>489300</v>
          </cell>
          <cell r="B2495" t="str">
            <v>1015</v>
          </cell>
          <cell r="C2495">
            <v>-91599.18</v>
          </cell>
          <cell r="D2495" t="str">
            <v>250</v>
          </cell>
          <cell r="E2495" t="str">
            <v>406</v>
          </cell>
          <cell r="F2495">
            <v>-549448</v>
          </cell>
          <cell r="G2495">
            <v>11</v>
          </cell>
          <cell r="H2495" t="str">
            <v>2006-11-30</v>
          </cell>
        </row>
        <row r="2496">
          <cell r="A2496" t="str">
            <v>489300</v>
          </cell>
          <cell r="B2496" t="str">
            <v>1015</v>
          </cell>
          <cell r="C2496">
            <v>-110773.82</v>
          </cell>
          <cell r="D2496" t="str">
            <v>250</v>
          </cell>
          <cell r="E2496" t="str">
            <v>406</v>
          </cell>
          <cell r="F2496">
            <v>-524211</v>
          </cell>
          <cell r="G2496">
            <v>11</v>
          </cell>
          <cell r="H2496" t="str">
            <v>2006-11-30</v>
          </cell>
        </row>
        <row r="2497">
          <cell r="A2497" t="str">
            <v>489304</v>
          </cell>
          <cell r="B2497" t="str">
            <v>1015</v>
          </cell>
          <cell r="C2497">
            <v>-2424.0100000000002</v>
          </cell>
          <cell r="D2497" t="str">
            <v>250</v>
          </cell>
          <cell r="E2497" t="str">
            <v>406</v>
          </cell>
          <cell r="F2497">
            <v>0</v>
          </cell>
          <cell r="G2497">
            <v>11</v>
          </cell>
          <cell r="H2497" t="str">
            <v>2006-11-30</v>
          </cell>
        </row>
        <row r="2498">
          <cell r="A2498" t="str">
            <v>489304</v>
          </cell>
          <cell r="B2498" t="str">
            <v>1015</v>
          </cell>
          <cell r="C2498">
            <v>39942.129999999997</v>
          </cell>
          <cell r="D2498" t="str">
            <v>250</v>
          </cell>
          <cell r="E2498" t="str">
            <v>406</v>
          </cell>
          <cell r="F2498">
            <v>212969</v>
          </cell>
          <cell r="G2498">
            <v>11</v>
          </cell>
          <cell r="H2498" t="str">
            <v>2006-11-30</v>
          </cell>
        </row>
        <row r="2499">
          <cell r="A2499" t="str">
            <v>489304</v>
          </cell>
          <cell r="B2499" t="str">
            <v>1015</v>
          </cell>
          <cell r="C2499">
            <v>-41055.370000000003</v>
          </cell>
          <cell r="D2499" t="str">
            <v>250</v>
          </cell>
          <cell r="E2499" t="str">
            <v>406</v>
          </cell>
          <cell r="F2499">
            <v>-225836</v>
          </cell>
          <cell r="G2499">
            <v>11</v>
          </cell>
          <cell r="H2499" t="str">
            <v>2006-11-30</v>
          </cell>
        </row>
        <row r="2500">
          <cell r="A2500" t="str">
            <v>489304</v>
          </cell>
          <cell r="B2500" t="str">
            <v>1015</v>
          </cell>
          <cell r="C2500">
            <v>-35173.129999999997</v>
          </cell>
          <cell r="D2500" t="str">
            <v>250</v>
          </cell>
          <cell r="E2500" t="str">
            <v>406</v>
          </cell>
          <cell r="F2500">
            <v>-212969</v>
          </cell>
          <cell r="G2500">
            <v>11</v>
          </cell>
          <cell r="H2500" t="str">
            <v>2006-11-30</v>
          </cell>
        </row>
        <row r="2501">
          <cell r="A2501" t="str">
            <v>480000</v>
          </cell>
          <cell r="B2501" t="str">
            <v>1015</v>
          </cell>
          <cell r="C2501">
            <v>-3954668.39</v>
          </cell>
          <cell r="D2501" t="str">
            <v>202</v>
          </cell>
          <cell r="E2501" t="str">
            <v>407</v>
          </cell>
          <cell r="F2501">
            <v>0</v>
          </cell>
          <cell r="G2501">
            <v>11</v>
          </cell>
          <cell r="H2501" t="str">
            <v>2006-11-30</v>
          </cell>
        </row>
        <row r="2502">
          <cell r="A2502" t="str">
            <v>480000</v>
          </cell>
          <cell r="B2502" t="str">
            <v>1015</v>
          </cell>
          <cell r="C2502">
            <v>-0.54</v>
          </cell>
          <cell r="D2502" t="str">
            <v>202</v>
          </cell>
          <cell r="E2502" t="str">
            <v>407</v>
          </cell>
          <cell r="F2502">
            <v>-0.27</v>
          </cell>
          <cell r="G2502">
            <v>11</v>
          </cell>
          <cell r="H2502" t="str">
            <v>2006-11-30</v>
          </cell>
        </row>
        <row r="2503">
          <cell r="A2503" t="str">
            <v>480000</v>
          </cell>
          <cell r="B2503" t="str">
            <v>1015</v>
          </cell>
          <cell r="C2503">
            <v>-82.82</v>
          </cell>
          <cell r="D2503" t="str">
            <v>202</v>
          </cell>
          <cell r="E2503" t="str">
            <v>407</v>
          </cell>
          <cell r="F2503">
            <v>-45.49</v>
          </cell>
          <cell r="G2503">
            <v>11</v>
          </cell>
          <cell r="H2503" t="str">
            <v>2006-11-30</v>
          </cell>
        </row>
        <row r="2504">
          <cell r="A2504" t="str">
            <v>480000</v>
          </cell>
          <cell r="B2504" t="str">
            <v>1015</v>
          </cell>
          <cell r="C2504">
            <v>-64.52</v>
          </cell>
          <cell r="D2504" t="str">
            <v>202</v>
          </cell>
          <cell r="E2504" t="str">
            <v>407</v>
          </cell>
          <cell r="F2504">
            <v>-35.76</v>
          </cell>
          <cell r="G2504">
            <v>11</v>
          </cell>
          <cell r="H2504" t="str">
            <v>2006-11-30</v>
          </cell>
        </row>
        <row r="2505">
          <cell r="A2505" t="str">
            <v>480000</v>
          </cell>
          <cell r="B2505" t="str">
            <v>1015</v>
          </cell>
          <cell r="C2505">
            <v>-58.77</v>
          </cell>
          <cell r="D2505" t="str">
            <v>202</v>
          </cell>
          <cell r="E2505" t="str">
            <v>407</v>
          </cell>
          <cell r="F2505">
            <v>-35.36</v>
          </cell>
          <cell r="G2505">
            <v>11</v>
          </cell>
          <cell r="H2505" t="str">
            <v>2006-11-30</v>
          </cell>
        </row>
        <row r="2506">
          <cell r="A2506" t="str">
            <v>480000</v>
          </cell>
          <cell r="B2506" t="str">
            <v>1015</v>
          </cell>
          <cell r="C2506">
            <v>-26.12</v>
          </cell>
          <cell r="D2506" t="str">
            <v>202</v>
          </cell>
          <cell r="E2506" t="str">
            <v>407</v>
          </cell>
          <cell r="F2506">
            <v>-15.13</v>
          </cell>
          <cell r="G2506">
            <v>11</v>
          </cell>
          <cell r="H2506" t="str">
            <v>2006-11-30</v>
          </cell>
        </row>
        <row r="2507">
          <cell r="A2507" t="str">
            <v>480000</v>
          </cell>
          <cell r="B2507" t="str">
            <v>1015</v>
          </cell>
          <cell r="C2507">
            <v>-13.59</v>
          </cell>
          <cell r="D2507" t="str">
            <v>202</v>
          </cell>
          <cell r="E2507" t="str">
            <v>407</v>
          </cell>
          <cell r="F2507">
            <v>-6.97</v>
          </cell>
          <cell r="G2507">
            <v>11</v>
          </cell>
          <cell r="H2507" t="str">
            <v>2006-11-30</v>
          </cell>
        </row>
        <row r="2508">
          <cell r="A2508" t="str">
            <v>480000</v>
          </cell>
          <cell r="B2508" t="str">
            <v>1015</v>
          </cell>
          <cell r="C2508">
            <v>-9.76</v>
          </cell>
          <cell r="D2508" t="str">
            <v>202</v>
          </cell>
          <cell r="E2508" t="str">
            <v>407</v>
          </cell>
          <cell r="F2508">
            <v>-5.91</v>
          </cell>
          <cell r="G2508">
            <v>11</v>
          </cell>
          <cell r="H2508" t="str">
            <v>2006-11-30</v>
          </cell>
        </row>
        <row r="2509">
          <cell r="A2509" t="str">
            <v>480000</v>
          </cell>
          <cell r="B2509" t="str">
            <v>1015</v>
          </cell>
          <cell r="C2509">
            <v>-2.44</v>
          </cell>
          <cell r="D2509" t="str">
            <v>202</v>
          </cell>
          <cell r="E2509" t="str">
            <v>407</v>
          </cell>
          <cell r="F2509">
            <v>-1.47</v>
          </cell>
          <cell r="G2509">
            <v>11</v>
          </cell>
          <cell r="H2509" t="str">
            <v>2006-11-30</v>
          </cell>
        </row>
        <row r="2510">
          <cell r="A2510" t="str">
            <v>480000</v>
          </cell>
          <cell r="B2510" t="str">
            <v>1015</v>
          </cell>
          <cell r="C2510">
            <v>-2.71</v>
          </cell>
          <cell r="D2510" t="str">
            <v>202</v>
          </cell>
          <cell r="E2510" t="str">
            <v>407</v>
          </cell>
          <cell r="F2510">
            <v>-1.39</v>
          </cell>
          <cell r="G2510">
            <v>11</v>
          </cell>
          <cell r="H2510" t="str">
            <v>2006-11-30</v>
          </cell>
        </row>
        <row r="2511">
          <cell r="A2511" t="str">
            <v>480000</v>
          </cell>
          <cell r="B2511" t="str">
            <v>1015</v>
          </cell>
          <cell r="C2511">
            <v>-2.29</v>
          </cell>
          <cell r="D2511" t="str">
            <v>202</v>
          </cell>
          <cell r="E2511" t="str">
            <v>407</v>
          </cell>
          <cell r="F2511">
            <v>-1.38</v>
          </cell>
          <cell r="G2511">
            <v>11</v>
          </cell>
          <cell r="H2511" t="str">
            <v>2006-11-30</v>
          </cell>
        </row>
        <row r="2512">
          <cell r="A2512" t="str">
            <v>480000</v>
          </cell>
          <cell r="B2512" t="str">
            <v>1015</v>
          </cell>
          <cell r="C2512">
            <v>-17153.72</v>
          </cell>
          <cell r="D2512" t="str">
            <v>202</v>
          </cell>
          <cell r="E2512" t="str">
            <v>407</v>
          </cell>
          <cell r="F2512">
            <v>-9129.99</v>
          </cell>
          <cell r="G2512">
            <v>11</v>
          </cell>
          <cell r="H2512" t="str">
            <v>2006-11-30</v>
          </cell>
        </row>
        <row r="2513">
          <cell r="A2513" t="str">
            <v>480000</v>
          </cell>
          <cell r="B2513" t="str">
            <v>1015</v>
          </cell>
          <cell r="C2513">
            <v>-11475.96</v>
          </cell>
          <cell r="D2513" t="str">
            <v>202</v>
          </cell>
          <cell r="E2513" t="str">
            <v>407</v>
          </cell>
          <cell r="F2513">
            <v>-6508.56</v>
          </cell>
          <cell r="G2513">
            <v>11</v>
          </cell>
          <cell r="H2513" t="str">
            <v>2006-11-30</v>
          </cell>
        </row>
        <row r="2514">
          <cell r="A2514" t="str">
            <v>480000</v>
          </cell>
          <cell r="B2514" t="str">
            <v>1015</v>
          </cell>
          <cell r="C2514">
            <v>-674.2</v>
          </cell>
          <cell r="D2514" t="str">
            <v>202</v>
          </cell>
          <cell r="E2514" t="str">
            <v>407</v>
          </cell>
          <cell r="F2514">
            <v>-367.47</v>
          </cell>
          <cell r="G2514">
            <v>11</v>
          </cell>
          <cell r="H2514" t="str">
            <v>2006-11-30</v>
          </cell>
        </row>
        <row r="2515">
          <cell r="A2515" t="str">
            <v>480000</v>
          </cell>
          <cell r="B2515" t="str">
            <v>1015</v>
          </cell>
          <cell r="C2515">
            <v>-1092741.18</v>
          </cell>
          <cell r="D2515" t="str">
            <v>202</v>
          </cell>
          <cell r="E2515" t="str">
            <v>407</v>
          </cell>
          <cell r="F2515">
            <v>-637767.03</v>
          </cell>
          <cell r="G2515">
            <v>11</v>
          </cell>
          <cell r="H2515" t="str">
            <v>2006-11-30</v>
          </cell>
        </row>
        <row r="2516">
          <cell r="A2516" t="str">
            <v>480000</v>
          </cell>
          <cell r="B2516" t="str">
            <v>1015</v>
          </cell>
          <cell r="C2516">
            <v>-1070829.73</v>
          </cell>
          <cell r="D2516" t="str">
            <v>202</v>
          </cell>
          <cell r="E2516" t="str">
            <v>407</v>
          </cell>
          <cell r="F2516">
            <v>-595123.91</v>
          </cell>
          <cell r="G2516">
            <v>11</v>
          </cell>
          <cell r="H2516" t="str">
            <v>2006-11-30</v>
          </cell>
        </row>
        <row r="2517">
          <cell r="A2517" t="str">
            <v>480000</v>
          </cell>
          <cell r="B2517" t="str">
            <v>1015</v>
          </cell>
          <cell r="C2517">
            <v>-845800.6</v>
          </cell>
          <cell r="D2517" t="str">
            <v>202</v>
          </cell>
          <cell r="E2517" t="str">
            <v>407</v>
          </cell>
          <cell r="F2517">
            <v>-510467.03</v>
          </cell>
          <cell r="G2517">
            <v>11</v>
          </cell>
          <cell r="H2517" t="str">
            <v>2006-11-30</v>
          </cell>
        </row>
        <row r="2518">
          <cell r="A2518" t="str">
            <v>480000</v>
          </cell>
          <cell r="B2518" t="str">
            <v>1015</v>
          </cell>
          <cell r="C2518">
            <v>-683443.73</v>
          </cell>
          <cell r="D2518" t="str">
            <v>202</v>
          </cell>
          <cell r="E2518" t="str">
            <v>407</v>
          </cell>
          <cell r="F2518">
            <v>-412007.66</v>
          </cell>
          <cell r="G2518">
            <v>11</v>
          </cell>
          <cell r="H2518" t="str">
            <v>2006-11-30</v>
          </cell>
        </row>
        <row r="2519">
          <cell r="A2519" t="str">
            <v>480000</v>
          </cell>
          <cell r="B2519" t="str">
            <v>1015</v>
          </cell>
          <cell r="C2519">
            <v>-736298.02</v>
          </cell>
          <cell r="D2519" t="str">
            <v>202</v>
          </cell>
          <cell r="E2519" t="str">
            <v>407</v>
          </cell>
          <cell r="F2519">
            <v>-402628.42</v>
          </cell>
          <cell r="G2519">
            <v>11</v>
          </cell>
          <cell r="H2519" t="str">
            <v>2006-11-30</v>
          </cell>
        </row>
        <row r="2520">
          <cell r="A2520" t="str">
            <v>480000</v>
          </cell>
          <cell r="B2520" t="str">
            <v>1015</v>
          </cell>
          <cell r="C2520">
            <v>-747236.07</v>
          </cell>
          <cell r="D2520" t="str">
            <v>202</v>
          </cell>
          <cell r="E2520" t="str">
            <v>407</v>
          </cell>
          <cell r="F2520">
            <v>-401898.07</v>
          </cell>
          <cell r="G2520">
            <v>11</v>
          </cell>
          <cell r="H2520" t="str">
            <v>2006-11-30</v>
          </cell>
        </row>
        <row r="2521">
          <cell r="A2521" t="str">
            <v>480000</v>
          </cell>
          <cell r="B2521" t="str">
            <v>1015</v>
          </cell>
          <cell r="C2521">
            <v>-694733.71</v>
          </cell>
          <cell r="D2521" t="str">
            <v>202</v>
          </cell>
          <cell r="E2521" t="str">
            <v>407</v>
          </cell>
          <cell r="F2521">
            <v>-397535.81</v>
          </cell>
          <cell r="G2521">
            <v>11</v>
          </cell>
          <cell r="H2521" t="str">
            <v>2006-11-30</v>
          </cell>
        </row>
        <row r="2522">
          <cell r="A2522" t="str">
            <v>480000</v>
          </cell>
          <cell r="B2522" t="str">
            <v>1015</v>
          </cell>
          <cell r="C2522">
            <v>-686700.1</v>
          </cell>
          <cell r="D2522" t="str">
            <v>202</v>
          </cell>
          <cell r="E2522" t="str">
            <v>407</v>
          </cell>
          <cell r="F2522">
            <v>-389676.21</v>
          </cell>
          <cell r="G2522">
            <v>11</v>
          </cell>
          <cell r="H2522" t="str">
            <v>2006-11-30</v>
          </cell>
        </row>
        <row r="2523">
          <cell r="A2523" t="str">
            <v>480000</v>
          </cell>
          <cell r="B2523" t="str">
            <v>1015</v>
          </cell>
          <cell r="C2523">
            <v>-646119.73</v>
          </cell>
          <cell r="D2523" t="str">
            <v>202</v>
          </cell>
          <cell r="E2523" t="str">
            <v>407</v>
          </cell>
          <cell r="F2523">
            <v>-349878.33</v>
          </cell>
          <cell r="G2523">
            <v>11</v>
          </cell>
          <cell r="H2523" t="str">
            <v>2006-11-30</v>
          </cell>
        </row>
        <row r="2524">
          <cell r="A2524" t="str">
            <v>480000</v>
          </cell>
          <cell r="B2524" t="str">
            <v>1015</v>
          </cell>
          <cell r="C2524">
            <v>-593526.03</v>
          </cell>
          <cell r="D2524" t="str">
            <v>202</v>
          </cell>
          <cell r="E2524" t="str">
            <v>407</v>
          </cell>
          <cell r="F2524">
            <v>-331892.45</v>
          </cell>
          <cell r="G2524">
            <v>11</v>
          </cell>
          <cell r="H2524" t="str">
            <v>2006-11-30</v>
          </cell>
        </row>
        <row r="2525">
          <cell r="A2525" t="str">
            <v>480000</v>
          </cell>
          <cell r="B2525" t="str">
            <v>1015</v>
          </cell>
          <cell r="C2525">
            <v>-479881.56</v>
          </cell>
          <cell r="D2525" t="str">
            <v>202</v>
          </cell>
          <cell r="E2525" t="str">
            <v>407</v>
          </cell>
          <cell r="F2525">
            <v>-283361.90000000002</v>
          </cell>
          <cell r="G2525">
            <v>11</v>
          </cell>
          <cell r="H2525" t="str">
            <v>2006-11-30</v>
          </cell>
        </row>
        <row r="2526">
          <cell r="A2526" t="str">
            <v>480000</v>
          </cell>
          <cell r="B2526" t="str">
            <v>1015</v>
          </cell>
          <cell r="C2526">
            <v>-397381.99</v>
          </cell>
          <cell r="D2526" t="str">
            <v>202</v>
          </cell>
          <cell r="E2526" t="str">
            <v>407</v>
          </cell>
          <cell r="F2526">
            <v>-232909.18</v>
          </cell>
          <cell r="G2526">
            <v>11</v>
          </cell>
          <cell r="H2526" t="str">
            <v>2006-11-30</v>
          </cell>
        </row>
        <row r="2527">
          <cell r="A2527" t="str">
            <v>480000</v>
          </cell>
          <cell r="B2527" t="str">
            <v>1015</v>
          </cell>
          <cell r="C2527">
            <v>-338831.63</v>
          </cell>
          <cell r="D2527" t="str">
            <v>202</v>
          </cell>
          <cell r="E2527" t="str">
            <v>407</v>
          </cell>
          <cell r="F2527">
            <v>-181415.7</v>
          </cell>
          <cell r="G2527">
            <v>11</v>
          </cell>
          <cell r="H2527" t="str">
            <v>2006-11-30</v>
          </cell>
        </row>
        <row r="2528">
          <cell r="A2528" t="str">
            <v>480000</v>
          </cell>
          <cell r="B2528" t="str">
            <v>1015</v>
          </cell>
          <cell r="C2528">
            <v>-267032.5</v>
          </cell>
          <cell r="D2528" t="str">
            <v>202</v>
          </cell>
          <cell r="E2528" t="str">
            <v>407</v>
          </cell>
          <cell r="F2528">
            <v>-162403.22</v>
          </cell>
          <cell r="G2528">
            <v>11</v>
          </cell>
          <cell r="H2528" t="str">
            <v>2006-11-30</v>
          </cell>
        </row>
        <row r="2529">
          <cell r="A2529" t="str">
            <v>480000</v>
          </cell>
          <cell r="B2529" t="str">
            <v>1015</v>
          </cell>
          <cell r="C2529">
            <v>-155891.5</v>
          </cell>
          <cell r="D2529" t="str">
            <v>202</v>
          </cell>
          <cell r="E2529" t="str">
            <v>407</v>
          </cell>
          <cell r="F2529">
            <v>-85523.97</v>
          </cell>
          <cell r="G2529">
            <v>11</v>
          </cell>
          <cell r="H2529" t="str">
            <v>2006-11-30</v>
          </cell>
        </row>
        <row r="2530">
          <cell r="A2530" t="str">
            <v>480000</v>
          </cell>
          <cell r="B2530" t="str">
            <v>1015</v>
          </cell>
          <cell r="C2530">
            <v>-19921.78</v>
          </cell>
          <cell r="D2530" t="str">
            <v>202</v>
          </cell>
          <cell r="E2530" t="str">
            <v>407</v>
          </cell>
          <cell r="F2530">
            <v>-10944.4</v>
          </cell>
          <cell r="G2530">
            <v>11</v>
          </cell>
          <cell r="H2530" t="str">
            <v>2006-11-30</v>
          </cell>
        </row>
        <row r="2531">
          <cell r="A2531" t="str">
            <v>480000</v>
          </cell>
          <cell r="B2531" t="str">
            <v>1015</v>
          </cell>
          <cell r="C2531">
            <v>-4402812.62</v>
          </cell>
          <cell r="D2531" t="str">
            <v>203</v>
          </cell>
          <cell r="E2531" t="str">
            <v>407</v>
          </cell>
          <cell r="F2531">
            <v>0</v>
          </cell>
          <cell r="G2531">
            <v>11</v>
          </cell>
          <cell r="H2531" t="str">
            <v>2006-11-30</v>
          </cell>
        </row>
        <row r="2532">
          <cell r="A2532" t="str">
            <v>480000</v>
          </cell>
          <cell r="B2532" t="str">
            <v>1015</v>
          </cell>
          <cell r="C2532">
            <v>-32636942.710000001</v>
          </cell>
          <cell r="D2532" t="str">
            <v>204</v>
          </cell>
          <cell r="E2532" t="str">
            <v>407</v>
          </cell>
          <cell r="F2532">
            <v>0</v>
          </cell>
          <cell r="G2532">
            <v>11</v>
          </cell>
          <cell r="H2532" t="str">
            <v>2006-11-30</v>
          </cell>
        </row>
        <row r="2533">
          <cell r="A2533" t="str">
            <v>480000</v>
          </cell>
          <cell r="B2533" t="str">
            <v>1015</v>
          </cell>
          <cell r="C2533">
            <v>633940.64</v>
          </cell>
          <cell r="D2533" t="str">
            <v>205</v>
          </cell>
          <cell r="E2533" t="str">
            <v>407</v>
          </cell>
          <cell r="F2533">
            <v>0</v>
          </cell>
          <cell r="G2533">
            <v>11</v>
          </cell>
          <cell r="H2533" t="str">
            <v>2006-11-30</v>
          </cell>
        </row>
        <row r="2534">
          <cell r="A2534" t="str">
            <v>480000</v>
          </cell>
          <cell r="B2534" t="str">
            <v>1015</v>
          </cell>
          <cell r="C2534">
            <v>-12.43</v>
          </cell>
          <cell r="D2534" t="str">
            <v>210</v>
          </cell>
          <cell r="E2534" t="str">
            <v>407</v>
          </cell>
          <cell r="F2534">
            <v>0</v>
          </cell>
          <cell r="G2534">
            <v>11</v>
          </cell>
          <cell r="H2534" t="str">
            <v>2006-11-30</v>
          </cell>
        </row>
        <row r="2535">
          <cell r="A2535" t="str">
            <v>480001</v>
          </cell>
          <cell r="B2535" t="str">
            <v>1015</v>
          </cell>
          <cell r="C2535">
            <v>104019.41</v>
          </cell>
          <cell r="D2535" t="str">
            <v>202</v>
          </cell>
          <cell r="E2535" t="str">
            <v>407</v>
          </cell>
          <cell r="F2535">
            <v>11645.53</v>
          </cell>
          <cell r="G2535">
            <v>11</v>
          </cell>
          <cell r="H2535" t="str">
            <v>2006-11-30</v>
          </cell>
        </row>
        <row r="2536">
          <cell r="A2536" t="str">
            <v>480001</v>
          </cell>
          <cell r="B2536" t="str">
            <v>1015</v>
          </cell>
          <cell r="C2536">
            <v>-113501.32</v>
          </cell>
          <cell r="D2536" t="str">
            <v>202</v>
          </cell>
          <cell r="E2536" t="str">
            <v>407</v>
          </cell>
          <cell r="F2536">
            <v>-16127.33</v>
          </cell>
          <cell r="G2536">
            <v>11</v>
          </cell>
          <cell r="H2536" t="str">
            <v>2006-11-30</v>
          </cell>
        </row>
        <row r="2537">
          <cell r="A2537" t="str">
            <v>480001</v>
          </cell>
          <cell r="B2537" t="str">
            <v>1015</v>
          </cell>
          <cell r="C2537">
            <v>583120.07999999996</v>
          </cell>
          <cell r="D2537" t="str">
            <v>202</v>
          </cell>
          <cell r="E2537" t="str">
            <v>407</v>
          </cell>
          <cell r="F2537">
            <v>2896134.25</v>
          </cell>
          <cell r="G2537">
            <v>11</v>
          </cell>
          <cell r="H2537" t="str">
            <v>2006-11-30</v>
          </cell>
        </row>
        <row r="2538">
          <cell r="A2538" t="str">
            <v>480001</v>
          </cell>
          <cell r="B2538" t="str">
            <v>1015</v>
          </cell>
          <cell r="C2538">
            <v>-5228487.33</v>
          </cell>
          <cell r="D2538" t="str">
            <v>202</v>
          </cell>
          <cell r="E2538" t="str">
            <v>407</v>
          </cell>
          <cell r="F2538">
            <v>-4841821.9000000004</v>
          </cell>
          <cell r="G2538">
            <v>11</v>
          </cell>
          <cell r="H2538" t="str">
            <v>2006-11-30</v>
          </cell>
        </row>
        <row r="2539">
          <cell r="A2539" t="str">
            <v>480001</v>
          </cell>
          <cell r="B2539" t="str">
            <v>1015</v>
          </cell>
          <cell r="C2539">
            <v>-5561844.6100000003</v>
          </cell>
          <cell r="D2539" t="str">
            <v>203</v>
          </cell>
          <cell r="E2539" t="str">
            <v>407</v>
          </cell>
          <cell r="F2539">
            <v>0</v>
          </cell>
          <cell r="G2539">
            <v>11</v>
          </cell>
          <cell r="H2539" t="str">
            <v>2006-11-30</v>
          </cell>
        </row>
        <row r="2540">
          <cell r="A2540" t="str">
            <v>480001</v>
          </cell>
          <cell r="B2540" t="str">
            <v>1015</v>
          </cell>
          <cell r="C2540">
            <v>-5390864.0999999996</v>
          </cell>
          <cell r="D2540" t="str">
            <v>204</v>
          </cell>
          <cell r="E2540" t="str">
            <v>407</v>
          </cell>
          <cell r="F2540">
            <v>0</v>
          </cell>
          <cell r="G2540">
            <v>11</v>
          </cell>
          <cell r="H2540" t="str">
            <v>2006-11-30</v>
          </cell>
        </row>
        <row r="2541">
          <cell r="A2541" t="str">
            <v>480001</v>
          </cell>
          <cell r="B2541" t="str">
            <v>1015</v>
          </cell>
          <cell r="C2541">
            <v>-1183511.9099999999</v>
          </cell>
          <cell r="D2541" t="str">
            <v>205</v>
          </cell>
          <cell r="E2541" t="str">
            <v>407</v>
          </cell>
          <cell r="F2541">
            <v>0</v>
          </cell>
          <cell r="G2541">
            <v>11</v>
          </cell>
          <cell r="H2541" t="str">
            <v>2006-11-30</v>
          </cell>
        </row>
        <row r="2542">
          <cell r="A2542" t="str">
            <v>480001</v>
          </cell>
          <cell r="B2542" t="str">
            <v>1015</v>
          </cell>
          <cell r="C2542">
            <v>1602.73</v>
          </cell>
          <cell r="D2542" t="str">
            <v>210</v>
          </cell>
          <cell r="E2542" t="str">
            <v>407</v>
          </cell>
          <cell r="F2542">
            <v>231.8</v>
          </cell>
          <cell r="G2542">
            <v>11</v>
          </cell>
          <cell r="H2542" t="str">
            <v>2006-11-30</v>
          </cell>
        </row>
        <row r="2543">
          <cell r="A2543" t="str">
            <v>480001</v>
          </cell>
          <cell r="B2543" t="str">
            <v>1015</v>
          </cell>
          <cell r="C2543">
            <v>-1602.73</v>
          </cell>
          <cell r="D2543" t="str">
            <v>210</v>
          </cell>
          <cell r="E2543" t="str">
            <v>407</v>
          </cell>
          <cell r="F2543">
            <v>-231.8</v>
          </cell>
          <cell r="G2543">
            <v>11</v>
          </cell>
          <cell r="H2543" t="str">
            <v>2006-11-30</v>
          </cell>
        </row>
        <row r="2544">
          <cell r="A2544" t="str">
            <v>480001</v>
          </cell>
          <cell r="B2544" t="str">
            <v>1015</v>
          </cell>
          <cell r="C2544">
            <v>1112538.95</v>
          </cell>
          <cell r="D2544" t="str">
            <v>210</v>
          </cell>
          <cell r="E2544" t="str">
            <v>407</v>
          </cell>
          <cell r="F2544">
            <v>171490.3</v>
          </cell>
          <cell r="G2544">
            <v>11</v>
          </cell>
          <cell r="H2544" t="str">
            <v>2006-11-30</v>
          </cell>
        </row>
        <row r="2545">
          <cell r="A2545" t="str">
            <v>480001</v>
          </cell>
          <cell r="B2545" t="str">
            <v>1015</v>
          </cell>
          <cell r="C2545">
            <v>-1121136.31</v>
          </cell>
          <cell r="D2545" t="str">
            <v>210</v>
          </cell>
          <cell r="E2545" t="str">
            <v>407</v>
          </cell>
          <cell r="F2545">
            <v>-172838.2</v>
          </cell>
          <cell r="G2545">
            <v>11</v>
          </cell>
          <cell r="H2545" t="str">
            <v>2006-11-30</v>
          </cell>
        </row>
        <row r="2546">
          <cell r="A2546" t="str">
            <v>481000</v>
          </cell>
          <cell r="B2546" t="str">
            <v>1015</v>
          </cell>
          <cell r="C2546">
            <v>-708</v>
          </cell>
          <cell r="D2546" t="str">
            <v>202</v>
          </cell>
          <cell r="E2546" t="str">
            <v>407</v>
          </cell>
          <cell r="F2546">
            <v>0</v>
          </cell>
          <cell r="G2546">
            <v>11</v>
          </cell>
          <cell r="H2546" t="str">
            <v>2006-11-30</v>
          </cell>
        </row>
        <row r="2547">
          <cell r="A2547" t="str">
            <v>481000</v>
          </cell>
          <cell r="B2547" t="str">
            <v>1015</v>
          </cell>
          <cell r="C2547">
            <v>-713.84</v>
          </cell>
          <cell r="D2547" t="str">
            <v>202</v>
          </cell>
          <cell r="E2547" t="str">
            <v>407</v>
          </cell>
          <cell r="F2547">
            <v>-788.39</v>
          </cell>
          <cell r="G2547">
            <v>11</v>
          </cell>
          <cell r="H2547" t="str">
            <v>2006-11-30</v>
          </cell>
        </row>
        <row r="2548">
          <cell r="A2548" t="str">
            <v>481000</v>
          </cell>
          <cell r="B2548" t="str">
            <v>1015</v>
          </cell>
          <cell r="C2548">
            <v>-527.17999999999995</v>
          </cell>
          <cell r="D2548" t="str">
            <v>202</v>
          </cell>
          <cell r="E2548" t="str">
            <v>407</v>
          </cell>
          <cell r="F2548">
            <v>-750.59</v>
          </cell>
          <cell r="G2548">
            <v>11</v>
          </cell>
          <cell r="H2548" t="str">
            <v>2006-11-30</v>
          </cell>
        </row>
        <row r="2549">
          <cell r="A2549" t="str">
            <v>481000</v>
          </cell>
          <cell r="B2549" t="str">
            <v>1015</v>
          </cell>
          <cell r="C2549">
            <v>-272.62</v>
          </cell>
          <cell r="D2549" t="str">
            <v>202</v>
          </cell>
          <cell r="E2549" t="str">
            <v>407</v>
          </cell>
          <cell r="F2549">
            <v>-332.21</v>
          </cell>
          <cell r="G2549">
            <v>11</v>
          </cell>
          <cell r="H2549" t="str">
            <v>2006-11-30</v>
          </cell>
        </row>
        <row r="2550">
          <cell r="A2550" t="str">
            <v>481000</v>
          </cell>
          <cell r="B2550" t="str">
            <v>1015</v>
          </cell>
          <cell r="C2550">
            <v>-1553.24</v>
          </cell>
          <cell r="D2550" t="str">
            <v>203</v>
          </cell>
          <cell r="E2550" t="str">
            <v>407</v>
          </cell>
          <cell r="F2550">
            <v>0</v>
          </cell>
          <cell r="G2550">
            <v>11</v>
          </cell>
          <cell r="H2550" t="str">
            <v>2006-11-30</v>
          </cell>
        </row>
        <row r="2551">
          <cell r="A2551" t="str">
            <v>481000</v>
          </cell>
          <cell r="B2551" t="str">
            <v>1015</v>
          </cell>
          <cell r="C2551">
            <v>-11242.53</v>
          </cell>
          <cell r="D2551" t="str">
            <v>204</v>
          </cell>
          <cell r="E2551" t="str">
            <v>407</v>
          </cell>
          <cell r="F2551">
            <v>0</v>
          </cell>
          <cell r="G2551">
            <v>11</v>
          </cell>
          <cell r="H2551" t="str">
            <v>2006-11-30</v>
          </cell>
        </row>
        <row r="2552">
          <cell r="A2552" t="str">
            <v>481000</v>
          </cell>
          <cell r="B2552" t="str">
            <v>1015</v>
          </cell>
          <cell r="C2552">
            <v>72.349999999999994</v>
          </cell>
          <cell r="D2552" t="str">
            <v>205</v>
          </cell>
          <cell r="E2552" t="str">
            <v>407</v>
          </cell>
          <cell r="F2552">
            <v>0</v>
          </cell>
          <cell r="G2552">
            <v>11</v>
          </cell>
          <cell r="H2552" t="str">
            <v>2006-11-30</v>
          </cell>
        </row>
        <row r="2553">
          <cell r="A2553" t="str">
            <v>481004</v>
          </cell>
          <cell r="B2553" t="str">
            <v>1015</v>
          </cell>
          <cell r="C2553">
            <v>-746075.23</v>
          </cell>
          <cell r="D2553" t="str">
            <v>202</v>
          </cell>
          <cell r="E2553" t="str">
            <v>407</v>
          </cell>
          <cell r="F2553">
            <v>0</v>
          </cell>
          <cell r="G2553">
            <v>11</v>
          </cell>
          <cell r="H2553" t="str">
            <v>2006-11-30</v>
          </cell>
        </row>
        <row r="2554">
          <cell r="A2554" t="str">
            <v>481004</v>
          </cell>
          <cell r="B2554" t="str">
            <v>1015</v>
          </cell>
          <cell r="C2554">
            <v>-84</v>
          </cell>
          <cell r="D2554" t="str">
            <v>202</v>
          </cell>
          <cell r="E2554" t="str">
            <v>407</v>
          </cell>
          <cell r="F2554">
            <v>-77.92</v>
          </cell>
          <cell r="G2554">
            <v>11</v>
          </cell>
          <cell r="H2554" t="str">
            <v>2006-11-30</v>
          </cell>
        </row>
        <row r="2555">
          <cell r="A2555" t="str">
            <v>481004</v>
          </cell>
          <cell r="B2555" t="str">
            <v>1015</v>
          </cell>
          <cell r="C2555">
            <v>-79.709999999999994</v>
          </cell>
          <cell r="D2555" t="str">
            <v>202</v>
          </cell>
          <cell r="E2555" t="str">
            <v>407</v>
          </cell>
          <cell r="F2555">
            <v>-43.26</v>
          </cell>
          <cell r="G2555">
            <v>11</v>
          </cell>
          <cell r="H2555" t="str">
            <v>2006-11-30</v>
          </cell>
        </row>
        <row r="2556">
          <cell r="A2556" t="str">
            <v>481004</v>
          </cell>
          <cell r="B2556" t="str">
            <v>1015</v>
          </cell>
          <cell r="C2556">
            <v>-10362.9</v>
          </cell>
          <cell r="D2556" t="str">
            <v>202</v>
          </cell>
          <cell r="E2556" t="str">
            <v>407</v>
          </cell>
          <cell r="F2556">
            <v>-8201.2199999999993</v>
          </cell>
          <cell r="G2556">
            <v>11</v>
          </cell>
          <cell r="H2556" t="str">
            <v>2006-11-30</v>
          </cell>
        </row>
        <row r="2557">
          <cell r="A2557" t="str">
            <v>481004</v>
          </cell>
          <cell r="B2557" t="str">
            <v>1015</v>
          </cell>
          <cell r="C2557">
            <v>-6935.71</v>
          </cell>
          <cell r="D2557" t="str">
            <v>202</v>
          </cell>
          <cell r="E2557" t="str">
            <v>407</v>
          </cell>
          <cell r="F2557">
            <v>-5180.21</v>
          </cell>
          <cell r="G2557">
            <v>11</v>
          </cell>
          <cell r="H2557" t="str">
            <v>2006-11-30</v>
          </cell>
        </row>
        <row r="2558">
          <cell r="A2558" t="str">
            <v>481004</v>
          </cell>
          <cell r="B2558" t="str">
            <v>1015</v>
          </cell>
          <cell r="C2558">
            <v>-1018.14</v>
          </cell>
          <cell r="D2558" t="str">
            <v>202</v>
          </cell>
          <cell r="E2558" t="str">
            <v>407</v>
          </cell>
          <cell r="F2558">
            <v>-587.01</v>
          </cell>
          <cell r="G2558">
            <v>11</v>
          </cell>
          <cell r="H2558" t="str">
            <v>2006-11-30</v>
          </cell>
        </row>
        <row r="2559">
          <cell r="A2559" t="str">
            <v>481004</v>
          </cell>
          <cell r="B2559" t="str">
            <v>1015</v>
          </cell>
          <cell r="C2559">
            <v>-1304.29</v>
          </cell>
          <cell r="D2559" t="str">
            <v>202</v>
          </cell>
          <cell r="E2559" t="str">
            <v>407</v>
          </cell>
          <cell r="F2559">
            <v>-428.63</v>
          </cell>
          <cell r="G2559">
            <v>11</v>
          </cell>
          <cell r="H2559" t="str">
            <v>2006-11-30</v>
          </cell>
        </row>
      </sheetData>
      <sheetData sheetId="5" refreshError="1">
        <row r="6">
          <cell r="BV6">
            <v>38383</v>
          </cell>
          <cell r="BW6">
            <v>38411</v>
          </cell>
          <cell r="BX6">
            <v>38442</v>
          </cell>
          <cell r="BY6">
            <v>38472</v>
          </cell>
          <cell r="BZ6">
            <v>38503</v>
          </cell>
          <cell r="CA6">
            <v>38533</v>
          </cell>
          <cell r="CB6">
            <v>38564</v>
          </cell>
          <cell r="CC6">
            <v>38595</v>
          </cell>
          <cell r="CD6">
            <v>38625</v>
          </cell>
          <cell r="CE6">
            <v>38656</v>
          </cell>
          <cell r="CF6">
            <v>38686</v>
          </cell>
          <cell r="CG6">
            <v>38717</v>
          </cell>
          <cell r="CH6">
            <v>38748</v>
          </cell>
          <cell r="CI6">
            <v>38776</v>
          </cell>
          <cell r="CJ6">
            <v>38807</v>
          </cell>
          <cell r="CK6">
            <v>38837</v>
          </cell>
          <cell r="CL6">
            <v>38868</v>
          </cell>
          <cell r="CM6">
            <v>38898</v>
          </cell>
          <cell r="CN6">
            <v>38929</v>
          </cell>
          <cell r="CO6">
            <v>38960</v>
          </cell>
          <cell r="CP6">
            <v>38990</v>
          </cell>
          <cell r="CQ6">
            <v>39021</v>
          </cell>
          <cell r="CR6">
            <v>39051</v>
          </cell>
          <cell r="CS6">
            <v>39082</v>
          </cell>
          <cell r="CT6">
            <v>39113</v>
          </cell>
          <cell r="CU6">
            <v>39141</v>
          </cell>
          <cell r="CV6">
            <v>39172</v>
          </cell>
          <cell r="CW6">
            <v>39202</v>
          </cell>
          <cell r="CX6">
            <v>39233</v>
          </cell>
          <cell r="CY6">
            <v>39263</v>
          </cell>
          <cell r="CZ6">
            <v>39294</v>
          </cell>
          <cell r="DA6">
            <v>39325</v>
          </cell>
          <cell r="DB6">
            <v>39355</v>
          </cell>
          <cell r="DC6">
            <v>39386</v>
          </cell>
          <cell r="DD6">
            <v>39416</v>
          </cell>
          <cell r="DE6">
            <v>39447</v>
          </cell>
          <cell r="DF6">
            <v>39478</v>
          </cell>
          <cell r="DG6">
            <v>39507</v>
          </cell>
          <cell r="DH6">
            <v>39538</v>
          </cell>
          <cell r="DI6">
            <v>39568</v>
          </cell>
          <cell r="DJ6">
            <v>39599</v>
          </cell>
          <cell r="DK6">
            <v>39629</v>
          </cell>
          <cell r="DL6">
            <v>39660</v>
          </cell>
          <cell r="DM6">
            <v>39691</v>
          </cell>
          <cell r="DN6">
            <v>39721</v>
          </cell>
          <cell r="DO6">
            <v>39752</v>
          </cell>
          <cell r="DP6">
            <v>39782</v>
          </cell>
          <cell r="DQ6">
            <v>39813</v>
          </cell>
          <cell r="DR6">
            <v>39844</v>
          </cell>
          <cell r="DS6">
            <v>39872</v>
          </cell>
          <cell r="DT6">
            <v>39903</v>
          </cell>
          <cell r="DU6">
            <v>39933</v>
          </cell>
          <cell r="DV6">
            <v>39964</v>
          </cell>
          <cell r="DW6">
            <v>39994</v>
          </cell>
          <cell r="DX6">
            <v>40025</v>
          </cell>
          <cell r="DY6">
            <v>40056</v>
          </cell>
          <cell r="DZ6">
            <v>40086</v>
          </cell>
          <cell r="EA6">
            <v>40117</v>
          </cell>
          <cell r="EB6">
            <v>40147</v>
          </cell>
          <cell r="EC6">
            <v>40178</v>
          </cell>
          <cell r="ED6">
            <v>40209</v>
          </cell>
          <cell r="EE6">
            <v>40237</v>
          </cell>
          <cell r="EF6">
            <v>40268</v>
          </cell>
          <cell r="EG6">
            <v>40298</v>
          </cell>
          <cell r="EH6">
            <v>40329</v>
          </cell>
          <cell r="EI6">
            <v>40359</v>
          </cell>
          <cell r="EJ6">
            <v>40390</v>
          </cell>
          <cell r="EK6">
            <v>40421</v>
          </cell>
          <cell r="EL6">
            <v>40451</v>
          </cell>
          <cell r="EM6">
            <v>40482</v>
          </cell>
          <cell r="EN6">
            <v>40512</v>
          </cell>
          <cell r="EO6">
            <v>40543</v>
          </cell>
          <cell r="EP6">
            <v>40574</v>
          </cell>
          <cell r="EQ6">
            <v>40602</v>
          </cell>
          <cell r="ER6">
            <v>40633</v>
          </cell>
          <cell r="ES6">
            <v>40663</v>
          </cell>
          <cell r="ET6">
            <v>40694</v>
          </cell>
          <cell r="EU6">
            <v>40724</v>
          </cell>
          <cell r="EV6">
            <v>40755</v>
          </cell>
          <cell r="EW6">
            <v>40786</v>
          </cell>
          <cell r="EX6">
            <v>40816</v>
          </cell>
          <cell r="EY6">
            <v>40847</v>
          </cell>
          <cell r="EZ6">
            <v>40877</v>
          </cell>
          <cell r="FA6">
            <v>40908</v>
          </cell>
          <cell r="FB6">
            <v>40939</v>
          </cell>
          <cell r="FC6">
            <v>40968</v>
          </cell>
          <cell r="FD6">
            <v>40999</v>
          </cell>
          <cell r="FE6">
            <v>41029</v>
          </cell>
          <cell r="FF6">
            <v>41060</v>
          </cell>
          <cell r="FG6">
            <v>41090</v>
          </cell>
          <cell r="FH6">
            <v>41121</v>
          </cell>
          <cell r="FI6">
            <v>41152</v>
          </cell>
          <cell r="FJ6">
            <v>41182</v>
          </cell>
          <cell r="FK6">
            <v>41213</v>
          </cell>
          <cell r="FL6">
            <v>41243</v>
          </cell>
          <cell r="FM6">
            <v>41274</v>
          </cell>
          <cell r="FN6">
            <v>41305</v>
          </cell>
          <cell r="FO6">
            <v>41333</v>
          </cell>
          <cell r="FP6">
            <v>41364</v>
          </cell>
          <cell r="FQ6">
            <v>41394</v>
          </cell>
          <cell r="FR6">
            <v>41425</v>
          </cell>
          <cell r="FS6">
            <v>41455</v>
          </cell>
          <cell r="FT6">
            <v>41486</v>
          </cell>
          <cell r="FU6">
            <v>41517</v>
          </cell>
          <cell r="FV6">
            <v>41547</v>
          </cell>
          <cell r="FW6">
            <v>41578</v>
          </cell>
          <cell r="FX6">
            <v>41608</v>
          </cell>
          <cell r="FY6">
            <v>41639</v>
          </cell>
          <cell r="FZ6">
            <v>41670</v>
          </cell>
          <cell r="GA6">
            <v>41698</v>
          </cell>
          <cell r="GB6">
            <v>41729</v>
          </cell>
          <cell r="GC6">
            <v>41759</v>
          </cell>
          <cell r="GD6">
            <v>41790</v>
          </cell>
          <cell r="GE6">
            <v>41820</v>
          </cell>
          <cell r="GF6">
            <v>41851</v>
          </cell>
          <cell r="GG6">
            <v>41882</v>
          </cell>
          <cell r="GH6">
            <v>41912</v>
          </cell>
          <cell r="GI6">
            <v>41943</v>
          </cell>
          <cell r="GJ6">
            <v>41973</v>
          </cell>
          <cell r="GK6">
            <v>42004</v>
          </cell>
          <cell r="GL6">
            <v>42035</v>
          </cell>
          <cell r="GM6">
            <v>42063</v>
          </cell>
          <cell r="GN6">
            <v>42094</v>
          </cell>
          <cell r="GO6">
            <v>42124</v>
          </cell>
          <cell r="GP6">
            <v>42155</v>
          </cell>
          <cell r="GQ6">
            <v>42185</v>
          </cell>
          <cell r="GR6">
            <v>42216</v>
          </cell>
          <cell r="GS6">
            <v>42247</v>
          </cell>
          <cell r="GT6">
            <v>42277</v>
          </cell>
          <cell r="GU6">
            <v>42308</v>
          </cell>
          <cell r="GV6">
            <v>42338</v>
          </cell>
          <cell r="GW6">
            <v>42369</v>
          </cell>
          <cell r="GX6">
            <v>42400</v>
          </cell>
          <cell r="GY6">
            <v>42429</v>
          </cell>
          <cell r="GZ6">
            <v>42460</v>
          </cell>
          <cell r="HA6">
            <v>42490</v>
          </cell>
          <cell r="HB6">
            <v>42521</v>
          </cell>
          <cell r="HC6">
            <v>42551</v>
          </cell>
          <cell r="HD6">
            <v>42582</v>
          </cell>
          <cell r="HE6">
            <v>42613</v>
          </cell>
          <cell r="HF6">
            <v>42643</v>
          </cell>
          <cell r="HG6">
            <v>42674</v>
          </cell>
          <cell r="HH6">
            <v>42704</v>
          </cell>
          <cell r="HI6">
            <v>42735</v>
          </cell>
          <cell r="HJ6">
            <v>42766</v>
          </cell>
          <cell r="HK6">
            <v>42794</v>
          </cell>
          <cell r="HL6">
            <v>42825</v>
          </cell>
          <cell r="HM6">
            <v>42855</v>
          </cell>
          <cell r="HN6">
            <v>42886</v>
          </cell>
          <cell r="HO6">
            <v>42916</v>
          </cell>
          <cell r="HP6">
            <v>42947</v>
          </cell>
          <cell r="HQ6">
            <v>42978</v>
          </cell>
          <cell r="HR6">
            <v>43008</v>
          </cell>
          <cell r="HS6">
            <v>43039</v>
          </cell>
          <cell r="HT6">
            <v>43069</v>
          </cell>
          <cell r="HU6">
            <v>43100</v>
          </cell>
          <cell r="HV6">
            <v>43131</v>
          </cell>
          <cell r="HW6">
            <v>43159</v>
          </cell>
          <cell r="HX6">
            <v>43190</v>
          </cell>
          <cell r="HY6">
            <v>43220</v>
          </cell>
          <cell r="HZ6">
            <v>43251</v>
          </cell>
          <cell r="IA6">
            <v>43281</v>
          </cell>
          <cell r="IB6">
            <v>43312</v>
          </cell>
          <cell r="IC6">
            <v>43343</v>
          </cell>
          <cell r="ID6">
            <v>43373</v>
          </cell>
          <cell r="IE6">
            <v>43404</v>
          </cell>
          <cell r="IF6">
            <v>43434</v>
          </cell>
          <cell r="IG6">
            <v>43465</v>
          </cell>
          <cell r="IH6">
            <v>43496</v>
          </cell>
          <cell r="II6">
            <v>43524</v>
          </cell>
          <cell r="IJ6">
            <v>43555</v>
          </cell>
        </row>
        <row r="8">
          <cell r="BV8">
            <v>10129</v>
          </cell>
          <cell r="BW8">
            <v>10437</v>
          </cell>
          <cell r="BX8">
            <v>9054</v>
          </cell>
          <cell r="BY8">
            <v>10575</v>
          </cell>
          <cell r="BZ8">
            <v>10517</v>
          </cell>
          <cell r="CA8">
            <v>11113</v>
          </cell>
          <cell r="CB8">
            <v>10543</v>
          </cell>
          <cell r="CC8">
            <v>8893</v>
          </cell>
          <cell r="CD8">
            <v>13704</v>
          </cell>
          <cell r="CE8">
            <v>13546</v>
          </cell>
          <cell r="CF8">
            <v>11004</v>
          </cell>
          <cell r="CG8">
            <v>10033</v>
          </cell>
          <cell r="CH8">
            <v>8402</v>
          </cell>
          <cell r="CI8">
            <v>10563</v>
          </cell>
          <cell r="CJ8">
            <v>9833</v>
          </cell>
          <cell r="CK8">
            <v>10611</v>
          </cell>
          <cell r="CL8">
            <v>10861</v>
          </cell>
          <cell r="CM8">
            <v>12519</v>
          </cell>
          <cell r="CN8">
            <v>11835</v>
          </cell>
          <cell r="CO8">
            <v>11647</v>
          </cell>
          <cell r="CP8">
            <v>12463</v>
          </cell>
          <cell r="CQ8">
            <v>11976</v>
          </cell>
          <cell r="CR8">
            <v>13688</v>
          </cell>
          <cell r="CS8">
            <v>13021</v>
          </cell>
          <cell r="CT8">
            <v>12919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</row>
        <row r="12">
          <cell r="BV12">
            <v>25921.702284341984</v>
          </cell>
          <cell r="BW12">
            <v>26928.533516691528</v>
          </cell>
          <cell r="BX12">
            <v>22855.654717162717</v>
          </cell>
          <cell r="BY12">
            <v>27096.625504724041</v>
          </cell>
          <cell r="BZ12">
            <v>26880.162987934309</v>
          </cell>
          <cell r="CA12">
            <v>25234.060401148345</v>
          </cell>
          <cell r="CB12">
            <v>27062.277058847885</v>
          </cell>
          <cell r="CC12">
            <v>22144.269745808044</v>
          </cell>
          <cell r="CD12">
            <v>35047.807991280744</v>
          </cell>
          <cell r="CE12">
            <v>31798.069364545463</v>
          </cell>
          <cell r="CF12">
            <v>22322.853453217656</v>
          </cell>
          <cell r="CG12">
            <v>24932.527885556832</v>
          </cell>
          <cell r="CH12">
            <v>20095.642068347748</v>
          </cell>
          <cell r="CI12">
            <v>30005.109650302296</v>
          </cell>
          <cell r="CJ12">
            <v>24388.300783795159</v>
          </cell>
          <cell r="CK12">
            <v>25731.112695011088</v>
          </cell>
          <cell r="CL12">
            <v>25199.406848555445</v>
          </cell>
          <cell r="CM12">
            <v>29471.297811261997</v>
          </cell>
          <cell r="CN12">
            <v>27550.529260347219</v>
          </cell>
          <cell r="CO12">
            <v>26611.894221422921</v>
          </cell>
          <cell r="CP12">
            <v>28864.343958420963</v>
          </cell>
          <cell r="CQ12">
            <v>26354.985924203425</v>
          </cell>
          <cell r="CR12">
            <v>34282.020969729747</v>
          </cell>
          <cell r="CS12">
            <v>28895.053071393373</v>
          </cell>
          <cell r="CT12">
            <v>26419.947403398895</v>
          </cell>
          <cell r="CU12" t="e">
            <v>#DIV/0!</v>
          </cell>
          <cell r="CV12" t="e">
            <v>#DIV/0!</v>
          </cell>
          <cell r="CW12" t="e">
            <v>#DIV/0!</v>
          </cell>
          <cell r="CX12" t="e">
            <v>#DIV/0!</v>
          </cell>
          <cell r="CY12" t="e">
            <v>#DIV/0!</v>
          </cell>
          <cell r="CZ12" t="e">
            <v>#DIV/0!</v>
          </cell>
          <cell r="DA12" t="e">
            <v>#DIV/0!</v>
          </cell>
          <cell r="DB12" t="e">
            <v>#DIV/0!</v>
          </cell>
          <cell r="DC12" t="e">
            <v>#DIV/0!</v>
          </cell>
          <cell r="DD12" t="e">
            <v>#DIV/0!</v>
          </cell>
          <cell r="DE12" t="e">
            <v>#DIV/0!</v>
          </cell>
        </row>
        <row r="14">
          <cell r="BV14">
            <v>7609.6287827878823</v>
          </cell>
          <cell r="BW14">
            <v>7821.4484599876359</v>
          </cell>
          <cell r="BX14">
            <v>6852.460526434088</v>
          </cell>
          <cell r="BY14">
            <v>7954.9948415509516</v>
          </cell>
          <cell r="BZ14">
            <v>7946.3924184418402</v>
          </cell>
          <cell r="CA14">
            <v>7062.4584810419374</v>
          </cell>
          <cell r="CB14">
            <v>7539.1288792765263</v>
          </cell>
          <cell r="CC14">
            <v>6457.3534874655588</v>
          </cell>
          <cell r="CD14">
            <v>9748.4021890123113</v>
          </cell>
          <cell r="CE14">
            <v>8799.1852854908448</v>
          </cell>
          <cell r="CF14">
            <v>7153.8879139728178</v>
          </cell>
          <cell r="CG14">
            <v>8059.9172764995319</v>
          </cell>
          <cell r="CH14">
            <v>6687.2970122779743</v>
          </cell>
          <cell r="CI14">
            <v>9519.4527981579013</v>
          </cell>
          <cell r="CJ14">
            <v>8014.9377500087667</v>
          </cell>
          <cell r="CK14">
            <v>8368.6758659295447</v>
          </cell>
          <cell r="CL14">
            <v>8307.0036791993571</v>
          </cell>
          <cell r="CM14">
            <v>10011.873151627771</v>
          </cell>
          <cell r="CN14">
            <v>9359.8805253632345</v>
          </cell>
          <cell r="CO14">
            <v>9246.9855341547009</v>
          </cell>
          <cell r="CP14">
            <v>9853.3937779639909</v>
          </cell>
          <cell r="CQ14">
            <v>9220.3604736602247</v>
          </cell>
          <cell r="CR14">
            <v>13473.397502882362</v>
          </cell>
          <cell r="CS14">
            <v>11468.858102932405</v>
          </cell>
          <cell r="CT14">
            <v>10722.74117339525</v>
          </cell>
          <cell r="CU14" t="e">
            <v>#DIV/0!</v>
          </cell>
          <cell r="CV14" t="e">
            <v>#DIV/0!</v>
          </cell>
          <cell r="CW14" t="e">
            <v>#DIV/0!</v>
          </cell>
          <cell r="CX14" t="e">
            <v>#DIV/0!</v>
          </cell>
          <cell r="CY14" t="e">
            <v>#DIV/0!</v>
          </cell>
          <cell r="CZ14" t="e">
            <v>#DIV/0!</v>
          </cell>
          <cell r="DA14" t="e">
            <v>#DIV/0!</v>
          </cell>
          <cell r="DB14" t="e">
            <v>#DIV/0!</v>
          </cell>
          <cell r="DC14" t="e">
            <v>#DIV/0!</v>
          </cell>
          <cell r="DD14" t="e">
            <v>#DIV/0!</v>
          </cell>
          <cell r="DE14" t="e">
            <v>#DIV/0!</v>
          </cell>
        </row>
        <row r="16">
          <cell r="BV16">
            <v>46578.208932870133</v>
          </cell>
          <cell r="BW16">
            <v>47874.748023320819</v>
          </cell>
          <cell r="BX16">
            <v>41943.614756403185</v>
          </cell>
          <cell r="BY16">
            <v>48692.179653725012</v>
          </cell>
          <cell r="BZ16">
            <v>48639.524593623857</v>
          </cell>
          <cell r="CA16">
            <v>57048.161117809708</v>
          </cell>
          <cell r="CB16">
            <v>60898.544061875597</v>
          </cell>
          <cell r="CC16">
            <v>52160.326766726401</v>
          </cell>
          <cell r="CD16">
            <v>78744.309819706948</v>
          </cell>
          <cell r="CE16">
            <v>71076.855349963691</v>
          </cell>
          <cell r="CF16">
            <v>72536.068632809518</v>
          </cell>
          <cell r="CG16">
            <v>81722.654837943643</v>
          </cell>
          <cell r="CH16">
            <v>67805.120919374269</v>
          </cell>
          <cell r="CI16">
            <v>85579.727551539792</v>
          </cell>
          <cell r="CJ16">
            <v>72054.161466196078</v>
          </cell>
          <cell r="CK16">
            <v>75234.261439059366</v>
          </cell>
          <cell r="CL16">
            <v>74679.829472245197</v>
          </cell>
          <cell r="CM16">
            <v>85019.55903711023</v>
          </cell>
          <cell r="CN16">
            <v>79482.920214289552</v>
          </cell>
          <cell r="CO16">
            <v>78524.230244422375</v>
          </cell>
          <cell r="CP16">
            <v>83673.772263615043</v>
          </cell>
          <cell r="CQ16">
            <v>78298.133602136339</v>
          </cell>
          <cell r="CR16">
            <v>80943.601527387902</v>
          </cell>
          <cell r="CS16">
            <v>68901.008825674231</v>
          </cell>
          <cell r="CT16">
            <v>64418.591423205857</v>
          </cell>
          <cell r="CU16" t="e">
            <v>#DIV/0!</v>
          </cell>
          <cell r="CV16" t="e">
            <v>#DIV/0!</v>
          </cell>
          <cell r="CW16" t="e">
            <v>#DIV/0!</v>
          </cell>
          <cell r="CX16" t="e">
            <v>#DIV/0!</v>
          </cell>
          <cell r="CY16" t="e">
            <v>#DIV/0!</v>
          </cell>
          <cell r="CZ16" t="e">
            <v>#DIV/0!</v>
          </cell>
          <cell r="DA16" t="e">
            <v>#DIV/0!</v>
          </cell>
          <cell r="DB16" t="e">
            <v>#DIV/0!</v>
          </cell>
          <cell r="DC16" t="e">
            <v>#DIV/0!</v>
          </cell>
          <cell r="DD16" t="e">
            <v>#DIV/0!</v>
          </cell>
          <cell r="DE16" t="e">
            <v>#DIV/0!</v>
          </cell>
        </row>
        <row r="17">
          <cell r="BV17">
            <v>80109.540000000008</v>
          </cell>
          <cell r="BW17">
            <v>82624.729999999981</v>
          </cell>
          <cell r="BX17">
            <v>71651.729999999981</v>
          </cell>
          <cell r="BY17">
            <v>83743.8</v>
          </cell>
          <cell r="BZ17">
            <v>83466.080000000016</v>
          </cell>
          <cell r="CA17">
            <v>89344.68</v>
          </cell>
          <cell r="CB17">
            <v>95499.950000000012</v>
          </cell>
          <cell r="CC17">
            <v>80761.950000000012</v>
          </cell>
          <cell r="CD17">
            <v>123540.52</v>
          </cell>
          <cell r="CE17">
            <v>111674.11</v>
          </cell>
          <cell r="CF17">
            <v>102012.81</v>
          </cell>
          <cell r="CG17">
            <v>114715.1</v>
          </cell>
          <cell r="CH17">
            <v>94588.06</v>
          </cell>
          <cell r="CI17">
            <v>125104.29</v>
          </cell>
          <cell r="CJ17">
            <v>104457.4</v>
          </cell>
          <cell r="CK17">
            <v>109334.05</v>
          </cell>
          <cell r="CL17">
            <v>108186.23999999999</v>
          </cell>
          <cell r="CM17">
            <v>124502.73</v>
          </cell>
          <cell r="CN17">
            <v>116393.33</v>
          </cell>
          <cell r="CO17">
            <v>114383.11</v>
          </cell>
          <cell r="CP17">
            <v>122391.51</v>
          </cell>
          <cell r="CQ17">
            <v>113873.47999999998</v>
          </cell>
          <cell r="CR17">
            <v>128699.02000000002</v>
          </cell>
          <cell r="CS17">
            <v>109264.92000000001</v>
          </cell>
          <cell r="CT17">
            <v>101561.28</v>
          </cell>
          <cell r="CU17" t="e">
            <v>#DIV/0!</v>
          </cell>
          <cell r="CV17" t="e">
            <v>#DIV/0!</v>
          </cell>
          <cell r="CW17" t="e">
            <v>#DIV/0!</v>
          </cell>
          <cell r="CX17" t="e">
            <v>#DIV/0!</v>
          </cell>
          <cell r="CY17" t="e">
            <v>#DIV/0!</v>
          </cell>
          <cell r="CZ17" t="e">
            <v>#DIV/0!</v>
          </cell>
          <cell r="DA17" t="e">
            <v>#DIV/0!</v>
          </cell>
          <cell r="DB17" t="e">
            <v>#DIV/0!</v>
          </cell>
          <cell r="DC17" t="e">
            <v>#DIV/0!</v>
          </cell>
          <cell r="DD17" t="e">
            <v>#DIV/0!</v>
          </cell>
          <cell r="DE17" t="e">
            <v>#DIV/0!</v>
          </cell>
        </row>
        <row r="18">
          <cell r="BV18">
            <v>80109.539999999994</v>
          </cell>
          <cell r="BW18">
            <v>82624.73</v>
          </cell>
          <cell r="BX18">
            <v>71651.73</v>
          </cell>
          <cell r="BY18">
            <v>83743.8</v>
          </cell>
          <cell r="BZ18">
            <v>83466.080000000002</v>
          </cell>
          <cell r="CA18">
            <v>89344.68</v>
          </cell>
          <cell r="CB18">
            <v>95499.95</v>
          </cell>
          <cell r="CC18">
            <v>80761.95</v>
          </cell>
          <cell r="CD18">
            <v>123540.52</v>
          </cell>
          <cell r="CE18">
            <v>111674.11</v>
          </cell>
          <cell r="CF18">
            <v>102012.81</v>
          </cell>
          <cell r="CG18">
            <v>114715.1</v>
          </cell>
          <cell r="CH18">
            <v>94588.06</v>
          </cell>
          <cell r="CI18">
            <v>125104.29</v>
          </cell>
          <cell r="CJ18">
            <v>104457.4</v>
          </cell>
          <cell r="CK18">
            <v>109334.05</v>
          </cell>
          <cell r="CL18">
            <v>108186.24000000001</v>
          </cell>
          <cell r="CM18">
            <v>124502.73</v>
          </cell>
          <cell r="CN18">
            <v>116393.33</v>
          </cell>
          <cell r="CO18">
            <v>114383.11</v>
          </cell>
          <cell r="CP18">
            <v>122391.51</v>
          </cell>
          <cell r="CQ18">
            <v>113873.48</v>
          </cell>
          <cell r="CR18">
            <v>128699.02</v>
          </cell>
          <cell r="CS18">
            <v>109264.92</v>
          </cell>
          <cell r="CT18">
            <v>101561.28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</row>
        <row r="22">
          <cell r="BV22">
            <v>518</v>
          </cell>
          <cell r="BW22">
            <v>494</v>
          </cell>
          <cell r="BX22">
            <v>474</v>
          </cell>
          <cell r="BY22">
            <v>271</v>
          </cell>
          <cell r="BZ22">
            <v>1125</v>
          </cell>
          <cell r="CA22">
            <v>650</v>
          </cell>
          <cell r="CB22">
            <v>655</v>
          </cell>
          <cell r="CC22">
            <v>929</v>
          </cell>
          <cell r="CD22">
            <v>556</v>
          </cell>
          <cell r="CE22">
            <v>1163</v>
          </cell>
          <cell r="CF22">
            <v>1454</v>
          </cell>
          <cell r="CG22">
            <v>-403</v>
          </cell>
          <cell r="CH22">
            <v>386</v>
          </cell>
          <cell r="CI22">
            <v>-45</v>
          </cell>
          <cell r="CJ22">
            <v>290</v>
          </cell>
          <cell r="CK22">
            <v>417</v>
          </cell>
          <cell r="CL22">
            <v>157</v>
          </cell>
          <cell r="CM22">
            <v>151</v>
          </cell>
          <cell r="CN22">
            <v>50</v>
          </cell>
          <cell r="CO22">
            <v>1477</v>
          </cell>
          <cell r="CP22">
            <v>403</v>
          </cell>
          <cell r="CQ22">
            <v>472</v>
          </cell>
          <cell r="CR22">
            <v>466</v>
          </cell>
          <cell r="CS22">
            <v>377</v>
          </cell>
          <cell r="CT22">
            <v>430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</row>
        <row r="26">
          <cell r="BV26">
            <v>1524.9873890993188</v>
          </cell>
          <cell r="BW26">
            <v>1458.641282184622</v>
          </cell>
          <cell r="BX26">
            <v>1380.4562784476539</v>
          </cell>
          <cell r="BY26">
            <v>758.51921713461923</v>
          </cell>
          <cell r="BZ26">
            <v>2952.3003145829143</v>
          </cell>
          <cell r="CA26">
            <v>1557.9802297111898</v>
          </cell>
          <cell r="CB26">
            <v>1803.7398987265294</v>
          </cell>
          <cell r="CC26">
            <v>2515.1526431571751</v>
          </cell>
          <cell r="CD26">
            <v>1698.0392447567824</v>
          </cell>
          <cell r="CE26">
            <v>3425.8821791283594</v>
          </cell>
          <cell r="CF26">
            <v>3754.6719411062854</v>
          </cell>
          <cell r="CG26">
            <v>-1108.6346848856517</v>
          </cell>
          <cell r="CH26">
            <v>1190.5366073018233</v>
          </cell>
          <cell r="CI26">
            <v>120.39109954239959</v>
          </cell>
          <cell r="CJ26">
            <v>992.60852824644712</v>
          </cell>
          <cell r="CK26">
            <v>1284.1894765028735</v>
          </cell>
          <cell r="CL26">
            <v>482.32029747934877</v>
          </cell>
          <cell r="CM26">
            <v>463.5590028643764</v>
          </cell>
          <cell r="CN26">
            <v>150.53616416572726</v>
          </cell>
          <cell r="CO26">
            <v>4276.7036909522667</v>
          </cell>
          <cell r="CP26">
            <v>1290.496929989097</v>
          </cell>
          <cell r="CQ26">
            <v>939.19155847029242</v>
          </cell>
          <cell r="CR26">
            <v>1212.4293355163491</v>
          </cell>
          <cell r="CS26">
            <v>931.80755662739648</v>
          </cell>
          <cell r="CT26">
            <v>917.21906270388854</v>
          </cell>
          <cell r="CU26" t="e">
            <v>#DIV/0!</v>
          </cell>
          <cell r="CV26" t="e">
            <v>#DIV/0!</v>
          </cell>
          <cell r="CW26" t="e">
            <v>#DIV/0!</v>
          </cell>
          <cell r="CX26" t="e">
            <v>#DIV/0!</v>
          </cell>
          <cell r="CY26" t="e">
            <v>#DIV/0!</v>
          </cell>
          <cell r="CZ26" t="e">
            <v>#DIV/0!</v>
          </cell>
          <cell r="DA26" t="e">
            <v>#DIV/0!</v>
          </cell>
          <cell r="DB26" t="e">
            <v>#DIV/0!</v>
          </cell>
          <cell r="DC26" t="e">
            <v>#DIV/0!</v>
          </cell>
          <cell r="DD26" t="e">
            <v>#DIV/0!</v>
          </cell>
          <cell r="DE26" t="e">
            <v>#DIV/0!</v>
          </cell>
        </row>
        <row r="30">
          <cell r="BV30">
            <v>3047.4426109006813</v>
          </cell>
          <cell r="BW30">
            <v>2938.9787178153779</v>
          </cell>
          <cell r="BX30">
            <v>2821.5237215523462</v>
          </cell>
          <cell r="BY30">
            <v>1634.1507828653807</v>
          </cell>
          <cell r="BZ30">
            <v>5709.6896854170864</v>
          </cell>
          <cell r="CA30">
            <v>3657.8397702888096</v>
          </cell>
          <cell r="CB30">
            <v>4166.5201012734715</v>
          </cell>
          <cell r="CC30">
            <v>5665.3273568428249</v>
          </cell>
          <cell r="CD30">
            <v>3709.9907552432173</v>
          </cell>
          <cell r="CE30">
            <v>8500.9978208716402</v>
          </cell>
          <cell r="CF30">
            <v>9316.8580588937148</v>
          </cell>
          <cell r="CG30">
            <v>-2996.1953151143484</v>
          </cell>
          <cell r="CH30">
            <v>3217.5433926981764</v>
          </cell>
          <cell r="CI30">
            <v>325.36890045760038</v>
          </cell>
          <cell r="CJ30">
            <v>2458.5314717535525</v>
          </cell>
          <cell r="CK30">
            <v>3180.7305234971268</v>
          </cell>
          <cell r="CL30">
            <v>1194.6297025206513</v>
          </cell>
          <cell r="CM30">
            <v>1148.1609971356236</v>
          </cell>
          <cell r="CN30">
            <v>372.85383583427273</v>
          </cell>
          <cell r="CO30">
            <v>10592.706309047735</v>
          </cell>
          <cell r="CP30">
            <v>3196.3530700109036</v>
          </cell>
          <cell r="CQ30">
            <v>2538.2584415297079</v>
          </cell>
          <cell r="CR30">
            <v>3276.7106644836508</v>
          </cell>
          <cell r="CS30">
            <v>2518.3024433726036</v>
          </cell>
          <cell r="CT30">
            <v>1419.7609372961115</v>
          </cell>
          <cell r="CU30" t="e">
            <v>#DIV/0!</v>
          </cell>
          <cell r="CV30" t="e">
            <v>#DIV/0!</v>
          </cell>
          <cell r="CW30" t="e">
            <v>#DIV/0!</v>
          </cell>
          <cell r="CX30" t="e">
            <v>#DIV/0!</v>
          </cell>
          <cell r="CY30" t="e">
            <v>#DIV/0!</v>
          </cell>
          <cell r="CZ30" t="e">
            <v>#DIV/0!</v>
          </cell>
          <cell r="DA30" t="e">
            <v>#DIV/0!</v>
          </cell>
          <cell r="DB30" t="e">
            <v>#DIV/0!</v>
          </cell>
          <cell r="DC30" t="e">
            <v>#DIV/0!</v>
          </cell>
          <cell r="DD30" t="e">
            <v>#DIV/0!</v>
          </cell>
          <cell r="DE30" t="e">
            <v>#DIV/0!</v>
          </cell>
        </row>
        <row r="31">
          <cell r="BV31">
            <v>4572.43</v>
          </cell>
          <cell r="BW31">
            <v>4397.62</v>
          </cell>
          <cell r="BX31">
            <v>4201.9799999999996</v>
          </cell>
          <cell r="BY31">
            <v>2392.67</v>
          </cell>
          <cell r="BZ31">
            <v>8661.9900000000016</v>
          </cell>
          <cell r="CA31">
            <v>5215.82</v>
          </cell>
          <cell r="CB31">
            <v>5970.2600000000011</v>
          </cell>
          <cell r="CC31">
            <v>8180.48</v>
          </cell>
          <cell r="CD31">
            <v>5408.03</v>
          </cell>
          <cell r="CE31">
            <v>11926.88</v>
          </cell>
          <cell r="CF31">
            <v>13071.53</v>
          </cell>
          <cell r="CG31">
            <v>-4104.83</v>
          </cell>
          <cell r="CH31">
            <v>4408.08</v>
          </cell>
          <cell r="CI31">
            <v>445.76</v>
          </cell>
          <cell r="CJ31">
            <v>3451.1399999999994</v>
          </cell>
          <cell r="CK31">
            <v>4464.92</v>
          </cell>
          <cell r="CL31">
            <v>1676.95</v>
          </cell>
          <cell r="CM31">
            <v>1611.72</v>
          </cell>
          <cell r="CN31">
            <v>523.39</v>
          </cell>
          <cell r="CO31">
            <v>14869.410000000002</v>
          </cell>
          <cell r="CP31">
            <v>4486.8500000000004</v>
          </cell>
          <cell r="CQ31">
            <v>3477.4500000000003</v>
          </cell>
          <cell r="CR31">
            <v>4489.1399999999994</v>
          </cell>
          <cell r="CS31">
            <v>3450.11</v>
          </cell>
          <cell r="CT31">
            <v>2336.98</v>
          </cell>
          <cell r="CU31" t="e">
            <v>#DIV/0!</v>
          </cell>
          <cell r="CV31" t="e">
            <v>#DIV/0!</v>
          </cell>
          <cell r="CW31" t="e">
            <v>#DIV/0!</v>
          </cell>
          <cell r="CX31" t="e">
            <v>#DIV/0!</v>
          </cell>
          <cell r="CY31" t="e">
            <v>#DIV/0!</v>
          </cell>
          <cell r="CZ31" t="e">
            <v>#DIV/0!</v>
          </cell>
          <cell r="DA31" t="e">
            <v>#DIV/0!</v>
          </cell>
          <cell r="DB31" t="e">
            <v>#DIV/0!</v>
          </cell>
          <cell r="DC31" t="e">
            <v>#DIV/0!</v>
          </cell>
          <cell r="DD31" t="e">
            <v>#DIV/0!</v>
          </cell>
          <cell r="DE31" t="e">
            <v>#DIV/0!</v>
          </cell>
        </row>
        <row r="32">
          <cell r="BV32">
            <v>4572.43</v>
          </cell>
          <cell r="BW32">
            <v>4397.62</v>
          </cell>
          <cell r="BX32">
            <v>4201.9799999999996</v>
          </cell>
          <cell r="BY32">
            <v>2392.67</v>
          </cell>
          <cell r="BZ32">
            <v>8661.99</v>
          </cell>
          <cell r="CA32">
            <v>5215.82</v>
          </cell>
          <cell r="CB32">
            <v>5970.26</v>
          </cell>
          <cell r="CC32">
            <v>8180.48</v>
          </cell>
          <cell r="CD32">
            <v>5408.03</v>
          </cell>
          <cell r="CE32">
            <v>11926.88</v>
          </cell>
          <cell r="CF32">
            <v>13071.53</v>
          </cell>
          <cell r="CG32">
            <v>-4104.83</v>
          </cell>
          <cell r="CH32">
            <v>4408.08</v>
          </cell>
          <cell r="CI32">
            <v>445.76</v>
          </cell>
          <cell r="CJ32">
            <v>3451.14</v>
          </cell>
          <cell r="CK32">
            <v>4464.92</v>
          </cell>
          <cell r="CL32">
            <v>1676.95</v>
          </cell>
          <cell r="CM32">
            <v>1611.72</v>
          </cell>
          <cell r="CN32">
            <v>523.39</v>
          </cell>
          <cell r="CO32">
            <v>14869.41</v>
          </cell>
          <cell r="CP32">
            <v>4486.8500000000004</v>
          </cell>
          <cell r="CQ32">
            <v>3477.45</v>
          </cell>
          <cell r="CR32">
            <v>4489.1400000000003</v>
          </cell>
          <cell r="CS32">
            <v>3450.11</v>
          </cell>
          <cell r="CT32">
            <v>2336.98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</row>
        <row r="33"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</row>
        <row r="34">
          <cell r="BV34">
            <v>84681.97</v>
          </cell>
          <cell r="BW34">
            <v>87022.349999999991</v>
          </cell>
          <cell r="BX34">
            <v>75853.709999999992</v>
          </cell>
          <cell r="BY34">
            <v>86136.47</v>
          </cell>
          <cell r="BZ34">
            <v>92128.07</v>
          </cell>
          <cell r="CA34">
            <v>94560.5</v>
          </cell>
          <cell r="CB34">
            <v>101470.20999999999</v>
          </cell>
          <cell r="CC34">
            <v>88942.43</v>
          </cell>
          <cell r="CD34">
            <v>128948.55</v>
          </cell>
          <cell r="CE34">
            <v>123600.99</v>
          </cell>
          <cell r="CF34">
            <v>115084.34</v>
          </cell>
          <cell r="CG34">
            <v>110610.27</v>
          </cell>
          <cell r="CH34">
            <v>98996.14</v>
          </cell>
          <cell r="CI34">
            <v>125550.04999999999</v>
          </cell>
          <cell r="CJ34">
            <v>107908.54</v>
          </cell>
          <cell r="CK34">
            <v>113798.97</v>
          </cell>
          <cell r="CL34">
            <v>109863.19</v>
          </cell>
          <cell r="CM34">
            <v>126114.45</v>
          </cell>
          <cell r="CN34">
            <v>116916.72</v>
          </cell>
          <cell r="CO34">
            <v>129252.52</v>
          </cell>
          <cell r="CP34">
            <v>126878.36</v>
          </cell>
          <cell r="CQ34">
            <v>117350.93</v>
          </cell>
          <cell r="CR34">
            <v>133188.16</v>
          </cell>
          <cell r="CS34">
            <v>112715.03</v>
          </cell>
          <cell r="CT34">
            <v>103898.26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</row>
      </sheetData>
      <sheetData sheetId="6"/>
      <sheetData sheetId="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Panel"/>
      <sheetName val="Summaries"/>
      <sheetName val="Adjustments"/>
      <sheetName val="Report"/>
      <sheetName val="ROR-Model"/>
      <sheetName val="Taxes"/>
      <sheetName val="Rate Base"/>
      <sheetName val="Transition Costs"/>
      <sheetName val="EXPENSES"/>
      <sheetName val="ENERGY EFFICIENCY SERVICES ADJ"/>
      <sheetName val="Und Stor"/>
      <sheetName val="Wexpro"/>
      <sheetName val="RESERVE ACCRUAL"/>
      <sheetName val="Donations"/>
      <sheetName val="Advertising"/>
      <sheetName val="Incentive"/>
      <sheetName val="Sporting Events"/>
      <sheetName val="Revenue"/>
      <sheetName val="Booked Dec 2017 Rev"/>
      <sheetName val="Other Rev"/>
      <sheetName val="Lab Adj"/>
      <sheetName val="Corp Overhead Adj"/>
      <sheetName val="Bad Debt"/>
      <sheetName val="Capital Str"/>
      <sheetName val="Utah Allocation"/>
      <sheetName val="ALLOCATIONS&amp;PRETAX"/>
    </sheetNames>
    <sheetDataSet>
      <sheetData sheetId="0">
        <row r="2">
          <cell r="B2" t="str">
            <v>Utah - Dec 2017 Adjusted Avg Results</v>
          </cell>
        </row>
      </sheetData>
      <sheetData sheetId="1"/>
      <sheetData sheetId="2"/>
      <sheetData sheetId="3"/>
      <sheetData sheetId="4">
        <row r="2">
          <cell r="M2">
            <v>0.96738135290446114</v>
          </cell>
          <cell r="N2">
            <v>3.2618647095538737E-2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8">
          <cell r="G8">
            <v>0.49099999999999999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FTE"/>
      <sheetName val="2023 Budget"/>
      <sheetName val="2022 Actuals"/>
      <sheetName val="2023 Defer"/>
      <sheetName val="2021 Actuals"/>
      <sheetName val="2020 Actuals"/>
      <sheetName val="2022 Budget"/>
      <sheetName val="2022 Defer"/>
      <sheetName val="2022 Interco"/>
      <sheetName val="2021 FTE"/>
      <sheetName val="2020 FTE"/>
      <sheetName val="2019 FTE"/>
      <sheetName val="2020 Interco"/>
      <sheetName val="2017 actuals backup"/>
      <sheetName val="2018 actuals backup"/>
      <sheetName val="2019 forecast"/>
      <sheetName val="2019 3+9"/>
      <sheetName val="2019 actuals"/>
      <sheetName val="2020 9+3"/>
      <sheetName val="2019 Budget"/>
      <sheetName val="2020 Budget"/>
      <sheetName val="2020 Defer"/>
      <sheetName val="2021 Defer"/>
      <sheetName val="IC labor"/>
    </sheetNames>
    <sheetDataSet>
      <sheetData sheetId="0">
        <row r="12">
          <cell r="J12">
            <v>35609366.380000003</v>
          </cell>
        </row>
        <row r="14">
          <cell r="J14">
            <v>790768.94</v>
          </cell>
        </row>
        <row r="16">
          <cell r="J16">
            <v>2457227.4400000004</v>
          </cell>
        </row>
        <row r="18">
          <cell r="J18">
            <v>37539133.770000003</v>
          </cell>
        </row>
        <row r="22">
          <cell r="J22">
            <v>3135089.92</v>
          </cell>
        </row>
        <row r="23">
          <cell r="J23">
            <v>2842533.25</v>
          </cell>
        </row>
        <row r="25">
          <cell r="J25">
            <v>245148.96999999986</v>
          </cell>
        </row>
        <row r="39">
          <cell r="J39">
            <v>-16188115</v>
          </cell>
        </row>
        <row r="40">
          <cell r="J40">
            <v>11484357.759999998</v>
          </cell>
        </row>
        <row r="41">
          <cell r="J41">
            <v>2837848.68</v>
          </cell>
        </row>
        <row r="42">
          <cell r="J42">
            <v>-2455676</v>
          </cell>
        </row>
        <row r="44">
          <cell r="J44">
            <v>615414</v>
          </cell>
        </row>
        <row r="45">
          <cell r="J45">
            <v>2259591.17</v>
          </cell>
        </row>
        <row r="60">
          <cell r="J60">
            <v>-8454518.1099999994</v>
          </cell>
        </row>
        <row r="82">
          <cell r="J82">
            <v>0.47456815847700479</v>
          </cell>
        </row>
        <row r="84">
          <cell r="J84">
            <v>0.51143803924713371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Panel"/>
      <sheetName val="Summaries"/>
      <sheetName val="Adjustments"/>
      <sheetName val="ROR-Model"/>
      <sheetName val="Report"/>
      <sheetName val="Taxes"/>
      <sheetName val="Rate Base"/>
      <sheetName val="Transition Costs"/>
      <sheetName val="EXPENSES"/>
      <sheetName val="ENERGY EFFICIENCY SERVICES ADJ"/>
      <sheetName val="Und Stor"/>
      <sheetName val="Wexpro"/>
      <sheetName val="RESERVE ACCRUAL"/>
      <sheetName val="Donations"/>
      <sheetName val="Advertising"/>
      <sheetName val="Incentive"/>
      <sheetName val="Sporting Events"/>
      <sheetName val="Revenue"/>
      <sheetName val="Booked Dec 2018 Rev"/>
      <sheetName val="Other Rev"/>
      <sheetName val="Lab Adj"/>
      <sheetName val="Corp Overhead Adj"/>
      <sheetName val="Tax Surcredit 2"/>
      <sheetName val="Bad Debt"/>
      <sheetName val="Capital Str"/>
      <sheetName val="Utah Allocation"/>
      <sheetName val="ALLOCATIONS&amp;PRETA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5">
          <cell r="T15">
            <v>320787573.88</v>
          </cell>
        </row>
        <row r="17">
          <cell r="T17">
            <v>104955704.50999999</v>
          </cell>
        </row>
        <row r="19">
          <cell r="T19">
            <v>369426321.50999999</v>
          </cell>
        </row>
        <row r="21">
          <cell r="T21">
            <v>1017004.25</v>
          </cell>
        </row>
        <row r="22">
          <cell r="T22">
            <v>97853908.929999977</v>
          </cell>
        </row>
        <row r="24">
          <cell r="T24">
            <v>0</v>
          </cell>
        </row>
        <row r="26">
          <cell r="T26">
            <v>0</v>
          </cell>
        </row>
        <row r="28">
          <cell r="T28">
            <v>0</v>
          </cell>
        </row>
        <row r="29">
          <cell r="T29">
            <v>0</v>
          </cell>
        </row>
        <row r="31">
          <cell r="T31">
            <v>0</v>
          </cell>
        </row>
        <row r="33">
          <cell r="T33">
            <v>0</v>
          </cell>
        </row>
        <row r="35">
          <cell r="T35">
            <v>0</v>
          </cell>
        </row>
        <row r="37">
          <cell r="T37">
            <v>0</v>
          </cell>
        </row>
        <row r="38">
          <cell r="T38">
            <v>0</v>
          </cell>
        </row>
        <row r="40">
          <cell r="T40">
            <v>0</v>
          </cell>
        </row>
        <row r="42">
          <cell r="T42">
            <v>2951861.35</v>
          </cell>
        </row>
        <row r="44">
          <cell r="T44">
            <v>3121695.61</v>
          </cell>
        </row>
        <row r="46">
          <cell r="T46">
            <v>12763808.199999999</v>
          </cell>
        </row>
        <row r="47">
          <cell r="T47">
            <v>18837365.16</v>
          </cell>
        </row>
        <row r="49">
          <cell r="T49">
            <v>3393689.11</v>
          </cell>
        </row>
        <row r="51">
          <cell r="T51">
            <v>0</v>
          </cell>
        </row>
        <row r="52">
          <cell r="T52"/>
        </row>
        <row r="53">
          <cell r="T53">
            <v>0</v>
          </cell>
        </row>
        <row r="54">
          <cell r="T54"/>
        </row>
        <row r="55">
          <cell r="T55">
            <v>0</v>
          </cell>
        </row>
        <row r="56">
          <cell r="T56">
            <v>0</v>
          </cell>
        </row>
        <row r="58">
          <cell r="T58">
            <v>0</v>
          </cell>
        </row>
        <row r="60">
          <cell r="T60">
            <v>1661079.2805644001</v>
          </cell>
        </row>
        <row r="62">
          <cell r="T62">
            <v>251564.60403120003</v>
          </cell>
        </row>
        <row r="64">
          <cell r="T64">
            <v>1034189.8954043998</v>
          </cell>
        </row>
        <row r="65">
          <cell r="T65">
            <v>2946833.7800000003</v>
          </cell>
        </row>
        <row r="67">
          <cell r="T67">
            <v>271663.58999999997</v>
          </cell>
        </row>
        <row r="69">
          <cell r="T69">
            <v>0</v>
          </cell>
        </row>
        <row r="71">
          <cell r="T71">
            <v>0</v>
          </cell>
        </row>
        <row r="73">
          <cell r="T73">
            <v>0</v>
          </cell>
        </row>
        <row r="74">
          <cell r="T74">
            <v>0</v>
          </cell>
        </row>
        <row r="76">
          <cell r="T76">
            <v>0</v>
          </cell>
        </row>
        <row r="78">
          <cell r="T78">
            <v>0</v>
          </cell>
        </row>
        <row r="80">
          <cell r="T80">
            <v>0</v>
          </cell>
        </row>
        <row r="82">
          <cell r="T82">
            <v>0</v>
          </cell>
        </row>
        <row r="83">
          <cell r="T83">
            <v>0</v>
          </cell>
        </row>
        <row r="85">
          <cell r="T85">
            <v>0</v>
          </cell>
        </row>
        <row r="87">
          <cell r="T87">
            <v>0</v>
          </cell>
        </row>
        <row r="89">
          <cell r="T89">
            <v>0</v>
          </cell>
        </row>
        <row r="91">
          <cell r="T91">
            <v>0</v>
          </cell>
        </row>
        <row r="92">
          <cell r="T92">
            <v>0</v>
          </cell>
        </row>
        <row r="94">
          <cell r="T94">
            <v>0</v>
          </cell>
        </row>
        <row r="96">
          <cell r="T96">
            <v>202686.04999999993</v>
          </cell>
        </row>
        <row r="98">
          <cell r="T98">
            <v>41903.810000000005</v>
          </cell>
        </row>
        <row r="100">
          <cell r="T100">
            <v>898937.00999999989</v>
          </cell>
        </row>
        <row r="101">
          <cell r="T101">
            <v>1143526.8699999999</v>
          </cell>
        </row>
        <row r="103">
          <cell r="T103">
            <v>235476.26</v>
          </cell>
        </row>
        <row r="105">
          <cell r="T105">
            <v>0</v>
          </cell>
        </row>
        <row r="107">
          <cell r="T107">
            <v>0</v>
          </cell>
        </row>
        <row r="109">
          <cell r="T109">
            <v>0</v>
          </cell>
        </row>
        <row r="110">
          <cell r="T110">
            <v>0</v>
          </cell>
        </row>
        <row r="112">
          <cell r="T112">
            <v>0</v>
          </cell>
        </row>
        <row r="114">
          <cell r="T114">
            <v>0</v>
          </cell>
        </row>
        <row r="116">
          <cell r="T116">
            <v>0</v>
          </cell>
        </row>
        <row r="118">
          <cell r="T118">
            <v>0</v>
          </cell>
        </row>
        <row r="119">
          <cell r="T119">
            <v>0</v>
          </cell>
        </row>
        <row r="121">
          <cell r="T121">
            <v>0</v>
          </cell>
        </row>
        <row r="123">
          <cell r="T123">
            <v>4995387.8000000007</v>
          </cell>
        </row>
        <row r="125">
          <cell r="T125">
            <v>54948.979999999996</v>
          </cell>
        </row>
        <row r="127">
          <cell r="T127">
            <v>0</v>
          </cell>
        </row>
        <row r="128">
          <cell r="T128">
            <v>5050336.7800000012</v>
          </cell>
        </row>
        <row r="130">
          <cell r="T130">
            <v>41548831</v>
          </cell>
        </row>
        <row r="132">
          <cell r="T132">
            <v>0</v>
          </cell>
        </row>
        <row r="134">
          <cell r="T134">
            <v>0</v>
          </cell>
        </row>
        <row r="136">
          <cell r="T136">
            <v>0</v>
          </cell>
        </row>
        <row r="137">
          <cell r="T137">
            <v>0</v>
          </cell>
        </row>
        <row r="139">
          <cell r="T139">
            <v>0</v>
          </cell>
        </row>
        <row r="141">
          <cell r="T141">
            <v>80471.64</v>
          </cell>
        </row>
        <row r="143">
          <cell r="T143">
            <v>2294.25</v>
          </cell>
        </row>
        <row r="145">
          <cell r="T145">
            <v>0</v>
          </cell>
        </row>
        <row r="146">
          <cell r="T146">
            <v>82765.89</v>
          </cell>
        </row>
        <row r="148">
          <cell r="T148">
            <v>21619</v>
          </cell>
        </row>
        <row r="150">
          <cell r="T150">
            <v>0</v>
          </cell>
        </row>
        <row r="152">
          <cell r="T152">
            <v>0</v>
          </cell>
        </row>
        <row r="154">
          <cell r="T154">
            <v>0</v>
          </cell>
        </row>
        <row r="155">
          <cell r="T155">
            <v>0</v>
          </cell>
        </row>
        <row r="157">
          <cell r="T157">
            <v>0</v>
          </cell>
        </row>
        <row r="159">
          <cell r="T159">
            <v>22483627.450000003</v>
          </cell>
        </row>
        <row r="161">
          <cell r="T161">
            <v>610731.39</v>
          </cell>
        </row>
        <row r="163">
          <cell r="T163">
            <v>-11182.41</v>
          </cell>
        </row>
        <row r="164">
          <cell r="T164">
            <v>23083176.430000003</v>
          </cell>
        </row>
        <row r="166">
          <cell r="T166">
            <v>47258689.909999996</v>
          </cell>
        </row>
        <row r="168">
          <cell r="T168">
            <v>0</v>
          </cell>
        </row>
        <row r="170">
          <cell r="T170">
            <v>0</v>
          </cell>
        </row>
        <row r="172">
          <cell r="T172">
            <v>0</v>
          </cell>
        </row>
        <row r="173">
          <cell r="T173">
            <v>0</v>
          </cell>
        </row>
        <row r="175">
          <cell r="T175">
            <v>0</v>
          </cell>
        </row>
        <row r="177">
          <cell r="T177">
            <v>0</v>
          </cell>
        </row>
        <row r="179">
          <cell r="T179">
            <v>0</v>
          </cell>
        </row>
        <row r="181">
          <cell r="T181">
            <v>0</v>
          </cell>
        </row>
        <row r="182">
          <cell r="T182">
            <v>0</v>
          </cell>
        </row>
        <row r="184">
          <cell r="T184">
            <v>0</v>
          </cell>
        </row>
        <row r="186">
          <cell r="T186">
            <v>0</v>
          </cell>
        </row>
        <row r="188">
          <cell r="T188">
            <v>0</v>
          </cell>
        </row>
        <row r="190">
          <cell r="T190">
            <v>0</v>
          </cell>
        </row>
        <row r="191">
          <cell r="T191">
            <v>0</v>
          </cell>
        </row>
        <row r="193">
          <cell r="T193">
            <v>0</v>
          </cell>
        </row>
        <row r="195">
          <cell r="T195">
            <v>-3883550.45</v>
          </cell>
        </row>
        <row r="196">
          <cell r="T196">
            <v>23887961.539999999</v>
          </cell>
        </row>
        <row r="209">
          <cell r="T209">
            <v>0</v>
          </cell>
        </row>
        <row r="211">
          <cell r="T211">
            <v>0</v>
          </cell>
        </row>
        <row r="213">
          <cell r="T213">
            <v>0</v>
          </cell>
        </row>
        <row r="214">
          <cell r="T214">
            <v>0</v>
          </cell>
        </row>
        <row r="216">
          <cell r="T216">
            <v>0</v>
          </cell>
        </row>
        <row r="218">
          <cell r="T218">
            <v>0</v>
          </cell>
        </row>
        <row r="220">
          <cell r="T220">
            <v>0</v>
          </cell>
        </row>
        <row r="222">
          <cell r="T222">
            <v>0</v>
          </cell>
        </row>
        <row r="223">
          <cell r="T223">
            <v>0</v>
          </cell>
        </row>
        <row r="225">
          <cell r="T225">
            <v>0</v>
          </cell>
        </row>
        <row r="227">
          <cell r="T227"/>
        </row>
        <row r="228">
          <cell r="T228">
            <v>0</v>
          </cell>
        </row>
        <row r="229">
          <cell r="T229">
            <v>0</v>
          </cell>
        </row>
        <row r="230">
          <cell r="T230">
            <v>0</v>
          </cell>
        </row>
        <row r="231">
          <cell r="T231">
            <v>0</v>
          </cell>
        </row>
        <row r="233">
          <cell r="T233">
            <v>0</v>
          </cell>
        </row>
        <row r="234">
          <cell r="T234">
            <v>0</v>
          </cell>
        </row>
        <row r="235">
          <cell r="T235">
            <v>0</v>
          </cell>
        </row>
        <row r="238">
          <cell r="T238">
            <v>12226128.390000001</v>
          </cell>
        </row>
        <row r="242">
          <cell r="T242">
            <v>16197832.290000001</v>
          </cell>
        </row>
        <row r="243">
          <cell r="T243">
            <v>28423960.680000007</v>
          </cell>
        </row>
        <row r="245">
          <cell r="T245">
            <v>3386303.0400000005</v>
          </cell>
        </row>
        <row r="247">
          <cell r="T247">
            <v>162356.09999999998</v>
          </cell>
        </row>
        <row r="251">
          <cell r="T251">
            <v>783331.10999999987</v>
          </cell>
        </row>
        <row r="252">
          <cell r="T252">
            <v>945687.21</v>
          </cell>
        </row>
        <row r="254">
          <cell r="T254">
            <v>165199.16999999998</v>
          </cell>
        </row>
        <row r="256">
          <cell r="T256">
            <v>47853.650181900004</v>
          </cell>
        </row>
        <row r="260">
          <cell r="T260">
            <v>28295.749818099997</v>
          </cell>
        </row>
        <row r="261">
          <cell r="T261">
            <v>76149.399999999994</v>
          </cell>
        </row>
        <row r="263">
          <cell r="T263">
            <v>5917.28</v>
          </cell>
        </row>
        <row r="265">
          <cell r="T265">
            <v>0</v>
          </cell>
        </row>
        <row r="269">
          <cell r="T269">
            <v>0</v>
          </cell>
        </row>
        <row r="270">
          <cell r="T270">
            <v>0</v>
          </cell>
        </row>
        <row r="272">
          <cell r="T272">
            <v>0</v>
          </cell>
        </row>
        <row r="274">
          <cell r="T274">
            <v>51788.149999999994</v>
          </cell>
        </row>
        <row r="276">
          <cell r="T276">
            <v>-141.51</v>
          </cell>
        </row>
        <row r="278">
          <cell r="T278">
            <v>743245.75</v>
          </cell>
        </row>
        <row r="279">
          <cell r="T279">
            <v>794892.39</v>
          </cell>
        </row>
        <row r="281">
          <cell r="T281">
            <v>147470.78</v>
          </cell>
        </row>
        <row r="283">
          <cell r="T283">
            <v>0</v>
          </cell>
        </row>
        <row r="285">
          <cell r="T285"/>
        </row>
        <row r="287">
          <cell r="T287">
            <v>0</v>
          </cell>
        </row>
        <row r="288">
          <cell r="T288">
            <v>0</v>
          </cell>
        </row>
        <row r="290">
          <cell r="T290">
            <v>0</v>
          </cell>
        </row>
        <row r="292">
          <cell r="T292">
            <v>0</v>
          </cell>
        </row>
        <row r="296">
          <cell r="T296">
            <v>0</v>
          </cell>
        </row>
        <row r="297">
          <cell r="T297">
            <v>0</v>
          </cell>
        </row>
        <row r="301">
          <cell r="T301">
            <v>79533.09</v>
          </cell>
        </row>
        <row r="305">
          <cell r="T305">
            <v>0</v>
          </cell>
        </row>
        <row r="306">
          <cell r="T306">
            <v>79533.09</v>
          </cell>
        </row>
        <row r="308">
          <cell r="T308">
            <v>138651</v>
          </cell>
        </row>
        <row r="310">
          <cell r="T310">
            <v>23863.39</v>
          </cell>
        </row>
        <row r="314">
          <cell r="T314">
            <v>0</v>
          </cell>
        </row>
        <row r="315">
          <cell r="T315">
            <v>23863.39</v>
          </cell>
        </row>
        <row r="317">
          <cell r="T317">
            <v>270712</v>
          </cell>
        </row>
        <row r="319">
          <cell r="T319">
            <v>257097.17999999996</v>
          </cell>
        </row>
        <row r="320">
          <cell r="T320">
            <v>189969.21999999997</v>
          </cell>
        </row>
        <row r="335">
          <cell r="T335"/>
        </row>
        <row r="339">
          <cell r="T339">
            <v>0</v>
          </cell>
        </row>
        <row r="342">
          <cell r="T342">
            <v>0</v>
          </cell>
        </row>
        <row r="344">
          <cell r="T344"/>
        </row>
        <row r="348">
          <cell r="T348">
            <v>0</v>
          </cell>
        </row>
        <row r="350">
          <cell r="T350"/>
        </row>
        <row r="351">
          <cell r="T351"/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 01_1"/>
      <sheetName val="Page 02_2"/>
      <sheetName val="Page 4"/>
      <sheetName val="Page 5"/>
      <sheetName val="Page 6"/>
      <sheetName val="Page 08_3"/>
      <sheetName val="Page 09_4"/>
      <sheetName val="Page 10_5"/>
      <sheetName val="Page 11_6"/>
      <sheetName val="Page 11A_7"/>
      <sheetName val="Page 12_8"/>
      <sheetName val="Page 13A_9"/>
      <sheetName val="Page 13B_10"/>
      <sheetName val="Page 14_11"/>
      <sheetName val="Page 15_12"/>
      <sheetName val="Page 16_13"/>
      <sheetName val="Page 17_14"/>
      <sheetName val="Page 18_15"/>
      <sheetName val="Page 19_16"/>
      <sheetName val="Page 21_17"/>
      <sheetName val="Page 22_18"/>
      <sheetName val="Page 23_19"/>
      <sheetName val="Page 24_20"/>
      <sheetName val="Page 25_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1">
          <cell r="D21">
            <v>12091784.75</v>
          </cell>
        </row>
        <row r="22">
          <cell r="D22">
            <v>1401643.68</v>
          </cell>
        </row>
        <row r="24">
          <cell r="D24">
            <v>10991391.32</v>
          </cell>
        </row>
        <row r="25">
          <cell r="D25">
            <v>3648692.74</v>
          </cell>
        </row>
      </sheetData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 01_1"/>
      <sheetName val="Page 02_2"/>
      <sheetName val="Page 4"/>
      <sheetName val="Page 5"/>
      <sheetName val="Page 6"/>
      <sheetName val="Page 08_3"/>
      <sheetName val="Page 09_4"/>
      <sheetName val="Page 10_5"/>
      <sheetName val="Page 11_6"/>
      <sheetName val="Page 11A_7"/>
      <sheetName val="Page 12_8"/>
      <sheetName val="Page 13A_9"/>
      <sheetName val="Page 13B_10"/>
      <sheetName val="Page 14_11"/>
      <sheetName val="Page 15_12"/>
      <sheetName val="Page 16_13"/>
      <sheetName val="Page 17_14"/>
      <sheetName val="Page 18_15"/>
      <sheetName val="Page 19_16"/>
      <sheetName val="Page 21_17"/>
      <sheetName val="Page 22_18"/>
      <sheetName val="Page 23_19"/>
      <sheetName val="Page 24_20"/>
      <sheetName val="Page 25_21"/>
      <sheetName val="Page 26_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48">
          <cell r="D48">
            <v>1550892613.4300001</v>
          </cell>
        </row>
      </sheetData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XNV"/>
    </sheetNames>
    <sheetDataSet>
      <sheetData sheetId="0"/>
      <sheetData sheetId="1">
        <row r="13">
          <cell r="S13">
            <v>1439043.0260929998</v>
          </cell>
        </row>
        <row r="14">
          <cell r="S14">
            <v>43729.583906999993</v>
          </cell>
        </row>
        <row r="15">
          <cell r="S15">
            <v>1482772.61</v>
          </cell>
        </row>
        <row r="18">
          <cell r="S18">
            <v>3903242.1837379998</v>
          </cell>
        </row>
        <row r="19">
          <cell r="S19">
            <v>136038.94626200001</v>
          </cell>
        </row>
        <row r="20">
          <cell r="S20">
            <v>4039281.1300000004</v>
          </cell>
        </row>
        <row r="23">
          <cell r="S23">
            <v>2859151.3418999999</v>
          </cell>
        </row>
        <row r="24">
          <cell r="S24">
            <v>93683.658100000059</v>
          </cell>
        </row>
        <row r="25">
          <cell r="S25">
            <v>2952835</v>
          </cell>
        </row>
        <row r="28">
          <cell r="S28">
            <v>0</v>
          </cell>
        </row>
        <row r="29">
          <cell r="S29">
            <v>0</v>
          </cell>
        </row>
        <row r="30">
          <cell r="S30">
            <v>0</v>
          </cell>
        </row>
        <row r="33">
          <cell r="S33">
            <v>0</v>
          </cell>
        </row>
        <row r="34">
          <cell r="S34">
            <v>0</v>
          </cell>
        </row>
        <row r="35">
          <cell r="S35">
            <v>0</v>
          </cell>
        </row>
        <row r="38">
          <cell r="S38">
            <v>0</v>
          </cell>
        </row>
        <row r="39">
          <cell r="S39">
            <v>0</v>
          </cell>
        </row>
        <row r="40">
          <cell r="S40">
            <v>0</v>
          </cell>
        </row>
        <row r="43">
          <cell r="S43">
            <v>0</v>
          </cell>
        </row>
        <row r="44">
          <cell r="S44">
            <v>0</v>
          </cell>
        </row>
        <row r="45">
          <cell r="S45">
            <v>0</v>
          </cell>
        </row>
        <row r="48">
          <cell r="S48">
            <v>0</v>
          </cell>
        </row>
        <row r="49">
          <cell r="S49">
            <v>0</v>
          </cell>
        </row>
        <row r="50">
          <cell r="S50">
            <v>0</v>
          </cell>
        </row>
        <row r="53">
          <cell r="S53">
            <v>0</v>
          </cell>
        </row>
        <row r="54">
          <cell r="S54">
            <v>0</v>
          </cell>
        </row>
        <row r="55">
          <cell r="S55">
            <v>0</v>
          </cell>
        </row>
        <row r="58">
          <cell r="S58">
            <v>0</v>
          </cell>
        </row>
        <row r="59">
          <cell r="S59">
            <v>0</v>
          </cell>
        </row>
        <row r="60">
          <cell r="S60">
            <v>0</v>
          </cell>
        </row>
        <row r="63">
          <cell r="S63">
            <v>0</v>
          </cell>
        </row>
        <row r="64">
          <cell r="S64">
            <v>0</v>
          </cell>
        </row>
        <row r="65">
          <cell r="S65">
            <v>0</v>
          </cell>
        </row>
        <row r="68">
          <cell r="S68">
            <v>0</v>
          </cell>
        </row>
        <row r="69">
          <cell r="S69">
            <v>0</v>
          </cell>
        </row>
        <row r="70">
          <cell r="S70">
            <v>0</v>
          </cell>
        </row>
        <row r="73">
          <cell r="S73">
            <v>0</v>
          </cell>
        </row>
        <row r="74">
          <cell r="S74">
            <v>0</v>
          </cell>
        </row>
        <row r="75">
          <cell r="S75">
            <v>0</v>
          </cell>
        </row>
        <row r="78">
          <cell r="S78">
            <v>0</v>
          </cell>
        </row>
        <row r="79">
          <cell r="S79">
            <v>0</v>
          </cell>
        </row>
        <row r="80">
          <cell r="S80">
            <v>0</v>
          </cell>
        </row>
        <row r="83">
          <cell r="S83">
            <v>0</v>
          </cell>
        </row>
        <row r="84">
          <cell r="S84">
            <v>0</v>
          </cell>
        </row>
        <row r="85">
          <cell r="S85">
            <v>0</v>
          </cell>
        </row>
        <row r="88">
          <cell r="S88">
            <v>299540.81</v>
          </cell>
        </row>
        <row r="89">
          <cell r="S89">
            <v>0</v>
          </cell>
        </row>
        <row r="90">
          <cell r="S90">
            <v>299540.81</v>
          </cell>
        </row>
        <row r="93">
          <cell r="S93">
            <v>9041974.5519639999</v>
          </cell>
        </row>
        <row r="94">
          <cell r="S94">
            <v>290585.04803599993</v>
          </cell>
        </row>
        <row r="95">
          <cell r="S95">
            <v>9332559.5999999996</v>
          </cell>
        </row>
        <row r="98">
          <cell r="S98">
            <v>0</v>
          </cell>
        </row>
        <row r="99">
          <cell r="S99">
            <v>0</v>
          </cell>
        </row>
        <row r="100">
          <cell r="S100">
            <v>0</v>
          </cell>
        </row>
        <row r="103">
          <cell r="S103">
            <v>2837920.045318</v>
          </cell>
        </row>
        <row r="104">
          <cell r="S104">
            <v>92075.514682000008</v>
          </cell>
        </row>
        <row r="105">
          <cell r="S105">
            <v>2929995.5600000005</v>
          </cell>
        </row>
        <row r="108">
          <cell r="S108">
            <v>0</v>
          </cell>
        </row>
        <row r="109">
          <cell r="S109">
            <v>0</v>
          </cell>
        </row>
        <row r="110">
          <cell r="S110">
            <v>0</v>
          </cell>
        </row>
        <row r="113">
          <cell r="S113">
            <v>3072685.9793730006</v>
          </cell>
        </row>
        <row r="114">
          <cell r="S114">
            <v>94637.490626999992</v>
          </cell>
        </row>
        <row r="115">
          <cell r="S115">
            <v>3167323.47</v>
          </cell>
        </row>
        <row r="118">
          <cell r="S118">
            <v>19808531.901145</v>
          </cell>
        </row>
        <row r="119">
          <cell r="S119">
            <v>673061.90885499981</v>
          </cell>
        </row>
        <row r="120">
          <cell r="S120">
            <v>20481593.809999999</v>
          </cell>
        </row>
        <row r="123">
          <cell r="S123">
            <v>2004233.3545000001</v>
          </cell>
        </row>
        <row r="124">
          <cell r="S124">
            <v>63217.645499999955</v>
          </cell>
        </row>
        <row r="125">
          <cell r="S125">
            <v>2067451</v>
          </cell>
        </row>
        <row r="128">
          <cell r="S128">
            <v>0</v>
          </cell>
        </row>
        <row r="129">
          <cell r="S129">
            <v>0</v>
          </cell>
        </row>
        <row r="130">
          <cell r="S130">
            <v>0</v>
          </cell>
        </row>
        <row r="132">
          <cell r="S132"/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Greyback P16 December"/>
      <sheetName val="1138010 Pivots"/>
      <sheetName val="1138010 Data"/>
      <sheetName val="Table"/>
      <sheetName val="SAP Balance"/>
      <sheetName val="Sheet1"/>
      <sheetName val="Sheet2"/>
      <sheetName val="Sheet4"/>
      <sheetName val="Sheet5"/>
      <sheetName val="Sheet3"/>
    </sheetNames>
    <sheetDataSet>
      <sheetData sheetId="0">
        <row r="14">
          <cell r="H14">
            <v>3156952.86</v>
          </cell>
          <cell r="J14">
            <v>3944654.7700000037</v>
          </cell>
        </row>
        <row r="15">
          <cell r="H15">
            <v>-1576399.16</v>
          </cell>
          <cell r="J15">
            <v>-1498079.8200000008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Panel"/>
      <sheetName val="Report"/>
      <sheetName val="Report (2)"/>
      <sheetName val="Report (3)"/>
      <sheetName val="Adjustments"/>
      <sheetName val="ROR-Model"/>
      <sheetName val="Summaries"/>
      <sheetName val="PROJECTED EXPENSES"/>
      <sheetName val="EXPENSES"/>
      <sheetName val="Rate Base"/>
      <sheetName val="RB FORECAST"/>
      <sheetName val="101_106 PROJECTION"/>
      <sheetName val="108_111 Projection"/>
      <sheetName val="PROJECTED ACC 252 (CONTR)"/>
      <sheetName val="190_255_282 FORECAST"/>
      <sheetName val="EDIT Amort Adj"/>
      <sheetName val="Labor Forecast"/>
      <sheetName val="ENERGY EFFICIENCY SERVICES ADJ"/>
      <sheetName val="PIPELINE INTEGRITY"/>
      <sheetName val="Other Taxes"/>
      <sheetName val="Taxes"/>
      <sheetName val="Und Stor"/>
      <sheetName val="Wexpro"/>
      <sheetName val="Tax Surcredit 2"/>
      <sheetName val="Transition Costs"/>
      <sheetName val="RESERVE ACCRUAL"/>
      <sheetName val="Donations"/>
      <sheetName val="Advertising"/>
      <sheetName val="Incentive"/>
      <sheetName val="Sporting Events"/>
      <sheetName val="Revenue"/>
      <sheetName val="Booked DEC 2019 Rev"/>
      <sheetName val="YE Projected Rev 2019"/>
      <sheetName val="YE Proj Rev 2019 with CET "/>
      <sheetName val="AVG Projected Rev 2019 adj HDD"/>
      <sheetName val="AVG Proj Rev 2020 with CET"/>
      <sheetName val="AVG Proj Rev 2019 "/>
      <sheetName val="YE Projected Rev 2020"/>
      <sheetName val="YE Proj Rev 2020 with CET"/>
      <sheetName val="AVG Projected Rev 2020 adj HDD"/>
      <sheetName val="AVG Proj Rev 2020 "/>
      <sheetName val="AVG Proj Rev 2021 with CET"/>
      <sheetName val="Current Rates New Norms 2020 "/>
      <sheetName val="Current Rates Curr Norms 2020"/>
      <sheetName val="Other Rev"/>
      <sheetName val="Utah Bad Debt"/>
      <sheetName val="Capital Str"/>
      <sheetName val="Utah Allocation"/>
      <sheetName val="ALLOCATIONS&amp;PRETAX"/>
      <sheetName val="OYF Savings"/>
      <sheetName val="RNGT -NGV Volume"/>
      <sheetName val="Pension"/>
      <sheetName val="Accrual True-Up"/>
      <sheetName val="Fines"/>
      <sheetName val="Optional Adjustment 3"/>
      <sheetName val="Optional Adjustment 4"/>
      <sheetName val="Optional Adjustment 5"/>
      <sheetName val="Optional Adjustment 6"/>
      <sheetName val="Optional Adjustment 7"/>
      <sheetName val="Optional Adjustment 8"/>
      <sheetName val="Optional Adjustment 9"/>
      <sheetName val="Optional Adjustment 10"/>
      <sheetName val="Optional Adjustment 11"/>
      <sheetName val="Optional Adjustment 12"/>
      <sheetName val="Optional Adjustment 13"/>
      <sheetName val="Optional Adjustment 14"/>
      <sheetName val="Optional Adjustment 15"/>
      <sheetName val="Optional Adjustment 16"/>
      <sheetName val="Optional Adjustment 17"/>
      <sheetName val="Optional Adjustment 18"/>
      <sheetName val="Optional Adjustment 19"/>
      <sheetName val="Optional Adjustment 20"/>
      <sheetName val="Optional Adjustment 21"/>
      <sheetName val="Optional Adjustment 22"/>
      <sheetName val="Optional Adjustment 23"/>
      <sheetName val="Labor Adjustment ROO"/>
      <sheetName val="COS REVRU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40">
          <cell r="E40"/>
        </row>
        <row r="41">
          <cell r="E41">
            <v>775805671.91499996</v>
          </cell>
        </row>
        <row r="42">
          <cell r="E42">
            <v>-1454534.51</v>
          </cell>
        </row>
        <row r="43">
          <cell r="E43">
            <v>-4351137.4049999993</v>
          </cell>
        </row>
        <row r="44">
          <cell r="E44"/>
        </row>
        <row r="49">
          <cell r="E49">
            <v>32940553.683977142</v>
          </cell>
        </row>
        <row r="50">
          <cell r="E50">
            <v>708446.31602285802</v>
          </cell>
        </row>
        <row r="57">
          <cell r="E57">
            <v>22974065</v>
          </cell>
        </row>
        <row r="58">
          <cell r="E58">
            <v>272445462.82999998</v>
          </cell>
        </row>
        <row r="59">
          <cell r="E59">
            <v>203257106.87</v>
          </cell>
        </row>
        <row r="60">
          <cell r="E60">
            <v>660500000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Panel"/>
      <sheetName val="Model Update Comparison"/>
      <sheetName val="ROR-Model"/>
      <sheetName val="Report"/>
      <sheetName val="WYO DEPR EXPENSE"/>
      <sheetName val="Depreciation Study Impact"/>
      <sheetName val="Adjustments"/>
      <sheetName val="EDIT"/>
      <sheetName val="OF Savings"/>
      <sheetName val="VRP"/>
      <sheetName val="Summaries"/>
      <sheetName val="Und Stor"/>
      <sheetName val="Bad Debt"/>
      <sheetName val="EXPENSES"/>
      <sheetName val="Other Taxes"/>
      <sheetName val="Taxes"/>
      <sheetName val="Rate Base"/>
      <sheetName val="OCA 1 Meters"/>
      <sheetName val="OCA 2 Incentive"/>
      <sheetName val="OCA 3 Software"/>
      <sheetName val="OCA 4 Energy&amp;E Bill"/>
      <sheetName val="OCA 5 Advertising"/>
      <sheetName val="OCA 6 One time"/>
      <sheetName val="OCA 7 Subscription &amp; Dues"/>
      <sheetName val="OCA 8"/>
      <sheetName val="ENERGY EFFICIENCY SERVICES ADJ"/>
      <sheetName val="Wexpro"/>
      <sheetName val="Revenue"/>
      <sheetName val="Booked Dec 2018 Rev"/>
      <sheetName val="Booked Dec 2019 Rev"/>
      <sheetName val="Projected 2019 Avg Rev"/>
      <sheetName val="Projected 2019 YE Rev"/>
      <sheetName val="Projected 2019 Avg Rev CET"/>
      <sheetName val="Projected 2019 YE Rev CET"/>
      <sheetName val="Projected 2019 Avg new HDD"/>
      <sheetName val="Projected 2019 Avg CET new HDD"/>
      <sheetName val="Capital Str"/>
      <sheetName val="Other Rev"/>
      <sheetName val="Projected Expenses"/>
      <sheetName val="RB FORECAST"/>
      <sheetName val="101_106 PROJECTION"/>
      <sheetName val="108_111 Projection"/>
      <sheetName val="Pension Adustment"/>
      <sheetName val="Labor Forecast"/>
      <sheetName val="190_255_282 FORECAST"/>
      <sheetName val="Exp Filed vs Actual"/>
      <sheetName val="State Allocation"/>
      <sheetName val="ALLOCATIONS&amp;PRETAX"/>
      <sheetName val="Criteria"/>
      <sheetName val="COS Input"/>
      <sheetName val="Dist Plant"/>
      <sheetName val="COS Alloc Factors"/>
      <sheetName val="COS Detail"/>
      <sheetName val="Taxes by Class"/>
      <sheetName val="COS Sum"/>
      <sheetName val="Criteria (Core)"/>
      <sheetName val="COS Input (Core)"/>
      <sheetName val="Dist Plant (Core)"/>
      <sheetName val="COS Alloc Factors (Core)"/>
      <sheetName val="COS Detail (Core)"/>
      <sheetName val="Taxes by Class (Core)"/>
      <sheetName val="COS Sum (Core)"/>
      <sheetName val="Rate Comp"/>
      <sheetName val="Bill Factor Input"/>
      <sheetName val="Functionalization"/>
      <sheetName val="Classification (Core)"/>
      <sheetName val="Functionalization (Core)"/>
      <sheetName val="Cost Curves (Core)"/>
      <sheetName val="Graph Data (Core)"/>
      <sheetName val="EX 5.2Graph (Core)"/>
      <sheetName val="Cost Curves"/>
      <sheetName val="Graph Data"/>
      <sheetName val="Ex 4.7 Graph_NOT EXHIBIT"/>
      <sheetName val="RateDesign"/>
      <sheetName val="Rules"/>
      <sheetName val="EX 5.3 pg 1"/>
      <sheetName val="EX 5.3 pg 2"/>
      <sheetName val="Ex 5.4 Typical Bill"/>
      <sheetName val="Blk Out New NHDD"/>
      <sheetName val="2019 Wyoming Rate Case Model 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0">
          <cell r="F40"/>
        </row>
        <row r="41">
          <cell r="F41">
            <v>750000000</v>
          </cell>
        </row>
        <row r="42">
          <cell r="F42">
            <v>-1719738.72</v>
          </cell>
        </row>
        <row r="43">
          <cell r="F43">
            <v>-4479683.26</v>
          </cell>
        </row>
        <row r="44">
          <cell r="F44"/>
        </row>
        <row r="49">
          <cell r="F49">
            <v>31845000</v>
          </cell>
        </row>
        <row r="50">
          <cell r="F50">
            <v>727659.76</v>
          </cell>
        </row>
        <row r="57">
          <cell r="F57">
            <v>22974065</v>
          </cell>
        </row>
        <row r="58">
          <cell r="F58">
            <v>272445462.82999998</v>
          </cell>
        </row>
        <row r="59">
          <cell r="F59">
            <v>203257106.87</v>
          </cell>
        </row>
        <row r="60">
          <cell r="F60">
            <v>606930109.87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VERAGE"/>
      <sheetName val="XNV"/>
    </sheetNames>
    <sheetDataSet>
      <sheetData sheetId="0">
        <row r="18">
          <cell r="D18">
            <v>1250000000</v>
          </cell>
          <cell r="E18">
            <v>-97838.89</v>
          </cell>
          <cell r="F18">
            <v>-5010740.5</v>
          </cell>
          <cell r="H18">
            <v>22974065</v>
          </cell>
          <cell r="I18">
            <v>272445462.82999998</v>
          </cell>
          <cell r="J18">
            <v>875913011.20000005</v>
          </cell>
          <cell r="K18">
            <v>303257106.87</v>
          </cell>
          <cell r="L18">
            <v>49907500.079999998</v>
          </cell>
          <cell r="M18">
            <v>815662.20000000007</v>
          </cell>
        </row>
        <row r="20">
          <cell r="D20">
            <v>1093750000</v>
          </cell>
          <cell r="E20">
            <v>-363129.10916666663</v>
          </cell>
          <cell r="F20">
            <v>-4707787.0662500001</v>
          </cell>
          <cell r="G20">
            <v>-20000000</v>
          </cell>
          <cell r="H20">
            <v>22974065</v>
          </cell>
          <cell r="I20">
            <v>272445462.82999998</v>
          </cell>
          <cell r="J20">
            <v>824848534.79041672</v>
          </cell>
          <cell r="K20">
            <v>207423773.53666663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YPE"/>
      <sheetName val="RATE CLASS"/>
      <sheetName val="PIVOT"/>
      <sheetName val="QUERY_FOR PIVOT"/>
      <sheetName val="NGV RATES"/>
      <sheetName val="NGV Query"/>
      <sheetName val="CRITERIA"/>
      <sheetName val="BOOKED REV"/>
    </sheetNames>
    <sheetDataSet>
      <sheetData sheetId="0"/>
      <sheetData sheetId="1"/>
      <sheetData sheetId="2"/>
      <sheetData sheetId="3"/>
      <sheetData sheetId="4">
        <row r="3">
          <cell r="B3">
            <v>39447</v>
          </cell>
          <cell r="C3">
            <v>39478</v>
          </cell>
          <cell r="D3">
            <v>39507</v>
          </cell>
          <cell r="E3">
            <v>39538</v>
          </cell>
          <cell r="F3">
            <v>39568</v>
          </cell>
          <cell r="G3">
            <v>39599</v>
          </cell>
          <cell r="H3">
            <v>39629</v>
          </cell>
          <cell r="I3">
            <v>39660</v>
          </cell>
          <cell r="J3">
            <v>39691</v>
          </cell>
          <cell r="K3">
            <v>39721</v>
          </cell>
          <cell r="L3">
            <v>39752</v>
          </cell>
          <cell r="M3">
            <v>39782</v>
          </cell>
          <cell r="N3">
            <v>39813</v>
          </cell>
        </row>
        <row r="4">
          <cell r="B4">
            <v>2.5567000000000002</v>
          </cell>
          <cell r="C4">
            <v>2.5567000000000002</v>
          </cell>
          <cell r="D4">
            <v>2.5567000000000002</v>
          </cell>
          <cell r="E4">
            <v>2.5567000000000002</v>
          </cell>
          <cell r="F4">
            <v>2.5567000000000002</v>
          </cell>
          <cell r="G4">
            <v>2.5567000000000002</v>
          </cell>
          <cell r="H4">
            <v>2.5567000000000002</v>
          </cell>
          <cell r="I4">
            <v>2.5567000000000002</v>
          </cell>
          <cell r="J4">
            <v>2.5567000000000002</v>
          </cell>
          <cell r="K4">
            <v>2.5567000000000002</v>
          </cell>
          <cell r="L4">
            <v>2.5567000000000002</v>
          </cell>
          <cell r="M4">
            <v>2.6896300000000002</v>
          </cell>
          <cell r="N4">
            <v>2.6896300000000002</v>
          </cell>
        </row>
        <row r="5">
          <cell r="B5">
            <v>0.58655999999999997</v>
          </cell>
          <cell r="C5">
            <v>0.58655999999999997</v>
          </cell>
          <cell r="D5">
            <v>0.58655999999999997</v>
          </cell>
          <cell r="E5">
            <v>0.58655999999999997</v>
          </cell>
          <cell r="F5">
            <v>0.58655999999999997</v>
          </cell>
          <cell r="G5">
            <v>0.58655999999999997</v>
          </cell>
          <cell r="H5">
            <v>0.58655999999999997</v>
          </cell>
          <cell r="I5">
            <v>0.70370999999999995</v>
          </cell>
          <cell r="J5">
            <v>0.70370999999999995</v>
          </cell>
          <cell r="K5">
            <v>0.70370999999999995</v>
          </cell>
          <cell r="L5">
            <v>0.70370999999999995</v>
          </cell>
          <cell r="M5">
            <v>0.91618999999999995</v>
          </cell>
          <cell r="N5">
            <v>0.91618999999999995</v>
          </cell>
        </row>
        <row r="6">
          <cell r="B6">
            <v>4.8200799999999999</v>
          </cell>
          <cell r="C6">
            <v>4.8200799999999999</v>
          </cell>
          <cell r="D6">
            <v>4.8200799999999999</v>
          </cell>
          <cell r="E6">
            <v>4.8200799999999999</v>
          </cell>
          <cell r="F6">
            <v>4.8200799999999999</v>
          </cell>
          <cell r="G6">
            <v>4.8200799999999999</v>
          </cell>
          <cell r="H6">
            <v>4.8200799999999999</v>
          </cell>
          <cell r="I6">
            <v>6.5426599999999997</v>
          </cell>
          <cell r="J6">
            <v>6.5426599999999997</v>
          </cell>
          <cell r="K6">
            <v>6.5426599999999997</v>
          </cell>
          <cell r="L6">
            <v>6.5426599999999997</v>
          </cell>
          <cell r="M6">
            <v>5.6968100000000002</v>
          </cell>
          <cell r="N6">
            <v>5.6968100000000002</v>
          </cell>
        </row>
        <row r="11">
          <cell r="B11">
            <v>39447</v>
          </cell>
          <cell r="C11">
            <v>39478</v>
          </cell>
          <cell r="D11">
            <v>39507</v>
          </cell>
          <cell r="E11">
            <v>39538</v>
          </cell>
          <cell r="F11">
            <v>39568</v>
          </cell>
          <cell r="G11">
            <v>39599</v>
          </cell>
          <cell r="H11">
            <v>39629</v>
          </cell>
          <cell r="I11">
            <v>39660</v>
          </cell>
          <cell r="J11">
            <v>39691</v>
          </cell>
          <cell r="K11">
            <v>39721</v>
          </cell>
          <cell r="L11">
            <v>39752</v>
          </cell>
          <cell r="M11">
            <v>39782</v>
          </cell>
          <cell r="N11">
            <v>39813</v>
          </cell>
        </row>
        <row r="12">
          <cell r="B12">
            <v>3.12737</v>
          </cell>
          <cell r="C12">
            <v>3.12737</v>
          </cell>
          <cell r="D12">
            <v>3.12737</v>
          </cell>
          <cell r="E12">
            <v>3.12737</v>
          </cell>
          <cell r="F12">
            <v>3.12737</v>
          </cell>
          <cell r="G12">
            <v>3.12737</v>
          </cell>
          <cell r="H12">
            <v>3.12737</v>
          </cell>
          <cell r="I12">
            <v>3.0495899999999998</v>
          </cell>
          <cell r="J12">
            <v>3.0495899999999998</v>
          </cell>
          <cell r="K12">
            <v>3.0495899999999998</v>
          </cell>
          <cell r="L12">
            <v>3.0495899999999998</v>
          </cell>
          <cell r="M12">
            <v>3.12737</v>
          </cell>
          <cell r="N12">
            <v>3.12737</v>
          </cell>
        </row>
        <row r="13">
          <cell r="B13">
            <v>5.3518800000000004</v>
          </cell>
          <cell r="C13">
            <v>5.3518800000000004</v>
          </cell>
          <cell r="D13">
            <v>5.3518800000000004</v>
          </cell>
          <cell r="E13">
            <v>5.3518800000000004</v>
          </cell>
          <cell r="F13">
            <v>5.3518800000000004</v>
          </cell>
          <cell r="G13">
            <v>5.3518800000000004</v>
          </cell>
          <cell r="H13">
            <v>5.3518800000000004</v>
          </cell>
          <cell r="I13">
            <v>2.8395000000000001</v>
          </cell>
          <cell r="J13">
            <v>2.8395000000000001</v>
          </cell>
          <cell r="K13">
            <v>2.8395000000000001</v>
          </cell>
          <cell r="L13">
            <v>2.8395000000000001</v>
          </cell>
          <cell r="M13">
            <v>6.2275600000000004</v>
          </cell>
          <cell r="N13">
            <v>6.2275600000000004</v>
          </cell>
        </row>
      </sheetData>
      <sheetData sheetId="5">
        <row r="1">
          <cell r="A1" t="str">
            <v>Account</v>
          </cell>
          <cell r="B1" t="str">
            <v>Oper Unit</v>
          </cell>
          <cell r="C1" t="str">
            <v>Product</v>
          </cell>
          <cell r="D1" t="str">
            <v>Trans</v>
          </cell>
          <cell r="E1" t="str">
            <v>Date</v>
          </cell>
          <cell r="F1" t="str">
            <v>Journal ID</v>
          </cell>
          <cell r="G1" t="str">
            <v>Monetary Amount</v>
          </cell>
          <cell r="H1" t="str">
            <v>Statistic Amount</v>
          </cell>
        </row>
        <row r="2">
          <cell r="A2" t="str">
            <v>481003</v>
          </cell>
          <cell r="B2" t="str">
            <v>01959</v>
          </cell>
          <cell r="D2" t="str">
            <v>200</v>
          </cell>
          <cell r="E2" t="str">
            <v>2008-01-31</v>
          </cell>
          <cell r="F2" t="str">
            <v>549ACORR2</v>
          </cell>
          <cell r="G2">
            <v>-1212.57</v>
          </cell>
          <cell r="H2">
            <v>0</v>
          </cell>
        </row>
        <row r="3">
          <cell r="A3" t="str">
            <v>481003</v>
          </cell>
          <cell r="B3" t="str">
            <v>01943</v>
          </cell>
          <cell r="D3" t="str">
            <v>200</v>
          </cell>
          <cell r="E3" t="str">
            <v>2008-01-31</v>
          </cell>
          <cell r="F3" t="str">
            <v>549ACORR2</v>
          </cell>
          <cell r="G3">
            <v>-489.12</v>
          </cell>
          <cell r="H3">
            <v>0</v>
          </cell>
        </row>
        <row r="4">
          <cell r="A4" t="str">
            <v>481003</v>
          </cell>
          <cell r="B4" t="str">
            <v>01990</v>
          </cell>
          <cell r="D4" t="str">
            <v>200</v>
          </cell>
          <cell r="E4" t="str">
            <v>2008-01-31</v>
          </cell>
          <cell r="F4" t="str">
            <v>549ACORR2</v>
          </cell>
          <cell r="G4">
            <v>-1881.94</v>
          </cell>
          <cell r="H4">
            <v>0</v>
          </cell>
        </row>
        <row r="5">
          <cell r="A5" t="str">
            <v>481003</v>
          </cell>
          <cell r="B5" t="str">
            <v>01991</v>
          </cell>
          <cell r="D5" t="str">
            <v>200</v>
          </cell>
          <cell r="E5" t="str">
            <v>2008-01-31</v>
          </cell>
          <cell r="F5" t="str">
            <v>549ACORR2</v>
          </cell>
          <cell r="G5">
            <v>-18.71</v>
          </cell>
          <cell r="H5">
            <v>0</v>
          </cell>
        </row>
        <row r="6">
          <cell r="A6" t="str">
            <v>481003</v>
          </cell>
          <cell r="B6" t="str">
            <v>01952</v>
          </cell>
          <cell r="D6" t="str">
            <v>200</v>
          </cell>
          <cell r="E6" t="str">
            <v>2008-01-31</v>
          </cell>
          <cell r="F6" t="str">
            <v>549ACORR2</v>
          </cell>
          <cell r="G6">
            <v>-385.38</v>
          </cell>
          <cell r="H6">
            <v>0</v>
          </cell>
        </row>
        <row r="7">
          <cell r="A7" t="str">
            <v>481003</v>
          </cell>
          <cell r="B7" t="str">
            <v>01954</v>
          </cell>
          <cell r="D7" t="str">
            <v>200</v>
          </cell>
          <cell r="E7" t="str">
            <v>2008-01-31</v>
          </cell>
          <cell r="F7" t="str">
            <v>549ACORR2</v>
          </cell>
          <cell r="G7">
            <v>-42.29</v>
          </cell>
          <cell r="H7">
            <v>0</v>
          </cell>
        </row>
        <row r="8">
          <cell r="A8" t="str">
            <v>481003</v>
          </cell>
          <cell r="B8" t="str">
            <v>01953</v>
          </cell>
          <cell r="D8" t="str">
            <v>200</v>
          </cell>
          <cell r="E8" t="str">
            <v>2008-01-31</v>
          </cell>
          <cell r="F8" t="str">
            <v>549ACORR2</v>
          </cell>
          <cell r="G8">
            <v>-3551.92</v>
          </cell>
          <cell r="H8">
            <v>0</v>
          </cell>
        </row>
        <row r="9">
          <cell r="A9" t="str">
            <v>481003</v>
          </cell>
          <cell r="B9" t="str">
            <v>01986</v>
          </cell>
          <cell r="D9" t="str">
            <v>200</v>
          </cell>
          <cell r="E9" t="str">
            <v>2008-01-31</v>
          </cell>
          <cell r="F9" t="str">
            <v>549ACORR2</v>
          </cell>
          <cell r="G9">
            <v>-411.4</v>
          </cell>
          <cell r="H9">
            <v>0</v>
          </cell>
        </row>
        <row r="10">
          <cell r="A10" t="str">
            <v>481003</v>
          </cell>
          <cell r="B10" t="str">
            <v>01986</v>
          </cell>
          <cell r="D10" t="str">
            <v>200</v>
          </cell>
          <cell r="E10" t="str">
            <v>2008-01-31</v>
          </cell>
          <cell r="F10" t="str">
            <v>549ACORR1A</v>
          </cell>
          <cell r="G10">
            <v>413.61</v>
          </cell>
          <cell r="H10">
            <v>0</v>
          </cell>
        </row>
        <row r="11">
          <cell r="A11" t="str">
            <v>481003</v>
          </cell>
          <cell r="B11" t="str">
            <v>01953</v>
          </cell>
          <cell r="D11" t="str">
            <v>200</v>
          </cell>
          <cell r="E11" t="str">
            <v>2008-01-31</v>
          </cell>
          <cell r="F11" t="str">
            <v>549ACORR1A</v>
          </cell>
          <cell r="G11">
            <v>2387.3000000000002</v>
          </cell>
          <cell r="H11">
            <v>0</v>
          </cell>
        </row>
        <row r="12">
          <cell r="A12" t="str">
            <v>481003</v>
          </cell>
          <cell r="B12" t="str">
            <v>01954</v>
          </cell>
          <cell r="D12" t="str">
            <v>200</v>
          </cell>
          <cell r="E12" t="str">
            <v>2008-01-31</v>
          </cell>
          <cell r="F12" t="str">
            <v>549ACORR1A</v>
          </cell>
          <cell r="G12">
            <v>9.73</v>
          </cell>
          <cell r="H12">
            <v>0</v>
          </cell>
        </row>
        <row r="13">
          <cell r="A13" t="str">
            <v>481003</v>
          </cell>
          <cell r="B13" t="str">
            <v>01952</v>
          </cell>
          <cell r="D13" t="str">
            <v>200</v>
          </cell>
          <cell r="E13" t="str">
            <v>2008-01-31</v>
          </cell>
          <cell r="F13" t="str">
            <v>549ACORR1A</v>
          </cell>
          <cell r="G13">
            <v>184.24</v>
          </cell>
          <cell r="H13">
            <v>0</v>
          </cell>
        </row>
        <row r="14">
          <cell r="A14" t="str">
            <v>481003</v>
          </cell>
          <cell r="B14" t="str">
            <v>01991</v>
          </cell>
          <cell r="D14" t="str">
            <v>200</v>
          </cell>
          <cell r="E14" t="str">
            <v>2008-01-31</v>
          </cell>
          <cell r="F14" t="str">
            <v>549ACORR1A</v>
          </cell>
          <cell r="G14">
            <v>9.27</v>
          </cell>
          <cell r="H14">
            <v>0</v>
          </cell>
        </row>
        <row r="15">
          <cell r="A15" t="str">
            <v>481003</v>
          </cell>
          <cell r="B15" t="str">
            <v>01990</v>
          </cell>
          <cell r="D15" t="str">
            <v>200</v>
          </cell>
          <cell r="E15" t="str">
            <v>2008-01-31</v>
          </cell>
          <cell r="F15" t="str">
            <v>549ACORR1A</v>
          </cell>
          <cell r="G15">
            <v>1333</v>
          </cell>
          <cell r="H15">
            <v>0</v>
          </cell>
        </row>
        <row r="16">
          <cell r="A16" t="str">
            <v>481003</v>
          </cell>
          <cell r="B16" t="str">
            <v>01943</v>
          </cell>
          <cell r="D16" t="str">
            <v>200</v>
          </cell>
          <cell r="E16" t="str">
            <v>2008-01-31</v>
          </cell>
          <cell r="F16" t="str">
            <v>549ACORR1A</v>
          </cell>
          <cell r="G16">
            <v>999.33</v>
          </cell>
          <cell r="H16">
            <v>0</v>
          </cell>
        </row>
        <row r="17">
          <cell r="A17" t="str">
            <v>481003</v>
          </cell>
          <cell r="B17" t="str">
            <v>01959</v>
          </cell>
          <cell r="D17" t="str">
            <v>200</v>
          </cell>
          <cell r="E17" t="str">
            <v>2008-01-31</v>
          </cell>
          <cell r="F17" t="str">
            <v>549ACORR1A</v>
          </cell>
          <cell r="G17">
            <v>631.70000000000005</v>
          </cell>
          <cell r="H17">
            <v>0</v>
          </cell>
        </row>
        <row r="18">
          <cell r="A18" t="str">
            <v>481003</v>
          </cell>
          <cell r="B18" t="str">
            <v>01943</v>
          </cell>
          <cell r="D18" t="str">
            <v>200</v>
          </cell>
          <cell r="E18" t="str">
            <v>2008-01-31</v>
          </cell>
          <cell r="F18" t="str">
            <v>549ACORR2A</v>
          </cell>
          <cell r="G18">
            <v>503</v>
          </cell>
          <cell r="H18">
            <v>0</v>
          </cell>
        </row>
        <row r="19">
          <cell r="A19" t="str">
            <v>481003</v>
          </cell>
          <cell r="B19" t="str">
            <v>01952</v>
          </cell>
          <cell r="D19" t="str">
            <v>200</v>
          </cell>
          <cell r="E19" t="str">
            <v>2008-01-31</v>
          </cell>
          <cell r="F19" t="str">
            <v>549ACORR2A</v>
          </cell>
          <cell r="G19">
            <v>385.38</v>
          </cell>
          <cell r="H19">
            <v>0</v>
          </cell>
        </row>
        <row r="20">
          <cell r="A20" t="str">
            <v>481003</v>
          </cell>
          <cell r="B20" t="str">
            <v>01953</v>
          </cell>
          <cell r="D20" t="str">
            <v>200</v>
          </cell>
          <cell r="E20" t="str">
            <v>2008-01-31</v>
          </cell>
          <cell r="F20" t="str">
            <v>549ACORR2A</v>
          </cell>
          <cell r="G20">
            <v>3551.92</v>
          </cell>
          <cell r="H20">
            <v>0</v>
          </cell>
        </row>
        <row r="21">
          <cell r="A21" t="str">
            <v>481003</v>
          </cell>
          <cell r="B21" t="str">
            <v>01954</v>
          </cell>
          <cell r="D21" t="str">
            <v>200</v>
          </cell>
          <cell r="E21" t="str">
            <v>2008-01-31</v>
          </cell>
          <cell r="F21" t="str">
            <v>549ACORR2A</v>
          </cell>
          <cell r="G21">
            <v>42.29</v>
          </cell>
          <cell r="H21">
            <v>0</v>
          </cell>
        </row>
        <row r="22">
          <cell r="A22" t="str">
            <v>481003</v>
          </cell>
          <cell r="B22" t="str">
            <v>01959</v>
          </cell>
          <cell r="D22" t="str">
            <v>200</v>
          </cell>
          <cell r="E22" t="str">
            <v>2008-01-31</v>
          </cell>
          <cell r="F22" t="str">
            <v>549ACORR2A</v>
          </cell>
          <cell r="G22">
            <v>1212.57</v>
          </cell>
          <cell r="H22">
            <v>0</v>
          </cell>
        </row>
        <row r="23">
          <cell r="A23" t="str">
            <v>481003</v>
          </cell>
          <cell r="B23" t="str">
            <v>01986</v>
          </cell>
          <cell r="D23" t="str">
            <v>200</v>
          </cell>
          <cell r="E23" t="str">
            <v>2008-01-31</v>
          </cell>
          <cell r="F23" t="str">
            <v>549ACORR2A</v>
          </cell>
          <cell r="G23">
            <v>411.4</v>
          </cell>
          <cell r="H23">
            <v>0</v>
          </cell>
        </row>
        <row r="24">
          <cell r="A24" t="str">
            <v>481003</v>
          </cell>
          <cell r="B24" t="str">
            <v>01990</v>
          </cell>
          <cell r="D24" t="str">
            <v>200</v>
          </cell>
          <cell r="E24" t="str">
            <v>2008-01-31</v>
          </cell>
          <cell r="F24" t="str">
            <v>549ACORR2A</v>
          </cell>
          <cell r="G24">
            <v>1881.94</v>
          </cell>
          <cell r="H24">
            <v>0</v>
          </cell>
        </row>
        <row r="25">
          <cell r="A25" t="str">
            <v>481003</v>
          </cell>
          <cell r="B25" t="str">
            <v>01991</v>
          </cell>
          <cell r="D25" t="str">
            <v>200</v>
          </cell>
          <cell r="E25" t="str">
            <v>2008-01-31</v>
          </cell>
          <cell r="F25" t="str">
            <v>549ACORR2A</v>
          </cell>
          <cell r="G25">
            <v>18.71</v>
          </cell>
          <cell r="H25">
            <v>0</v>
          </cell>
        </row>
        <row r="26">
          <cell r="A26" t="str">
            <v>481003</v>
          </cell>
          <cell r="B26" t="str">
            <v>01959</v>
          </cell>
          <cell r="D26" t="str">
            <v>200</v>
          </cell>
          <cell r="E26" t="str">
            <v>2008-01-31</v>
          </cell>
          <cell r="F26" t="str">
            <v>549A</v>
          </cell>
          <cell r="G26">
            <v>-1269.55</v>
          </cell>
          <cell r="H26">
            <v>0</v>
          </cell>
        </row>
        <row r="27">
          <cell r="A27" t="str">
            <v>481003</v>
          </cell>
          <cell r="B27" t="str">
            <v>01943</v>
          </cell>
          <cell r="D27" t="str">
            <v>200</v>
          </cell>
          <cell r="E27" t="str">
            <v>2008-01-31</v>
          </cell>
          <cell r="F27" t="str">
            <v>549A</v>
          </cell>
          <cell r="G27">
            <v>-632</v>
          </cell>
          <cell r="H27">
            <v>0</v>
          </cell>
        </row>
        <row r="28">
          <cell r="A28" t="str">
            <v>481003</v>
          </cell>
          <cell r="B28" t="str">
            <v>01990</v>
          </cell>
          <cell r="D28" t="str">
            <v>200</v>
          </cell>
          <cell r="E28" t="str">
            <v>2008-01-31</v>
          </cell>
          <cell r="F28" t="str">
            <v>549A</v>
          </cell>
          <cell r="G28">
            <v>-1523.23</v>
          </cell>
          <cell r="H28">
            <v>0</v>
          </cell>
        </row>
        <row r="29">
          <cell r="A29" t="str">
            <v>481003</v>
          </cell>
          <cell r="B29" t="str">
            <v>01991</v>
          </cell>
          <cell r="D29" t="str">
            <v>200</v>
          </cell>
          <cell r="E29" t="str">
            <v>2008-01-31</v>
          </cell>
          <cell r="F29" t="str">
            <v>549A</v>
          </cell>
          <cell r="G29">
            <v>-6.51</v>
          </cell>
          <cell r="H29">
            <v>0</v>
          </cell>
        </row>
        <row r="30">
          <cell r="A30" t="str">
            <v>481003</v>
          </cell>
          <cell r="B30" t="str">
            <v>01952</v>
          </cell>
          <cell r="D30" t="str">
            <v>200</v>
          </cell>
          <cell r="E30" t="str">
            <v>2008-01-31</v>
          </cell>
          <cell r="F30" t="str">
            <v>549A</v>
          </cell>
          <cell r="G30">
            <v>-221.84</v>
          </cell>
          <cell r="H30">
            <v>0</v>
          </cell>
        </row>
        <row r="31">
          <cell r="A31" t="str">
            <v>481003</v>
          </cell>
          <cell r="B31" t="str">
            <v>01954</v>
          </cell>
          <cell r="D31" t="str">
            <v>200</v>
          </cell>
          <cell r="E31" t="str">
            <v>2008-01-31</v>
          </cell>
          <cell r="F31" t="str">
            <v>549A</v>
          </cell>
          <cell r="G31">
            <v>-9.68</v>
          </cell>
          <cell r="H31">
            <v>0</v>
          </cell>
        </row>
        <row r="32">
          <cell r="A32" t="str">
            <v>481003</v>
          </cell>
          <cell r="B32" t="str">
            <v>01953</v>
          </cell>
          <cell r="D32" t="str">
            <v>200</v>
          </cell>
          <cell r="E32" t="str">
            <v>2008-01-31</v>
          </cell>
          <cell r="F32" t="str">
            <v>549A</v>
          </cell>
          <cell r="G32">
            <v>-4064.38</v>
          </cell>
          <cell r="H32">
            <v>0</v>
          </cell>
        </row>
        <row r="33">
          <cell r="A33" t="str">
            <v>481003</v>
          </cell>
          <cell r="B33" t="str">
            <v>01986</v>
          </cell>
          <cell r="D33" t="str">
            <v>200</v>
          </cell>
          <cell r="E33" t="str">
            <v>2008-01-31</v>
          </cell>
          <cell r="F33" t="str">
            <v>549A</v>
          </cell>
          <cell r="G33">
            <v>-409.34</v>
          </cell>
          <cell r="H33">
            <v>0</v>
          </cell>
        </row>
        <row r="34">
          <cell r="A34" t="str">
            <v>481003</v>
          </cell>
          <cell r="B34" t="str">
            <v>01959</v>
          </cell>
          <cell r="D34" t="str">
            <v>200</v>
          </cell>
          <cell r="E34" t="str">
            <v>2008-01-31</v>
          </cell>
          <cell r="F34" t="str">
            <v>549ACORR1</v>
          </cell>
          <cell r="G34">
            <v>-631.70000000000005</v>
          </cell>
          <cell r="H34">
            <v>0</v>
          </cell>
        </row>
        <row r="35">
          <cell r="A35" t="str">
            <v>481003</v>
          </cell>
          <cell r="B35" t="str">
            <v>01943</v>
          </cell>
          <cell r="D35" t="str">
            <v>200</v>
          </cell>
          <cell r="E35" t="str">
            <v>2008-01-31</v>
          </cell>
          <cell r="F35" t="str">
            <v>549ACORR1</v>
          </cell>
          <cell r="G35">
            <v>-971.75</v>
          </cell>
          <cell r="H35">
            <v>0</v>
          </cell>
        </row>
        <row r="36">
          <cell r="A36" t="str">
            <v>481003</v>
          </cell>
          <cell r="B36" t="str">
            <v>01990</v>
          </cell>
          <cell r="D36" t="str">
            <v>200</v>
          </cell>
          <cell r="E36" t="str">
            <v>2008-01-31</v>
          </cell>
          <cell r="F36" t="str">
            <v>549ACORR1</v>
          </cell>
          <cell r="G36">
            <v>-1333</v>
          </cell>
          <cell r="H36">
            <v>0</v>
          </cell>
        </row>
        <row r="37">
          <cell r="A37" t="str">
            <v>481003</v>
          </cell>
          <cell r="B37" t="str">
            <v>01991</v>
          </cell>
          <cell r="D37" t="str">
            <v>200</v>
          </cell>
          <cell r="E37" t="str">
            <v>2008-01-31</v>
          </cell>
          <cell r="F37" t="str">
            <v>549ACORR1</v>
          </cell>
          <cell r="G37">
            <v>-9.27</v>
          </cell>
          <cell r="H37">
            <v>0</v>
          </cell>
        </row>
        <row r="38">
          <cell r="A38" t="str">
            <v>481003</v>
          </cell>
          <cell r="B38" t="str">
            <v>01952</v>
          </cell>
          <cell r="D38" t="str">
            <v>200</v>
          </cell>
          <cell r="E38" t="str">
            <v>2008-01-31</v>
          </cell>
          <cell r="F38" t="str">
            <v>549ACORR1</v>
          </cell>
          <cell r="G38">
            <v>-184.24</v>
          </cell>
          <cell r="H38">
            <v>0</v>
          </cell>
        </row>
        <row r="39">
          <cell r="A39" t="str">
            <v>481003</v>
          </cell>
          <cell r="B39" t="str">
            <v>01954</v>
          </cell>
          <cell r="D39" t="str">
            <v>200</v>
          </cell>
          <cell r="E39" t="str">
            <v>2008-01-31</v>
          </cell>
          <cell r="F39" t="str">
            <v>549ACORR1</v>
          </cell>
          <cell r="G39">
            <v>-9.73</v>
          </cell>
          <cell r="H39">
            <v>0</v>
          </cell>
        </row>
        <row r="40">
          <cell r="A40" t="str">
            <v>481003</v>
          </cell>
          <cell r="B40" t="str">
            <v>01953</v>
          </cell>
          <cell r="D40" t="str">
            <v>200</v>
          </cell>
          <cell r="E40" t="str">
            <v>2008-01-31</v>
          </cell>
          <cell r="F40" t="str">
            <v>549ACORR1</v>
          </cell>
          <cell r="G40">
            <v>-2387.3000000000002</v>
          </cell>
          <cell r="H40">
            <v>0</v>
          </cell>
        </row>
        <row r="41">
          <cell r="A41" t="str">
            <v>481003</v>
          </cell>
          <cell r="B41" t="str">
            <v>01986</v>
          </cell>
          <cell r="D41" t="str">
            <v>200</v>
          </cell>
          <cell r="E41" t="str">
            <v>2008-01-31</v>
          </cell>
          <cell r="F41" t="str">
            <v>549ACORR1</v>
          </cell>
          <cell r="G41">
            <v>-413.61</v>
          </cell>
          <cell r="H41">
            <v>0</v>
          </cell>
        </row>
        <row r="42">
          <cell r="A42" t="str">
            <v>481003</v>
          </cell>
          <cell r="B42" t="str">
            <v>01990</v>
          </cell>
          <cell r="D42" t="str">
            <v>200</v>
          </cell>
          <cell r="E42" t="str">
            <v>2008-01-31</v>
          </cell>
          <cell r="F42" t="str">
            <v>470</v>
          </cell>
          <cell r="G42">
            <v>5318.97</v>
          </cell>
          <cell r="H42">
            <v>998.84</v>
          </cell>
        </row>
        <row r="43">
          <cell r="A43" t="str">
            <v>481003</v>
          </cell>
          <cell r="B43" t="str">
            <v>01953</v>
          </cell>
          <cell r="D43" t="str">
            <v>200</v>
          </cell>
          <cell r="E43" t="str">
            <v>2008-01-31</v>
          </cell>
          <cell r="F43" t="str">
            <v>470</v>
          </cell>
          <cell r="G43">
            <v>5222.05</v>
          </cell>
          <cell r="H43">
            <v>980.63</v>
          </cell>
        </row>
        <row r="44">
          <cell r="A44" t="str">
            <v>481003</v>
          </cell>
          <cell r="B44" t="str">
            <v>01986</v>
          </cell>
          <cell r="D44" t="str">
            <v>200</v>
          </cell>
          <cell r="E44" t="str">
            <v>2008-01-31</v>
          </cell>
          <cell r="F44" t="str">
            <v>470</v>
          </cell>
          <cell r="G44">
            <v>1429.31</v>
          </cell>
          <cell r="H44">
            <v>268.42</v>
          </cell>
        </row>
        <row r="45">
          <cell r="A45" t="str">
            <v>481003</v>
          </cell>
          <cell r="B45" t="str">
            <v>01959</v>
          </cell>
          <cell r="D45" t="str">
            <v>200</v>
          </cell>
          <cell r="E45" t="str">
            <v>2008-01-31</v>
          </cell>
          <cell r="F45" t="str">
            <v>470</v>
          </cell>
          <cell r="G45">
            <v>4433.07</v>
          </cell>
          <cell r="H45">
            <v>832.49</v>
          </cell>
        </row>
        <row r="46">
          <cell r="A46" t="str">
            <v>481003</v>
          </cell>
          <cell r="B46" t="str">
            <v>01993</v>
          </cell>
          <cell r="D46" t="str">
            <v>200</v>
          </cell>
          <cell r="E46" t="str">
            <v>2008-01-31</v>
          </cell>
          <cell r="F46" t="str">
            <v>470</v>
          </cell>
          <cell r="G46">
            <v>910.42</v>
          </cell>
          <cell r="H46">
            <v>145.47</v>
          </cell>
        </row>
        <row r="47">
          <cell r="A47" t="str">
            <v>481003</v>
          </cell>
          <cell r="B47" t="str">
            <v>01943</v>
          </cell>
          <cell r="D47" t="str">
            <v>200</v>
          </cell>
          <cell r="E47" t="str">
            <v>2008-01-31</v>
          </cell>
          <cell r="F47" t="str">
            <v>470</v>
          </cell>
          <cell r="G47">
            <v>360.13</v>
          </cell>
          <cell r="H47">
            <v>55.98</v>
          </cell>
        </row>
        <row r="48">
          <cell r="A48" t="str">
            <v>481003</v>
          </cell>
          <cell r="B48" t="str">
            <v>01954</v>
          </cell>
          <cell r="D48" t="str">
            <v>200</v>
          </cell>
          <cell r="E48" t="str">
            <v>2008-01-31</v>
          </cell>
          <cell r="F48" t="str">
            <v>472B</v>
          </cell>
          <cell r="G48">
            <v>39.28</v>
          </cell>
          <cell r="H48">
            <v>6.35</v>
          </cell>
        </row>
        <row r="49">
          <cell r="A49" t="str">
            <v>481003</v>
          </cell>
          <cell r="B49" t="str">
            <v>01989</v>
          </cell>
          <cell r="D49" t="str">
            <v>200</v>
          </cell>
          <cell r="E49" t="str">
            <v>2008-01-31</v>
          </cell>
          <cell r="F49" t="str">
            <v>BINGV29437</v>
          </cell>
          <cell r="G49">
            <v>3698.18</v>
          </cell>
          <cell r="H49">
            <v>464.4</v>
          </cell>
        </row>
        <row r="50">
          <cell r="A50" t="str">
            <v>481003</v>
          </cell>
          <cell r="B50" t="str">
            <v>01988</v>
          </cell>
          <cell r="D50" t="str">
            <v>200</v>
          </cell>
          <cell r="E50" t="str">
            <v>2008-01-31</v>
          </cell>
          <cell r="F50" t="str">
            <v>BINGV29437</v>
          </cell>
          <cell r="G50">
            <v>6814.34</v>
          </cell>
          <cell r="H50">
            <v>855.71</v>
          </cell>
        </row>
        <row r="51">
          <cell r="A51" t="str">
            <v>481003</v>
          </cell>
          <cell r="B51" t="str">
            <v>01986</v>
          </cell>
          <cell r="D51" t="str">
            <v>200</v>
          </cell>
          <cell r="E51" t="str">
            <v>2008-01-31</v>
          </cell>
          <cell r="F51" t="str">
            <v>BINGV29437</v>
          </cell>
          <cell r="G51">
            <v>19502.22</v>
          </cell>
          <cell r="H51">
            <v>2449</v>
          </cell>
        </row>
        <row r="52">
          <cell r="A52" t="str">
            <v>481003</v>
          </cell>
          <cell r="B52" t="str">
            <v>01968</v>
          </cell>
          <cell r="D52" t="str">
            <v>200</v>
          </cell>
          <cell r="E52" t="str">
            <v>2008-01-31</v>
          </cell>
          <cell r="F52" t="str">
            <v>BINGV29437</v>
          </cell>
          <cell r="G52">
            <v>2257.13</v>
          </cell>
          <cell r="H52">
            <v>283.44</v>
          </cell>
        </row>
        <row r="53">
          <cell r="A53" t="str">
            <v>481003</v>
          </cell>
          <cell r="B53" t="str">
            <v>01979</v>
          </cell>
          <cell r="D53" t="str">
            <v>200</v>
          </cell>
          <cell r="E53" t="str">
            <v>2008-01-31</v>
          </cell>
          <cell r="F53" t="str">
            <v>BINGV29437</v>
          </cell>
          <cell r="G53">
            <v>529.4</v>
          </cell>
          <cell r="H53">
            <v>66.48</v>
          </cell>
        </row>
        <row r="54">
          <cell r="A54" t="str">
            <v>481003</v>
          </cell>
          <cell r="B54" t="str">
            <v>01986</v>
          </cell>
          <cell r="D54" t="str">
            <v>200</v>
          </cell>
          <cell r="E54" t="str">
            <v>2008-01-31</v>
          </cell>
          <cell r="F54" t="str">
            <v>BINGV29437</v>
          </cell>
          <cell r="G54">
            <v>-77.92</v>
          </cell>
          <cell r="H54">
            <v>0</v>
          </cell>
        </row>
        <row r="55">
          <cell r="A55" t="str">
            <v>481003</v>
          </cell>
          <cell r="B55" t="str">
            <v>01976</v>
          </cell>
          <cell r="D55" t="str">
            <v>200</v>
          </cell>
          <cell r="E55" t="str">
            <v>2008-01-31</v>
          </cell>
          <cell r="F55" t="str">
            <v>BINGV29437</v>
          </cell>
          <cell r="G55">
            <v>15796.09</v>
          </cell>
          <cell r="H55">
            <v>1983.6</v>
          </cell>
        </row>
        <row r="56">
          <cell r="A56" t="str">
            <v>481003</v>
          </cell>
          <cell r="B56" t="str">
            <v>01980</v>
          </cell>
          <cell r="D56" t="str">
            <v>200</v>
          </cell>
          <cell r="E56" t="str">
            <v>2008-01-31</v>
          </cell>
          <cell r="F56" t="str">
            <v>BINGV29437</v>
          </cell>
          <cell r="G56">
            <v>600.12</v>
          </cell>
          <cell r="H56">
            <v>75.36</v>
          </cell>
        </row>
        <row r="57">
          <cell r="A57" t="str">
            <v>481003</v>
          </cell>
          <cell r="B57" t="str">
            <v>01987</v>
          </cell>
          <cell r="D57" t="str">
            <v>200</v>
          </cell>
          <cell r="E57" t="str">
            <v>2008-01-31</v>
          </cell>
          <cell r="F57" t="str">
            <v>BINGV29437</v>
          </cell>
          <cell r="G57">
            <v>6595.23</v>
          </cell>
          <cell r="H57">
            <v>828.2</v>
          </cell>
        </row>
        <row r="58">
          <cell r="A58" t="str">
            <v>481003</v>
          </cell>
          <cell r="B58" t="str">
            <v>01978</v>
          </cell>
          <cell r="D58" t="str">
            <v>200</v>
          </cell>
          <cell r="E58" t="str">
            <v>2008-01-31</v>
          </cell>
          <cell r="F58" t="str">
            <v>BINGV29437</v>
          </cell>
          <cell r="G58">
            <v>4900.32</v>
          </cell>
          <cell r="H58">
            <v>615.36</v>
          </cell>
        </row>
        <row r="59">
          <cell r="A59" t="str">
            <v>481003</v>
          </cell>
          <cell r="B59" t="str">
            <v>01970</v>
          </cell>
          <cell r="D59" t="str">
            <v>200</v>
          </cell>
          <cell r="E59" t="str">
            <v>2008-01-31</v>
          </cell>
          <cell r="F59" t="str">
            <v>BINGV29437</v>
          </cell>
          <cell r="G59">
            <v>1610.89</v>
          </cell>
          <cell r="H59">
            <v>202.29</v>
          </cell>
        </row>
        <row r="60">
          <cell r="A60" t="str">
            <v>481003</v>
          </cell>
          <cell r="B60" t="str">
            <v>01971</v>
          </cell>
          <cell r="D60" t="str">
            <v>200</v>
          </cell>
          <cell r="E60" t="str">
            <v>2008-01-31</v>
          </cell>
          <cell r="F60" t="str">
            <v>BINGV29437</v>
          </cell>
          <cell r="G60">
            <v>4272.49</v>
          </cell>
          <cell r="H60">
            <v>536.52</v>
          </cell>
        </row>
        <row r="61">
          <cell r="A61" t="str">
            <v>481003</v>
          </cell>
          <cell r="B61" t="str">
            <v>01969</v>
          </cell>
          <cell r="D61" t="str">
            <v>200</v>
          </cell>
          <cell r="E61" t="str">
            <v>2008-01-31</v>
          </cell>
          <cell r="F61" t="str">
            <v>BINGV29437</v>
          </cell>
          <cell r="G61">
            <v>3182.15</v>
          </cell>
          <cell r="H61">
            <v>399.6</v>
          </cell>
        </row>
        <row r="62">
          <cell r="A62" t="str">
            <v>481003</v>
          </cell>
          <cell r="B62" t="str">
            <v>01977</v>
          </cell>
          <cell r="D62" t="str">
            <v>200</v>
          </cell>
          <cell r="E62" t="str">
            <v>2008-01-31</v>
          </cell>
          <cell r="F62" t="str">
            <v>BINGV29437</v>
          </cell>
          <cell r="G62">
            <v>5341.81</v>
          </cell>
          <cell r="H62">
            <v>670.8</v>
          </cell>
        </row>
        <row r="63">
          <cell r="A63" t="str">
            <v>481003</v>
          </cell>
          <cell r="B63" t="str">
            <v>01974</v>
          </cell>
          <cell r="D63" t="str">
            <v>200</v>
          </cell>
          <cell r="E63" t="str">
            <v>2008-01-31</v>
          </cell>
          <cell r="F63" t="str">
            <v>BINGV29437</v>
          </cell>
          <cell r="G63">
            <v>8548.7999999999993</v>
          </cell>
          <cell r="H63">
            <v>1073.52</v>
          </cell>
        </row>
        <row r="64">
          <cell r="A64" t="str">
            <v>481003</v>
          </cell>
          <cell r="B64" t="str">
            <v>01992</v>
          </cell>
          <cell r="D64" t="str">
            <v>200</v>
          </cell>
          <cell r="E64" t="str">
            <v>2008-01-31</v>
          </cell>
          <cell r="F64" t="str">
            <v>BINGV29437</v>
          </cell>
          <cell r="G64">
            <v>13027.57</v>
          </cell>
          <cell r="H64">
            <v>1635.94</v>
          </cell>
        </row>
        <row r="65">
          <cell r="A65" t="str">
            <v>481003</v>
          </cell>
          <cell r="B65" t="str">
            <v>01973</v>
          </cell>
          <cell r="D65" t="str">
            <v>200</v>
          </cell>
          <cell r="E65" t="str">
            <v>2008-01-31</v>
          </cell>
          <cell r="F65" t="str">
            <v>BINGV29437</v>
          </cell>
          <cell r="G65">
            <v>7631.67</v>
          </cell>
          <cell r="H65">
            <v>958.35</v>
          </cell>
        </row>
        <row r="66">
          <cell r="A66" t="str">
            <v>481003</v>
          </cell>
          <cell r="B66" t="str">
            <v>01952</v>
          </cell>
          <cell r="D66" t="str">
            <v>200</v>
          </cell>
          <cell r="E66" t="str">
            <v>2008-01-31</v>
          </cell>
          <cell r="F66" t="str">
            <v>BINGV29437</v>
          </cell>
          <cell r="G66">
            <v>7995.61</v>
          </cell>
          <cell r="H66">
            <v>1004.05</v>
          </cell>
        </row>
        <row r="67">
          <cell r="A67" t="str">
            <v>481003</v>
          </cell>
          <cell r="B67" t="str">
            <v>01991</v>
          </cell>
          <cell r="D67" t="str">
            <v>200</v>
          </cell>
          <cell r="E67" t="str">
            <v>2008-01-31</v>
          </cell>
          <cell r="F67" t="str">
            <v>472B</v>
          </cell>
          <cell r="G67">
            <v>26.34</v>
          </cell>
          <cell r="H67">
            <v>4.2699999999999996</v>
          </cell>
        </row>
        <row r="68">
          <cell r="A68" t="str">
            <v>481003</v>
          </cell>
          <cell r="B68" t="str">
            <v>01943</v>
          </cell>
          <cell r="D68" t="str">
            <v>200</v>
          </cell>
          <cell r="E68" t="str">
            <v>2008-01-31</v>
          </cell>
          <cell r="F68" t="str">
            <v>472B</v>
          </cell>
          <cell r="G68">
            <v>1711.36</v>
          </cell>
          <cell r="H68">
            <v>233.41</v>
          </cell>
        </row>
        <row r="69">
          <cell r="A69" t="str">
            <v>481003</v>
          </cell>
          <cell r="B69" t="str">
            <v>01953</v>
          </cell>
          <cell r="D69" t="str">
            <v>200</v>
          </cell>
          <cell r="E69" t="str">
            <v>2008-01-31</v>
          </cell>
          <cell r="F69" t="str">
            <v>472B</v>
          </cell>
          <cell r="G69">
            <v>10465.200000000001</v>
          </cell>
          <cell r="H69">
            <v>1684.54</v>
          </cell>
        </row>
        <row r="70">
          <cell r="A70" t="str">
            <v>481003</v>
          </cell>
          <cell r="B70" t="str">
            <v>01959</v>
          </cell>
          <cell r="D70" t="str">
            <v>200</v>
          </cell>
          <cell r="E70" t="str">
            <v>2008-02-29</v>
          </cell>
          <cell r="F70" t="str">
            <v>549ACORR1A</v>
          </cell>
          <cell r="G70">
            <v>-1269.55</v>
          </cell>
          <cell r="H70">
            <v>0</v>
          </cell>
        </row>
        <row r="71">
          <cell r="A71" t="str">
            <v>481003</v>
          </cell>
          <cell r="B71" t="str">
            <v>01943</v>
          </cell>
          <cell r="D71" t="str">
            <v>200</v>
          </cell>
          <cell r="E71" t="str">
            <v>2008-02-29</v>
          </cell>
          <cell r="F71" t="str">
            <v>549ACORR1A</v>
          </cell>
          <cell r="G71">
            <v>-614.55999999999995</v>
          </cell>
          <cell r="H71">
            <v>0</v>
          </cell>
        </row>
        <row r="72">
          <cell r="A72" t="str">
            <v>481003</v>
          </cell>
          <cell r="B72" t="str">
            <v>01990</v>
          </cell>
          <cell r="D72" t="str">
            <v>200</v>
          </cell>
          <cell r="E72" t="str">
            <v>2008-02-29</v>
          </cell>
          <cell r="F72" t="str">
            <v>549ACORR1A</v>
          </cell>
          <cell r="G72">
            <v>-1523.23</v>
          </cell>
          <cell r="H72">
            <v>0</v>
          </cell>
        </row>
        <row r="73">
          <cell r="A73" t="str">
            <v>481003</v>
          </cell>
          <cell r="B73" t="str">
            <v>01991</v>
          </cell>
          <cell r="D73" t="str">
            <v>200</v>
          </cell>
          <cell r="E73" t="str">
            <v>2008-02-29</v>
          </cell>
          <cell r="F73" t="str">
            <v>549ACORR1A</v>
          </cell>
          <cell r="G73">
            <v>-6.51</v>
          </cell>
          <cell r="H73">
            <v>0</v>
          </cell>
        </row>
        <row r="74">
          <cell r="A74" t="str">
            <v>481003</v>
          </cell>
          <cell r="B74" t="str">
            <v>01952</v>
          </cell>
          <cell r="D74" t="str">
            <v>200</v>
          </cell>
          <cell r="E74" t="str">
            <v>2008-02-29</v>
          </cell>
          <cell r="F74" t="str">
            <v>549ACORR1A</v>
          </cell>
          <cell r="G74">
            <v>-221.84</v>
          </cell>
          <cell r="H74">
            <v>0</v>
          </cell>
        </row>
        <row r="75">
          <cell r="A75" t="str">
            <v>481003</v>
          </cell>
          <cell r="B75" t="str">
            <v>01954</v>
          </cell>
          <cell r="D75" t="str">
            <v>200</v>
          </cell>
          <cell r="E75" t="str">
            <v>2008-02-29</v>
          </cell>
          <cell r="F75" t="str">
            <v>549ACORR1A</v>
          </cell>
          <cell r="G75">
            <v>-9.68</v>
          </cell>
          <cell r="H75">
            <v>0</v>
          </cell>
        </row>
        <row r="76">
          <cell r="A76" t="str">
            <v>481003</v>
          </cell>
          <cell r="B76" t="str">
            <v>01953</v>
          </cell>
          <cell r="D76" t="str">
            <v>200</v>
          </cell>
          <cell r="E76" t="str">
            <v>2008-02-29</v>
          </cell>
          <cell r="F76" t="str">
            <v>549ACORR1A</v>
          </cell>
          <cell r="G76">
            <v>-4064.38</v>
          </cell>
          <cell r="H76">
            <v>0</v>
          </cell>
        </row>
        <row r="77">
          <cell r="A77" t="str">
            <v>481003</v>
          </cell>
          <cell r="B77" t="str">
            <v>01986</v>
          </cell>
          <cell r="D77" t="str">
            <v>200</v>
          </cell>
          <cell r="E77" t="str">
            <v>2008-02-29</v>
          </cell>
          <cell r="F77" t="str">
            <v>549ACORR1A</v>
          </cell>
          <cell r="G77">
            <v>-409.34</v>
          </cell>
          <cell r="H77">
            <v>0</v>
          </cell>
        </row>
        <row r="78">
          <cell r="A78" t="str">
            <v>481003</v>
          </cell>
          <cell r="B78" t="str">
            <v>01959</v>
          </cell>
          <cell r="D78" t="str">
            <v>200</v>
          </cell>
          <cell r="E78" t="str">
            <v>2008-02-29</v>
          </cell>
          <cell r="F78" t="str">
            <v>549ACORR1</v>
          </cell>
          <cell r="G78">
            <v>1269.55</v>
          </cell>
          <cell r="H78">
            <v>0</v>
          </cell>
        </row>
        <row r="79">
          <cell r="A79" t="str">
            <v>481003</v>
          </cell>
          <cell r="B79" t="str">
            <v>01943</v>
          </cell>
          <cell r="D79" t="str">
            <v>200</v>
          </cell>
          <cell r="E79" t="str">
            <v>2008-02-29</v>
          </cell>
          <cell r="F79" t="str">
            <v>549ACORR1</v>
          </cell>
          <cell r="G79">
            <v>632</v>
          </cell>
          <cell r="H79">
            <v>0</v>
          </cell>
        </row>
        <row r="80">
          <cell r="A80" t="str">
            <v>481003</v>
          </cell>
          <cell r="B80" t="str">
            <v>01990</v>
          </cell>
          <cell r="D80" t="str">
            <v>200</v>
          </cell>
          <cell r="E80" t="str">
            <v>2008-02-29</v>
          </cell>
          <cell r="F80" t="str">
            <v>549ACORR1</v>
          </cell>
          <cell r="G80">
            <v>1523.23</v>
          </cell>
          <cell r="H80">
            <v>0</v>
          </cell>
        </row>
        <row r="81">
          <cell r="A81" t="str">
            <v>481003</v>
          </cell>
          <cell r="B81" t="str">
            <v>01991</v>
          </cell>
          <cell r="D81" t="str">
            <v>200</v>
          </cell>
          <cell r="E81" t="str">
            <v>2008-02-29</v>
          </cell>
          <cell r="F81" t="str">
            <v>549ACORR1</v>
          </cell>
          <cell r="G81">
            <v>6.51</v>
          </cell>
          <cell r="H81">
            <v>0</v>
          </cell>
        </row>
        <row r="82">
          <cell r="A82" t="str">
            <v>481003</v>
          </cell>
          <cell r="B82" t="str">
            <v>01952</v>
          </cell>
          <cell r="D82" t="str">
            <v>200</v>
          </cell>
          <cell r="E82" t="str">
            <v>2008-02-29</v>
          </cell>
          <cell r="F82" t="str">
            <v>549ACORR1</v>
          </cell>
          <cell r="G82">
            <v>221.84</v>
          </cell>
          <cell r="H82">
            <v>0</v>
          </cell>
        </row>
        <row r="83">
          <cell r="A83" t="str">
            <v>481003</v>
          </cell>
          <cell r="B83" t="str">
            <v>01954</v>
          </cell>
          <cell r="D83" t="str">
            <v>200</v>
          </cell>
          <cell r="E83" t="str">
            <v>2008-02-29</v>
          </cell>
          <cell r="F83" t="str">
            <v>549ACORR1</v>
          </cell>
          <cell r="G83">
            <v>9.68</v>
          </cell>
          <cell r="H83">
            <v>0</v>
          </cell>
        </row>
        <row r="84">
          <cell r="A84" t="str">
            <v>481003</v>
          </cell>
          <cell r="B84" t="str">
            <v>01986</v>
          </cell>
          <cell r="D84" t="str">
            <v>200</v>
          </cell>
          <cell r="E84" t="str">
            <v>2008-02-29</v>
          </cell>
          <cell r="F84" t="str">
            <v>549ACORR1</v>
          </cell>
          <cell r="G84">
            <v>409.34</v>
          </cell>
          <cell r="H84">
            <v>0</v>
          </cell>
        </row>
        <row r="85">
          <cell r="A85" t="str">
            <v>481003</v>
          </cell>
          <cell r="B85" t="str">
            <v>01953</v>
          </cell>
          <cell r="D85" t="str">
            <v>200</v>
          </cell>
          <cell r="E85" t="str">
            <v>2008-02-29</v>
          </cell>
          <cell r="F85" t="str">
            <v>549ACORR1</v>
          </cell>
          <cell r="G85">
            <v>4064.38</v>
          </cell>
          <cell r="H85">
            <v>0</v>
          </cell>
        </row>
        <row r="86">
          <cell r="A86" t="str">
            <v>481003</v>
          </cell>
          <cell r="B86" t="str">
            <v>01989</v>
          </cell>
          <cell r="D86" t="str">
            <v>200</v>
          </cell>
          <cell r="E86" t="str">
            <v>2008-02-29</v>
          </cell>
          <cell r="F86" t="str">
            <v>BINGV29704</v>
          </cell>
          <cell r="G86">
            <v>3618.86</v>
          </cell>
          <cell r="H86">
            <v>454.44</v>
          </cell>
        </row>
        <row r="87">
          <cell r="A87" t="str">
            <v>481003</v>
          </cell>
          <cell r="B87" t="str">
            <v>01959</v>
          </cell>
          <cell r="D87" t="str">
            <v>200</v>
          </cell>
          <cell r="E87" t="str">
            <v>2008-02-29</v>
          </cell>
          <cell r="F87" t="str">
            <v>BINGV29704</v>
          </cell>
          <cell r="G87">
            <v>2994.87</v>
          </cell>
          <cell r="H87">
            <v>376.08</v>
          </cell>
        </row>
        <row r="88">
          <cell r="A88" t="str">
            <v>481003</v>
          </cell>
          <cell r="B88" t="str">
            <v>01988</v>
          </cell>
          <cell r="D88" t="str">
            <v>200</v>
          </cell>
          <cell r="E88" t="str">
            <v>2008-02-29</v>
          </cell>
          <cell r="F88" t="str">
            <v>BINGV29704</v>
          </cell>
          <cell r="G88">
            <v>8669.06</v>
          </cell>
          <cell r="H88">
            <v>1088.6199999999999</v>
          </cell>
        </row>
        <row r="89">
          <cell r="A89" t="str">
            <v>481003</v>
          </cell>
          <cell r="B89" t="str">
            <v>01986</v>
          </cell>
          <cell r="D89" t="str">
            <v>200</v>
          </cell>
          <cell r="E89" t="str">
            <v>2008-02-29</v>
          </cell>
          <cell r="F89" t="str">
            <v>BINGV29704</v>
          </cell>
          <cell r="G89">
            <v>23874.69</v>
          </cell>
          <cell r="H89">
            <v>2998</v>
          </cell>
        </row>
        <row r="90">
          <cell r="A90" t="str">
            <v>481003</v>
          </cell>
          <cell r="B90" t="str">
            <v>01968</v>
          </cell>
          <cell r="D90" t="str">
            <v>200</v>
          </cell>
          <cell r="E90" t="str">
            <v>2008-02-29</v>
          </cell>
          <cell r="F90" t="str">
            <v>BINGV29704</v>
          </cell>
          <cell r="G90">
            <v>2723.47</v>
          </cell>
          <cell r="H90">
            <v>342</v>
          </cell>
        </row>
        <row r="91">
          <cell r="A91" t="str">
            <v>481003</v>
          </cell>
          <cell r="B91" t="str">
            <v>01979</v>
          </cell>
          <cell r="D91" t="str">
            <v>200</v>
          </cell>
          <cell r="E91" t="str">
            <v>2008-02-29</v>
          </cell>
          <cell r="F91" t="str">
            <v>BINGV29704</v>
          </cell>
          <cell r="G91">
            <v>371.8</v>
          </cell>
          <cell r="H91">
            <v>46.69</v>
          </cell>
        </row>
        <row r="92">
          <cell r="A92" t="str">
            <v>481003</v>
          </cell>
          <cell r="B92" t="str">
            <v>01976</v>
          </cell>
          <cell r="D92" t="str">
            <v>200</v>
          </cell>
          <cell r="E92" t="str">
            <v>2008-02-29</v>
          </cell>
          <cell r="F92" t="str">
            <v>BINGV29704</v>
          </cell>
          <cell r="G92">
            <v>21944.41</v>
          </cell>
          <cell r="H92">
            <v>2755.68</v>
          </cell>
        </row>
        <row r="93">
          <cell r="A93" t="str">
            <v>481003</v>
          </cell>
          <cell r="B93" t="str">
            <v>01980</v>
          </cell>
          <cell r="D93" t="str">
            <v>200</v>
          </cell>
          <cell r="E93" t="str">
            <v>2008-02-29</v>
          </cell>
          <cell r="F93" t="str">
            <v>BINGV29704</v>
          </cell>
          <cell r="G93">
            <v>424.29</v>
          </cell>
          <cell r="H93">
            <v>53.28</v>
          </cell>
        </row>
        <row r="94">
          <cell r="A94" t="str">
            <v>481003</v>
          </cell>
          <cell r="B94" t="str">
            <v>01977</v>
          </cell>
          <cell r="D94" t="str">
            <v>200</v>
          </cell>
          <cell r="E94" t="str">
            <v>2008-02-29</v>
          </cell>
          <cell r="F94" t="str">
            <v>BINGV29704</v>
          </cell>
          <cell r="G94">
            <v>5252.94</v>
          </cell>
          <cell r="H94">
            <v>659.64</v>
          </cell>
        </row>
        <row r="95">
          <cell r="A95" t="str">
            <v>481003</v>
          </cell>
          <cell r="B95" t="str">
            <v>01974</v>
          </cell>
          <cell r="D95" t="str">
            <v>200</v>
          </cell>
          <cell r="E95" t="str">
            <v>2008-02-29</v>
          </cell>
          <cell r="F95" t="str">
            <v>BINGV29704</v>
          </cell>
          <cell r="G95">
            <v>8112.1</v>
          </cell>
          <cell r="H95">
            <v>1018.68</v>
          </cell>
        </row>
        <row r="96">
          <cell r="A96" t="str">
            <v>481003</v>
          </cell>
          <cell r="B96" t="str">
            <v>01992</v>
          </cell>
          <cell r="D96" t="str">
            <v>200</v>
          </cell>
          <cell r="E96" t="str">
            <v>2008-02-29</v>
          </cell>
          <cell r="F96" t="str">
            <v>BINGV29704</v>
          </cell>
          <cell r="G96">
            <v>16798.259999999998</v>
          </cell>
          <cell r="H96">
            <v>2109.4499999999998</v>
          </cell>
        </row>
        <row r="97">
          <cell r="A97" t="str">
            <v>481003</v>
          </cell>
          <cell r="B97" t="str">
            <v>01973</v>
          </cell>
          <cell r="D97" t="str">
            <v>200</v>
          </cell>
          <cell r="E97" t="str">
            <v>2008-02-29</v>
          </cell>
          <cell r="F97" t="str">
            <v>BINGV29704</v>
          </cell>
          <cell r="G97">
            <v>8825.99</v>
          </cell>
          <cell r="H97">
            <v>1108.33</v>
          </cell>
        </row>
        <row r="98">
          <cell r="A98" t="str">
            <v>481003</v>
          </cell>
          <cell r="B98" t="str">
            <v>01952</v>
          </cell>
          <cell r="D98" t="str">
            <v>200</v>
          </cell>
          <cell r="E98" t="str">
            <v>2008-02-29</v>
          </cell>
          <cell r="F98" t="str">
            <v>BINGV29704</v>
          </cell>
          <cell r="G98">
            <v>6337.64</v>
          </cell>
          <cell r="H98">
            <v>795.85</v>
          </cell>
        </row>
        <row r="99">
          <cell r="A99" t="str">
            <v>481003</v>
          </cell>
          <cell r="B99" t="str">
            <v>01987</v>
          </cell>
          <cell r="D99" t="str">
            <v>200</v>
          </cell>
          <cell r="E99" t="str">
            <v>2008-02-29</v>
          </cell>
          <cell r="F99" t="str">
            <v>BINGV29704</v>
          </cell>
          <cell r="G99">
            <v>10572.35</v>
          </cell>
          <cell r="H99">
            <v>1327.62</v>
          </cell>
        </row>
        <row r="100">
          <cell r="A100" t="str">
            <v>481003</v>
          </cell>
          <cell r="B100" t="str">
            <v>01978</v>
          </cell>
          <cell r="D100" t="str">
            <v>200</v>
          </cell>
          <cell r="E100" t="str">
            <v>2008-02-29</v>
          </cell>
          <cell r="F100" t="str">
            <v>BINGV29704</v>
          </cell>
          <cell r="G100">
            <v>5196.55</v>
          </cell>
          <cell r="H100">
            <v>652.55999999999995</v>
          </cell>
        </row>
        <row r="101">
          <cell r="A101" t="str">
            <v>481003</v>
          </cell>
          <cell r="B101" t="str">
            <v>01970</v>
          </cell>
          <cell r="D101" t="str">
            <v>200</v>
          </cell>
          <cell r="E101" t="str">
            <v>2008-02-29</v>
          </cell>
          <cell r="F101" t="str">
            <v>BINGV29704</v>
          </cell>
          <cell r="G101">
            <v>1671.88</v>
          </cell>
          <cell r="H101">
            <v>209.45</v>
          </cell>
        </row>
        <row r="102">
          <cell r="A102" t="str">
            <v>481003</v>
          </cell>
          <cell r="B102" t="str">
            <v>01971</v>
          </cell>
          <cell r="D102" t="str">
            <v>200</v>
          </cell>
          <cell r="E102" t="str">
            <v>2008-02-29</v>
          </cell>
          <cell r="F102" t="str">
            <v>BINGV29704</v>
          </cell>
          <cell r="G102">
            <v>6650.03</v>
          </cell>
          <cell r="H102">
            <v>835.08</v>
          </cell>
        </row>
        <row r="103">
          <cell r="A103" t="str">
            <v>481003</v>
          </cell>
          <cell r="B103" t="str">
            <v>01959</v>
          </cell>
          <cell r="D103" t="str">
            <v>200</v>
          </cell>
          <cell r="E103" t="str">
            <v>2008-02-29</v>
          </cell>
          <cell r="F103" t="str">
            <v>549A</v>
          </cell>
          <cell r="G103">
            <v>-2976.14</v>
          </cell>
          <cell r="H103">
            <v>0</v>
          </cell>
        </row>
        <row r="104">
          <cell r="A104" t="str">
            <v>481003</v>
          </cell>
          <cell r="B104" t="str">
            <v>01943</v>
          </cell>
          <cell r="D104" t="str">
            <v>200</v>
          </cell>
          <cell r="E104" t="str">
            <v>2008-02-29</v>
          </cell>
          <cell r="F104" t="str">
            <v>549A</v>
          </cell>
          <cell r="G104">
            <v>-564.41999999999996</v>
          </cell>
          <cell r="H104">
            <v>0</v>
          </cell>
        </row>
        <row r="105">
          <cell r="A105" t="str">
            <v>481003</v>
          </cell>
          <cell r="B105" t="str">
            <v>01990</v>
          </cell>
          <cell r="D105" t="str">
            <v>200</v>
          </cell>
          <cell r="E105" t="str">
            <v>2008-02-29</v>
          </cell>
          <cell r="F105" t="str">
            <v>549A</v>
          </cell>
          <cell r="G105">
            <v>-1829.21</v>
          </cell>
          <cell r="H105">
            <v>0</v>
          </cell>
        </row>
        <row r="106">
          <cell r="A106" t="str">
            <v>481003</v>
          </cell>
          <cell r="B106" t="str">
            <v>01991</v>
          </cell>
          <cell r="D106" t="str">
            <v>200</v>
          </cell>
          <cell r="E106" t="str">
            <v>2008-02-29</v>
          </cell>
          <cell r="F106" t="str">
            <v>549A</v>
          </cell>
          <cell r="G106">
            <v>-9.9</v>
          </cell>
          <cell r="H106">
            <v>0</v>
          </cell>
        </row>
        <row r="107">
          <cell r="A107" t="str">
            <v>481003</v>
          </cell>
          <cell r="B107" t="str">
            <v>01993</v>
          </cell>
          <cell r="D107" t="str">
            <v>200</v>
          </cell>
          <cell r="E107" t="str">
            <v>2008-02-29</v>
          </cell>
          <cell r="F107" t="str">
            <v>549A</v>
          </cell>
          <cell r="G107">
            <v>-244.31</v>
          </cell>
          <cell r="H107">
            <v>0</v>
          </cell>
        </row>
        <row r="108">
          <cell r="A108" t="str">
            <v>481003</v>
          </cell>
          <cell r="B108" t="str">
            <v>01954</v>
          </cell>
          <cell r="D108" t="str">
            <v>200</v>
          </cell>
          <cell r="E108" t="str">
            <v>2008-02-29</v>
          </cell>
          <cell r="F108" t="str">
            <v>549A</v>
          </cell>
          <cell r="G108">
            <v>-7.79</v>
          </cell>
          <cell r="H108">
            <v>0</v>
          </cell>
        </row>
        <row r="109">
          <cell r="A109" t="str">
            <v>481003</v>
          </cell>
          <cell r="B109" t="str">
            <v>01953</v>
          </cell>
          <cell r="D109" t="str">
            <v>200</v>
          </cell>
          <cell r="E109" t="str">
            <v>2008-02-29</v>
          </cell>
          <cell r="F109" t="str">
            <v>549A</v>
          </cell>
          <cell r="G109">
            <v>-3435.32</v>
          </cell>
          <cell r="H109">
            <v>0</v>
          </cell>
        </row>
        <row r="110">
          <cell r="A110" t="str">
            <v>481003</v>
          </cell>
          <cell r="B110" t="str">
            <v>01986</v>
          </cell>
          <cell r="D110" t="str">
            <v>200</v>
          </cell>
          <cell r="E110" t="str">
            <v>2008-02-29</v>
          </cell>
          <cell r="F110" t="str">
            <v>549A</v>
          </cell>
          <cell r="G110">
            <v>-454.21</v>
          </cell>
          <cell r="H110">
            <v>0</v>
          </cell>
        </row>
        <row r="111">
          <cell r="A111" t="str">
            <v>481003</v>
          </cell>
          <cell r="B111" t="str">
            <v>01990</v>
          </cell>
          <cell r="D111" t="str">
            <v>200</v>
          </cell>
          <cell r="E111" t="str">
            <v>2008-02-29</v>
          </cell>
          <cell r="F111" t="str">
            <v>470</v>
          </cell>
          <cell r="G111">
            <v>6380.17</v>
          </cell>
          <cell r="H111">
            <v>1199.48</v>
          </cell>
        </row>
        <row r="112">
          <cell r="A112" t="str">
            <v>481003</v>
          </cell>
          <cell r="B112" t="str">
            <v>01953</v>
          </cell>
          <cell r="D112" t="str">
            <v>200</v>
          </cell>
          <cell r="E112" t="str">
            <v>2008-02-29</v>
          </cell>
          <cell r="F112" t="str">
            <v>470</v>
          </cell>
          <cell r="G112">
            <v>5167.0600000000004</v>
          </cell>
          <cell r="H112">
            <v>971.37</v>
          </cell>
        </row>
        <row r="113">
          <cell r="A113" t="str">
            <v>481003</v>
          </cell>
          <cell r="B113" t="str">
            <v>01986</v>
          </cell>
          <cell r="D113" t="str">
            <v>200</v>
          </cell>
          <cell r="E113" t="str">
            <v>2008-02-29</v>
          </cell>
          <cell r="F113" t="str">
            <v>470</v>
          </cell>
          <cell r="G113">
            <v>1584.14</v>
          </cell>
          <cell r="H113">
            <v>297.83999999999997</v>
          </cell>
        </row>
        <row r="114">
          <cell r="A114" t="str">
            <v>481003</v>
          </cell>
          <cell r="B114" t="str">
            <v>01959</v>
          </cell>
          <cell r="D114" t="str">
            <v>200</v>
          </cell>
          <cell r="E114" t="str">
            <v>2008-02-29</v>
          </cell>
          <cell r="F114" t="str">
            <v>470</v>
          </cell>
          <cell r="G114">
            <v>10380.19</v>
          </cell>
          <cell r="H114">
            <v>1951.57</v>
          </cell>
        </row>
        <row r="115">
          <cell r="A115" t="str">
            <v>481003</v>
          </cell>
          <cell r="B115" t="str">
            <v>01993</v>
          </cell>
          <cell r="D115" t="str">
            <v>200</v>
          </cell>
          <cell r="E115" t="str">
            <v>2008-02-29</v>
          </cell>
          <cell r="F115" t="str">
            <v>470</v>
          </cell>
          <cell r="G115">
            <v>1002.54</v>
          </cell>
          <cell r="H115">
            <v>160.19999999999999</v>
          </cell>
        </row>
        <row r="116">
          <cell r="A116" t="str">
            <v>481003</v>
          </cell>
          <cell r="B116" t="str">
            <v>01943</v>
          </cell>
          <cell r="D116" t="str">
            <v>200</v>
          </cell>
          <cell r="E116" t="str">
            <v>2008-02-29</v>
          </cell>
          <cell r="F116" t="str">
            <v>470</v>
          </cell>
          <cell r="G116">
            <v>429.28</v>
          </cell>
          <cell r="H116">
            <v>66.73</v>
          </cell>
        </row>
        <row r="117">
          <cell r="A117" t="str">
            <v>481003</v>
          </cell>
          <cell r="B117" t="str">
            <v>01954</v>
          </cell>
          <cell r="D117" t="str">
            <v>200</v>
          </cell>
          <cell r="E117" t="str">
            <v>2008-02-29</v>
          </cell>
          <cell r="F117" t="str">
            <v>472B</v>
          </cell>
          <cell r="G117">
            <v>31.5</v>
          </cell>
          <cell r="H117">
            <v>5.1100000000000003</v>
          </cell>
        </row>
        <row r="118">
          <cell r="A118" t="str">
            <v>481003</v>
          </cell>
          <cell r="B118" t="str">
            <v>01991</v>
          </cell>
          <cell r="D118" t="str">
            <v>200</v>
          </cell>
          <cell r="E118" t="str">
            <v>2008-02-29</v>
          </cell>
          <cell r="F118" t="str">
            <v>472B</v>
          </cell>
          <cell r="G118">
            <v>40.020000000000003</v>
          </cell>
          <cell r="H118">
            <v>6.49</v>
          </cell>
        </row>
        <row r="119">
          <cell r="A119" t="str">
            <v>481003</v>
          </cell>
          <cell r="B119" t="str">
            <v>01943</v>
          </cell>
          <cell r="D119" t="str">
            <v>200</v>
          </cell>
          <cell r="E119" t="str">
            <v>2008-02-29</v>
          </cell>
          <cell r="F119" t="str">
            <v>472B</v>
          </cell>
          <cell r="G119">
            <v>1459.64</v>
          </cell>
          <cell r="H119">
            <v>199.05</v>
          </cell>
        </row>
        <row r="120">
          <cell r="A120" t="str">
            <v>481003</v>
          </cell>
          <cell r="B120" t="str">
            <v>01953</v>
          </cell>
          <cell r="D120" t="str">
            <v>200</v>
          </cell>
          <cell r="E120" t="str">
            <v>2008-02-29</v>
          </cell>
          <cell r="F120" t="str">
            <v>472B</v>
          </cell>
          <cell r="G120">
            <v>7961.38</v>
          </cell>
          <cell r="H120">
            <v>1281.3</v>
          </cell>
        </row>
        <row r="121">
          <cell r="A121" t="str">
            <v>481003</v>
          </cell>
          <cell r="B121" t="str">
            <v>01954</v>
          </cell>
          <cell r="D121" t="str">
            <v>200</v>
          </cell>
          <cell r="E121" t="str">
            <v>2008-03-31</v>
          </cell>
          <cell r="F121" t="str">
            <v>472B</v>
          </cell>
          <cell r="G121">
            <v>30.45</v>
          </cell>
          <cell r="H121">
            <v>5.64</v>
          </cell>
        </row>
        <row r="122">
          <cell r="A122" t="str">
            <v>481003</v>
          </cell>
          <cell r="B122" t="str">
            <v>01990</v>
          </cell>
          <cell r="D122" t="str">
            <v>200</v>
          </cell>
          <cell r="E122" t="str">
            <v>2008-03-31</v>
          </cell>
          <cell r="F122" t="str">
            <v>470</v>
          </cell>
          <cell r="G122">
            <v>4905.1899999999996</v>
          </cell>
          <cell r="H122">
            <v>922.57</v>
          </cell>
        </row>
        <row r="123">
          <cell r="A123" t="str">
            <v>481003</v>
          </cell>
          <cell r="B123" t="str">
            <v>01953</v>
          </cell>
          <cell r="D123" t="str">
            <v>200</v>
          </cell>
          <cell r="E123" t="str">
            <v>2008-03-31</v>
          </cell>
          <cell r="F123" t="str">
            <v>470</v>
          </cell>
          <cell r="G123">
            <v>5608.09</v>
          </cell>
          <cell r="H123">
            <v>1054.83</v>
          </cell>
        </row>
        <row r="124">
          <cell r="A124" t="str">
            <v>481003</v>
          </cell>
          <cell r="B124" t="str">
            <v>01986</v>
          </cell>
          <cell r="D124" t="str">
            <v>200</v>
          </cell>
          <cell r="E124" t="str">
            <v>2008-03-31</v>
          </cell>
          <cell r="F124" t="str">
            <v>470</v>
          </cell>
          <cell r="G124">
            <v>1930.44</v>
          </cell>
          <cell r="H124">
            <v>363.09</v>
          </cell>
        </row>
        <row r="125">
          <cell r="A125" t="str">
            <v>481003</v>
          </cell>
          <cell r="B125" t="str">
            <v>01959</v>
          </cell>
          <cell r="D125" t="str">
            <v>200</v>
          </cell>
          <cell r="E125" t="str">
            <v>2008-03-31</v>
          </cell>
          <cell r="F125" t="str">
            <v>470</v>
          </cell>
          <cell r="G125">
            <v>14903.76</v>
          </cell>
          <cell r="H125">
            <v>2803.23</v>
          </cell>
        </row>
        <row r="126">
          <cell r="A126" t="str">
            <v>481003</v>
          </cell>
          <cell r="B126" t="str">
            <v>01993</v>
          </cell>
          <cell r="D126" t="str">
            <v>200</v>
          </cell>
          <cell r="E126" t="str">
            <v>2008-03-31</v>
          </cell>
          <cell r="F126" t="str">
            <v>470</v>
          </cell>
          <cell r="G126">
            <v>1320.67</v>
          </cell>
          <cell r="H126">
            <v>211.02</v>
          </cell>
        </row>
        <row r="127">
          <cell r="A127" t="str">
            <v>481003</v>
          </cell>
          <cell r="B127" t="str">
            <v>01943</v>
          </cell>
          <cell r="D127" t="str">
            <v>200</v>
          </cell>
          <cell r="E127" t="str">
            <v>2008-03-31</v>
          </cell>
          <cell r="F127" t="str">
            <v>470</v>
          </cell>
          <cell r="G127">
            <v>551.49</v>
          </cell>
          <cell r="H127">
            <v>85.73</v>
          </cell>
        </row>
        <row r="128">
          <cell r="A128" t="str">
            <v>481003</v>
          </cell>
          <cell r="B128" t="str">
            <v>01991</v>
          </cell>
          <cell r="D128" t="str">
            <v>200</v>
          </cell>
          <cell r="E128" t="str">
            <v>2008-03-31</v>
          </cell>
          <cell r="F128" t="str">
            <v>472B</v>
          </cell>
          <cell r="G128">
            <v>37.92</v>
          </cell>
          <cell r="H128">
            <v>7.02</v>
          </cell>
        </row>
        <row r="129">
          <cell r="A129" t="str">
            <v>481003</v>
          </cell>
          <cell r="B129" t="str">
            <v>01943</v>
          </cell>
          <cell r="D129" t="str">
            <v>200</v>
          </cell>
          <cell r="E129" t="str">
            <v>2008-03-31</v>
          </cell>
          <cell r="F129" t="str">
            <v>472B</v>
          </cell>
          <cell r="G129">
            <v>1071.28</v>
          </cell>
          <cell r="H129">
            <v>200.16</v>
          </cell>
        </row>
        <row r="130">
          <cell r="A130" t="str">
            <v>481003</v>
          </cell>
          <cell r="B130" t="str">
            <v>01953</v>
          </cell>
          <cell r="D130" t="str">
            <v>200</v>
          </cell>
          <cell r="E130" t="str">
            <v>2008-03-31</v>
          </cell>
          <cell r="F130" t="str">
            <v>472B</v>
          </cell>
          <cell r="G130">
            <v>8383.32</v>
          </cell>
          <cell r="H130">
            <v>1541.5</v>
          </cell>
        </row>
        <row r="131">
          <cell r="A131" t="str">
            <v>481003</v>
          </cell>
          <cell r="B131" t="str">
            <v>01959</v>
          </cell>
          <cell r="D131" t="str">
            <v>200</v>
          </cell>
          <cell r="E131" t="str">
            <v>2008-03-31</v>
          </cell>
          <cell r="F131" t="str">
            <v>549A</v>
          </cell>
          <cell r="G131">
            <v>-4274.93</v>
          </cell>
          <cell r="H131">
            <v>0</v>
          </cell>
        </row>
        <row r="132">
          <cell r="A132" t="str">
            <v>481003</v>
          </cell>
          <cell r="B132" t="str">
            <v>01943</v>
          </cell>
          <cell r="D132" t="str">
            <v>200</v>
          </cell>
          <cell r="E132" t="str">
            <v>2008-03-31</v>
          </cell>
          <cell r="F132" t="str">
            <v>549A</v>
          </cell>
          <cell r="G132">
            <v>-607.12</v>
          </cell>
          <cell r="H132">
            <v>0</v>
          </cell>
        </row>
        <row r="133">
          <cell r="A133" t="str">
            <v>481003</v>
          </cell>
          <cell r="B133" t="str">
            <v>01990</v>
          </cell>
          <cell r="D133" t="str">
            <v>200</v>
          </cell>
          <cell r="E133" t="str">
            <v>2008-03-31</v>
          </cell>
          <cell r="F133" t="str">
            <v>549A</v>
          </cell>
          <cell r="G133">
            <v>-1406.92</v>
          </cell>
          <cell r="H133">
            <v>0</v>
          </cell>
        </row>
        <row r="134">
          <cell r="A134" t="str">
            <v>481003</v>
          </cell>
          <cell r="B134" t="str">
            <v>01991</v>
          </cell>
          <cell r="D134" t="str">
            <v>200</v>
          </cell>
          <cell r="E134" t="str">
            <v>2008-03-31</v>
          </cell>
          <cell r="F134" t="str">
            <v>549A</v>
          </cell>
          <cell r="G134">
            <v>-10.71</v>
          </cell>
          <cell r="H134">
            <v>0</v>
          </cell>
        </row>
        <row r="135">
          <cell r="A135" t="str">
            <v>481003</v>
          </cell>
          <cell r="B135" t="str">
            <v>01993</v>
          </cell>
          <cell r="D135" t="str">
            <v>200</v>
          </cell>
          <cell r="E135" t="str">
            <v>2008-03-31</v>
          </cell>
          <cell r="F135" t="str">
            <v>549A</v>
          </cell>
          <cell r="G135">
            <v>-321.81</v>
          </cell>
          <cell r="H135">
            <v>0</v>
          </cell>
        </row>
        <row r="136">
          <cell r="A136" t="str">
            <v>481003</v>
          </cell>
          <cell r="B136" t="str">
            <v>01954</v>
          </cell>
          <cell r="D136" t="str">
            <v>200</v>
          </cell>
          <cell r="E136" t="str">
            <v>2008-03-31</v>
          </cell>
          <cell r="F136" t="str">
            <v>549A</v>
          </cell>
          <cell r="G136">
            <v>-8.6</v>
          </cell>
          <cell r="H136">
            <v>0</v>
          </cell>
        </row>
        <row r="137">
          <cell r="A137" t="str">
            <v>481003</v>
          </cell>
          <cell r="B137" t="str">
            <v>01953</v>
          </cell>
          <cell r="D137" t="str">
            <v>200</v>
          </cell>
          <cell r="E137" t="str">
            <v>2008-03-31</v>
          </cell>
          <cell r="F137" t="str">
            <v>549A</v>
          </cell>
          <cell r="G137">
            <v>-3959.4</v>
          </cell>
          <cell r="H137">
            <v>0</v>
          </cell>
        </row>
        <row r="138">
          <cell r="A138" t="str">
            <v>481003</v>
          </cell>
          <cell r="B138" t="str">
            <v>01986</v>
          </cell>
          <cell r="D138" t="str">
            <v>200</v>
          </cell>
          <cell r="E138" t="str">
            <v>2008-03-31</v>
          </cell>
          <cell r="F138" t="str">
            <v>549A</v>
          </cell>
          <cell r="G138">
            <v>-553.71</v>
          </cell>
          <cell r="H138">
            <v>0</v>
          </cell>
        </row>
        <row r="139">
          <cell r="A139" t="str">
            <v>481003</v>
          </cell>
          <cell r="B139" t="str">
            <v>01968</v>
          </cell>
          <cell r="D139" t="str">
            <v>200</v>
          </cell>
          <cell r="E139" t="str">
            <v>2008-03-31</v>
          </cell>
          <cell r="F139" t="str">
            <v>BINGV30236</v>
          </cell>
          <cell r="G139">
            <v>2620.14</v>
          </cell>
          <cell r="H139">
            <v>329.4</v>
          </cell>
        </row>
        <row r="140">
          <cell r="A140" t="str">
            <v>481003</v>
          </cell>
          <cell r="B140" t="str">
            <v>01979</v>
          </cell>
          <cell r="D140" t="str">
            <v>200</v>
          </cell>
          <cell r="E140" t="str">
            <v>2008-03-31</v>
          </cell>
          <cell r="F140" t="str">
            <v>BINGV30236</v>
          </cell>
          <cell r="G140">
            <v>359.93</v>
          </cell>
          <cell r="H140">
            <v>45.25</v>
          </cell>
        </row>
        <row r="141">
          <cell r="A141" t="str">
            <v>481003</v>
          </cell>
          <cell r="B141" t="str">
            <v>01994</v>
          </cell>
          <cell r="D141" t="str">
            <v>200</v>
          </cell>
          <cell r="E141" t="str">
            <v>2008-03-31</v>
          </cell>
          <cell r="F141" t="str">
            <v>BINGV30236</v>
          </cell>
          <cell r="G141">
            <v>4785.3100000000004</v>
          </cell>
          <cell r="H141">
            <v>601.6</v>
          </cell>
        </row>
        <row r="142">
          <cell r="A142" t="str">
            <v>481003</v>
          </cell>
          <cell r="B142" t="str">
            <v>01976</v>
          </cell>
          <cell r="D142" t="str">
            <v>200</v>
          </cell>
          <cell r="E142" t="str">
            <v>2008-03-31</v>
          </cell>
          <cell r="F142" t="str">
            <v>BINGV30236</v>
          </cell>
          <cell r="G142">
            <v>25644.03</v>
          </cell>
          <cell r="H142">
            <v>3223.92</v>
          </cell>
        </row>
        <row r="143">
          <cell r="A143" t="str">
            <v>481003</v>
          </cell>
          <cell r="B143" t="str">
            <v>01980</v>
          </cell>
          <cell r="D143" t="str">
            <v>200</v>
          </cell>
          <cell r="E143" t="str">
            <v>2008-03-31</v>
          </cell>
          <cell r="F143" t="str">
            <v>BINGV30236</v>
          </cell>
          <cell r="G143">
            <v>355.08</v>
          </cell>
          <cell r="H143">
            <v>44.64</v>
          </cell>
        </row>
        <row r="144">
          <cell r="A144" t="str">
            <v>481003</v>
          </cell>
          <cell r="B144" t="str">
            <v>01987</v>
          </cell>
          <cell r="D144" t="str">
            <v>200</v>
          </cell>
          <cell r="E144" t="str">
            <v>2008-03-31</v>
          </cell>
          <cell r="F144" t="str">
            <v>BINGV30236</v>
          </cell>
          <cell r="G144">
            <v>14058.19</v>
          </cell>
          <cell r="H144">
            <v>1767.37</v>
          </cell>
        </row>
        <row r="145">
          <cell r="A145" t="str">
            <v>481003</v>
          </cell>
          <cell r="B145" t="str">
            <v>01978</v>
          </cell>
          <cell r="D145" t="str">
            <v>200</v>
          </cell>
          <cell r="E145" t="str">
            <v>2008-03-31</v>
          </cell>
          <cell r="F145" t="str">
            <v>BINGV30236</v>
          </cell>
          <cell r="G145">
            <v>5675.56</v>
          </cell>
          <cell r="H145">
            <v>713.52</v>
          </cell>
        </row>
        <row r="146">
          <cell r="A146" t="str">
            <v>481003</v>
          </cell>
          <cell r="B146" t="str">
            <v>01970</v>
          </cell>
          <cell r="D146" t="str">
            <v>200</v>
          </cell>
          <cell r="E146" t="str">
            <v>2008-03-31</v>
          </cell>
          <cell r="F146" t="str">
            <v>BINGV30236</v>
          </cell>
          <cell r="G146">
            <v>1876.6</v>
          </cell>
          <cell r="H146">
            <v>235.92</v>
          </cell>
        </row>
        <row r="147">
          <cell r="A147" t="str">
            <v>481003</v>
          </cell>
          <cell r="B147" t="str">
            <v>01971</v>
          </cell>
          <cell r="D147" t="str">
            <v>200</v>
          </cell>
          <cell r="E147" t="str">
            <v>2008-03-31</v>
          </cell>
          <cell r="F147" t="str">
            <v>BINGV30236</v>
          </cell>
          <cell r="G147">
            <v>3908.74</v>
          </cell>
          <cell r="H147">
            <v>491.4</v>
          </cell>
        </row>
        <row r="148">
          <cell r="A148" t="str">
            <v>481003</v>
          </cell>
          <cell r="B148" t="str">
            <v>01969</v>
          </cell>
          <cell r="D148" t="str">
            <v>200</v>
          </cell>
          <cell r="E148" t="str">
            <v>2008-03-31</v>
          </cell>
          <cell r="F148" t="str">
            <v>BINGV30236</v>
          </cell>
          <cell r="G148">
            <v>3438.17</v>
          </cell>
          <cell r="H148">
            <v>432.24</v>
          </cell>
        </row>
        <row r="149">
          <cell r="A149" t="str">
            <v>481003</v>
          </cell>
          <cell r="B149" t="str">
            <v>01977</v>
          </cell>
          <cell r="D149" t="str">
            <v>200</v>
          </cell>
          <cell r="E149" t="str">
            <v>2008-03-31</v>
          </cell>
          <cell r="F149" t="str">
            <v>BINGV30236</v>
          </cell>
          <cell r="G149">
            <v>5137.2</v>
          </cell>
          <cell r="H149">
            <v>545.84</v>
          </cell>
        </row>
        <row r="150">
          <cell r="A150" t="str">
            <v>481003</v>
          </cell>
          <cell r="B150" t="str">
            <v>01974</v>
          </cell>
          <cell r="D150" t="str">
            <v>200</v>
          </cell>
          <cell r="E150" t="str">
            <v>2008-03-31</v>
          </cell>
          <cell r="F150" t="str">
            <v>BINGV30236</v>
          </cell>
          <cell r="G150">
            <v>9338.0300000000007</v>
          </cell>
          <cell r="H150">
            <v>1173.96</v>
          </cell>
        </row>
        <row r="151">
          <cell r="A151" t="str">
            <v>481003</v>
          </cell>
          <cell r="B151" t="str">
            <v>01992</v>
          </cell>
          <cell r="D151" t="str">
            <v>200</v>
          </cell>
          <cell r="E151" t="str">
            <v>2008-03-31</v>
          </cell>
          <cell r="F151" t="str">
            <v>BINGV30236</v>
          </cell>
          <cell r="G151">
            <v>13695.63</v>
          </cell>
          <cell r="H151">
            <v>1721.79</v>
          </cell>
        </row>
        <row r="152">
          <cell r="A152" t="str">
            <v>481003</v>
          </cell>
          <cell r="B152" t="str">
            <v>01973</v>
          </cell>
          <cell r="D152" t="str">
            <v>200</v>
          </cell>
          <cell r="E152" t="str">
            <v>2008-03-31</v>
          </cell>
          <cell r="F152" t="str">
            <v>BINGV30236</v>
          </cell>
          <cell r="G152">
            <v>8921.1299999999992</v>
          </cell>
          <cell r="H152">
            <v>1121.58</v>
          </cell>
        </row>
        <row r="153">
          <cell r="A153" t="str">
            <v>481003</v>
          </cell>
          <cell r="B153" t="str">
            <v>01952</v>
          </cell>
          <cell r="D153" t="str">
            <v>200</v>
          </cell>
          <cell r="E153" t="str">
            <v>2008-03-31</v>
          </cell>
          <cell r="F153" t="str">
            <v>BINGV30236</v>
          </cell>
          <cell r="G153">
            <v>10998.98</v>
          </cell>
          <cell r="H153">
            <v>1382.77</v>
          </cell>
        </row>
        <row r="154">
          <cell r="A154" t="str">
            <v>481003</v>
          </cell>
          <cell r="B154" t="str">
            <v>01989</v>
          </cell>
          <cell r="D154" t="str">
            <v>200</v>
          </cell>
          <cell r="E154" t="str">
            <v>2008-03-31</v>
          </cell>
          <cell r="F154" t="str">
            <v>BINGV30236</v>
          </cell>
          <cell r="G154">
            <v>3252.99</v>
          </cell>
          <cell r="H154">
            <v>408.96</v>
          </cell>
        </row>
        <row r="155">
          <cell r="A155" t="str">
            <v>481003</v>
          </cell>
          <cell r="B155" t="str">
            <v>01988</v>
          </cell>
          <cell r="D155" t="str">
            <v>200</v>
          </cell>
          <cell r="E155" t="str">
            <v>2008-03-31</v>
          </cell>
          <cell r="F155" t="str">
            <v>BINGV30236</v>
          </cell>
          <cell r="G155">
            <v>7463.92</v>
          </cell>
          <cell r="H155">
            <v>938.56</v>
          </cell>
        </row>
        <row r="156">
          <cell r="A156" t="str">
            <v>481003</v>
          </cell>
          <cell r="B156" t="str">
            <v>01986</v>
          </cell>
          <cell r="D156" t="str">
            <v>200</v>
          </cell>
          <cell r="E156" t="str">
            <v>2008-03-31</v>
          </cell>
          <cell r="F156" t="str">
            <v>BINGV30236</v>
          </cell>
          <cell r="G156">
            <v>19249.330000000002</v>
          </cell>
          <cell r="H156">
            <v>2420</v>
          </cell>
        </row>
        <row r="157">
          <cell r="A157" t="str">
            <v>481003</v>
          </cell>
          <cell r="B157" t="str">
            <v>01953</v>
          </cell>
          <cell r="D157" t="str">
            <v>200</v>
          </cell>
          <cell r="E157" t="str">
            <v>2008-04-30</v>
          </cell>
          <cell r="F157" t="str">
            <v>472B</v>
          </cell>
          <cell r="G157">
            <v>21146.400000000001</v>
          </cell>
          <cell r="H157">
            <v>3888.03</v>
          </cell>
        </row>
        <row r="158">
          <cell r="A158" t="str">
            <v>481003</v>
          </cell>
          <cell r="B158" t="str">
            <v>01954</v>
          </cell>
          <cell r="D158" t="str">
            <v>200</v>
          </cell>
          <cell r="E158" t="str">
            <v>2008-04-30</v>
          </cell>
          <cell r="F158" t="str">
            <v>472B</v>
          </cell>
          <cell r="G158">
            <v>19.16</v>
          </cell>
          <cell r="H158">
            <v>3.55</v>
          </cell>
        </row>
        <row r="159">
          <cell r="A159" t="str">
            <v>481003</v>
          </cell>
          <cell r="B159" t="str">
            <v>01959</v>
          </cell>
          <cell r="D159" t="str">
            <v>200</v>
          </cell>
          <cell r="E159" t="str">
            <v>2008-04-30</v>
          </cell>
          <cell r="F159" t="str">
            <v>549A</v>
          </cell>
          <cell r="G159">
            <v>-0.03</v>
          </cell>
          <cell r="H159">
            <v>0</v>
          </cell>
        </row>
        <row r="160">
          <cell r="A160" t="str">
            <v>481003</v>
          </cell>
          <cell r="B160" t="str">
            <v>01943</v>
          </cell>
          <cell r="D160" t="str">
            <v>200</v>
          </cell>
          <cell r="E160" t="str">
            <v>2008-04-30</v>
          </cell>
          <cell r="F160" t="str">
            <v>549A</v>
          </cell>
          <cell r="G160">
            <v>-785.94</v>
          </cell>
          <cell r="H160">
            <v>0</v>
          </cell>
        </row>
        <row r="161">
          <cell r="A161" t="str">
            <v>481003</v>
          </cell>
          <cell r="B161" t="str">
            <v>01990</v>
          </cell>
          <cell r="D161" t="str">
            <v>200</v>
          </cell>
          <cell r="E161" t="str">
            <v>2008-04-30</v>
          </cell>
          <cell r="F161" t="str">
            <v>549A</v>
          </cell>
          <cell r="G161">
            <v>-2285.29</v>
          </cell>
          <cell r="H161">
            <v>0</v>
          </cell>
        </row>
        <row r="162">
          <cell r="A162" t="str">
            <v>481003</v>
          </cell>
          <cell r="B162" t="str">
            <v>01991</v>
          </cell>
          <cell r="D162" t="str">
            <v>200</v>
          </cell>
          <cell r="E162" t="str">
            <v>2008-04-30</v>
          </cell>
          <cell r="F162" t="str">
            <v>549A</v>
          </cell>
          <cell r="G162">
            <v>-12.47</v>
          </cell>
          <cell r="H162">
            <v>0</v>
          </cell>
        </row>
        <row r="163">
          <cell r="A163" t="str">
            <v>481003</v>
          </cell>
          <cell r="B163" t="str">
            <v>01993</v>
          </cell>
          <cell r="D163" t="str">
            <v>200</v>
          </cell>
          <cell r="E163" t="str">
            <v>2008-04-30</v>
          </cell>
          <cell r="F163" t="str">
            <v>549A</v>
          </cell>
          <cell r="G163">
            <v>-282.83999999999997</v>
          </cell>
          <cell r="H163">
            <v>0</v>
          </cell>
        </row>
        <row r="164">
          <cell r="A164" t="str">
            <v>481003</v>
          </cell>
          <cell r="B164" t="str">
            <v>01954</v>
          </cell>
          <cell r="D164" t="str">
            <v>200</v>
          </cell>
          <cell r="E164" t="str">
            <v>2008-04-30</v>
          </cell>
          <cell r="F164" t="str">
            <v>549A</v>
          </cell>
          <cell r="G164">
            <v>-5.41</v>
          </cell>
          <cell r="H164">
            <v>0</v>
          </cell>
        </row>
        <row r="165">
          <cell r="A165" t="str">
            <v>481003</v>
          </cell>
          <cell r="B165" t="str">
            <v>01953</v>
          </cell>
          <cell r="D165" t="str">
            <v>200</v>
          </cell>
          <cell r="E165" t="str">
            <v>2008-04-30</v>
          </cell>
          <cell r="F165" t="str">
            <v>549A</v>
          </cell>
          <cell r="G165">
            <v>-10138.700000000001</v>
          </cell>
          <cell r="H165">
            <v>0</v>
          </cell>
        </row>
        <row r="166">
          <cell r="A166" t="str">
            <v>481003</v>
          </cell>
          <cell r="B166" t="str">
            <v>01986</v>
          </cell>
          <cell r="D166" t="str">
            <v>200</v>
          </cell>
          <cell r="E166" t="str">
            <v>2008-04-30</v>
          </cell>
          <cell r="F166" t="str">
            <v>549A</v>
          </cell>
          <cell r="G166">
            <v>-955.96</v>
          </cell>
          <cell r="H166">
            <v>0</v>
          </cell>
        </row>
        <row r="167">
          <cell r="A167" t="str">
            <v>481003</v>
          </cell>
          <cell r="B167" t="str">
            <v>01991</v>
          </cell>
          <cell r="D167" t="str">
            <v>200</v>
          </cell>
          <cell r="E167" t="str">
            <v>2008-04-30</v>
          </cell>
          <cell r="F167" t="str">
            <v>472B</v>
          </cell>
          <cell r="G167">
            <v>44.16</v>
          </cell>
          <cell r="H167">
            <v>8.18</v>
          </cell>
        </row>
        <row r="168">
          <cell r="A168" t="str">
            <v>481003</v>
          </cell>
          <cell r="B168" t="str">
            <v>01943</v>
          </cell>
          <cell r="D168" t="str">
            <v>200</v>
          </cell>
          <cell r="E168" t="str">
            <v>2008-04-30</v>
          </cell>
          <cell r="F168" t="str">
            <v>472B</v>
          </cell>
          <cell r="G168">
            <v>1526.56</v>
          </cell>
          <cell r="H168">
            <v>285.23</v>
          </cell>
        </row>
        <row r="169">
          <cell r="A169" t="str">
            <v>481003</v>
          </cell>
          <cell r="B169" t="str">
            <v>01968</v>
          </cell>
          <cell r="D169" t="str">
            <v>200</v>
          </cell>
          <cell r="E169" t="str">
            <v>2008-04-30</v>
          </cell>
          <cell r="F169" t="str">
            <v>BINGV30579</v>
          </cell>
          <cell r="G169">
            <v>3703.53</v>
          </cell>
          <cell r="H169">
            <v>465.6</v>
          </cell>
        </row>
        <row r="170">
          <cell r="A170" t="str">
            <v>481003</v>
          </cell>
          <cell r="B170" t="str">
            <v>01979</v>
          </cell>
          <cell r="D170" t="str">
            <v>200</v>
          </cell>
          <cell r="E170" t="str">
            <v>2008-04-30</v>
          </cell>
          <cell r="F170" t="str">
            <v>BINGV30579</v>
          </cell>
          <cell r="G170">
            <v>236.19</v>
          </cell>
          <cell r="H170">
            <v>45.25</v>
          </cell>
        </row>
        <row r="171">
          <cell r="A171" t="str">
            <v>481003</v>
          </cell>
          <cell r="B171" t="str">
            <v>01994</v>
          </cell>
          <cell r="D171" t="str">
            <v>200</v>
          </cell>
          <cell r="E171" t="str">
            <v>2008-04-30</v>
          </cell>
          <cell r="F171" t="str">
            <v>BINGV30579</v>
          </cell>
          <cell r="G171">
            <v>7834.29</v>
          </cell>
          <cell r="H171">
            <v>984.94</v>
          </cell>
        </row>
        <row r="172">
          <cell r="A172" t="str">
            <v>481003</v>
          </cell>
          <cell r="B172" t="str">
            <v>01976</v>
          </cell>
          <cell r="D172" t="str">
            <v>200</v>
          </cell>
          <cell r="E172" t="str">
            <v>2008-04-30</v>
          </cell>
          <cell r="F172" t="str">
            <v>BINGV30579</v>
          </cell>
          <cell r="G172">
            <v>431.07</v>
          </cell>
          <cell r="H172">
            <v>54.24</v>
          </cell>
        </row>
        <row r="173">
          <cell r="A173" t="str">
            <v>481003</v>
          </cell>
          <cell r="B173" t="str">
            <v>01980</v>
          </cell>
          <cell r="D173" t="str">
            <v>200</v>
          </cell>
          <cell r="E173" t="str">
            <v>2008-04-30</v>
          </cell>
          <cell r="F173" t="str">
            <v>BINGV30579</v>
          </cell>
          <cell r="G173">
            <v>420.94</v>
          </cell>
          <cell r="H173">
            <v>52.92</v>
          </cell>
        </row>
        <row r="174">
          <cell r="A174" t="str">
            <v>481003</v>
          </cell>
          <cell r="B174" t="str">
            <v>01987</v>
          </cell>
          <cell r="D174" t="str">
            <v>200</v>
          </cell>
          <cell r="E174" t="str">
            <v>2008-04-30</v>
          </cell>
          <cell r="F174" t="str">
            <v>BINGV30579</v>
          </cell>
          <cell r="G174">
            <v>10884.51</v>
          </cell>
          <cell r="H174">
            <v>1368.42</v>
          </cell>
        </row>
        <row r="175">
          <cell r="A175" t="str">
            <v>481003</v>
          </cell>
          <cell r="B175" t="str">
            <v>01978</v>
          </cell>
          <cell r="D175" t="str">
            <v>200</v>
          </cell>
          <cell r="E175" t="str">
            <v>2008-04-30</v>
          </cell>
          <cell r="F175" t="str">
            <v>BINGV30579</v>
          </cell>
          <cell r="G175">
            <v>7429</v>
          </cell>
          <cell r="H175">
            <v>933</v>
          </cell>
        </row>
        <row r="176">
          <cell r="A176" t="str">
            <v>481003</v>
          </cell>
          <cell r="B176" t="str">
            <v>01970</v>
          </cell>
          <cell r="D176" t="str">
            <v>200</v>
          </cell>
          <cell r="E176" t="str">
            <v>2008-04-30</v>
          </cell>
          <cell r="F176" t="str">
            <v>BINGV30579</v>
          </cell>
          <cell r="G176">
            <v>2460.6799999999998</v>
          </cell>
          <cell r="H176">
            <v>309.35000000000002</v>
          </cell>
        </row>
        <row r="177">
          <cell r="A177" t="str">
            <v>481003</v>
          </cell>
          <cell r="B177" t="str">
            <v>01971</v>
          </cell>
          <cell r="D177" t="str">
            <v>200</v>
          </cell>
          <cell r="E177" t="str">
            <v>2008-04-30</v>
          </cell>
          <cell r="F177" t="str">
            <v>BINGV30579</v>
          </cell>
          <cell r="G177">
            <v>4883.3100000000004</v>
          </cell>
          <cell r="H177">
            <v>613.91999999999996</v>
          </cell>
        </row>
        <row r="178">
          <cell r="A178" t="str">
            <v>481003</v>
          </cell>
          <cell r="B178" t="str">
            <v>01969</v>
          </cell>
          <cell r="D178" t="str">
            <v>200</v>
          </cell>
          <cell r="E178" t="str">
            <v>2008-04-30</v>
          </cell>
          <cell r="F178" t="str">
            <v>BINGV30579</v>
          </cell>
          <cell r="G178">
            <v>4436.59</v>
          </cell>
          <cell r="H178">
            <v>557.76</v>
          </cell>
        </row>
        <row r="179">
          <cell r="A179" t="str">
            <v>481003</v>
          </cell>
          <cell r="B179" t="str">
            <v>01977</v>
          </cell>
          <cell r="D179" t="str">
            <v>200</v>
          </cell>
          <cell r="E179" t="str">
            <v>2008-04-30</v>
          </cell>
          <cell r="F179" t="str">
            <v>BINGV30579</v>
          </cell>
          <cell r="G179">
            <v>6082.18</v>
          </cell>
          <cell r="H179">
            <v>764.64</v>
          </cell>
        </row>
        <row r="180">
          <cell r="A180" t="str">
            <v>481003</v>
          </cell>
          <cell r="B180" t="str">
            <v>01974</v>
          </cell>
          <cell r="D180" t="str">
            <v>200</v>
          </cell>
          <cell r="E180" t="str">
            <v>2008-04-30</v>
          </cell>
          <cell r="F180" t="str">
            <v>BINGV30579</v>
          </cell>
          <cell r="G180">
            <v>11908.54</v>
          </cell>
          <cell r="H180">
            <v>1497.12</v>
          </cell>
        </row>
        <row r="181">
          <cell r="A181" t="str">
            <v>481003</v>
          </cell>
          <cell r="B181" t="str">
            <v>01992</v>
          </cell>
          <cell r="D181" t="str">
            <v>200</v>
          </cell>
          <cell r="E181" t="str">
            <v>2008-04-30</v>
          </cell>
          <cell r="F181" t="str">
            <v>BINGV30579</v>
          </cell>
          <cell r="G181">
            <v>15923.84</v>
          </cell>
          <cell r="H181">
            <v>2001.92</v>
          </cell>
        </row>
        <row r="182">
          <cell r="A182" t="str">
            <v>481003</v>
          </cell>
          <cell r="B182" t="str">
            <v>01973</v>
          </cell>
          <cell r="D182" t="str">
            <v>200</v>
          </cell>
          <cell r="E182" t="str">
            <v>2008-04-30</v>
          </cell>
          <cell r="F182" t="str">
            <v>BINGV30579</v>
          </cell>
          <cell r="G182">
            <v>10995.11</v>
          </cell>
          <cell r="H182">
            <v>1382.29</v>
          </cell>
        </row>
        <row r="183">
          <cell r="A183" t="str">
            <v>481003</v>
          </cell>
          <cell r="B183" t="str">
            <v>01952</v>
          </cell>
          <cell r="D183" t="str">
            <v>200</v>
          </cell>
          <cell r="E183" t="str">
            <v>2008-04-30</v>
          </cell>
          <cell r="F183" t="str">
            <v>BINGV30579</v>
          </cell>
          <cell r="G183">
            <v>13391.38</v>
          </cell>
          <cell r="H183">
            <v>1683.54</v>
          </cell>
        </row>
        <row r="184">
          <cell r="A184" t="str">
            <v>481003</v>
          </cell>
          <cell r="B184" t="str">
            <v>01989</v>
          </cell>
          <cell r="D184" t="str">
            <v>200</v>
          </cell>
          <cell r="E184" t="str">
            <v>2008-04-30</v>
          </cell>
          <cell r="F184" t="str">
            <v>BINGV30579</v>
          </cell>
          <cell r="G184">
            <v>3728.34</v>
          </cell>
          <cell r="H184">
            <v>468.72</v>
          </cell>
        </row>
        <row r="185">
          <cell r="A185" t="str">
            <v>481003</v>
          </cell>
          <cell r="B185" t="str">
            <v>01988</v>
          </cell>
          <cell r="D185" t="str">
            <v>200</v>
          </cell>
          <cell r="E185" t="str">
            <v>2008-04-30</v>
          </cell>
          <cell r="F185" t="str">
            <v>BINGV30579</v>
          </cell>
          <cell r="G185">
            <v>8051.27</v>
          </cell>
          <cell r="H185">
            <v>1012.22</v>
          </cell>
        </row>
        <row r="186">
          <cell r="A186" t="str">
            <v>481003</v>
          </cell>
          <cell r="B186" t="str">
            <v>01986</v>
          </cell>
          <cell r="D186" t="str">
            <v>200</v>
          </cell>
          <cell r="E186" t="str">
            <v>2008-04-30</v>
          </cell>
          <cell r="F186" t="str">
            <v>BINGV30579</v>
          </cell>
          <cell r="G186">
            <v>22733.39</v>
          </cell>
          <cell r="H186">
            <v>2420</v>
          </cell>
        </row>
        <row r="187">
          <cell r="A187" t="str">
            <v>481003</v>
          </cell>
          <cell r="B187" t="str">
            <v>01953</v>
          </cell>
          <cell r="D187" t="str">
            <v>200</v>
          </cell>
          <cell r="E187" t="str">
            <v>2008-04-30</v>
          </cell>
          <cell r="F187" t="str">
            <v>470</v>
          </cell>
          <cell r="G187">
            <v>14675.28</v>
          </cell>
          <cell r="H187">
            <v>2760.3</v>
          </cell>
        </row>
        <row r="188">
          <cell r="A188" t="str">
            <v>481003</v>
          </cell>
          <cell r="B188" t="str">
            <v>01990</v>
          </cell>
          <cell r="D188" t="str">
            <v>200</v>
          </cell>
          <cell r="E188" t="str">
            <v>2008-04-30</v>
          </cell>
          <cell r="F188" t="str">
            <v>470</v>
          </cell>
          <cell r="G188">
            <v>7967.32</v>
          </cell>
          <cell r="H188">
            <v>1498.55</v>
          </cell>
        </row>
        <row r="189">
          <cell r="A189" t="str">
            <v>481003</v>
          </cell>
          <cell r="B189" t="str">
            <v>01986</v>
          </cell>
          <cell r="D189" t="str">
            <v>200</v>
          </cell>
          <cell r="E189" t="str">
            <v>2008-04-30</v>
          </cell>
          <cell r="F189" t="str">
            <v>470</v>
          </cell>
          <cell r="G189">
            <v>3332.82</v>
          </cell>
          <cell r="H189">
            <v>626.86</v>
          </cell>
        </row>
        <row r="190">
          <cell r="A190" t="str">
            <v>481003</v>
          </cell>
          <cell r="B190" t="str">
            <v>01959</v>
          </cell>
          <cell r="D190" t="str">
            <v>200</v>
          </cell>
          <cell r="E190" t="str">
            <v>2008-04-30</v>
          </cell>
          <cell r="F190" t="str">
            <v>470</v>
          </cell>
          <cell r="G190">
            <v>0.11</v>
          </cell>
          <cell r="H190">
            <v>0.02</v>
          </cell>
        </row>
        <row r="191">
          <cell r="A191" t="str">
            <v>481003</v>
          </cell>
          <cell r="B191" t="str">
            <v>01993</v>
          </cell>
          <cell r="D191" t="str">
            <v>200</v>
          </cell>
          <cell r="E191" t="str">
            <v>2008-04-30</v>
          </cell>
          <cell r="F191" t="str">
            <v>470</v>
          </cell>
          <cell r="G191">
            <v>1160.73</v>
          </cell>
          <cell r="H191">
            <v>185.47</v>
          </cell>
        </row>
        <row r="192">
          <cell r="A192" t="str">
            <v>481003</v>
          </cell>
          <cell r="B192" t="str">
            <v>01943</v>
          </cell>
          <cell r="D192" t="str">
            <v>200</v>
          </cell>
          <cell r="E192" t="str">
            <v>2008-04-30</v>
          </cell>
          <cell r="F192" t="str">
            <v>470</v>
          </cell>
          <cell r="G192">
            <v>545.88</v>
          </cell>
          <cell r="H192">
            <v>84.86</v>
          </cell>
        </row>
        <row r="193">
          <cell r="A193" t="str">
            <v>481003</v>
          </cell>
          <cell r="B193" t="str">
            <v>01953</v>
          </cell>
          <cell r="D193" t="str">
            <v>200</v>
          </cell>
          <cell r="E193" t="str">
            <v>2008-05-31</v>
          </cell>
          <cell r="F193" t="str">
            <v>470</v>
          </cell>
          <cell r="G193">
            <v>12782.33</v>
          </cell>
          <cell r="H193">
            <v>2404.15</v>
          </cell>
        </row>
        <row r="194">
          <cell r="A194" t="str">
            <v>481003</v>
          </cell>
          <cell r="B194" t="str">
            <v>01990</v>
          </cell>
          <cell r="D194" t="str">
            <v>200</v>
          </cell>
          <cell r="E194" t="str">
            <v>2008-05-31</v>
          </cell>
          <cell r="F194" t="str">
            <v>470</v>
          </cell>
          <cell r="G194">
            <v>7513.6</v>
          </cell>
          <cell r="H194">
            <v>1413.22</v>
          </cell>
        </row>
        <row r="195">
          <cell r="A195" t="str">
            <v>481003</v>
          </cell>
          <cell r="B195" t="str">
            <v>01986</v>
          </cell>
          <cell r="D195" t="str">
            <v>200</v>
          </cell>
          <cell r="E195" t="str">
            <v>2008-05-31</v>
          </cell>
          <cell r="F195" t="str">
            <v>470</v>
          </cell>
          <cell r="G195">
            <v>3279.02</v>
          </cell>
          <cell r="H195">
            <v>616.73</v>
          </cell>
        </row>
        <row r="196">
          <cell r="A196" t="str">
            <v>481003</v>
          </cell>
          <cell r="B196" t="str">
            <v>01993</v>
          </cell>
          <cell r="D196" t="str">
            <v>200</v>
          </cell>
          <cell r="E196" t="str">
            <v>2008-05-31</v>
          </cell>
          <cell r="F196" t="str">
            <v>470</v>
          </cell>
          <cell r="G196">
            <v>1346.2</v>
          </cell>
          <cell r="H196">
            <v>215.11</v>
          </cell>
        </row>
        <row r="197">
          <cell r="A197" t="str">
            <v>481003</v>
          </cell>
          <cell r="B197" t="str">
            <v>01943</v>
          </cell>
          <cell r="D197" t="str">
            <v>200</v>
          </cell>
          <cell r="E197" t="str">
            <v>2008-05-31</v>
          </cell>
          <cell r="F197" t="str">
            <v>470</v>
          </cell>
          <cell r="G197">
            <v>660.06</v>
          </cell>
          <cell r="H197">
            <v>102.59</v>
          </cell>
        </row>
        <row r="198">
          <cell r="A198" t="str">
            <v>481003</v>
          </cell>
          <cell r="B198" t="str">
            <v>01954</v>
          </cell>
          <cell r="D198" t="str">
            <v>200</v>
          </cell>
          <cell r="E198" t="str">
            <v>2008-05-31</v>
          </cell>
          <cell r="F198" t="str">
            <v>472B</v>
          </cell>
          <cell r="G198">
            <v>27.75</v>
          </cell>
          <cell r="H198">
            <v>5.14</v>
          </cell>
        </row>
        <row r="199">
          <cell r="A199" t="str">
            <v>481003</v>
          </cell>
          <cell r="B199" t="str">
            <v>01959</v>
          </cell>
          <cell r="D199" t="str">
            <v>200</v>
          </cell>
          <cell r="E199" t="str">
            <v>2008-05-31</v>
          </cell>
          <cell r="F199" t="str">
            <v>549A</v>
          </cell>
          <cell r="G199">
            <v>-0.03</v>
          </cell>
          <cell r="H199">
            <v>0</v>
          </cell>
        </row>
        <row r="200">
          <cell r="A200" t="str">
            <v>481003</v>
          </cell>
          <cell r="B200" t="str">
            <v>01943</v>
          </cell>
          <cell r="D200" t="str">
            <v>200</v>
          </cell>
          <cell r="E200" t="str">
            <v>2008-05-31</v>
          </cell>
          <cell r="F200" t="str">
            <v>549A</v>
          </cell>
          <cell r="G200">
            <v>-844.84</v>
          </cell>
          <cell r="H200">
            <v>0</v>
          </cell>
        </row>
        <row r="201">
          <cell r="A201" t="str">
            <v>481003</v>
          </cell>
          <cell r="B201" t="str">
            <v>01990</v>
          </cell>
          <cell r="D201" t="str">
            <v>200</v>
          </cell>
          <cell r="E201" t="str">
            <v>2008-05-31</v>
          </cell>
          <cell r="F201" t="str">
            <v>549A</v>
          </cell>
          <cell r="G201">
            <v>-2155.16</v>
          </cell>
          <cell r="H201">
            <v>0</v>
          </cell>
        </row>
        <row r="202">
          <cell r="A202" t="str">
            <v>481003</v>
          </cell>
          <cell r="B202" t="str">
            <v>01991</v>
          </cell>
          <cell r="D202" t="str">
            <v>200</v>
          </cell>
          <cell r="E202" t="str">
            <v>2008-05-31</v>
          </cell>
          <cell r="F202" t="str">
            <v>549A</v>
          </cell>
          <cell r="G202">
            <v>-17.22</v>
          </cell>
          <cell r="H202">
            <v>0</v>
          </cell>
        </row>
        <row r="203">
          <cell r="A203" t="str">
            <v>481003</v>
          </cell>
          <cell r="B203" t="str">
            <v>01993</v>
          </cell>
          <cell r="D203" t="str">
            <v>200</v>
          </cell>
          <cell r="E203" t="str">
            <v>2008-05-31</v>
          </cell>
          <cell r="F203" t="str">
            <v>549A</v>
          </cell>
          <cell r="G203">
            <v>-328.04</v>
          </cell>
          <cell r="H203">
            <v>0</v>
          </cell>
        </row>
        <row r="204">
          <cell r="A204" t="str">
            <v>481003</v>
          </cell>
          <cell r="B204" t="str">
            <v>01954</v>
          </cell>
          <cell r="D204" t="str">
            <v>200</v>
          </cell>
          <cell r="E204" t="str">
            <v>2008-05-31</v>
          </cell>
          <cell r="F204" t="str">
            <v>549A</v>
          </cell>
          <cell r="G204">
            <v>-7.84</v>
          </cell>
          <cell r="H204">
            <v>0</v>
          </cell>
        </row>
        <row r="205">
          <cell r="A205" t="str">
            <v>481003</v>
          </cell>
          <cell r="B205" t="str">
            <v>01953</v>
          </cell>
          <cell r="D205" t="str">
            <v>200</v>
          </cell>
          <cell r="E205" t="str">
            <v>2008-05-31</v>
          </cell>
          <cell r="F205" t="str">
            <v>549A</v>
          </cell>
          <cell r="G205">
            <v>-8236.07</v>
          </cell>
          <cell r="H205">
            <v>0</v>
          </cell>
        </row>
        <row r="206">
          <cell r="A206" t="str">
            <v>481003</v>
          </cell>
          <cell r="B206" t="str">
            <v>01986</v>
          </cell>
          <cell r="D206" t="str">
            <v>200</v>
          </cell>
          <cell r="E206" t="str">
            <v>2008-05-31</v>
          </cell>
          <cell r="F206" t="str">
            <v>549A</v>
          </cell>
          <cell r="G206">
            <v>-940.51</v>
          </cell>
          <cell r="H206">
            <v>0</v>
          </cell>
        </row>
        <row r="207">
          <cell r="A207" t="str">
            <v>481003</v>
          </cell>
          <cell r="B207" t="str">
            <v>01991</v>
          </cell>
          <cell r="D207" t="str">
            <v>200</v>
          </cell>
          <cell r="E207" t="str">
            <v>2008-05-31</v>
          </cell>
          <cell r="F207" t="str">
            <v>472B</v>
          </cell>
          <cell r="G207">
            <v>60.96</v>
          </cell>
          <cell r="H207">
            <v>11.29</v>
          </cell>
        </row>
        <row r="208">
          <cell r="A208" t="str">
            <v>481003</v>
          </cell>
          <cell r="B208" t="str">
            <v>01953</v>
          </cell>
          <cell r="D208" t="str">
            <v>200</v>
          </cell>
          <cell r="E208" t="str">
            <v>2008-05-31</v>
          </cell>
          <cell r="F208" t="str">
            <v>472B</v>
          </cell>
          <cell r="G208">
            <v>16298.04</v>
          </cell>
          <cell r="H208">
            <v>2996.55</v>
          </cell>
        </row>
        <row r="209">
          <cell r="A209" t="str">
            <v>481003</v>
          </cell>
          <cell r="B209" t="str">
            <v>01943</v>
          </cell>
          <cell r="D209" t="str">
            <v>200</v>
          </cell>
          <cell r="E209" t="str">
            <v>2008-05-31</v>
          </cell>
          <cell r="F209" t="str">
            <v>472B</v>
          </cell>
          <cell r="G209">
            <v>1580.04</v>
          </cell>
          <cell r="H209">
            <v>295.24</v>
          </cell>
        </row>
        <row r="210">
          <cell r="A210" t="str">
            <v>481003</v>
          </cell>
          <cell r="B210" t="str">
            <v>01969</v>
          </cell>
          <cell r="D210" t="str">
            <v>200</v>
          </cell>
          <cell r="E210" t="str">
            <v>2008-05-31</v>
          </cell>
          <cell r="F210" t="str">
            <v>BINGV31048</v>
          </cell>
          <cell r="G210">
            <v>4820.3100000000004</v>
          </cell>
          <cell r="H210">
            <v>606</v>
          </cell>
        </row>
        <row r="211">
          <cell r="A211" t="str">
            <v>481003</v>
          </cell>
          <cell r="B211" t="str">
            <v>01978</v>
          </cell>
          <cell r="D211" t="str">
            <v>200</v>
          </cell>
          <cell r="E211" t="str">
            <v>2008-05-31</v>
          </cell>
          <cell r="F211" t="str">
            <v>BINGV31048</v>
          </cell>
          <cell r="G211">
            <v>8108.61</v>
          </cell>
          <cell r="H211">
            <v>1019.4</v>
          </cell>
        </row>
        <row r="212">
          <cell r="A212" t="str">
            <v>481003</v>
          </cell>
          <cell r="B212" t="str">
            <v>01992</v>
          </cell>
          <cell r="D212" t="str">
            <v>200</v>
          </cell>
          <cell r="E212" t="str">
            <v>2008-05-31</v>
          </cell>
          <cell r="F212" t="str">
            <v>BINGV31048</v>
          </cell>
          <cell r="G212">
            <v>17438.400000000001</v>
          </cell>
          <cell r="H212">
            <v>2192.3200000000002</v>
          </cell>
        </row>
        <row r="213">
          <cell r="A213" t="str">
            <v>481003</v>
          </cell>
          <cell r="B213" t="str">
            <v>01977</v>
          </cell>
          <cell r="D213" t="str">
            <v>200</v>
          </cell>
          <cell r="E213" t="str">
            <v>2008-05-31</v>
          </cell>
          <cell r="F213" t="str">
            <v>BINGV31048</v>
          </cell>
          <cell r="G213">
            <v>6476.39</v>
          </cell>
          <cell r="H213">
            <v>814.2</v>
          </cell>
        </row>
        <row r="214">
          <cell r="A214" t="str">
            <v>481003</v>
          </cell>
          <cell r="B214" t="str">
            <v>01974</v>
          </cell>
          <cell r="D214" t="str">
            <v>200</v>
          </cell>
          <cell r="E214" t="str">
            <v>2008-05-31</v>
          </cell>
          <cell r="F214" t="str">
            <v>BINGV31048</v>
          </cell>
          <cell r="G214">
            <v>10093.049999999999</v>
          </cell>
          <cell r="H214">
            <v>1268.8800000000001</v>
          </cell>
        </row>
        <row r="215">
          <cell r="A215" t="str">
            <v>481003</v>
          </cell>
          <cell r="B215" t="str">
            <v>01952</v>
          </cell>
          <cell r="D215" t="str">
            <v>200</v>
          </cell>
          <cell r="E215" t="str">
            <v>2008-05-31</v>
          </cell>
          <cell r="F215" t="str">
            <v>BINGV31048</v>
          </cell>
          <cell r="G215">
            <v>17696.63</v>
          </cell>
          <cell r="H215">
            <v>2224.79</v>
          </cell>
        </row>
        <row r="216">
          <cell r="A216" t="str">
            <v>481003</v>
          </cell>
          <cell r="B216" t="str">
            <v>01989</v>
          </cell>
          <cell r="D216" t="str">
            <v>200</v>
          </cell>
          <cell r="E216" t="str">
            <v>2008-05-31</v>
          </cell>
          <cell r="F216" t="str">
            <v>BINGV31048</v>
          </cell>
          <cell r="G216">
            <v>3485.89</v>
          </cell>
          <cell r="H216">
            <v>438.24</v>
          </cell>
        </row>
        <row r="217">
          <cell r="A217" t="str">
            <v>481003</v>
          </cell>
          <cell r="B217" t="str">
            <v>01973</v>
          </cell>
          <cell r="D217" t="str">
            <v>200</v>
          </cell>
          <cell r="E217" t="str">
            <v>2008-05-31</v>
          </cell>
          <cell r="F217" t="str">
            <v>BINGV31048</v>
          </cell>
          <cell r="G217">
            <v>5915</v>
          </cell>
          <cell r="H217">
            <v>743.62</v>
          </cell>
        </row>
        <row r="218">
          <cell r="A218" t="str">
            <v>481003</v>
          </cell>
          <cell r="B218" t="str">
            <v>01988</v>
          </cell>
          <cell r="D218" t="str">
            <v>200</v>
          </cell>
          <cell r="E218" t="str">
            <v>2008-05-31</v>
          </cell>
          <cell r="F218" t="str">
            <v>BINGV31048</v>
          </cell>
          <cell r="G218">
            <v>10114.11</v>
          </cell>
          <cell r="H218">
            <v>1271.56</v>
          </cell>
        </row>
        <row r="219">
          <cell r="A219" t="str">
            <v>481003</v>
          </cell>
          <cell r="B219" t="str">
            <v>01986</v>
          </cell>
          <cell r="D219" t="str">
            <v>200</v>
          </cell>
          <cell r="E219" t="str">
            <v>2008-05-31</v>
          </cell>
          <cell r="F219" t="str">
            <v>BINGV31048</v>
          </cell>
          <cell r="G219">
            <v>26702.59</v>
          </cell>
          <cell r="H219">
            <v>3357</v>
          </cell>
        </row>
        <row r="220">
          <cell r="A220" t="str">
            <v>481003</v>
          </cell>
          <cell r="B220" t="str">
            <v>01968</v>
          </cell>
          <cell r="D220" t="str">
            <v>200</v>
          </cell>
          <cell r="E220" t="str">
            <v>2008-05-31</v>
          </cell>
          <cell r="F220" t="str">
            <v>BINGV31048</v>
          </cell>
          <cell r="G220">
            <v>3382.8</v>
          </cell>
          <cell r="H220">
            <v>425.28</v>
          </cell>
        </row>
        <row r="221">
          <cell r="A221" t="str">
            <v>481003</v>
          </cell>
          <cell r="B221" t="str">
            <v>01979</v>
          </cell>
          <cell r="D221" t="str">
            <v>200</v>
          </cell>
          <cell r="E221" t="str">
            <v>2008-05-31</v>
          </cell>
          <cell r="F221" t="str">
            <v>BINGV31048</v>
          </cell>
          <cell r="G221">
            <v>154.65</v>
          </cell>
          <cell r="H221">
            <v>19.440000000000001</v>
          </cell>
        </row>
        <row r="222">
          <cell r="A222" t="str">
            <v>481003</v>
          </cell>
          <cell r="B222" t="str">
            <v>01994</v>
          </cell>
          <cell r="D222" t="str">
            <v>200</v>
          </cell>
          <cell r="E222" t="str">
            <v>2008-05-31</v>
          </cell>
          <cell r="F222" t="str">
            <v>BINGV31048</v>
          </cell>
          <cell r="G222">
            <v>12114.83</v>
          </cell>
          <cell r="H222">
            <v>1523.1</v>
          </cell>
        </row>
        <row r="223">
          <cell r="A223" t="str">
            <v>481003</v>
          </cell>
          <cell r="B223" t="str">
            <v>01980</v>
          </cell>
          <cell r="D223" t="str">
            <v>200</v>
          </cell>
          <cell r="E223" t="str">
            <v>2008-05-31</v>
          </cell>
          <cell r="F223" t="str">
            <v>BINGV31048</v>
          </cell>
          <cell r="G223">
            <v>352.22</v>
          </cell>
          <cell r="H223">
            <v>44.28</v>
          </cell>
        </row>
        <row r="224">
          <cell r="A224" t="str">
            <v>481003</v>
          </cell>
          <cell r="B224" t="str">
            <v>01987</v>
          </cell>
          <cell r="D224" t="str">
            <v>200</v>
          </cell>
          <cell r="E224" t="str">
            <v>2008-05-31</v>
          </cell>
          <cell r="F224" t="str">
            <v>BINGV31048</v>
          </cell>
          <cell r="G224">
            <v>18093.3</v>
          </cell>
          <cell r="H224">
            <v>2274.7199999999998</v>
          </cell>
        </row>
        <row r="225">
          <cell r="A225" t="str">
            <v>481003</v>
          </cell>
          <cell r="B225" t="str">
            <v>01976</v>
          </cell>
          <cell r="D225" t="str">
            <v>200</v>
          </cell>
          <cell r="E225" t="str">
            <v>2008-05-31</v>
          </cell>
          <cell r="F225" t="str">
            <v>BINGV31048</v>
          </cell>
          <cell r="G225">
            <v>5584.87</v>
          </cell>
          <cell r="H225">
            <v>702.12</v>
          </cell>
        </row>
        <row r="226">
          <cell r="A226" t="str">
            <v>481003</v>
          </cell>
          <cell r="B226" t="str">
            <v>01970</v>
          </cell>
          <cell r="D226" t="str">
            <v>200</v>
          </cell>
          <cell r="E226" t="str">
            <v>2008-05-31</v>
          </cell>
          <cell r="F226" t="str">
            <v>BINGV31048</v>
          </cell>
          <cell r="G226">
            <v>2844.76</v>
          </cell>
          <cell r="H226">
            <v>357.64</v>
          </cell>
        </row>
        <row r="227">
          <cell r="A227" t="str">
            <v>481003</v>
          </cell>
          <cell r="B227" t="str">
            <v>01971</v>
          </cell>
          <cell r="D227" t="str">
            <v>200</v>
          </cell>
          <cell r="E227" t="str">
            <v>2008-05-31</v>
          </cell>
          <cell r="F227" t="str">
            <v>BINGV31048</v>
          </cell>
          <cell r="G227">
            <v>6044.95</v>
          </cell>
          <cell r="H227">
            <v>759.96</v>
          </cell>
        </row>
        <row r="228">
          <cell r="A228" t="str">
            <v>481003</v>
          </cell>
          <cell r="B228" t="str">
            <v>01959</v>
          </cell>
          <cell r="D228" t="str">
            <v>200</v>
          </cell>
          <cell r="E228" t="str">
            <v>2008-06-30</v>
          </cell>
          <cell r="F228" t="str">
            <v>549A</v>
          </cell>
          <cell r="G228">
            <v>0</v>
          </cell>
          <cell r="H228">
            <v>0</v>
          </cell>
        </row>
        <row r="229">
          <cell r="A229" t="str">
            <v>481003</v>
          </cell>
          <cell r="B229" t="str">
            <v>01943</v>
          </cell>
          <cell r="D229" t="str">
            <v>200</v>
          </cell>
          <cell r="E229" t="str">
            <v>2008-06-30</v>
          </cell>
          <cell r="F229" t="str">
            <v>549A</v>
          </cell>
          <cell r="G229">
            <v>-921.05</v>
          </cell>
          <cell r="H229">
            <v>0</v>
          </cell>
        </row>
        <row r="230">
          <cell r="A230" t="str">
            <v>481003</v>
          </cell>
          <cell r="B230" t="str">
            <v>01990</v>
          </cell>
          <cell r="D230" t="str">
            <v>200</v>
          </cell>
          <cell r="E230" t="str">
            <v>2008-06-30</v>
          </cell>
          <cell r="F230" t="str">
            <v>549A</v>
          </cell>
          <cell r="G230">
            <v>-1849.7</v>
          </cell>
          <cell r="H230">
            <v>0</v>
          </cell>
        </row>
        <row r="231">
          <cell r="A231" t="str">
            <v>481003</v>
          </cell>
          <cell r="B231" t="str">
            <v>01991</v>
          </cell>
          <cell r="D231" t="str">
            <v>200</v>
          </cell>
          <cell r="E231" t="str">
            <v>2008-06-30</v>
          </cell>
          <cell r="F231" t="str">
            <v>549A</v>
          </cell>
          <cell r="G231">
            <v>-16.55</v>
          </cell>
          <cell r="H231">
            <v>0</v>
          </cell>
        </row>
        <row r="232">
          <cell r="A232" t="str">
            <v>481003</v>
          </cell>
          <cell r="B232" t="str">
            <v>01993</v>
          </cell>
          <cell r="D232" t="str">
            <v>200</v>
          </cell>
          <cell r="E232" t="str">
            <v>2008-06-30</v>
          </cell>
          <cell r="F232" t="str">
            <v>549A</v>
          </cell>
          <cell r="G232">
            <v>-426.82</v>
          </cell>
          <cell r="H232">
            <v>0</v>
          </cell>
        </row>
        <row r="233">
          <cell r="A233" t="str">
            <v>481003</v>
          </cell>
          <cell r="B233" t="str">
            <v>01954</v>
          </cell>
          <cell r="D233" t="str">
            <v>200</v>
          </cell>
          <cell r="E233" t="str">
            <v>2008-06-30</v>
          </cell>
          <cell r="F233" t="str">
            <v>549A</v>
          </cell>
          <cell r="G233">
            <v>-8.6</v>
          </cell>
          <cell r="H233">
            <v>0</v>
          </cell>
        </row>
        <row r="234">
          <cell r="A234" t="str">
            <v>481003</v>
          </cell>
          <cell r="B234" t="str">
            <v>01953</v>
          </cell>
          <cell r="D234" t="str">
            <v>200</v>
          </cell>
          <cell r="E234" t="str">
            <v>2008-06-30</v>
          </cell>
          <cell r="F234" t="str">
            <v>549A</v>
          </cell>
          <cell r="G234">
            <v>-10686.94</v>
          </cell>
          <cell r="H234">
            <v>0</v>
          </cell>
        </row>
        <row r="235">
          <cell r="A235" t="str">
            <v>481003</v>
          </cell>
          <cell r="B235" t="str">
            <v>01986</v>
          </cell>
          <cell r="D235" t="str">
            <v>200</v>
          </cell>
          <cell r="E235" t="str">
            <v>2008-06-30</v>
          </cell>
          <cell r="F235" t="str">
            <v>549A</v>
          </cell>
          <cell r="G235">
            <v>-1337.15</v>
          </cell>
          <cell r="H235">
            <v>0</v>
          </cell>
        </row>
        <row r="236">
          <cell r="A236" t="str">
            <v>481003</v>
          </cell>
          <cell r="B236" t="str">
            <v>01990</v>
          </cell>
          <cell r="D236" t="str">
            <v>200</v>
          </cell>
          <cell r="E236" t="str">
            <v>2008-06-30</v>
          </cell>
          <cell r="F236" t="str">
            <v>470</v>
          </cell>
          <cell r="G236">
            <v>6448.8</v>
          </cell>
          <cell r="H236">
            <v>1212.92</v>
          </cell>
        </row>
        <row r="237">
          <cell r="A237" t="str">
            <v>481003</v>
          </cell>
          <cell r="B237" t="str">
            <v>01953</v>
          </cell>
          <cell r="D237" t="str">
            <v>200</v>
          </cell>
          <cell r="E237" t="str">
            <v>2008-06-30</v>
          </cell>
          <cell r="F237" t="str">
            <v>470</v>
          </cell>
          <cell r="G237">
            <v>16385.740000000002</v>
          </cell>
          <cell r="H237">
            <v>3081.93</v>
          </cell>
        </row>
        <row r="238">
          <cell r="A238" t="str">
            <v>481003</v>
          </cell>
          <cell r="B238" t="str">
            <v>01986</v>
          </cell>
          <cell r="D238" t="str">
            <v>200</v>
          </cell>
          <cell r="E238" t="str">
            <v>2008-06-30</v>
          </cell>
          <cell r="F238" t="str">
            <v>470</v>
          </cell>
          <cell r="G238">
            <v>4661.8900000000003</v>
          </cell>
          <cell r="H238">
            <v>876.82</v>
          </cell>
        </row>
        <row r="239">
          <cell r="A239" t="str">
            <v>481003</v>
          </cell>
          <cell r="B239" t="str">
            <v>01974</v>
          </cell>
          <cell r="D239" t="str">
            <v>200</v>
          </cell>
          <cell r="E239" t="str">
            <v>2008-06-30</v>
          </cell>
          <cell r="F239" t="str">
            <v>470</v>
          </cell>
          <cell r="G239">
            <v>10231.93</v>
          </cell>
          <cell r="H239">
            <v>1924.42</v>
          </cell>
        </row>
        <row r="240">
          <cell r="A240" t="str">
            <v>481003</v>
          </cell>
          <cell r="B240" t="str">
            <v>01988</v>
          </cell>
          <cell r="D240" t="str">
            <v>200</v>
          </cell>
          <cell r="E240" t="str">
            <v>2008-06-30</v>
          </cell>
          <cell r="F240" t="str">
            <v>470</v>
          </cell>
          <cell r="G240">
            <v>4699.5600000000004</v>
          </cell>
          <cell r="H240">
            <v>882.53</v>
          </cell>
        </row>
        <row r="241">
          <cell r="A241" t="str">
            <v>481003</v>
          </cell>
          <cell r="B241" t="str">
            <v>01993</v>
          </cell>
          <cell r="D241" t="str">
            <v>200</v>
          </cell>
          <cell r="E241" t="str">
            <v>2008-06-30</v>
          </cell>
          <cell r="F241" t="str">
            <v>470</v>
          </cell>
          <cell r="G241">
            <v>1751.48</v>
          </cell>
          <cell r="H241">
            <v>279.88</v>
          </cell>
        </row>
        <row r="242">
          <cell r="A242" t="str">
            <v>481003</v>
          </cell>
          <cell r="B242" t="str">
            <v>01943</v>
          </cell>
          <cell r="D242" t="str">
            <v>200</v>
          </cell>
          <cell r="E242" t="str">
            <v>2008-06-30</v>
          </cell>
          <cell r="F242" t="str">
            <v>470</v>
          </cell>
          <cell r="G242">
            <v>741.84</v>
          </cell>
          <cell r="H242">
            <v>115.32</v>
          </cell>
        </row>
        <row r="243">
          <cell r="A243" t="str">
            <v>481003</v>
          </cell>
          <cell r="B243" t="str">
            <v>01943</v>
          </cell>
          <cell r="D243" t="str">
            <v>200</v>
          </cell>
          <cell r="E243" t="str">
            <v>2008-06-30</v>
          </cell>
          <cell r="F243" t="str">
            <v>472B</v>
          </cell>
          <cell r="G243">
            <v>1704.08</v>
          </cell>
          <cell r="H243">
            <v>318.39</v>
          </cell>
        </row>
        <row r="244">
          <cell r="A244" t="str">
            <v>481003</v>
          </cell>
          <cell r="B244" t="str">
            <v>01954</v>
          </cell>
          <cell r="D244" t="str">
            <v>200</v>
          </cell>
          <cell r="E244" t="str">
            <v>2008-06-30</v>
          </cell>
          <cell r="F244" t="str">
            <v>472B</v>
          </cell>
          <cell r="G244">
            <v>30.42</v>
          </cell>
          <cell r="H244">
            <v>5.64</v>
          </cell>
        </row>
        <row r="245">
          <cell r="A245" t="str">
            <v>481003</v>
          </cell>
          <cell r="B245" t="str">
            <v>01953</v>
          </cell>
          <cell r="D245" t="str">
            <v>200</v>
          </cell>
          <cell r="E245" t="str">
            <v>2008-06-30</v>
          </cell>
          <cell r="F245" t="str">
            <v>472B</v>
          </cell>
          <cell r="G245">
            <v>21353</v>
          </cell>
          <cell r="H245">
            <v>3925.9</v>
          </cell>
        </row>
        <row r="246">
          <cell r="A246" t="str">
            <v>481003</v>
          </cell>
          <cell r="B246" t="str">
            <v>01991</v>
          </cell>
          <cell r="D246" t="str">
            <v>200</v>
          </cell>
          <cell r="E246" t="str">
            <v>2008-06-30</v>
          </cell>
          <cell r="F246" t="str">
            <v>472B</v>
          </cell>
          <cell r="G246">
            <v>58.5</v>
          </cell>
          <cell r="H246">
            <v>10.85</v>
          </cell>
        </row>
        <row r="247">
          <cell r="A247" t="str">
            <v>481003</v>
          </cell>
          <cell r="B247" t="str">
            <v>01989</v>
          </cell>
          <cell r="D247" t="str">
            <v>200</v>
          </cell>
          <cell r="E247" t="str">
            <v>2008-06-30</v>
          </cell>
          <cell r="F247" t="str">
            <v>BINGV31330</v>
          </cell>
          <cell r="G247">
            <v>3276.85</v>
          </cell>
          <cell r="H247">
            <v>411.96</v>
          </cell>
        </row>
        <row r="248">
          <cell r="A248" t="str">
            <v>481003</v>
          </cell>
          <cell r="B248" t="str">
            <v>01988</v>
          </cell>
          <cell r="D248" t="str">
            <v>200</v>
          </cell>
          <cell r="E248" t="str">
            <v>2008-06-30</v>
          </cell>
          <cell r="F248" t="str">
            <v>BINGV31330</v>
          </cell>
          <cell r="G248">
            <v>7274.88</v>
          </cell>
          <cell r="H248">
            <v>914.61</v>
          </cell>
        </row>
        <row r="249">
          <cell r="A249" t="str">
            <v>481003</v>
          </cell>
          <cell r="B249" t="str">
            <v>01986</v>
          </cell>
          <cell r="D249" t="str">
            <v>200</v>
          </cell>
          <cell r="E249" t="str">
            <v>2008-06-30</v>
          </cell>
          <cell r="F249" t="str">
            <v>BINGV31330</v>
          </cell>
          <cell r="G249">
            <v>25262.86</v>
          </cell>
          <cell r="H249">
            <v>3176</v>
          </cell>
        </row>
        <row r="250">
          <cell r="A250" t="str">
            <v>481003</v>
          </cell>
          <cell r="B250" t="str">
            <v>01968</v>
          </cell>
          <cell r="D250" t="str">
            <v>200</v>
          </cell>
          <cell r="E250" t="str">
            <v>2008-06-30</v>
          </cell>
          <cell r="F250" t="str">
            <v>BINGV31330</v>
          </cell>
          <cell r="G250">
            <v>3435.3</v>
          </cell>
          <cell r="H250">
            <v>431.88</v>
          </cell>
        </row>
        <row r="251">
          <cell r="A251" t="str">
            <v>481003</v>
          </cell>
          <cell r="B251" t="str">
            <v>01994</v>
          </cell>
          <cell r="D251" t="str">
            <v>200</v>
          </cell>
          <cell r="E251" t="str">
            <v>2008-06-30</v>
          </cell>
          <cell r="F251" t="str">
            <v>BINGV31330</v>
          </cell>
          <cell r="G251">
            <v>15061.94</v>
          </cell>
          <cell r="H251">
            <v>1893.56</v>
          </cell>
        </row>
        <row r="252">
          <cell r="A252" t="str">
            <v>481003</v>
          </cell>
          <cell r="B252" t="str">
            <v>01976</v>
          </cell>
          <cell r="D252" t="str">
            <v>200</v>
          </cell>
          <cell r="E252" t="str">
            <v>2008-06-30</v>
          </cell>
          <cell r="F252" t="str">
            <v>BINGV31330</v>
          </cell>
          <cell r="G252">
            <v>16095.05</v>
          </cell>
          <cell r="H252">
            <v>2023.44</v>
          </cell>
        </row>
        <row r="253">
          <cell r="A253" t="str">
            <v>481003</v>
          </cell>
          <cell r="B253" t="str">
            <v>01980</v>
          </cell>
          <cell r="D253" t="str">
            <v>200</v>
          </cell>
          <cell r="E253" t="str">
            <v>2008-06-30</v>
          </cell>
          <cell r="F253" t="str">
            <v>BINGV31330</v>
          </cell>
          <cell r="G253">
            <v>335.99</v>
          </cell>
          <cell r="H253">
            <v>42.24</v>
          </cell>
        </row>
        <row r="254">
          <cell r="A254" t="str">
            <v>481003</v>
          </cell>
          <cell r="B254" t="str">
            <v>01987</v>
          </cell>
          <cell r="D254" t="str">
            <v>200</v>
          </cell>
          <cell r="E254" t="str">
            <v>2008-06-30</v>
          </cell>
          <cell r="F254" t="str">
            <v>BINGV31330</v>
          </cell>
          <cell r="G254">
            <v>20481.46</v>
          </cell>
          <cell r="H254">
            <v>2574.9499999999998</v>
          </cell>
        </row>
        <row r="255">
          <cell r="A255" t="str">
            <v>481003</v>
          </cell>
          <cell r="B255" t="str">
            <v>01978</v>
          </cell>
          <cell r="D255" t="str">
            <v>200</v>
          </cell>
          <cell r="E255" t="str">
            <v>2008-06-30</v>
          </cell>
          <cell r="F255" t="str">
            <v>BINGV31330</v>
          </cell>
          <cell r="G255">
            <v>8667.7099999999991</v>
          </cell>
          <cell r="H255">
            <v>1089.72</v>
          </cell>
        </row>
        <row r="256">
          <cell r="A256" t="str">
            <v>481003</v>
          </cell>
          <cell r="B256" t="str">
            <v>01970</v>
          </cell>
          <cell r="D256" t="str">
            <v>200</v>
          </cell>
          <cell r="E256" t="str">
            <v>2008-06-30</v>
          </cell>
          <cell r="F256" t="str">
            <v>BINGV31330</v>
          </cell>
          <cell r="G256">
            <v>3578.18</v>
          </cell>
          <cell r="H256">
            <v>449.84</v>
          </cell>
        </row>
        <row r="257">
          <cell r="A257" t="str">
            <v>481003</v>
          </cell>
          <cell r="B257" t="str">
            <v>01971</v>
          </cell>
          <cell r="D257" t="str">
            <v>200</v>
          </cell>
          <cell r="E257" t="str">
            <v>2008-06-30</v>
          </cell>
          <cell r="F257" t="str">
            <v>BINGV31330</v>
          </cell>
          <cell r="G257">
            <v>8177.86</v>
          </cell>
          <cell r="H257">
            <v>1028.1600000000001</v>
          </cell>
        </row>
        <row r="258">
          <cell r="A258" t="str">
            <v>481003</v>
          </cell>
          <cell r="B258" t="str">
            <v>01969</v>
          </cell>
          <cell r="D258" t="str">
            <v>200</v>
          </cell>
          <cell r="E258" t="str">
            <v>2008-06-30</v>
          </cell>
          <cell r="F258" t="str">
            <v>BINGV31330</v>
          </cell>
          <cell r="G258">
            <v>5209.1499999999996</v>
          </cell>
          <cell r="H258">
            <v>654.9</v>
          </cell>
        </row>
        <row r="259">
          <cell r="A259" t="str">
            <v>481003</v>
          </cell>
          <cell r="B259" t="str">
            <v>01977</v>
          </cell>
          <cell r="D259" t="str">
            <v>200</v>
          </cell>
          <cell r="E259" t="str">
            <v>2008-06-30</v>
          </cell>
          <cell r="F259" t="str">
            <v>BINGV31330</v>
          </cell>
          <cell r="G259">
            <v>7312.55</v>
          </cell>
          <cell r="H259">
            <v>919.32</v>
          </cell>
        </row>
        <row r="260">
          <cell r="A260" t="str">
            <v>481003</v>
          </cell>
          <cell r="B260" t="str">
            <v>01992</v>
          </cell>
          <cell r="D260" t="str">
            <v>200</v>
          </cell>
          <cell r="E260" t="str">
            <v>2008-06-30</v>
          </cell>
          <cell r="F260" t="str">
            <v>BINGV31330</v>
          </cell>
          <cell r="G260">
            <v>22618.53</v>
          </cell>
          <cell r="H260">
            <v>2843.56</v>
          </cell>
        </row>
        <row r="261">
          <cell r="A261" t="str">
            <v>481003</v>
          </cell>
          <cell r="B261" t="str">
            <v>01973</v>
          </cell>
          <cell r="D261" t="str">
            <v>200</v>
          </cell>
          <cell r="E261" t="str">
            <v>2008-06-30</v>
          </cell>
          <cell r="F261" t="str">
            <v>BINGV31330</v>
          </cell>
          <cell r="G261">
            <v>13188.54</v>
          </cell>
          <cell r="H261">
            <v>1658.04</v>
          </cell>
        </row>
        <row r="262">
          <cell r="A262" t="str">
            <v>481003</v>
          </cell>
          <cell r="B262" t="str">
            <v>01952</v>
          </cell>
          <cell r="D262" t="str">
            <v>200</v>
          </cell>
          <cell r="E262" t="str">
            <v>2008-06-30</v>
          </cell>
          <cell r="F262" t="str">
            <v>BINGV31330</v>
          </cell>
          <cell r="G262">
            <v>20362.12</v>
          </cell>
          <cell r="H262">
            <v>2559.89</v>
          </cell>
        </row>
        <row r="263">
          <cell r="A263" t="str">
            <v>481003</v>
          </cell>
          <cell r="B263" t="str">
            <v>01953</v>
          </cell>
          <cell r="D263" t="str">
            <v>200</v>
          </cell>
          <cell r="E263" t="str">
            <v>2008-07-31</v>
          </cell>
          <cell r="F263" t="str">
            <v>470</v>
          </cell>
          <cell r="G263">
            <v>26772.09</v>
          </cell>
          <cell r="H263">
            <v>3888.85</v>
          </cell>
        </row>
        <row r="264">
          <cell r="A264" t="str">
            <v>481003</v>
          </cell>
          <cell r="B264" t="str">
            <v>01990</v>
          </cell>
          <cell r="D264" t="str">
            <v>200</v>
          </cell>
          <cell r="E264" t="str">
            <v>2008-07-31</v>
          </cell>
          <cell r="F264" t="str">
            <v>470</v>
          </cell>
          <cell r="G264">
            <v>7014.12</v>
          </cell>
          <cell r="H264">
            <v>1000.07</v>
          </cell>
        </row>
        <row r="265">
          <cell r="A265" t="str">
            <v>481003</v>
          </cell>
          <cell r="B265" t="str">
            <v>01986</v>
          </cell>
          <cell r="D265" t="str">
            <v>200</v>
          </cell>
          <cell r="E265" t="str">
            <v>2008-07-31</v>
          </cell>
          <cell r="F265" t="str">
            <v>470</v>
          </cell>
          <cell r="G265">
            <v>7361</v>
          </cell>
          <cell r="H265">
            <v>1075.6600000000001</v>
          </cell>
        </row>
        <row r="266">
          <cell r="A266" t="str">
            <v>481003</v>
          </cell>
          <cell r="B266" t="str">
            <v>01988</v>
          </cell>
          <cell r="D266" t="str">
            <v>200</v>
          </cell>
          <cell r="E266" t="str">
            <v>2008-07-31</v>
          </cell>
          <cell r="F266" t="str">
            <v>470</v>
          </cell>
          <cell r="G266">
            <v>6166.87</v>
          </cell>
          <cell r="H266">
            <v>901.8</v>
          </cell>
        </row>
        <row r="267">
          <cell r="A267" t="str">
            <v>481003</v>
          </cell>
          <cell r="B267" t="str">
            <v>01974</v>
          </cell>
          <cell r="D267" t="str">
            <v>200</v>
          </cell>
          <cell r="E267" t="str">
            <v>2008-07-31</v>
          </cell>
          <cell r="F267" t="str">
            <v>470</v>
          </cell>
          <cell r="G267">
            <v>16918.509999999998</v>
          </cell>
          <cell r="H267">
            <v>2474.66</v>
          </cell>
        </row>
        <row r="268">
          <cell r="A268" t="str">
            <v>481003</v>
          </cell>
          <cell r="B268" t="str">
            <v>01993</v>
          </cell>
          <cell r="D268" t="str">
            <v>200</v>
          </cell>
          <cell r="E268" t="str">
            <v>2008-07-31</v>
          </cell>
          <cell r="F268" t="str">
            <v>470</v>
          </cell>
          <cell r="G268">
            <v>3791.79</v>
          </cell>
          <cell r="H268">
            <v>390.69</v>
          </cell>
        </row>
        <row r="269">
          <cell r="A269" t="str">
            <v>481003</v>
          </cell>
          <cell r="B269" t="str">
            <v>01943</v>
          </cell>
          <cell r="D269" t="str">
            <v>200</v>
          </cell>
          <cell r="E269" t="str">
            <v>2008-07-31</v>
          </cell>
          <cell r="F269" t="str">
            <v>470</v>
          </cell>
          <cell r="G269">
            <v>1184.71</v>
          </cell>
          <cell r="H269">
            <v>120.2</v>
          </cell>
        </row>
        <row r="270">
          <cell r="A270" t="str">
            <v>481003</v>
          </cell>
          <cell r="B270" t="str">
            <v>01953</v>
          </cell>
          <cell r="D270" t="str">
            <v>200</v>
          </cell>
          <cell r="E270" t="str">
            <v>2008-07-31</v>
          </cell>
          <cell r="F270" t="str">
            <v>472B</v>
          </cell>
          <cell r="G270">
            <v>35324.15</v>
          </cell>
          <cell r="H270">
            <v>4837.5600000000004</v>
          </cell>
        </row>
        <row r="271">
          <cell r="A271" t="str">
            <v>481003</v>
          </cell>
          <cell r="B271" t="str">
            <v>01954</v>
          </cell>
          <cell r="D271" t="str">
            <v>200</v>
          </cell>
          <cell r="E271" t="str">
            <v>2008-07-31</v>
          </cell>
          <cell r="F271" t="str">
            <v>472B</v>
          </cell>
          <cell r="G271">
            <v>14.19</v>
          </cell>
          <cell r="H271">
            <v>1.96</v>
          </cell>
        </row>
        <row r="272">
          <cell r="A272" t="str">
            <v>481003</v>
          </cell>
          <cell r="B272" t="str">
            <v>01943</v>
          </cell>
          <cell r="D272" t="str">
            <v>200</v>
          </cell>
          <cell r="E272" t="str">
            <v>2008-07-31</v>
          </cell>
          <cell r="F272" t="str">
            <v>472B</v>
          </cell>
          <cell r="G272">
            <v>297.92</v>
          </cell>
          <cell r="H272">
            <v>55.68</v>
          </cell>
        </row>
        <row r="273">
          <cell r="A273" t="str">
            <v>481003</v>
          </cell>
          <cell r="B273" t="str">
            <v>01991</v>
          </cell>
          <cell r="D273" t="str">
            <v>200</v>
          </cell>
          <cell r="E273" t="str">
            <v>2008-07-31</v>
          </cell>
          <cell r="F273" t="str">
            <v>472B</v>
          </cell>
          <cell r="G273">
            <v>74.7</v>
          </cell>
          <cell r="H273">
            <v>10.31</v>
          </cell>
        </row>
        <row r="274">
          <cell r="A274" t="str">
            <v>481003</v>
          </cell>
          <cell r="B274" t="str">
            <v>01976</v>
          </cell>
          <cell r="D274" t="str">
            <v>200</v>
          </cell>
          <cell r="E274" t="str">
            <v>2008-07-31</v>
          </cell>
          <cell r="F274" t="str">
            <v>BINGV31717</v>
          </cell>
          <cell r="G274">
            <v>21999.68</v>
          </cell>
          <cell r="H274">
            <v>2765.76</v>
          </cell>
        </row>
        <row r="275">
          <cell r="A275" t="str">
            <v>481003</v>
          </cell>
          <cell r="B275" t="str">
            <v>01980</v>
          </cell>
          <cell r="D275" t="str">
            <v>200</v>
          </cell>
          <cell r="E275" t="str">
            <v>2008-07-31</v>
          </cell>
          <cell r="F275" t="str">
            <v>BINGV31717</v>
          </cell>
          <cell r="G275">
            <v>36.270000000000003</v>
          </cell>
          <cell r="H275">
            <v>4.5599999999999996</v>
          </cell>
        </row>
        <row r="276">
          <cell r="A276" t="str">
            <v>481003</v>
          </cell>
          <cell r="B276" t="str">
            <v>01987</v>
          </cell>
          <cell r="D276" t="str">
            <v>200</v>
          </cell>
          <cell r="E276" t="str">
            <v>2008-07-31</v>
          </cell>
          <cell r="F276" t="str">
            <v>BINGV31717</v>
          </cell>
          <cell r="G276">
            <v>24596.720000000001</v>
          </cell>
          <cell r="H276">
            <v>3092.34</v>
          </cell>
        </row>
        <row r="277">
          <cell r="A277" t="str">
            <v>481003</v>
          </cell>
          <cell r="B277" t="str">
            <v>01978</v>
          </cell>
          <cell r="D277" t="str">
            <v>200</v>
          </cell>
          <cell r="E277" t="str">
            <v>2008-07-31</v>
          </cell>
          <cell r="F277" t="str">
            <v>BINGV31717</v>
          </cell>
          <cell r="G277">
            <v>10379.4</v>
          </cell>
          <cell r="H277">
            <v>1304.8800000000001</v>
          </cell>
        </row>
        <row r="278">
          <cell r="A278" t="str">
            <v>481003</v>
          </cell>
          <cell r="B278" t="str">
            <v>01970</v>
          </cell>
          <cell r="D278" t="str">
            <v>200</v>
          </cell>
          <cell r="E278" t="str">
            <v>2008-07-31</v>
          </cell>
          <cell r="F278" t="str">
            <v>BINGV31717</v>
          </cell>
          <cell r="G278">
            <v>3896.56</v>
          </cell>
          <cell r="H278">
            <v>489.87</v>
          </cell>
        </row>
        <row r="279">
          <cell r="A279" t="str">
            <v>481003</v>
          </cell>
          <cell r="B279" t="str">
            <v>01971</v>
          </cell>
          <cell r="D279" t="str">
            <v>200</v>
          </cell>
          <cell r="E279" t="str">
            <v>2008-07-31</v>
          </cell>
          <cell r="F279" t="str">
            <v>BINGV31717</v>
          </cell>
          <cell r="G279">
            <v>12760.93</v>
          </cell>
          <cell r="H279">
            <v>1604.28</v>
          </cell>
        </row>
        <row r="280">
          <cell r="A280" t="str">
            <v>481003</v>
          </cell>
          <cell r="B280" t="str">
            <v>01969</v>
          </cell>
          <cell r="D280" t="str">
            <v>200</v>
          </cell>
          <cell r="E280" t="str">
            <v>2008-07-31</v>
          </cell>
          <cell r="F280" t="str">
            <v>BINGV31717</v>
          </cell>
          <cell r="G280">
            <v>3746.93</v>
          </cell>
          <cell r="H280">
            <v>471.06</v>
          </cell>
        </row>
        <row r="281">
          <cell r="A281" t="str">
            <v>481003</v>
          </cell>
          <cell r="B281" t="str">
            <v>01977</v>
          </cell>
          <cell r="D281" t="str">
            <v>200</v>
          </cell>
          <cell r="E281" t="str">
            <v>2008-07-31</v>
          </cell>
          <cell r="F281" t="str">
            <v>BINGV31717</v>
          </cell>
          <cell r="G281">
            <v>9283.6200000000008</v>
          </cell>
          <cell r="H281">
            <v>1167.1199999999999</v>
          </cell>
        </row>
        <row r="282">
          <cell r="A282" t="str">
            <v>481003</v>
          </cell>
          <cell r="B282" t="str">
            <v>01992</v>
          </cell>
          <cell r="D282" t="str">
            <v>200</v>
          </cell>
          <cell r="E282" t="str">
            <v>2008-07-31</v>
          </cell>
          <cell r="F282" t="str">
            <v>BINGV31717</v>
          </cell>
          <cell r="G282">
            <v>23581.59</v>
          </cell>
          <cell r="H282">
            <v>2964.63</v>
          </cell>
        </row>
        <row r="283">
          <cell r="A283" t="str">
            <v>481003</v>
          </cell>
          <cell r="B283" t="str">
            <v>01968</v>
          </cell>
          <cell r="D283" t="str">
            <v>200</v>
          </cell>
          <cell r="E283" t="str">
            <v>2008-07-31</v>
          </cell>
          <cell r="F283" t="str">
            <v>BINGV31717</v>
          </cell>
          <cell r="G283">
            <v>6320.8</v>
          </cell>
          <cell r="H283">
            <v>794.64</v>
          </cell>
        </row>
        <row r="284">
          <cell r="A284" t="str">
            <v>481003</v>
          </cell>
          <cell r="B284" t="str">
            <v>01994</v>
          </cell>
          <cell r="D284" t="str">
            <v>200</v>
          </cell>
          <cell r="E284" t="str">
            <v>2008-07-31</v>
          </cell>
          <cell r="F284" t="str">
            <v>BINGV31717</v>
          </cell>
          <cell r="G284">
            <v>9018.2099999999991</v>
          </cell>
          <cell r="H284">
            <v>1133.75</v>
          </cell>
        </row>
        <row r="285">
          <cell r="A285" t="str">
            <v>481003</v>
          </cell>
          <cell r="B285" t="str">
            <v>01995</v>
          </cell>
          <cell r="D285" t="str">
            <v>200</v>
          </cell>
          <cell r="E285" t="str">
            <v>2008-07-31</v>
          </cell>
          <cell r="F285" t="str">
            <v>BINGV31717</v>
          </cell>
          <cell r="G285">
            <v>25655.83</v>
          </cell>
          <cell r="H285">
            <v>3099.36</v>
          </cell>
        </row>
        <row r="286">
          <cell r="A286" t="str">
            <v>481003</v>
          </cell>
          <cell r="B286" t="str">
            <v>01973</v>
          </cell>
          <cell r="D286" t="str">
            <v>200</v>
          </cell>
          <cell r="E286" t="str">
            <v>2008-07-31</v>
          </cell>
          <cell r="F286" t="str">
            <v>BINGV31717</v>
          </cell>
          <cell r="G286">
            <v>34982.050000000003</v>
          </cell>
          <cell r="H286">
            <v>7398</v>
          </cell>
        </row>
        <row r="287">
          <cell r="A287" t="str">
            <v>481003</v>
          </cell>
          <cell r="B287" t="str">
            <v>01952</v>
          </cell>
          <cell r="D287" t="str">
            <v>200</v>
          </cell>
          <cell r="E287" t="str">
            <v>2008-07-31</v>
          </cell>
          <cell r="F287" t="str">
            <v>BINGV31717</v>
          </cell>
          <cell r="G287">
            <v>27819.94</v>
          </cell>
          <cell r="H287">
            <v>3497.47</v>
          </cell>
        </row>
        <row r="288">
          <cell r="A288" t="str">
            <v>481003</v>
          </cell>
          <cell r="B288" t="str">
            <v>01989</v>
          </cell>
          <cell r="D288" t="str">
            <v>200</v>
          </cell>
          <cell r="E288" t="str">
            <v>2008-07-31</v>
          </cell>
          <cell r="F288" t="str">
            <v>BINGV31717</v>
          </cell>
          <cell r="G288">
            <v>5401.61</v>
          </cell>
          <cell r="H288">
            <v>679.08</v>
          </cell>
        </row>
        <row r="289">
          <cell r="A289" t="str">
            <v>481003</v>
          </cell>
          <cell r="B289" t="str">
            <v>01988</v>
          </cell>
          <cell r="D289" t="str">
            <v>200</v>
          </cell>
          <cell r="E289" t="str">
            <v>2008-07-31</v>
          </cell>
          <cell r="F289" t="str">
            <v>BINGV31717</v>
          </cell>
          <cell r="G289">
            <v>7574.57</v>
          </cell>
          <cell r="H289">
            <v>952.29</v>
          </cell>
        </row>
        <row r="290">
          <cell r="A290" t="str">
            <v>481003</v>
          </cell>
          <cell r="B290" t="str">
            <v>01986</v>
          </cell>
          <cell r="D290" t="str">
            <v>200</v>
          </cell>
          <cell r="E290" t="str">
            <v>2008-07-31</v>
          </cell>
          <cell r="F290" t="str">
            <v>BINGV31717</v>
          </cell>
          <cell r="G290">
            <v>30266.11</v>
          </cell>
          <cell r="H290">
            <v>3805</v>
          </cell>
        </row>
        <row r="291">
          <cell r="A291" t="str">
            <v>481003</v>
          </cell>
          <cell r="B291" t="str">
            <v>01959</v>
          </cell>
          <cell r="D291" t="str">
            <v>200</v>
          </cell>
          <cell r="E291" t="str">
            <v>2008-07-31</v>
          </cell>
          <cell r="F291" t="str">
            <v>549A</v>
          </cell>
          <cell r="G291">
            <v>0</v>
          </cell>
          <cell r="H291">
            <v>0</v>
          </cell>
        </row>
        <row r="292">
          <cell r="A292" t="str">
            <v>481003</v>
          </cell>
          <cell r="B292" t="str">
            <v>01943</v>
          </cell>
          <cell r="D292" t="str">
            <v>200</v>
          </cell>
          <cell r="E292" t="str">
            <v>2008-07-31</v>
          </cell>
          <cell r="F292" t="str">
            <v>549A</v>
          </cell>
          <cell r="G292">
            <v>-420.15</v>
          </cell>
          <cell r="H292">
            <v>0</v>
          </cell>
        </row>
        <row r="293">
          <cell r="A293" t="str">
            <v>481003</v>
          </cell>
          <cell r="B293" t="str">
            <v>01990</v>
          </cell>
          <cell r="D293" t="str">
            <v>200</v>
          </cell>
          <cell r="E293" t="str">
            <v>2008-07-31</v>
          </cell>
          <cell r="F293" t="str">
            <v>549A</v>
          </cell>
          <cell r="G293">
            <v>-1525.11</v>
          </cell>
          <cell r="H293">
            <v>0</v>
          </cell>
        </row>
        <row r="294">
          <cell r="A294" t="str">
            <v>481003</v>
          </cell>
          <cell r="B294" t="str">
            <v>01991</v>
          </cell>
          <cell r="D294" t="str">
            <v>200</v>
          </cell>
          <cell r="E294" t="str">
            <v>2008-07-31</v>
          </cell>
          <cell r="F294" t="str">
            <v>549A</v>
          </cell>
          <cell r="G294">
            <v>-15.72</v>
          </cell>
          <cell r="H294">
            <v>0</v>
          </cell>
        </row>
        <row r="295">
          <cell r="A295" t="str">
            <v>481003</v>
          </cell>
          <cell r="B295" t="str">
            <v>01993</v>
          </cell>
          <cell r="D295" t="str">
            <v>200</v>
          </cell>
          <cell r="E295" t="str">
            <v>2008-07-31</v>
          </cell>
          <cell r="F295" t="str">
            <v>549A</v>
          </cell>
          <cell r="G295">
            <v>-595.79999999999995</v>
          </cell>
          <cell r="H295">
            <v>0</v>
          </cell>
        </row>
        <row r="296">
          <cell r="A296" t="str">
            <v>481003</v>
          </cell>
          <cell r="B296" t="str">
            <v>01954</v>
          </cell>
          <cell r="D296" t="str">
            <v>200</v>
          </cell>
          <cell r="E296" t="str">
            <v>2008-07-31</v>
          </cell>
          <cell r="F296" t="str">
            <v>549A</v>
          </cell>
          <cell r="G296">
            <v>-2.99</v>
          </cell>
          <cell r="H296">
            <v>0</v>
          </cell>
        </row>
        <row r="297">
          <cell r="A297" t="str">
            <v>481003</v>
          </cell>
          <cell r="B297" t="str">
            <v>01953</v>
          </cell>
          <cell r="D297" t="str">
            <v>200</v>
          </cell>
          <cell r="E297" t="str">
            <v>2008-07-31</v>
          </cell>
          <cell r="F297" t="str">
            <v>549A</v>
          </cell>
          <cell r="G297">
            <v>-13307.78</v>
          </cell>
          <cell r="H297">
            <v>0</v>
          </cell>
        </row>
        <row r="298">
          <cell r="A298" t="str">
            <v>481003</v>
          </cell>
          <cell r="B298" t="str">
            <v>01986</v>
          </cell>
          <cell r="D298" t="str">
            <v>200</v>
          </cell>
          <cell r="E298" t="str">
            <v>2008-07-31</v>
          </cell>
          <cell r="F298" t="str">
            <v>549A</v>
          </cell>
          <cell r="G298">
            <v>-1640.38</v>
          </cell>
          <cell r="H298">
            <v>0</v>
          </cell>
        </row>
        <row r="299">
          <cell r="A299" t="str">
            <v>481003</v>
          </cell>
          <cell r="B299" t="str">
            <v>01979</v>
          </cell>
          <cell r="D299" t="str">
            <v>200</v>
          </cell>
          <cell r="E299" t="str">
            <v>2008-08-31</v>
          </cell>
          <cell r="F299" t="str">
            <v>BINGV32099</v>
          </cell>
          <cell r="G299">
            <v>0.18</v>
          </cell>
          <cell r="H299">
            <v>0.02</v>
          </cell>
        </row>
        <row r="300">
          <cell r="A300" t="str">
            <v>481003</v>
          </cell>
          <cell r="B300" t="str">
            <v>01968</v>
          </cell>
          <cell r="D300" t="str">
            <v>200</v>
          </cell>
          <cell r="E300" t="str">
            <v>2008-08-31</v>
          </cell>
          <cell r="F300" t="str">
            <v>BINGV32099</v>
          </cell>
          <cell r="G300">
            <v>6582.96</v>
          </cell>
          <cell r="H300">
            <v>671.62</v>
          </cell>
        </row>
        <row r="301">
          <cell r="A301" t="str">
            <v>481003</v>
          </cell>
          <cell r="B301" t="str">
            <v>01994</v>
          </cell>
          <cell r="D301" t="str">
            <v>200</v>
          </cell>
          <cell r="E301" t="str">
            <v>2008-08-31</v>
          </cell>
          <cell r="F301" t="str">
            <v>BINGV32099</v>
          </cell>
          <cell r="G301">
            <v>16587.95</v>
          </cell>
          <cell r="H301">
            <v>1692.12</v>
          </cell>
        </row>
        <row r="302">
          <cell r="A302" t="str">
            <v>481003</v>
          </cell>
          <cell r="B302" t="str">
            <v>01995</v>
          </cell>
          <cell r="D302" t="str">
            <v>200</v>
          </cell>
          <cell r="E302" t="str">
            <v>2008-08-31</v>
          </cell>
          <cell r="F302" t="str">
            <v>BINGV32099</v>
          </cell>
          <cell r="G302">
            <v>5608.92</v>
          </cell>
          <cell r="H302">
            <v>572.16</v>
          </cell>
        </row>
        <row r="303">
          <cell r="A303" t="str">
            <v>481003</v>
          </cell>
          <cell r="B303" t="str">
            <v>01980</v>
          </cell>
          <cell r="D303" t="str">
            <v>200</v>
          </cell>
          <cell r="E303" t="str">
            <v>2008-08-31</v>
          </cell>
          <cell r="F303" t="str">
            <v>BINGV32099</v>
          </cell>
          <cell r="G303">
            <v>65.88</v>
          </cell>
          <cell r="H303">
            <v>6.72</v>
          </cell>
        </row>
        <row r="304">
          <cell r="A304" t="str">
            <v>481003</v>
          </cell>
          <cell r="B304" t="str">
            <v>01987</v>
          </cell>
          <cell r="D304" t="str">
            <v>200</v>
          </cell>
          <cell r="E304" t="str">
            <v>2008-08-31</v>
          </cell>
          <cell r="F304" t="str">
            <v>BINGV32099</v>
          </cell>
          <cell r="G304">
            <v>28321.919999999998</v>
          </cell>
          <cell r="H304">
            <v>2889.09</v>
          </cell>
        </row>
        <row r="305">
          <cell r="A305" t="str">
            <v>481003</v>
          </cell>
          <cell r="B305" t="str">
            <v>01976</v>
          </cell>
          <cell r="D305" t="str">
            <v>200</v>
          </cell>
          <cell r="E305" t="str">
            <v>2008-08-31</v>
          </cell>
          <cell r="F305" t="str">
            <v>BINGV32099</v>
          </cell>
          <cell r="G305">
            <v>16593.849999999999</v>
          </cell>
          <cell r="H305">
            <v>1692.72</v>
          </cell>
        </row>
        <row r="306">
          <cell r="A306" t="str">
            <v>481003</v>
          </cell>
          <cell r="B306" t="str">
            <v>01978</v>
          </cell>
          <cell r="D306" t="str">
            <v>200</v>
          </cell>
          <cell r="E306" t="str">
            <v>2008-08-31</v>
          </cell>
          <cell r="F306" t="str">
            <v>BINGV32099</v>
          </cell>
          <cell r="G306">
            <v>12404.8</v>
          </cell>
          <cell r="H306">
            <v>1265.4000000000001</v>
          </cell>
        </row>
        <row r="307">
          <cell r="A307" t="str">
            <v>481003</v>
          </cell>
          <cell r="B307" t="str">
            <v>01970</v>
          </cell>
          <cell r="D307" t="str">
            <v>200</v>
          </cell>
          <cell r="E307" t="str">
            <v>2008-08-31</v>
          </cell>
          <cell r="F307" t="str">
            <v>BINGV32099</v>
          </cell>
          <cell r="G307">
            <v>4519.92</v>
          </cell>
          <cell r="H307">
            <v>461.06</v>
          </cell>
        </row>
        <row r="308">
          <cell r="A308" t="str">
            <v>481003</v>
          </cell>
          <cell r="B308" t="str">
            <v>01971</v>
          </cell>
          <cell r="D308" t="str">
            <v>200</v>
          </cell>
          <cell r="E308" t="str">
            <v>2008-08-31</v>
          </cell>
          <cell r="F308" t="str">
            <v>BINGV32099</v>
          </cell>
          <cell r="G308">
            <v>16870.3</v>
          </cell>
          <cell r="H308">
            <v>1720.92</v>
          </cell>
        </row>
        <row r="309">
          <cell r="A309" t="str">
            <v>481003</v>
          </cell>
          <cell r="B309" t="str">
            <v>01969</v>
          </cell>
          <cell r="D309" t="str">
            <v>200</v>
          </cell>
          <cell r="E309" t="str">
            <v>2008-08-31</v>
          </cell>
          <cell r="F309" t="str">
            <v>BINGV32099</v>
          </cell>
          <cell r="G309">
            <v>7596.99</v>
          </cell>
          <cell r="H309">
            <v>774.96</v>
          </cell>
        </row>
        <row r="310">
          <cell r="A310" t="str">
            <v>481003</v>
          </cell>
          <cell r="B310" t="str">
            <v>01977</v>
          </cell>
          <cell r="D310" t="str">
            <v>200</v>
          </cell>
          <cell r="E310" t="str">
            <v>2008-08-31</v>
          </cell>
          <cell r="F310" t="str">
            <v>BINGV32099</v>
          </cell>
          <cell r="G310">
            <v>13605.88</v>
          </cell>
          <cell r="H310">
            <v>1387.92</v>
          </cell>
        </row>
        <row r="311">
          <cell r="A311" t="str">
            <v>481003</v>
          </cell>
          <cell r="B311" t="str">
            <v>01992</v>
          </cell>
          <cell r="D311" t="str">
            <v>200</v>
          </cell>
          <cell r="E311" t="str">
            <v>2008-08-31</v>
          </cell>
          <cell r="F311" t="str">
            <v>BINGV32099</v>
          </cell>
          <cell r="G311">
            <v>31345.81</v>
          </cell>
          <cell r="H311">
            <v>3197.55</v>
          </cell>
        </row>
        <row r="312">
          <cell r="A312" t="str">
            <v>481003</v>
          </cell>
          <cell r="B312" t="str">
            <v>01952</v>
          </cell>
          <cell r="D312" t="str">
            <v>200</v>
          </cell>
          <cell r="E312" t="str">
            <v>2008-08-31</v>
          </cell>
          <cell r="F312" t="str">
            <v>BINGV32099</v>
          </cell>
          <cell r="G312">
            <v>42326.21</v>
          </cell>
          <cell r="H312">
            <v>4317.6499999999996</v>
          </cell>
        </row>
        <row r="313">
          <cell r="A313" t="str">
            <v>481003</v>
          </cell>
          <cell r="B313" t="str">
            <v>01989</v>
          </cell>
          <cell r="D313" t="str">
            <v>200</v>
          </cell>
          <cell r="E313" t="str">
            <v>2008-08-31</v>
          </cell>
          <cell r="F313" t="str">
            <v>BINGV32099</v>
          </cell>
          <cell r="G313">
            <v>3558.51</v>
          </cell>
          <cell r="H313">
            <v>363</v>
          </cell>
        </row>
        <row r="314">
          <cell r="A314" t="str">
            <v>481003</v>
          </cell>
          <cell r="B314" t="str">
            <v>01973</v>
          </cell>
          <cell r="D314" t="str">
            <v>200</v>
          </cell>
          <cell r="E314" t="str">
            <v>2008-08-31</v>
          </cell>
          <cell r="F314" t="str">
            <v>BINGV32099</v>
          </cell>
          <cell r="G314">
            <v>18330.169999999998</v>
          </cell>
          <cell r="H314">
            <v>1869.84</v>
          </cell>
        </row>
        <row r="315">
          <cell r="A315" t="str">
            <v>481003</v>
          </cell>
          <cell r="B315" t="str">
            <v>01988</v>
          </cell>
          <cell r="D315" t="str">
            <v>200</v>
          </cell>
          <cell r="E315" t="str">
            <v>2008-08-31</v>
          </cell>
          <cell r="F315" t="str">
            <v>BINGV32099</v>
          </cell>
          <cell r="G315">
            <v>9927.75</v>
          </cell>
          <cell r="H315">
            <v>1012.72</v>
          </cell>
        </row>
        <row r="316">
          <cell r="A316" t="str">
            <v>481003</v>
          </cell>
          <cell r="B316" t="str">
            <v>01986</v>
          </cell>
          <cell r="D316" t="str">
            <v>200</v>
          </cell>
          <cell r="E316" t="str">
            <v>2008-08-31</v>
          </cell>
          <cell r="F316" t="str">
            <v>BINGV32099</v>
          </cell>
          <cell r="G316">
            <v>40987.75</v>
          </cell>
          <cell r="H316">
            <v>4181</v>
          </cell>
        </row>
        <row r="317">
          <cell r="A317" t="str">
            <v>481003</v>
          </cell>
          <cell r="B317" t="str">
            <v>01953</v>
          </cell>
          <cell r="D317" t="str">
            <v>200</v>
          </cell>
          <cell r="E317" t="str">
            <v>2008-08-31</v>
          </cell>
          <cell r="F317" t="str">
            <v>470</v>
          </cell>
          <cell r="G317">
            <v>37343.96</v>
          </cell>
          <cell r="H317">
            <v>5195.9399999999996</v>
          </cell>
        </row>
        <row r="318">
          <cell r="A318" t="str">
            <v>481003</v>
          </cell>
          <cell r="B318" t="str">
            <v>01990</v>
          </cell>
          <cell r="D318" t="str">
            <v>200</v>
          </cell>
          <cell r="E318" t="str">
            <v>2008-08-31</v>
          </cell>
          <cell r="F318" t="str">
            <v>470</v>
          </cell>
          <cell r="G318">
            <v>10449.93</v>
          </cell>
          <cell r="H318">
            <v>1453.87</v>
          </cell>
        </row>
        <row r="319">
          <cell r="A319" t="str">
            <v>481003</v>
          </cell>
          <cell r="B319" t="str">
            <v>01986</v>
          </cell>
          <cell r="D319" t="str">
            <v>200</v>
          </cell>
          <cell r="E319" t="str">
            <v>2008-08-31</v>
          </cell>
          <cell r="F319" t="str">
            <v>470</v>
          </cell>
          <cell r="G319">
            <v>10428.790000000001</v>
          </cell>
          <cell r="H319">
            <v>1450.49</v>
          </cell>
        </row>
        <row r="320">
          <cell r="A320" t="str">
            <v>481003</v>
          </cell>
          <cell r="B320" t="str">
            <v>01988</v>
          </cell>
          <cell r="D320" t="str">
            <v>200</v>
          </cell>
          <cell r="E320" t="str">
            <v>2008-08-31</v>
          </cell>
          <cell r="F320" t="str">
            <v>470</v>
          </cell>
          <cell r="G320">
            <v>7431.61</v>
          </cell>
          <cell r="H320">
            <v>1034.3499999999999</v>
          </cell>
        </row>
        <row r="321">
          <cell r="A321" t="str">
            <v>481003</v>
          </cell>
          <cell r="B321" t="str">
            <v>01974</v>
          </cell>
          <cell r="D321" t="str">
            <v>200</v>
          </cell>
          <cell r="E321" t="str">
            <v>2008-08-31</v>
          </cell>
          <cell r="F321" t="str">
            <v>470</v>
          </cell>
          <cell r="G321">
            <v>21153.59</v>
          </cell>
          <cell r="H321">
            <v>2946.86</v>
          </cell>
        </row>
        <row r="322">
          <cell r="A322" t="str">
            <v>481003</v>
          </cell>
          <cell r="B322" t="str">
            <v>01993</v>
          </cell>
          <cell r="D322" t="str">
            <v>200</v>
          </cell>
          <cell r="E322" t="str">
            <v>2008-08-31</v>
          </cell>
          <cell r="F322" t="str">
            <v>470</v>
          </cell>
          <cell r="G322">
            <v>5710.47</v>
          </cell>
          <cell r="H322">
            <v>559.39</v>
          </cell>
        </row>
        <row r="323">
          <cell r="A323" t="str">
            <v>481003</v>
          </cell>
          <cell r="B323" t="str">
            <v>01943</v>
          </cell>
          <cell r="D323" t="str">
            <v>200</v>
          </cell>
          <cell r="E323" t="str">
            <v>2008-08-31</v>
          </cell>
          <cell r="F323" t="str">
            <v>470</v>
          </cell>
          <cell r="G323">
            <v>686.57</v>
          </cell>
          <cell r="H323">
            <v>65.709999999999994</v>
          </cell>
        </row>
        <row r="324">
          <cell r="A324" t="str">
            <v>481003</v>
          </cell>
          <cell r="B324" t="str">
            <v>01943</v>
          </cell>
          <cell r="D324" t="str">
            <v>200</v>
          </cell>
          <cell r="E324" t="str">
            <v>2008-08-31</v>
          </cell>
          <cell r="F324" t="str">
            <v>472B</v>
          </cell>
          <cell r="G324">
            <v>2189.6</v>
          </cell>
          <cell r="H324">
            <v>409.11</v>
          </cell>
        </row>
        <row r="325">
          <cell r="A325" t="str">
            <v>481003</v>
          </cell>
          <cell r="B325" t="str">
            <v>01953</v>
          </cell>
          <cell r="D325" t="str">
            <v>200</v>
          </cell>
          <cell r="E325" t="str">
            <v>2008-08-31</v>
          </cell>
          <cell r="F325" t="str">
            <v>472B</v>
          </cell>
          <cell r="G325">
            <v>40490.79</v>
          </cell>
          <cell r="H325">
            <v>5545.02</v>
          </cell>
        </row>
        <row r="326">
          <cell r="A326" t="str">
            <v>481003</v>
          </cell>
          <cell r="B326" t="str">
            <v>01954</v>
          </cell>
          <cell r="D326" t="str">
            <v>200</v>
          </cell>
          <cell r="E326" t="str">
            <v>2008-08-31</v>
          </cell>
          <cell r="F326" t="str">
            <v>472B</v>
          </cell>
          <cell r="G326">
            <v>31.7</v>
          </cell>
          <cell r="H326">
            <v>4.37</v>
          </cell>
        </row>
        <row r="327">
          <cell r="A327" t="str">
            <v>481003</v>
          </cell>
          <cell r="B327" t="str">
            <v>01991</v>
          </cell>
          <cell r="D327" t="str">
            <v>200</v>
          </cell>
          <cell r="E327" t="str">
            <v>2008-08-31</v>
          </cell>
          <cell r="F327" t="str">
            <v>472B</v>
          </cell>
          <cell r="G327">
            <v>76.62</v>
          </cell>
          <cell r="H327">
            <v>10.58</v>
          </cell>
        </row>
        <row r="328">
          <cell r="A328" t="str">
            <v>481003</v>
          </cell>
          <cell r="B328" t="str">
            <v>01993</v>
          </cell>
          <cell r="D328" t="str">
            <v>200</v>
          </cell>
          <cell r="E328" t="str">
            <v>2008-08-31</v>
          </cell>
          <cell r="F328" t="str">
            <v>549A</v>
          </cell>
          <cell r="G328">
            <v>-853.07</v>
          </cell>
          <cell r="H328">
            <v>0</v>
          </cell>
        </row>
        <row r="329">
          <cell r="A329" t="str">
            <v>481003</v>
          </cell>
          <cell r="B329" t="str">
            <v>01954</v>
          </cell>
          <cell r="D329" t="str">
            <v>200</v>
          </cell>
          <cell r="E329" t="str">
            <v>2008-08-31</v>
          </cell>
          <cell r="F329" t="str">
            <v>549A</v>
          </cell>
          <cell r="G329">
            <v>-6.66</v>
          </cell>
          <cell r="H329">
            <v>0</v>
          </cell>
        </row>
        <row r="330">
          <cell r="A330" t="str">
            <v>481003</v>
          </cell>
          <cell r="B330" t="str">
            <v>01953</v>
          </cell>
          <cell r="D330" t="str">
            <v>200</v>
          </cell>
          <cell r="E330" t="str">
            <v>2008-08-31</v>
          </cell>
          <cell r="F330" t="str">
            <v>549A</v>
          </cell>
          <cell r="G330">
            <v>-16379.96</v>
          </cell>
          <cell r="H330">
            <v>0</v>
          </cell>
        </row>
        <row r="331">
          <cell r="A331" t="str">
            <v>481003</v>
          </cell>
          <cell r="B331" t="str">
            <v>01986</v>
          </cell>
          <cell r="D331" t="str">
            <v>200</v>
          </cell>
          <cell r="E331" t="str">
            <v>2008-08-31</v>
          </cell>
          <cell r="F331" t="str">
            <v>549A</v>
          </cell>
          <cell r="G331">
            <v>-2212</v>
          </cell>
          <cell r="H331">
            <v>0</v>
          </cell>
        </row>
        <row r="332">
          <cell r="A332" t="str">
            <v>481003</v>
          </cell>
          <cell r="B332" t="str">
            <v>01959</v>
          </cell>
          <cell r="D332" t="str">
            <v>200</v>
          </cell>
          <cell r="E332" t="str">
            <v>2008-08-31</v>
          </cell>
          <cell r="F332" t="str">
            <v>549A</v>
          </cell>
          <cell r="G332">
            <v>0</v>
          </cell>
          <cell r="H332">
            <v>0</v>
          </cell>
        </row>
        <row r="333">
          <cell r="A333" t="str">
            <v>481003</v>
          </cell>
          <cell r="B333" t="str">
            <v>01943</v>
          </cell>
          <cell r="D333" t="str">
            <v>200</v>
          </cell>
          <cell r="E333" t="str">
            <v>2008-08-31</v>
          </cell>
          <cell r="F333" t="str">
            <v>549A</v>
          </cell>
          <cell r="G333">
            <v>-1134.26</v>
          </cell>
          <cell r="H333">
            <v>0</v>
          </cell>
        </row>
        <row r="334">
          <cell r="A334" t="str">
            <v>481003</v>
          </cell>
          <cell r="B334" t="str">
            <v>01990</v>
          </cell>
          <cell r="D334" t="str">
            <v>200</v>
          </cell>
          <cell r="E334" t="str">
            <v>2008-08-31</v>
          </cell>
          <cell r="F334" t="str">
            <v>549A</v>
          </cell>
          <cell r="G334">
            <v>-2217.15</v>
          </cell>
          <cell r="H334">
            <v>0</v>
          </cell>
        </row>
        <row r="335">
          <cell r="A335" t="str">
            <v>481003</v>
          </cell>
          <cell r="B335" t="str">
            <v>01991</v>
          </cell>
          <cell r="D335" t="str">
            <v>200</v>
          </cell>
          <cell r="E335" t="str">
            <v>2008-08-31</v>
          </cell>
          <cell r="F335" t="str">
            <v>549A</v>
          </cell>
          <cell r="G335">
            <v>-16.13</v>
          </cell>
          <cell r="H335">
            <v>0</v>
          </cell>
        </row>
        <row r="336">
          <cell r="A336" t="str">
            <v>481003</v>
          </cell>
          <cell r="B336" t="str">
            <v>01952</v>
          </cell>
          <cell r="D336" t="str">
            <v>200</v>
          </cell>
          <cell r="E336" t="str">
            <v>2008-09-30</v>
          </cell>
          <cell r="F336" t="str">
            <v>BINGV32476</v>
          </cell>
          <cell r="G336">
            <v>32484.3</v>
          </cell>
          <cell r="H336">
            <v>3286.26</v>
          </cell>
        </row>
        <row r="337">
          <cell r="A337" t="str">
            <v>481003</v>
          </cell>
          <cell r="B337" t="str">
            <v>01989</v>
          </cell>
          <cell r="D337" t="str">
            <v>200</v>
          </cell>
          <cell r="E337" t="str">
            <v>2008-09-30</v>
          </cell>
          <cell r="F337" t="str">
            <v>BINGV32476</v>
          </cell>
          <cell r="G337">
            <v>3464.1</v>
          </cell>
          <cell r="H337">
            <v>350.76</v>
          </cell>
        </row>
        <row r="338">
          <cell r="A338" t="str">
            <v>481003</v>
          </cell>
          <cell r="B338" t="str">
            <v>01988</v>
          </cell>
          <cell r="D338" t="str">
            <v>200</v>
          </cell>
          <cell r="E338" t="str">
            <v>2008-09-30</v>
          </cell>
          <cell r="F338" t="str">
            <v>BINGV32476</v>
          </cell>
          <cell r="G338">
            <v>11163.07</v>
          </cell>
          <cell r="H338">
            <v>1130.26</v>
          </cell>
        </row>
        <row r="339">
          <cell r="A339" t="str">
            <v>481003</v>
          </cell>
          <cell r="B339" t="str">
            <v>01986</v>
          </cell>
          <cell r="D339" t="str">
            <v>200</v>
          </cell>
          <cell r="E339" t="str">
            <v>2008-09-30</v>
          </cell>
          <cell r="F339" t="str">
            <v>BINGV32476</v>
          </cell>
          <cell r="G339">
            <v>41370.44</v>
          </cell>
          <cell r="H339">
            <v>4181</v>
          </cell>
        </row>
        <row r="340">
          <cell r="A340" t="str">
            <v>481003</v>
          </cell>
          <cell r="B340" t="str">
            <v>01968</v>
          </cell>
          <cell r="D340" t="str">
            <v>200</v>
          </cell>
          <cell r="E340" t="str">
            <v>2008-09-30</v>
          </cell>
          <cell r="F340" t="str">
            <v>BINGV32476</v>
          </cell>
          <cell r="G340">
            <v>7313.35</v>
          </cell>
          <cell r="H340">
            <v>740.52</v>
          </cell>
        </row>
        <row r="341">
          <cell r="A341" t="str">
            <v>481003</v>
          </cell>
          <cell r="B341" t="str">
            <v>01974</v>
          </cell>
          <cell r="D341" t="str">
            <v>200</v>
          </cell>
          <cell r="E341" t="str">
            <v>2008-09-30</v>
          </cell>
          <cell r="F341" t="str">
            <v>BINGV32476</v>
          </cell>
          <cell r="G341">
            <v>22056.2</v>
          </cell>
          <cell r="H341">
            <v>2233.3200000000002</v>
          </cell>
        </row>
        <row r="342">
          <cell r="A342" t="str">
            <v>481003</v>
          </cell>
          <cell r="B342" t="str">
            <v>01992</v>
          </cell>
          <cell r="D342" t="str">
            <v>200</v>
          </cell>
          <cell r="E342" t="str">
            <v>2008-09-30</v>
          </cell>
          <cell r="F342" t="str">
            <v>BINGV32476</v>
          </cell>
          <cell r="G342">
            <v>32270.87</v>
          </cell>
          <cell r="H342">
            <v>3267.62</v>
          </cell>
        </row>
        <row r="343">
          <cell r="A343" t="str">
            <v>481003</v>
          </cell>
          <cell r="B343" t="str">
            <v>01979</v>
          </cell>
          <cell r="D343" t="str">
            <v>200</v>
          </cell>
          <cell r="E343" t="str">
            <v>2008-09-30</v>
          </cell>
          <cell r="F343" t="str">
            <v>BINGV32476</v>
          </cell>
          <cell r="G343">
            <v>17.41</v>
          </cell>
          <cell r="H343">
            <v>0.02</v>
          </cell>
        </row>
        <row r="344">
          <cell r="A344" t="str">
            <v>481003</v>
          </cell>
          <cell r="B344" t="str">
            <v>01994</v>
          </cell>
          <cell r="D344" t="str">
            <v>200</v>
          </cell>
          <cell r="E344" t="str">
            <v>2008-09-30</v>
          </cell>
          <cell r="F344" t="str">
            <v>BINGV32476</v>
          </cell>
          <cell r="G344">
            <v>1733.52</v>
          </cell>
          <cell r="H344">
            <v>175.35</v>
          </cell>
        </row>
        <row r="345">
          <cell r="A345" t="str">
            <v>481003</v>
          </cell>
          <cell r="B345" t="str">
            <v>01995</v>
          </cell>
          <cell r="D345" t="str">
            <v>200</v>
          </cell>
          <cell r="E345" t="str">
            <v>2008-09-30</v>
          </cell>
          <cell r="F345" t="str">
            <v>BINGV32476</v>
          </cell>
          <cell r="G345">
            <v>13709.42</v>
          </cell>
          <cell r="H345">
            <v>1388.16</v>
          </cell>
        </row>
        <row r="346">
          <cell r="A346" t="str">
            <v>481003</v>
          </cell>
          <cell r="B346" t="str">
            <v>01976</v>
          </cell>
          <cell r="D346" t="str">
            <v>200</v>
          </cell>
          <cell r="E346" t="str">
            <v>2008-09-30</v>
          </cell>
          <cell r="F346" t="str">
            <v>BINGV32476</v>
          </cell>
          <cell r="G346">
            <v>24643.31</v>
          </cell>
          <cell r="H346">
            <v>2495.2800000000002</v>
          </cell>
        </row>
        <row r="347">
          <cell r="A347" t="str">
            <v>481003</v>
          </cell>
          <cell r="B347" t="str">
            <v>01980</v>
          </cell>
          <cell r="D347" t="str">
            <v>200</v>
          </cell>
          <cell r="E347" t="str">
            <v>2008-09-30</v>
          </cell>
          <cell r="F347" t="str">
            <v>BINGV32476</v>
          </cell>
          <cell r="G347">
            <v>42.66</v>
          </cell>
          <cell r="H347">
            <v>4.32</v>
          </cell>
        </row>
        <row r="348">
          <cell r="A348" t="str">
            <v>481003</v>
          </cell>
          <cell r="B348" t="str">
            <v>01987</v>
          </cell>
          <cell r="D348" t="str">
            <v>200</v>
          </cell>
          <cell r="E348" t="str">
            <v>2008-09-30</v>
          </cell>
          <cell r="F348" t="str">
            <v>BINGV32476</v>
          </cell>
          <cell r="G348">
            <v>30116.959999999999</v>
          </cell>
          <cell r="H348">
            <v>3049.52</v>
          </cell>
        </row>
        <row r="349">
          <cell r="A349" t="str">
            <v>481003</v>
          </cell>
          <cell r="B349" t="str">
            <v>01978</v>
          </cell>
          <cell r="D349" t="str">
            <v>200</v>
          </cell>
          <cell r="E349" t="str">
            <v>2008-09-30</v>
          </cell>
          <cell r="F349" t="str">
            <v>BINGV32476</v>
          </cell>
          <cell r="G349">
            <v>14137.25</v>
          </cell>
          <cell r="H349">
            <v>1431.48</v>
          </cell>
        </row>
        <row r="350">
          <cell r="A350" t="str">
            <v>481003</v>
          </cell>
          <cell r="B350" t="str">
            <v>01970</v>
          </cell>
          <cell r="D350" t="str">
            <v>200</v>
          </cell>
          <cell r="E350" t="str">
            <v>2008-09-30</v>
          </cell>
          <cell r="F350" t="str">
            <v>BINGV32476</v>
          </cell>
          <cell r="G350">
            <v>3657.88</v>
          </cell>
          <cell r="H350">
            <v>370.37</v>
          </cell>
        </row>
        <row r="351">
          <cell r="A351" t="str">
            <v>481003</v>
          </cell>
          <cell r="B351" t="str">
            <v>01971</v>
          </cell>
          <cell r="D351" t="str">
            <v>200</v>
          </cell>
          <cell r="E351" t="str">
            <v>2008-09-30</v>
          </cell>
          <cell r="F351" t="str">
            <v>BINGV32476</v>
          </cell>
          <cell r="G351">
            <v>18480.09</v>
          </cell>
          <cell r="H351">
            <v>1871.16</v>
          </cell>
        </row>
        <row r="352">
          <cell r="A352" t="str">
            <v>481003</v>
          </cell>
          <cell r="B352" t="str">
            <v>01969</v>
          </cell>
          <cell r="D352" t="str">
            <v>200</v>
          </cell>
          <cell r="E352" t="str">
            <v>2008-09-30</v>
          </cell>
          <cell r="F352" t="str">
            <v>BINGV32476</v>
          </cell>
          <cell r="G352">
            <v>9954.98</v>
          </cell>
          <cell r="H352">
            <v>1008</v>
          </cell>
        </row>
        <row r="353">
          <cell r="A353" t="str">
            <v>481003</v>
          </cell>
          <cell r="B353" t="str">
            <v>01977</v>
          </cell>
          <cell r="D353" t="str">
            <v>200</v>
          </cell>
          <cell r="E353" t="str">
            <v>2008-09-30</v>
          </cell>
          <cell r="F353" t="str">
            <v>BINGV32476</v>
          </cell>
          <cell r="G353">
            <v>12866.81</v>
          </cell>
          <cell r="H353">
            <v>1302.8399999999999</v>
          </cell>
        </row>
        <row r="354">
          <cell r="A354" t="str">
            <v>481003</v>
          </cell>
          <cell r="B354" t="str">
            <v>01954</v>
          </cell>
          <cell r="D354" t="str">
            <v>200</v>
          </cell>
          <cell r="E354" t="str">
            <v>2008-09-30</v>
          </cell>
          <cell r="F354" t="str">
            <v>472B</v>
          </cell>
          <cell r="G354">
            <v>37.06</v>
          </cell>
          <cell r="H354">
            <v>5.1100000000000003</v>
          </cell>
        </row>
        <row r="355">
          <cell r="A355" t="str">
            <v>481003</v>
          </cell>
          <cell r="B355" t="str">
            <v>01991</v>
          </cell>
          <cell r="D355" t="str">
            <v>200</v>
          </cell>
          <cell r="E355" t="str">
            <v>2008-09-30</v>
          </cell>
          <cell r="F355" t="str">
            <v>472B</v>
          </cell>
          <cell r="G355">
            <v>63.78</v>
          </cell>
          <cell r="H355">
            <v>8.8000000000000007</v>
          </cell>
        </row>
        <row r="356">
          <cell r="A356" t="str">
            <v>481003</v>
          </cell>
          <cell r="B356" t="str">
            <v>01943</v>
          </cell>
          <cell r="D356" t="str">
            <v>200</v>
          </cell>
          <cell r="E356" t="str">
            <v>2008-09-30</v>
          </cell>
          <cell r="F356" t="str">
            <v>472B</v>
          </cell>
          <cell r="G356">
            <v>894.04</v>
          </cell>
          <cell r="H356">
            <v>167.03</v>
          </cell>
        </row>
        <row r="357">
          <cell r="A357" t="str">
            <v>481003</v>
          </cell>
          <cell r="B357" t="str">
            <v>01953</v>
          </cell>
          <cell r="D357" t="str">
            <v>200</v>
          </cell>
          <cell r="E357" t="str">
            <v>2008-09-30</v>
          </cell>
          <cell r="F357" t="str">
            <v>472B</v>
          </cell>
          <cell r="G357">
            <v>32443.46</v>
          </cell>
          <cell r="H357">
            <v>4443.04</v>
          </cell>
        </row>
        <row r="358">
          <cell r="A358" t="str">
            <v>481003</v>
          </cell>
          <cell r="B358" t="str">
            <v>01990</v>
          </cell>
          <cell r="D358" t="str">
            <v>200</v>
          </cell>
          <cell r="E358" t="str">
            <v>2008-09-30</v>
          </cell>
          <cell r="F358" t="str">
            <v>470</v>
          </cell>
          <cell r="G358">
            <v>10666.65</v>
          </cell>
          <cell r="H358">
            <v>1463.09</v>
          </cell>
        </row>
        <row r="359">
          <cell r="A359" t="str">
            <v>481003</v>
          </cell>
          <cell r="B359" t="str">
            <v>01953</v>
          </cell>
          <cell r="D359" t="str">
            <v>200</v>
          </cell>
          <cell r="E359" t="str">
            <v>2008-09-30</v>
          </cell>
          <cell r="F359" t="str">
            <v>470</v>
          </cell>
          <cell r="G359">
            <v>29982.49</v>
          </cell>
          <cell r="H359">
            <v>4111.7</v>
          </cell>
        </row>
        <row r="360">
          <cell r="A360" t="str">
            <v>481003</v>
          </cell>
          <cell r="B360" t="str">
            <v>01986</v>
          </cell>
          <cell r="D360" t="str">
            <v>200</v>
          </cell>
          <cell r="E360" t="str">
            <v>2008-09-30</v>
          </cell>
          <cell r="F360" t="str">
            <v>470</v>
          </cell>
          <cell r="G360">
            <v>11677.7</v>
          </cell>
          <cell r="H360">
            <v>1601.5</v>
          </cell>
        </row>
        <row r="361">
          <cell r="A361" t="str">
            <v>481003</v>
          </cell>
          <cell r="B361" t="str">
            <v>01974</v>
          </cell>
          <cell r="D361" t="str">
            <v>200</v>
          </cell>
          <cell r="E361" t="str">
            <v>2008-09-30</v>
          </cell>
          <cell r="F361" t="str">
            <v>470</v>
          </cell>
          <cell r="G361">
            <v>22843.01</v>
          </cell>
          <cell r="H361">
            <v>3132.55</v>
          </cell>
        </row>
        <row r="362">
          <cell r="A362" t="str">
            <v>481003</v>
          </cell>
          <cell r="B362" t="str">
            <v>01988</v>
          </cell>
          <cell r="D362" t="str">
            <v>200</v>
          </cell>
          <cell r="E362" t="str">
            <v>2008-09-30</v>
          </cell>
          <cell r="F362" t="str">
            <v>470</v>
          </cell>
          <cell r="G362">
            <v>6382.86</v>
          </cell>
          <cell r="H362">
            <v>875.21</v>
          </cell>
        </row>
        <row r="363">
          <cell r="A363" t="str">
            <v>481003</v>
          </cell>
          <cell r="B363" t="str">
            <v>01993</v>
          </cell>
          <cell r="D363" t="str">
            <v>200</v>
          </cell>
          <cell r="E363" t="str">
            <v>2008-09-30</v>
          </cell>
          <cell r="F363" t="str">
            <v>470</v>
          </cell>
          <cell r="G363">
            <v>5934.55</v>
          </cell>
          <cell r="H363">
            <v>581.33000000000004</v>
          </cell>
        </row>
        <row r="364">
          <cell r="A364" t="str">
            <v>481003</v>
          </cell>
          <cell r="B364" t="str">
            <v>01943</v>
          </cell>
          <cell r="D364" t="str">
            <v>200</v>
          </cell>
          <cell r="E364" t="str">
            <v>2008-09-30</v>
          </cell>
          <cell r="F364" t="str">
            <v>470</v>
          </cell>
          <cell r="G364">
            <v>549.95000000000005</v>
          </cell>
          <cell r="H364">
            <v>52.62</v>
          </cell>
        </row>
        <row r="365">
          <cell r="A365" t="str">
            <v>481003</v>
          </cell>
          <cell r="B365" t="str">
            <v>01943</v>
          </cell>
          <cell r="D365" t="str">
            <v>200</v>
          </cell>
          <cell r="E365" t="str">
            <v>2008-09-30</v>
          </cell>
          <cell r="F365" t="str">
            <v>549A</v>
          </cell>
          <cell r="G365">
            <v>-524.70000000000005</v>
          </cell>
          <cell r="H365">
            <v>0</v>
          </cell>
        </row>
        <row r="366">
          <cell r="A366" t="str">
            <v>481003</v>
          </cell>
          <cell r="B366" t="str">
            <v>01990</v>
          </cell>
          <cell r="D366" t="str">
            <v>200</v>
          </cell>
          <cell r="E366" t="str">
            <v>2008-09-30</v>
          </cell>
          <cell r="F366" t="str">
            <v>549A</v>
          </cell>
          <cell r="G366">
            <v>-2231.21</v>
          </cell>
          <cell r="H366">
            <v>0</v>
          </cell>
        </row>
        <row r="367">
          <cell r="A367" t="str">
            <v>481003</v>
          </cell>
          <cell r="B367" t="str">
            <v>01991</v>
          </cell>
          <cell r="D367" t="str">
            <v>200</v>
          </cell>
          <cell r="E367" t="str">
            <v>2008-09-30</v>
          </cell>
          <cell r="F367" t="str">
            <v>549A</v>
          </cell>
          <cell r="G367">
            <v>-13.42</v>
          </cell>
          <cell r="H367">
            <v>0</v>
          </cell>
        </row>
        <row r="368">
          <cell r="A368" t="str">
            <v>481003</v>
          </cell>
          <cell r="B368" t="str">
            <v>01993</v>
          </cell>
          <cell r="D368" t="str">
            <v>200</v>
          </cell>
          <cell r="E368" t="str">
            <v>2008-09-30</v>
          </cell>
          <cell r="F368" t="str">
            <v>549A</v>
          </cell>
          <cell r="G368">
            <v>-886.53</v>
          </cell>
          <cell r="H368">
            <v>0</v>
          </cell>
        </row>
        <row r="369">
          <cell r="A369" t="str">
            <v>481003</v>
          </cell>
          <cell r="B369" t="str">
            <v>01954</v>
          </cell>
          <cell r="D369" t="str">
            <v>200</v>
          </cell>
          <cell r="E369" t="str">
            <v>2008-09-30</v>
          </cell>
          <cell r="F369" t="str">
            <v>549A</v>
          </cell>
          <cell r="G369">
            <v>-7.79</v>
          </cell>
          <cell r="H369">
            <v>0</v>
          </cell>
        </row>
        <row r="370">
          <cell r="A370" t="str">
            <v>481003</v>
          </cell>
          <cell r="B370" t="str">
            <v>01953</v>
          </cell>
          <cell r="D370" t="str">
            <v>200</v>
          </cell>
          <cell r="E370" t="str">
            <v>2008-09-30</v>
          </cell>
          <cell r="F370" t="str">
            <v>549A</v>
          </cell>
          <cell r="G370">
            <v>-13045.98</v>
          </cell>
          <cell r="H370">
            <v>0</v>
          </cell>
        </row>
        <row r="371">
          <cell r="A371" t="str">
            <v>481003</v>
          </cell>
          <cell r="B371" t="str">
            <v>01986</v>
          </cell>
          <cell r="D371" t="str">
            <v>200</v>
          </cell>
          <cell r="E371" t="str">
            <v>2008-09-30</v>
          </cell>
          <cell r="F371" t="str">
            <v>549A</v>
          </cell>
          <cell r="G371">
            <v>-2442.29</v>
          </cell>
          <cell r="H371">
            <v>0</v>
          </cell>
        </row>
        <row r="372">
          <cell r="A372" t="str">
            <v>481003</v>
          </cell>
          <cell r="B372" t="str">
            <v>01959</v>
          </cell>
          <cell r="D372" t="str">
            <v>200</v>
          </cell>
          <cell r="E372" t="str">
            <v>2008-09-30</v>
          </cell>
          <cell r="F372" t="str">
            <v>549A</v>
          </cell>
          <cell r="G372">
            <v>0</v>
          </cell>
          <cell r="H372">
            <v>0</v>
          </cell>
        </row>
        <row r="373">
          <cell r="A373" t="str">
            <v>481003</v>
          </cell>
          <cell r="B373" t="str">
            <v>01968</v>
          </cell>
          <cell r="D373" t="str">
            <v>200</v>
          </cell>
          <cell r="E373" t="str">
            <v>2008-10-31</v>
          </cell>
          <cell r="F373" t="str">
            <v>BINGV32977</v>
          </cell>
          <cell r="G373">
            <v>6366.01</v>
          </cell>
          <cell r="H373">
            <v>640.67999999999995</v>
          </cell>
        </row>
        <row r="374">
          <cell r="A374" t="str">
            <v>481003</v>
          </cell>
          <cell r="B374" t="str">
            <v>01979</v>
          </cell>
          <cell r="D374" t="str">
            <v>200</v>
          </cell>
          <cell r="E374" t="str">
            <v>2008-10-31</v>
          </cell>
          <cell r="F374" t="str">
            <v>BINGV32977</v>
          </cell>
          <cell r="G374">
            <v>446.26</v>
          </cell>
          <cell r="H374">
            <v>44.91</v>
          </cell>
        </row>
        <row r="375">
          <cell r="A375" t="str">
            <v>481003</v>
          </cell>
          <cell r="B375" t="str">
            <v>01994</v>
          </cell>
          <cell r="D375" t="str">
            <v>200</v>
          </cell>
          <cell r="E375" t="str">
            <v>2008-10-31</v>
          </cell>
          <cell r="F375" t="str">
            <v>BINGV32977</v>
          </cell>
          <cell r="G375">
            <v>24102.19</v>
          </cell>
          <cell r="H375">
            <v>2425.66</v>
          </cell>
        </row>
        <row r="376">
          <cell r="A376" t="str">
            <v>481003</v>
          </cell>
          <cell r="B376" t="str">
            <v>01995</v>
          </cell>
          <cell r="D376" t="str">
            <v>200</v>
          </cell>
          <cell r="E376" t="str">
            <v>2008-10-31</v>
          </cell>
          <cell r="F376" t="str">
            <v>BINGV32977</v>
          </cell>
          <cell r="G376">
            <v>12209.67</v>
          </cell>
          <cell r="H376">
            <v>1228.8</v>
          </cell>
        </row>
        <row r="377">
          <cell r="A377" t="str">
            <v>481003</v>
          </cell>
          <cell r="B377" t="str">
            <v>01976</v>
          </cell>
          <cell r="D377" t="str">
            <v>200</v>
          </cell>
          <cell r="E377" t="str">
            <v>2008-10-31</v>
          </cell>
          <cell r="F377" t="str">
            <v>BINGV32977</v>
          </cell>
          <cell r="G377">
            <v>20371.48</v>
          </cell>
          <cell r="H377">
            <v>2050.1999999999998</v>
          </cell>
        </row>
        <row r="378">
          <cell r="A378" t="str">
            <v>481003</v>
          </cell>
          <cell r="B378" t="str">
            <v>01980</v>
          </cell>
          <cell r="D378" t="str">
            <v>200</v>
          </cell>
          <cell r="E378" t="str">
            <v>2008-10-31</v>
          </cell>
          <cell r="F378" t="str">
            <v>BINGV32977</v>
          </cell>
          <cell r="G378">
            <v>72.73</v>
          </cell>
          <cell r="H378">
            <v>7.32</v>
          </cell>
        </row>
        <row r="379">
          <cell r="A379" t="str">
            <v>481003</v>
          </cell>
          <cell r="B379" t="str">
            <v>01987</v>
          </cell>
          <cell r="D379" t="str">
            <v>200</v>
          </cell>
          <cell r="E379" t="str">
            <v>2008-10-31</v>
          </cell>
          <cell r="F379" t="str">
            <v>BINGV32977</v>
          </cell>
          <cell r="G379">
            <v>31198.28</v>
          </cell>
          <cell r="H379">
            <v>3139.81</v>
          </cell>
        </row>
        <row r="380">
          <cell r="A380" t="str">
            <v>481003</v>
          </cell>
          <cell r="B380" t="str">
            <v>01978</v>
          </cell>
          <cell r="D380" t="str">
            <v>200</v>
          </cell>
          <cell r="E380" t="str">
            <v>2008-10-31</v>
          </cell>
          <cell r="F380" t="str">
            <v>BINGV32977</v>
          </cell>
          <cell r="G380">
            <v>12506.67</v>
          </cell>
          <cell r="H380">
            <v>1258.68</v>
          </cell>
        </row>
        <row r="381">
          <cell r="A381" t="str">
            <v>481003</v>
          </cell>
          <cell r="B381" t="str">
            <v>01970</v>
          </cell>
          <cell r="D381" t="str">
            <v>200</v>
          </cell>
          <cell r="E381" t="str">
            <v>2008-10-31</v>
          </cell>
          <cell r="F381" t="str">
            <v>BINGV32977</v>
          </cell>
          <cell r="G381">
            <v>4535.49</v>
          </cell>
          <cell r="H381">
            <v>456.46</v>
          </cell>
        </row>
        <row r="382">
          <cell r="A382" t="str">
            <v>481003</v>
          </cell>
          <cell r="B382" t="str">
            <v>01971</v>
          </cell>
          <cell r="D382" t="str">
            <v>200</v>
          </cell>
          <cell r="E382" t="str">
            <v>2008-10-31</v>
          </cell>
          <cell r="F382" t="str">
            <v>BINGV32977</v>
          </cell>
          <cell r="G382">
            <v>19453.37</v>
          </cell>
          <cell r="H382">
            <v>1957.8</v>
          </cell>
        </row>
        <row r="383">
          <cell r="A383" t="str">
            <v>481003</v>
          </cell>
          <cell r="B383" t="str">
            <v>01969</v>
          </cell>
          <cell r="D383" t="str">
            <v>200</v>
          </cell>
          <cell r="E383" t="str">
            <v>2008-10-31</v>
          </cell>
          <cell r="F383" t="str">
            <v>BINGV32977</v>
          </cell>
          <cell r="G383">
            <v>8602.89</v>
          </cell>
          <cell r="H383">
            <v>865.8</v>
          </cell>
        </row>
        <row r="384">
          <cell r="A384" t="str">
            <v>481003</v>
          </cell>
          <cell r="B384" t="str">
            <v>01974</v>
          </cell>
          <cell r="D384" t="str">
            <v>200</v>
          </cell>
          <cell r="E384" t="str">
            <v>2008-10-31</v>
          </cell>
          <cell r="F384" t="str">
            <v>BINGV32977</v>
          </cell>
          <cell r="G384">
            <v>-22056.2</v>
          </cell>
          <cell r="H384">
            <v>-2233.3200000000002</v>
          </cell>
        </row>
        <row r="385">
          <cell r="A385" t="str">
            <v>481003</v>
          </cell>
          <cell r="B385" t="str">
            <v>01977</v>
          </cell>
          <cell r="D385" t="str">
            <v>200</v>
          </cell>
          <cell r="E385" t="str">
            <v>2008-10-31</v>
          </cell>
          <cell r="F385" t="str">
            <v>BINGV32977</v>
          </cell>
          <cell r="G385">
            <v>14724.47</v>
          </cell>
          <cell r="H385">
            <v>1481.88</v>
          </cell>
        </row>
        <row r="386">
          <cell r="A386" t="str">
            <v>481003</v>
          </cell>
          <cell r="B386" t="str">
            <v>01992</v>
          </cell>
          <cell r="D386" t="str">
            <v>200</v>
          </cell>
          <cell r="E386" t="str">
            <v>2008-10-31</v>
          </cell>
          <cell r="F386" t="str">
            <v>BINGV32977</v>
          </cell>
          <cell r="G386">
            <v>32415.46</v>
          </cell>
          <cell r="H386">
            <v>3262.31</v>
          </cell>
        </row>
        <row r="387">
          <cell r="A387" t="str">
            <v>481003</v>
          </cell>
          <cell r="B387" t="str">
            <v>01973</v>
          </cell>
          <cell r="D387" t="str">
            <v>200</v>
          </cell>
          <cell r="E387" t="str">
            <v>2008-10-31</v>
          </cell>
          <cell r="F387" t="str">
            <v>BINGV32977</v>
          </cell>
          <cell r="G387">
            <v>45246.43</v>
          </cell>
          <cell r="H387">
            <v>4567.2</v>
          </cell>
        </row>
        <row r="388">
          <cell r="A388" t="str">
            <v>481003</v>
          </cell>
          <cell r="B388" t="str">
            <v>01952</v>
          </cell>
          <cell r="D388" t="str">
            <v>200</v>
          </cell>
          <cell r="E388" t="str">
            <v>2008-10-31</v>
          </cell>
          <cell r="F388" t="str">
            <v>BINGV32977</v>
          </cell>
          <cell r="G388">
            <v>42518.53</v>
          </cell>
          <cell r="H388">
            <v>4279.09</v>
          </cell>
        </row>
        <row r="389">
          <cell r="A389" t="str">
            <v>481003</v>
          </cell>
          <cell r="B389" t="str">
            <v>01989</v>
          </cell>
          <cell r="D389" t="str">
            <v>200</v>
          </cell>
          <cell r="E389" t="str">
            <v>2008-10-31</v>
          </cell>
          <cell r="F389" t="str">
            <v>BINGV32977</v>
          </cell>
          <cell r="G389">
            <v>2829.48</v>
          </cell>
          <cell r="H389">
            <v>284.76</v>
          </cell>
        </row>
        <row r="390">
          <cell r="A390" t="str">
            <v>481003</v>
          </cell>
          <cell r="B390" t="str">
            <v>01988</v>
          </cell>
          <cell r="D390" t="str">
            <v>200</v>
          </cell>
          <cell r="E390" t="str">
            <v>2008-10-31</v>
          </cell>
          <cell r="F390" t="str">
            <v>BINGV32977</v>
          </cell>
          <cell r="G390">
            <v>9781.06</v>
          </cell>
          <cell r="H390">
            <v>984.37</v>
          </cell>
        </row>
        <row r="391">
          <cell r="A391" t="str">
            <v>481003</v>
          </cell>
          <cell r="B391" t="str">
            <v>01986</v>
          </cell>
          <cell r="D391" t="str">
            <v>200</v>
          </cell>
          <cell r="E391" t="str">
            <v>2008-10-31</v>
          </cell>
          <cell r="F391" t="str">
            <v>BINGV32977</v>
          </cell>
          <cell r="G391">
            <v>46987.34</v>
          </cell>
          <cell r="H391">
            <v>4729</v>
          </cell>
        </row>
        <row r="392">
          <cell r="A392" t="str">
            <v>481003</v>
          </cell>
          <cell r="B392" t="str">
            <v>01953</v>
          </cell>
          <cell r="D392" t="str">
            <v>200</v>
          </cell>
          <cell r="E392" t="str">
            <v>2008-10-31</v>
          </cell>
          <cell r="F392" t="str">
            <v>470</v>
          </cell>
          <cell r="G392">
            <v>21455.45</v>
          </cell>
          <cell r="H392">
            <v>2942.33</v>
          </cell>
        </row>
        <row r="393">
          <cell r="A393" t="str">
            <v>481003</v>
          </cell>
          <cell r="B393" t="str">
            <v>01990</v>
          </cell>
          <cell r="D393" t="str">
            <v>200</v>
          </cell>
          <cell r="E393" t="str">
            <v>2008-10-31</v>
          </cell>
          <cell r="F393" t="str">
            <v>470</v>
          </cell>
          <cell r="G393">
            <v>10195.92</v>
          </cell>
          <cell r="H393">
            <v>1398.29</v>
          </cell>
        </row>
        <row r="394">
          <cell r="A394" t="str">
            <v>481003</v>
          </cell>
          <cell r="B394" t="str">
            <v>01986</v>
          </cell>
          <cell r="D394" t="str">
            <v>200</v>
          </cell>
          <cell r="E394" t="str">
            <v>2008-10-31</v>
          </cell>
          <cell r="F394" t="str">
            <v>470</v>
          </cell>
          <cell r="G394">
            <v>12280.44</v>
          </cell>
          <cell r="H394">
            <v>1684.14</v>
          </cell>
        </row>
        <row r="395">
          <cell r="A395" t="str">
            <v>481003</v>
          </cell>
          <cell r="B395" t="str">
            <v>01974</v>
          </cell>
          <cell r="D395" t="str">
            <v>200</v>
          </cell>
          <cell r="E395" t="str">
            <v>2008-10-31</v>
          </cell>
          <cell r="F395" t="str">
            <v>470</v>
          </cell>
          <cell r="G395">
            <v>25679.43</v>
          </cell>
          <cell r="H395">
            <v>3521.55</v>
          </cell>
        </row>
        <row r="396">
          <cell r="A396" t="str">
            <v>481003</v>
          </cell>
          <cell r="B396" t="str">
            <v>01988</v>
          </cell>
          <cell r="D396" t="str">
            <v>200</v>
          </cell>
          <cell r="E396" t="str">
            <v>2008-10-31</v>
          </cell>
          <cell r="F396" t="str">
            <v>470</v>
          </cell>
          <cell r="G396">
            <v>6481.25</v>
          </cell>
          <cell r="H396">
            <v>888.76</v>
          </cell>
        </row>
        <row r="397">
          <cell r="A397" t="str">
            <v>481003</v>
          </cell>
          <cell r="B397" t="str">
            <v>01993</v>
          </cell>
          <cell r="D397" t="str">
            <v>200</v>
          </cell>
          <cell r="E397" t="str">
            <v>2008-10-31</v>
          </cell>
          <cell r="F397" t="str">
            <v>470</v>
          </cell>
          <cell r="G397">
            <v>4237.76</v>
          </cell>
          <cell r="H397">
            <v>415.13</v>
          </cell>
        </row>
        <row r="398">
          <cell r="A398" t="str">
            <v>481003</v>
          </cell>
          <cell r="B398" t="str">
            <v>01943</v>
          </cell>
          <cell r="D398" t="str">
            <v>200</v>
          </cell>
          <cell r="E398" t="str">
            <v>2008-10-31</v>
          </cell>
          <cell r="F398" t="str">
            <v>470</v>
          </cell>
          <cell r="G398">
            <v>1842.14</v>
          </cell>
          <cell r="H398">
            <v>176.29</v>
          </cell>
        </row>
        <row r="399">
          <cell r="A399" t="str">
            <v>481003</v>
          </cell>
          <cell r="B399" t="str">
            <v>01991</v>
          </cell>
          <cell r="D399" t="str">
            <v>200</v>
          </cell>
          <cell r="E399" t="str">
            <v>2008-10-31</v>
          </cell>
          <cell r="F399" t="str">
            <v>472B</v>
          </cell>
          <cell r="G399">
            <v>13.5</v>
          </cell>
          <cell r="H399">
            <v>1.87</v>
          </cell>
        </row>
        <row r="400">
          <cell r="A400" t="str">
            <v>481003</v>
          </cell>
          <cell r="B400" t="str">
            <v>01959</v>
          </cell>
          <cell r="D400" t="str">
            <v>200</v>
          </cell>
          <cell r="E400" t="str">
            <v>2008-10-31</v>
          </cell>
          <cell r="F400" t="str">
            <v>549A</v>
          </cell>
          <cell r="G400">
            <v>0</v>
          </cell>
          <cell r="H400">
            <v>0</v>
          </cell>
        </row>
        <row r="401">
          <cell r="A401" t="str">
            <v>481003</v>
          </cell>
          <cell r="B401" t="str">
            <v>01943</v>
          </cell>
          <cell r="D401" t="str">
            <v>200</v>
          </cell>
          <cell r="E401" t="str">
            <v>2008-10-31</v>
          </cell>
          <cell r="F401" t="str">
            <v>549A</v>
          </cell>
          <cell r="G401">
            <v>-1138.3599999999999</v>
          </cell>
          <cell r="H401">
            <v>0</v>
          </cell>
        </row>
        <row r="402">
          <cell r="A402" t="str">
            <v>481003</v>
          </cell>
          <cell r="B402" t="str">
            <v>01990</v>
          </cell>
          <cell r="D402" t="str">
            <v>200</v>
          </cell>
          <cell r="E402" t="str">
            <v>2008-10-31</v>
          </cell>
          <cell r="F402" t="str">
            <v>549A</v>
          </cell>
          <cell r="G402">
            <v>-2132.39</v>
          </cell>
          <cell r="H402">
            <v>0</v>
          </cell>
        </row>
        <row r="403">
          <cell r="A403" t="str">
            <v>481003</v>
          </cell>
          <cell r="B403" t="str">
            <v>01991</v>
          </cell>
          <cell r="D403" t="str">
            <v>200</v>
          </cell>
          <cell r="E403" t="str">
            <v>2008-10-31</v>
          </cell>
          <cell r="F403" t="str">
            <v>549A</v>
          </cell>
          <cell r="G403">
            <v>-2.85</v>
          </cell>
          <cell r="H403">
            <v>0</v>
          </cell>
        </row>
        <row r="404">
          <cell r="A404" t="str">
            <v>481003</v>
          </cell>
          <cell r="B404" t="str">
            <v>01993</v>
          </cell>
          <cell r="D404" t="str">
            <v>200</v>
          </cell>
          <cell r="E404" t="str">
            <v>2008-10-31</v>
          </cell>
          <cell r="F404" t="str">
            <v>549A</v>
          </cell>
          <cell r="G404">
            <v>-633.07000000000005</v>
          </cell>
          <cell r="H404">
            <v>0</v>
          </cell>
        </row>
        <row r="405">
          <cell r="A405" t="str">
            <v>481003</v>
          </cell>
          <cell r="B405" t="str">
            <v>01954</v>
          </cell>
          <cell r="D405" t="str">
            <v>200</v>
          </cell>
          <cell r="E405" t="str">
            <v>2008-10-31</v>
          </cell>
          <cell r="F405" t="str">
            <v>549A</v>
          </cell>
          <cell r="G405">
            <v>-7.64</v>
          </cell>
          <cell r="H405">
            <v>0</v>
          </cell>
        </row>
        <row r="406">
          <cell r="A406" t="str">
            <v>481003</v>
          </cell>
          <cell r="B406" t="str">
            <v>01953</v>
          </cell>
          <cell r="D406" t="str">
            <v>200</v>
          </cell>
          <cell r="E406" t="str">
            <v>2008-10-31</v>
          </cell>
          <cell r="F406" t="str">
            <v>549A</v>
          </cell>
          <cell r="G406">
            <v>-10476.66</v>
          </cell>
          <cell r="H406">
            <v>0</v>
          </cell>
        </row>
        <row r="407">
          <cell r="A407" t="str">
            <v>481003</v>
          </cell>
          <cell r="B407" t="str">
            <v>01986</v>
          </cell>
          <cell r="D407" t="str">
            <v>200</v>
          </cell>
          <cell r="E407" t="str">
            <v>2008-10-31</v>
          </cell>
          <cell r="F407" t="str">
            <v>549A</v>
          </cell>
          <cell r="G407">
            <v>-2568.31</v>
          </cell>
          <cell r="H407">
            <v>0</v>
          </cell>
        </row>
        <row r="408">
          <cell r="A408" t="str">
            <v>481003</v>
          </cell>
          <cell r="B408" t="str">
            <v>01943</v>
          </cell>
          <cell r="D408" t="str">
            <v>200</v>
          </cell>
          <cell r="E408" t="str">
            <v>2008-10-31</v>
          </cell>
          <cell r="F408" t="str">
            <v>472B</v>
          </cell>
          <cell r="G408">
            <v>1606.92</v>
          </cell>
          <cell r="H408">
            <v>300.25</v>
          </cell>
        </row>
        <row r="409">
          <cell r="A409" t="str">
            <v>481003</v>
          </cell>
          <cell r="B409" t="str">
            <v>01953</v>
          </cell>
          <cell r="D409" t="str">
            <v>200</v>
          </cell>
          <cell r="E409" t="str">
            <v>2008-10-31</v>
          </cell>
          <cell r="F409" t="str">
            <v>472B</v>
          </cell>
          <cell r="G409">
            <v>28679.83</v>
          </cell>
          <cell r="H409">
            <v>3927.61</v>
          </cell>
        </row>
        <row r="410">
          <cell r="A410" t="str">
            <v>481003</v>
          </cell>
          <cell r="B410" t="str">
            <v>01954</v>
          </cell>
          <cell r="D410" t="str">
            <v>200</v>
          </cell>
          <cell r="E410" t="str">
            <v>2008-10-31</v>
          </cell>
          <cell r="F410" t="str">
            <v>472B</v>
          </cell>
          <cell r="G410">
            <v>36.31</v>
          </cell>
          <cell r="H410">
            <v>5.01</v>
          </cell>
        </row>
        <row r="411">
          <cell r="A411" t="str">
            <v>481003</v>
          </cell>
          <cell r="B411" t="str">
            <v>01959</v>
          </cell>
          <cell r="D411" t="str">
            <v>200</v>
          </cell>
          <cell r="E411" t="str">
            <v>2008-11-30</v>
          </cell>
          <cell r="F411" t="str">
            <v>549A</v>
          </cell>
          <cell r="G411">
            <v>0</v>
          </cell>
          <cell r="H411">
            <v>0</v>
          </cell>
        </row>
        <row r="412">
          <cell r="A412" t="str">
            <v>481003</v>
          </cell>
          <cell r="B412" t="str">
            <v>01943</v>
          </cell>
          <cell r="D412" t="str">
            <v>200</v>
          </cell>
          <cell r="E412" t="str">
            <v>2008-11-30</v>
          </cell>
          <cell r="F412" t="str">
            <v>549A</v>
          </cell>
          <cell r="G412">
            <v>-910.49</v>
          </cell>
          <cell r="H412">
            <v>0</v>
          </cell>
        </row>
        <row r="413">
          <cell r="A413" t="str">
            <v>481003</v>
          </cell>
          <cell r="B413" t="str">
            <v>01990</v>
          </cell>
          <cell r="D413" t="str">
            <v>200</v>
          </cell>
          <cell r="E413" t="str">
            <v>2008-11-30</v>
          </cell>
          <cell r="F413" t="str">
            <v>549A</v>
          </cell>
          <cell r="G413">
            <v>-1813.84</v>
          </cell>
          <cell r="H413">
            <v>0</v>
          </cell>
        </row>
        <row r="414">
          <cell r="A414" t="str">
            <v>481003</v>
          </cell>
          <cell r="B414" t="str">
            <v>01991</v>
          </cell>
          <cell r="D414" t="str">
            <v>200</v>
          </cell>
          <cell r="E414" t="str">
            <v>2008-11-30</v>
          </cell>
          <cell r="F414" t="str">
            <v>549A</v>
          </cell>
          <cell r="G414">
            <v>0</v>
          </cell>
          <cell r="H414">
            <v>0</v>
          </cell>
        </row>
        <row r="415">
          <cell r="A415" t="str">
            <v>481003</v>
          </cell>
          <cell r="B415" t="str">
            <v>01993</v>
          </cell>
          <cell r="D415" t="str">
            <v>200</v>
          </cell>
          <cell r="E415" t="str">
            <v>2008-11-30</v>
          </cell>
          <cell r="F415" t="str">
            <v>549A</v>
          </cell>
          <cell r="G415">
            <v>-603.58000000000004</v>
          </cell>
          <cell r="H415">
            <v>0</v>
          </cell>
        </row>
        <row r="416">
          <cell r="A416" t="str">
            <v>481003</v>
          </cell>
          <cell r="B416" t="str">
            <v>01954</v>
          </cell>
          <cell r="D416" t="str">
            <v>200</v>
          </cell>
          <cell r="E416" t="str">
            <v>2008-11-30</v>
          </cell>
          <cell r="F416" t="str">
            <v>549A</v>
          </cell>
          <cell r="G416">
            <v>-6.83</v>
          </cell>
          <cell r="H416">
            <v>0</v>
          </cell>
        </row>
        <row r="417">
          <cell r="A417" t="str">
            <v>481003</v>
          </cell>
          <cell r="B417" t="str">
            <v>01953</v>
          </cell>
          <cell r="D417" t="str">
            <v>200</v>
          </cell>
          <cell r="E417" t="str">
            <v>2008-11-30</v>
          </cell>
          <cell r="F417" t="str">
            <v>549A</v>
          </cell>
          <cell r="G417">
            <v>-8392.17</v>
          </cell>
          <cell r="H417">
            <v>0</v>
          </cell>
        </row>
        <row r="418">
          <cell r="A418" t="str">
            <v>481003</v>
          </cell>
          <cell r="B418" t="str">
            <v>01986</v>
          </cell>
          <cell r="D418" t="str">
            <v>200</v>
          </cell>
          <cell r="E418" t="str">
            <v>2008-11-30</v>
          </cell>
          <cell r="F418" t="str">
            <v>549A</v>
          </cell>
          <cell r="G418">
            <v>-2758.73</v>
          </cell>
          <cell r="H418">
            <v>0</v>
          </cell>
        </row>
        <row r="419">
          <cell r="A419" t="str">
            <v>481003</v>
          </cell>
          <cell r="B419" t="str">
            <v>01953</v>
          </cell>
          <cell r="D419" t="str">
            <v>200</v>
          </cell>
          <cell r="E419" t="str">
            <v>2008-11-30</v>
          </cell>
          <cell r="F419" t="str">
            <v>470</v>
          </cell>
          <cell r="G419">
            <v>15840.52</v>
          </cell>
          <cell r="H419">
            <v>2304.2800000000002</v>
          </cell>
        </row>
        <row r="420">
          <cell r="A420" t="str">
            <v>481003</v>
          </cell>
          <cell r="B420" t="str">
            <v>01990</v>
          </cell>
          <cell r="D420" t="str">
            <v>200</v>
          </cell>
          <cell r="E420" t="str">
            <v>2008-11-30</v>
          </cell>
          <cell r="F420" t="str">
            <v>470</v>
          </cell>
          <cell r="G420">
            <v>8146.56</v>
          </cell>
          <cell r="H420">
            <v>1189.4000000000001</v>
          </cell>
        </row>
        <row r="421">
          <cell r="A421" t="str">
            <v>481003</v>
          </cell>
          <cell r="B421" t="str">
            <v>01986</v>
          </cell>
          <cell r="D421" t="str">
            <v>200</v>
          </cell>
          <cell r="E421" t="str">
            <v>2008-11-30</v>
          </cell>
          <cell r="F421" t="str">
            <v>470</v>
          </cell>
          <cell r="G421">
            <v>12391.6</v>
          </cell>
          <cell r="H421">
            <v>1809.02</v>
          </cell>
        </row>
        <row r="422">
          <cell r="A422" t="str">
            <v>481003</v>
          </cell>
          <cell r="B422" t="str">
            <v>01974</v>
          </cell>
          <cell r="D422" t="str">
            <v>200</v>
          </cell>
          <cell r="E422" t="str">
            <v>2008-11-30</v>
          </cell>
          <cell r="F422" t="str">
            <v>470</v>
          </cell>
          <cell r="G422">
            <v>23948.7</v>
          </cell>
          <cell r="H422">
            <v>3491.59</v>
          </cell>
        </row>
        <row r="423">
          <cell r="A423" t="str">
            <v>481003</v>
          </cell>
          <cell r="B423" t="str">
            <v>01988</v>
          </cell>
          <cell r="D423" t="str">
            <v>200</v>
          </cell>
          <cell r="E423" t="str">
            <v>2008-11-30</v>
          </cell>
          <cell r="F423" t="str">
            <v>470</v>
          </cell>
          <cell r="G423">
            <v>4416.57</v>
          </cell>
          <cell r="H423">
            <v>634.39</v>
          </cell>
        </row>
        <row r="424">
          <cell r="A424" t="str">
            <v>481003</v>
          </cell>
          <cell r="B424" t="str">
            <v>01993</v>
          </cell>
          <cell r="D424" t="str">
            <v>200</v>
          </cell>
          <cell r="E424" t="str">
            <v>2008-11-30</v>
          </cell>
          <cell r="F424" t="str">
            <v>470</v>
          </cell>
          <cell r="G424">
            <v>3152.47</v>
          </cell>
          <cell r="H424">
            <v>395.79</v>
          </cell>
        </row>
        <row r="425">
          <cell r="A425" t="str">
            <v>481003</v>
          </cell>
          <cell r="B425" t="str">
            <v>01943</v>
          </cell>
          <cell r="D425" t="str">
            <v>200</v>
          </cell>
          <cell r="E425" t="str">
            <v>2008-11-30</v>
          </cell>
          <cell r="F425" t="str">
            <v>470</v>
          </cell>
          <cell r="G425">
            <v>1238.6600000000001</v>
          </cell>
          <cell r="H425">
            <v>143.46</v>
          </cell>
        </row>
        <row r="426">
          <cell r="A426" t="str">
            <v>481003</v>
          </cell>
          <cell r="B426" t="str">
            <v>01973</v>
          </cell>
          <cell r="D426" t="str">
            <v>200</v>
          </cell>
          <cell r="E426" t="str">
            <v>2008-11-30</v>
          </cell>
          <cell r="F426" t="str">
            <v>BINGV33552</v>
          </cell>
          <cell r="G426">
            <v>25059.85</v>
          </cell>
          <cell r="H426">
            <v>2522.04</v>
          </cell>
        </row>
        <row r="427">
          <cell r="A427" t="str">
            <v>481003</v>
          </cell>
          <cell r="B427" t="str">
            <v>01952</v>
          </cell>
          <cell r="D427" t="str">
            <v>200</v>
          </cell>
          <cell r="E427" t="str">
            <v>2008-11-30</v>
          </cell>
          <cell r="F427" t="str">
            <v>BINGV33552</v>
          </cell>
          <cell r="G427">
            <v>36886.75</v>
          </cell>
          <cell r="H427">
            <v>3712.31</v>
          </cell>
        </row>
        <row r="428">
          <cell r="A428" t="str">
            <v>481003</v>
          </cell>
          <cell r="B428" t="str">
            <v>01989</v>
          </cell>
          <cell r="D428" t="str">
            <v>200</v>
          </cell>
          <cell r="E428" t="str">
            <v>2008-11-30</v>
          </cell>
          <cell r="F428" t="str">
            <v>BINGV33552</v>
          </cell>
          <cell r="G428">
            <v>3571.13</v>
          </cell>
          <cell r="H428">
            <v>359.4</v>
          </cell>
        </row>
        <row r="429">
          <cell r="A429" t="str">
            <v>481003</v>
          </cell>
          <cell r="B429" t="str">
            <v>01988</v>
          </cell>
          <cell r="D429" t="str">
            <v>200</v>
          </cell>
          <cell r="E429" t="str">
            <v>2008-11-30</v>
          </cell>
          <cell r="F429" t="str">
            <v>BINGV33552</v>
          </cell>
          <cell r="G429">
            <v>9695.94</v>
          </cell>
          <cell r="H429">
            <v>975.81</v>
          </cell>
        </row>
        <row r="430">
          <cell r="A430" t="str">
            <v>481003</v>
          </cell>
          <cell r="B430" t="str">
            <v>01986</v>
          </cell>
          <cell r="D430" t="str">
            <v>200</v>
          </cell>
          <cell r="E430" t="str">
            <v>2008-11-30</v>
          </cell>
          <cell r="F430" t="str">
            <v>BINGV33552</v>
          </cell>
          <cell r="G430">
            <v>-165631.82999999999</v>
          </cell>
          <cell r="H430">
            <v>-14187.7</v>
          </cell>
        </row>
        <row r="431">
          <cell r="A431" t="str">
            <v>481003</v>
          </cell>
          <cell r="B431" t="str">
            <v>01968</v>
          </cell>
          <cell r="D431" t="str">
            <v>200</v>
          </cell>
          <cell r="E431" t="str">
            <v>2008-11-30</v>
          </cell>
          <cell r="F431" t="str">
            <v>BINGV33552</v>
          </cell>
          <cell r="G431">
            <v>7707.42</v>
          </cell>
          <cell r="H431">
            <v>775.68</v>
          </cell>
        </row>
        <row r="432">
          <cell r="A432" t="str">
            <v>481003</v>
          </cell>
          <cell r="B432" t="str">
            <v>01979</v>
          </cell>
          <cell r="D432" t="str">
            <v>200</v>
          </cell>
          <cell r="E432" t="str">
            <v>2008-11-30</v>
          </cell>
          <cell r="F432" t="str">
            <v>BINGV33552</v>
          </cell>
          <cell r="G432">
            <v>196.83</v>
          </cell>
          <cell r="H432">
            <v>19.809999999999999</v>
          </cell>
        </row>
        <row r="433">
          <cell r="A433" t="str">
            <v>481003</v>
          </cell>
          <cell r="B433" t="str">
            <v>01994</v>
          </cell>
          <cell r="D433" t="str">
            <v>200</v>
          </cell>
          <cell r="E433" t="str">
            <v>2008-11-30</v>
          </cell>
          <cell r="F433" t="str">
            <v>BINGV33552</v>
          </cell>
          <cell r="G433">
            <v>30448.79</v>
          </cell>
          <cell r="H433">
            <v>3064.39</v>
          </cell>
        </row>
        <row r="434">
          <cell r="A434" t="str">
            <v>481003</v>
          </cell>
          <cell r="B434" t="str">
            <v>01995</v>
          </cell>
          <cell r="D434" t="str">
            <v>200</v>
          </cell>
          <cell r="E434" t="str">
            <v>2008-11-30</v>
          </cell>
          <cell r="F434" t="str">
            <v>BINGV33552</v>
          </cell>
          <cell r="G434">
            <v>13968.5</v>
          </cell>
          <cell r="H434">
            <v>1408.8</v>
          </cell>
        </row>
        <row r="435">
          <cell r="A435" t="str">
            <v>481003</v>
          </cell>
          <cell r="B435" t="str">
            <v>01976</v>
          </cell>
          <cell r="D435" t="str">
            <v>200</v>
          </cell>
          <cell r="E435" t="str">
            <v>2008-11-30</v>
          </cell>
          <cell r="F435" t="str">
            <v>BINGV33552</v>
          </cell>
          <cell r="G435">
            <v>22998.27</v>
          </cell>
          <cell r="H435">
            <v>2314.56</v>
          </cell>
        </row>
        <row r="436">
          <cell r="A436" t="str">
            <v>481003</v>
          </cell>
          <cell r="B436" t="str">
            <v>01980</v>
          </cell>
          <cell r="D436" t="str">
            <v>200</v>
          </cell>
          <cell r="E436" t="str">
            <v>2008-11-30</v>
          </cell>
          <cell r="F436" t="str">
            <v>BINGV33552</v>
          </cell>
          <cell r="G436">
            <v>283.77</v>
          </cell>
          <cell r="H436">
            <v>28.56</v>
          </cell>
        </row>
        <row r="437">
          <cell r="A437" t="str">
            <v>481003</v>
          </cell>
          <cell r="B437" t="str">
            <v>01987</v>
          </cell>
          <cell r="D437" t="str">
            <v>200</v>
          </cell>
          <cell r="E437" t="str">
            <v>2008-11-30</v>
          </cell>
          <cell r="F437" t="str">
            <v>BINGV33552</v>
          </cell>
          <cell r="G437">
            <v>32694.94</v>
          </cell>
          <cell r="H437">
            <v>3290.44</v>
          </cell>
        </row>
        <row r="438">
          <cell r="A438" t="str">
            <v>481003</v>
          </cell>
          <cell r="B438" t="str">
            <v>01978</v>
          </cell>
          <cell r="D438" t="str">
            <v>200</v>
          </cell>
          <cell r="E438" t="str">
            <v>2008-11-30</v>
          </cell>
          <cell r="F438" t="str">
            <v>BINGV33552</v>
          </cell>
          <cell r="G438">
            <v>12450.64</v>
          </cell>
          <cell r="H438">
            <v>1253.04</v>
          </cell>
        </row>
        <row r="439">
          <cell r="A439" t="str">
            <v>481003</v>
          </cell>
          <cell r="B439" t="str">
            <v>01970</v>
          </cell>
          <cell r="D439" t="str">
            <v>200</v>
          </cell>
          <cell r="E439" t="str">
            <v>2008-11-30</v>
          </cell>
          <cell r="F439" t="str">
            <v>BINGV33552</v>
          </cell>
          <cell r="G439">
            <v>5669.05</v>
          </cell>
          <cell r="H439">
            <v>570.54</v>
          </cell>
        </row>
        <row r="440">
          <cell r="A440" t="str">
            <v>481003</v>
          </cell>
          <cell r="B440" t="str">
            <v>01971</v>
          </cell>
          <cell r="D440" t="str">
            <v>200</v>
          </cell>
          <cell r="E440" t="str">
            <v>2008-11-30</v>
          </cell>
          <cell r="F440" t="str">
            <v>BINGV33552</v>
          </cell>
          <cell r="G440">
            <v>18743.91</v>
          </cell>
          <cell r="H440">
            <v>1886.4</v>
          </cell>
        </row>
        <row r="441">
          <cell r="A441" t="str">
            <v>481003</v>
          </cell>
          <cell r="B441" t="str">
            <v>01969</v>
          </cell>
          <cell r="D441" t="str">
            <v>200</v>
          </cell>
          <cell r="E441" t="str">
            <v>2008-11-30</v>
          </cell>
          <cell r="F441" t="str">
            <v>BINGV33552</v>
          </cell>
          <cell r="G441">
            <v>10821.88</v>
          </cell>
          <cell r="H441">
            <v>1089.1199999999999</v>
          </cell>
        </row>
        <row r="442">
          <cell r="A442" t="str">
            <v>481003</v>
          </cell>
          <cell r="B442" t="str">
            <v>01977</v>
          </cell>
          <cell r="D442" t="str">
            <v>200</v>
          </cell>
          <cell r="E442" t="str">
            <v>2008-11-30</v>
          </cell>
          <cell r="F442" t="str">
            <v>BINGV33552</v>
          </cell>
          <cell r="G442">
            <v>15634.24</v>
          </cell>
          <cell r="H442">
            <v>1573.44</v>
          </cell>
        </row>
        <row r="443">
          <cell r="A443" t="str">
            <v>481003</v>
          </cell>
          <cell r="B443" t="str">
            <v>01992</v>
          </cell>
          <cell r="D443" t="str">
            <v>200</v>
          </cell>
          <cell r="E443" t="str">
            <v>2008-11-30</v>
          </cell>
          <cell r="F443" t="str">
            <v>BINGV33552</v>
          </cell>
          <cell r="G443">
            <v>34182.26</v>
          </cell>
          <cell r="H443">
            <v>3440.13</v>
          </cell>
        </row>
        <row r="444">
          <cell r="A444" t="str">
            <v>481003</v>
          </cell>
          <cell r="B444" t="str">
            <v>01943</v>
          </cell>
          <cell r="D444" t="str">
            <v>200</v>
          </cell>
          <cell r="E444" t="str">
            <v>2008-11-30</v>
          </cell>
          <cell r="F444" t="str">
            <v>472B</v>
          </cell>
          <cell r="G444">
            <v>1480.08</v>
          </cell>
          <cell r="H444">
            <v>237.69</v>
          </cell>
        </row>
        <row r="445">
          <cell r="A445" t="str">
            <v>481003</v>
          </cell>
          <cell r="B445" t="str">
            <v>01953</v>
          </cell>
          <cell r="D445" t="str">
            <v>200</v>
          </cell>
          <cell r="E445" t="str">
            <v>2008-11-30</v>
          </cell>
          <cell r="F445" t="str">
            <v>472B</v>
          </cell>
          <cell r="G445">
            <v>21316.32</v>
          </cell>
          <cell r="H445">
            <v>3198.78</v>
          </cell>
        </row>
        <row r="446">
          <cell r="A446" t="str">
            <v>481003</v>
          </cell>
          <cell r="B446" t="str">
            <v>01954</v>
          </cell>
          <cell r="D446" t="str">
            <v>200</v>
          </cell>
          <cell r="E446" t="str">
            <v>2008-11-30</v>
          </cell>
          <cell r="F446" t="str">
            <v>472B</v>
          </cell>
          <cell r="G446">
            <v>29.62</v>
          </cell>
          <cell r="H446">
            <v>4.4800000000000004</v>
          </cell>
        </row>
        <row r="447">
          <cell r="A447" t="str">
            <v>481003</v>
          </cell>
          <cell r="B447" t="str">
            <v>01953</v>
          </cell>
          <cell r="D447" t="str">
            <v>200</v>
          </cell>
          <cell r="E447" t="str">
            <v>2008-12-31</v>
          </cell>
          <cell r="F447" t="str">
            <v>472B</v>
          </cell>
          <cell r="G447">
            <v>689.32</v>
          </cell>
          <cell r="H447">
            <v>134.25</v>
          </cell>
        </row>
        <row r="448">
          <cell r="A448" t="str">
            <v>481003</v>
          </cell>
          <cell r="B448" t="str">
            <v>01954</v>
          </cell>
          <cell r="D448" t="str">
            <v>200</v>
          </cell>
          <cell r="E448" t="str">
            <v>2008-12-31</v>
          </cell>
          <cell r="F448" t="str">
            <v>472B</v>
          </cell>
          <cell r="G448">
            <v>159.41999999999999</v>
          </cell>
          <cell r="H448">
            <v>31.12</v>
          </cell>
        </row>
        <row r="449">
          <cell r="A449" t="str">
            <v>481003</v>
          </cell>
          <cell r="B449" t="str">
            <v>01943</v>
          </cell>
          <cell r="D449" t="str">
            <v>200</v>
          </cell>
          <cell r="E449" t="str">
            <v>2008-12-31</v>
          </cell>
          <cell r="F449" t="str">
            <v>472B</v>
          </cell>
          <cell r="G449">
            <v>-125.59</v>
          </cell>
          <cell r="H449">
            <v>0</v>
          </cell>
        </row>
        <row r="450">
          <cell r="A450" t="str">
            <v>481003</v>
          </cell>
          <cell r="B450" t="str">
            <v>01943</v>
          </cell>
          <cell r="D450" t="str">
            <v>200</v>
          </cell>
          <cell r="E450" t="str">
            <v>2008-12-31</v>
          </cell>
          <cell r="F450" t="str">
            <v>472B</v>
          </cell>
          <cell r="G450">
            <v>1110.97</v>
          </cell>
          <cell r="H450">
            <v>190.15</v>
          </cell>
        </row>
        <row r="451">
          <cell r="A451" t="str">
            <v>481003</v>
          </cell>
          <cell r="B451" t="str">
            <v>01952</v>
          </cell>
          <cell r="D451" t="str">
            <v>200</v>
          </cell>
          <cell r="E451" t="str">
            <v>2008-12-31</v>
          </cell>
          <cell r="F451" t="str">
            <v>472B</v>
          </cell>
          <cell r="G451">
            <v>58.78</v>
          </cell>
          <cell r="H451">
            <v>11.45</v>
          </cell>
        </row>
        <row r="452">
          <cell r="A452" t="str">
            <v>481003</v>
          </cell>
          <cell r="B452" t="str">
            <v>01953</v>
          </cell>
          <cell r="D452" t="str">
            <v>200</v>
          </cell>
          <cell r="E452" t="str">
            <v>2008-12-31</v>
          </cell>
          <cell r="F452" t="str">
            <v>GLCOR17A</v>
          </cell>
          <cell r="G452">
            <v>2491.8200000000002</v>
          </cell>
          <cell r="H452">
            <v>0</v>
          </cell>
        </row>
        <row r="453">
          <cell r="A453" t="str">
            <v>481003</v>
          </cell>
          <cell r="B453" t="str">
            <v>01954</v>
          </cell>
          <cell r="D453" t="str">
            <v>200</v>
          </cell>
          <cell r="E453" t="str">
            <v>2008-12-31</v>
          </cell>
          <cell r="F453" t="str">
            <v>GLCOR17A</v>
          </cell>
          <cell r="G453">
            <v>424.55</v>
          </cell>
          <cell r="H453">
            <v>0</v>
          </cell>
        </row>
        <row r="454">
          <cell r="A454" t="str">
            <v>481003</v>
          </cell>
          <cell r="B454" t="str">
            <v>01991</v>
          </cell>
          <cell r="D454" t="str">
            <v>200</v>
          </cell>
          <cell r="E454" t="str">
            <v>2008-12-31</v>
          </cell>
          <cell r="F454" t="str">
            <v>GLCOR17A</v>
          </cell>
          <cell r="G454">
            <v>114.97</v>
          </cell>
          <cell r="H454">
            <v>0</v>
          </cell>
        </row>
        <row r="455">
          <cell r="A455" t="str">
            <v>481003</v>
          </cell>
          <cell r="B455" t="str">
            <v>01943</v>
          </cell>
          <cell r="D455" t="str">
            <v>200</v>
          </cell>
          <cell r="E455" t="str">
            <v>2008-12-31</v>
          </cell>
          <cell r="F455" t="str">
            <v>GLCOR17A</v>
          </cell>
          <cell r="G455">
            <v>3769.96</v>
          </cell>
          <cell r="H455">
            <v>0</v>
          </cell>
        </row>
        <row r="456">
          <cell r="A456" t="str">
            <v>481003</v>
          </cell>
          <cell r="B456" t="str">
            <v>01952</v>
          </cell>
          <cell r="D456" t="str">
            <v>200</v>
          </cell>
          <cell r="E456" t="str">
            <v>2008-12-31</v>
          </cell>
          <cell r="F456" t="str">
            <v>GLCOR17A</v>
          </cell>
          <cell r="G456">
            <v>156.91999999999999</v>
          </cell>
          <cell r="H456">
            <v>0</v>
          </cell>
        </row>
        <row r="457">
          <cell r="A457" t="str">
            <v>481003</v>
          </cell>
          <cell r="B457" t="str">
            <v>01953</v>
          </cell>
          <cell r="D457" t="str">
            <v>200</v>
          </cell>
          <cell r="E457" t="str">
            <v>2008-12-31</v>
          </cell>
          <cell r="F457" t="str">
            <v>470</v>
          </cell>
          <cell r="G457">
            <v>9110.16</v>
          </cell>
          <cell r="H457">
            <v>1775.05</v>
          </cell>
        </row>
        <row r="458">
          <cell r="A458" t="str">
            <v>481003</v>
          </cell>
          <cell r="B458" t="str">
            <v>01990</v>
          </cell>
          <cell r="D458" t="str">
            <v>200</v>
          </cell>
          <cell r="E458" t="str">
            <v>2008-12-31</v>
          </cell>
          <cell r="F458" t="str">
            <v>470</v>
          </cell>
          <cell r="G458">
            <v>5598.83</v>
          </cell>
          <cell r="H458">
            <v>1090.7</v>
          </cell>
        </row>
        <row r="459">
          <cell r="A459" t="str">
            <v>481003</v>
          </cell>
          <cell r="B459" t="str">
            <v>01986</v>
          </cell>
          <cell r="D459" t="str">
            <v>200</v>
          </cell>
          <cell r="E459" t="str">
            <v>2008-12-31</v>
          </cell>
          <cell r="F459" t="str">
            <v>470</v>
          </cell>
          <cell r="G459">
            <v>8687.32</v>
          </cell>
          <cell r="H459">
            <v>1692.33</v>
          </cell>
        </row>
        <row r="460">
          <cell r="A460" t="str">
            <v>481003</v>
          </cell>
          <cell r="B460" t="str">
            <v>01974</v>
          </cell>
          <cell r="D460" t="str">
            <v>200</v>
          </cell>
          <cell r="E460" t="str">
            <v>2008-12-31</v>
          </cell>
          <cell r="F460" t="str">
            <v>470</v>
          </cell>
          <cell r="G460">
            <v>14373.07</v>
          </cell>
          <cell r="H460">
            <v>2799.89</v>
          </cell>
        </row>
        <row r="461">
          <cell r="A461" t="str">
            <v>481003</v>
          </cell>
          <cell r="B461" t="str">
            <v>01988</v>
          </cell>
          <cell r="D461" t="str">
            <v>200</v>
          </cell>
          <cell r="E461" t="str">
            <v>2008-12-31</v>
          </cell>
          <cell r="F461" t="str">
            <v>470</v>
          </cell>
          <cell r="G461">
            <v>274.77999999999997</v>
          </cell>
          <cell r="H461">
            <v>53.53</v>
          </cell>
        </row>
        <row r="462">
          <cell r="A462" t="str">
            <v>481003</v>
          </cell>
          <cell r="B462" t="str">
            <v>01993</v>
          </cell>
          <cell r="D462" t="str">
            <v>200</v>
          </cell>
          <cell r="E462" t="str">
            <v>2008-12-31</v>
          </cell>
          <cell r="F462" t="str">
            <v>470</v>
          </cell>
          <cell r="G462">
            <v>1487.57</v>
          </cell>
          <cell r="H462">
            <v>262.91000000000003</v>
          </cell>
        </row>
        <row r="463">
          <cell r="A463" t="str">
            <v>481003</v>
          </cell>
          <cell r="B463" t="str">
            <v>01943</v>
          </cell>
          <cell r="D463" t="str">
            <v>200</v>
          </cell>
          <cell r="E463" t="str">
            <v>2008-12-31</v>
          </cell>
          <cell r="F463" t="str">
            <v>470</v>
          </cell>
          <cell r="G463">
            <v>642.74</v>
          </cell>
          <cell r="H463">
            <v>110.03</v>
          </cell>
        </row>
        <row r="464">
          <cell r="A464" t="str">
            <v>481003</v>
          </cell>
          <cell r="B464" t="str">
            <v>01943</v>
          </cell>
          <cell r="D464" t="str">
            <v>200</v>
          </cell>
          <cell r="E464" t="str">
            <v>2008-12-31</v>
          </cell>
          <cell r="F464" t="str">
            <v>470</v>
          </cell>
          <cell r="G464">
            <v>-72.66</v>
          </cell>
          <cell r="H464">
            <v>0</v>
          </cell>
        </row>
        <row r="465">
          <cell r="A465" t="str">
            <v>481003</v>
          </cell>
          <cell r="B465" t="str">
            <v>01979</v>
          </cell>
          <cell r="D465" t="str">
            <v>200</v>
          </cell>
          <cell r="E465" t="str">
            <v>2008-12-31</v>
          </cell>
          <cell r="F465" t="str">
            <v>BINGV33782</v>
          </cell>
          <cell r="G465">
            <v>223.32</v>
          </cell>
          <cell r="H465">
            <v>24.01</v>
          </cell>
        </row>
        <row r="466">
          <cell r="A466" t="str">
            <v>481003</v>
          </cell>
          <cell r="B466" t="str">
            <v>01968</v>
          </cell>
          <cell r="D466" t="str">
            <v>200</v>
          </cell>
          <cell r="E466" t="str">
            <v>2008-12-31</v>
          </cell>
          <cell r="F466" t="str">
            <v>BINGV33782</v>
          </cell>
          <cell r="G466">
            <v>6320.58</v>
          </cell>
          <cell r="H466">
            <v>679.44</v>
          </cell>
        </row>
        <row r="467">
          <cell r="A467" t="str">
            <v>481003</v>
          </cell>
          <cell r="B467" t="str">
            <v>01995</v>
          </cell>
          <cell r="D467" t="str">
            <v>200</v>
          </cell>
          <cell r="E467" t="str">
            <v>2008-12-31</v>
          </cell>
          <cell r="F467" t="str">
            <v>BINGV33782</v>
          </cell>
          <cell r="G467">
            <v>13673.75</v>
          </cell>
          <cell r="H467">
            <v>1469.88</v>
          </cell>
        </row>
        <row r="468">
          <cell r="A468" t="str">
            <v>481003</v>
          </cell>
          <cell r="B468" t="str">
            <v>01994</v>
          </cell>
          <cell r="D468" t="str">
            <v>200</v>
          </cell>
          <cell r="E468" t="str">
            <v>2008-12-31</v>
          </cell>
          <cell r="F468" t="str">
            <v>BINGV33782</v>
          </cell>
          <cell r="G468">
            <v>26029.82</v>
          </cell>
          <cell r="H468">
            <v>2798.11</v>
          </cell>
        </row>
        <row r="469">
          <cell r="A469" t="str">
            <v>481003</v>
          </cell>
          <cell r="B469" t="str">
            <v>01976</v>
          </cell>
          <cell r="D469" t="str">
            <v>200</v>
          </cell>
          <cell r="E469" t="str">
            <v>2008-12-31</v>
          </cell>
          <cell r="F469" t="str">
            <v>BINGV33782</v>
          </cell>
          <cell r="G469">
            <v>18395.77</v>
          </cell>
          <cell r="H469">
            <v>1977.48</v>
          </cell>
        </row>
        <row r="470">
          <cell r="A470" t="str">
            <v>481003</v>
          </cell>
          <cell r="B470" t="str">
            <v>01980</v>
          </cell>
          <cell r="D470" t="str">
            <v>200</v>
          </cell>
          <cell r="E470" t="str">
            <v>2008-12-31</v>
          </cell>
          <cell r="F470" t="str">
            <v>BINGV33782</v>
          </cell>
          <cell r="G470">
            <v>309.22000000000003</v>
          </cell>
          <cell r="H470">
            <v>33.24</v>
          </cell>
        </row>
        <row r="471">
          <cell r="A471" t="str">
            <v>481003</v>
          </cell>
          <cell r="B471" t="str">
            <v>01987</v>
          </cell>
          <cell r="D471" t="str">
            <v>200</v>
          </cell>
          <cell r="E471" t="str">
            <v>2008-12-31</v>
          </cell>
          <cell r="F471" t="str">
            <v>BINGV33782</v>
          </cell>
          <cell r="G471">
            <v>25056.15</v>
          </cell>
          <cell r="H471">
            <v>2693.35</v>
          </cell>
        </row>
        <row r="472">
          <cell r="A472" t="str">
            <v>481003</v>
          </cell>
          <cell r="B472" t="str">
            <v>01978</v>
          </cell>
          <cell r="D472" t="str">
            <v>200</v>
          </cell>
          <cell r="E472" t="str">
            <v>2008-12-31</v>
          </cell>
          <cell r="F472" t="str">
            <v>BINGV33782</v>
          </cell>
          <cell r="G472">
            <v>14622.61</v>
          </cell>
          <cell r="H472">
            <v>1571.88</v>
          </cell>
        </row>
        <row r="473">
          <cell r="A473" t="str">
            <v>481003</v>
          </cell>
          <cell r="B473" t="str">
            <v>01970</v>
          </cell>
          <cell r="D473" t="str">
            <v>200</v>
          </cell>
          <cell r="E473" t="str">
            <v>2008-12-31</v>
          </cell>
          <cell r="F473" t="str">
            <v>BINGV33782</v>
          </cell>
          <cell r="G473">
            <v>4193.84</v>
          </cell>
          <cell r="H473">
            <v>450.82</v>
          </cell>
        </row>
        <row r="474">
          <cell r="A474" t="str">
            <v>481003</v>
          </cell>
          <cell r="B474" t="str">
            <v>01971</v>
          </cell>
          <cell r="D474" t="str">
            <v>200</v>
          </cell>
          <cell r="E474" t="str">
            <v>2008-12-31</v>
          </cell>
          <cell r="F474" t="str">
            <v>BINGV33782</v>
          </cell>
          <cell r="G474">
            <v>13275.23</v>
          </cell>
          <cell r="H474">
            <v>1427.04</v>
          </cell>
        </row>
        <row r="475">
          <cell r="A475" t="str">
            <v>481003</v>
          </cell>
          <cell r="B475" t="str">
            <v>01969</v>
          </cell>
          <cell r="D475" t="str">
            <v>200</v>
          </cell>
          <cell r="E475" t="str">
            <v>2008-12-31</v>
          </cell>
          <cell r="F475" t="str">
            <v>BINGV33782</v>
          </cell>
          <cell r="G475">
            <v>9478.64</v>
          </cell>
          <cell r="H475">
            <v>1018.92</v>
          </cell>
        </row>
        <row r="476">
          <cell r="A476" t="str">
            <v>481003</v>
          </cell>
          <cell r="B476" t="str">
            <v>01977</v>
          </cell>
          <cell r="D476" t="str">
            <v>200</v>
          </cell>
          <cell r="E476" t="str">
            <v>2008-12-31</v>
          </cell>
          <cell r="F476" t="str">
            <v>BINGV33782</v>
          </cell>
          <cell r="G476">
            <v>12526.18</v>
          </cell>
          <cell r="H476">
            <v>1346.52</v>
          </cell>
        </row>
        <row r="477">
          <cell r="A477" t="str">
            <v>481003</v>
          </cell>
          <cell r="B477" t="str">
            <v>01992</v>
          </cell>
          <cell r="D477" t="str">
            <v>200</v>
          </cell>
          <cell r="E477" t="str">
            <v>2008-12-31</v>
          </cell>
          <cell r="F477" t="str">
            <v>BINGV33782</v>
          </cell>
          <cell r="G477">
            <v>27924.03</v>
          </cell>
          <cell r="H477">
            <v>-3001.74</v>
          </cell>
        </row>
        <row r="478">
          <cell r="A478" t="str">
            <v>481003</v>
          </cell>
          <cell r="B478" t="str">
            <v>01973</v>
          </cell>
          <cell r="D478" t="str">
            <v>200</v>
          </cell>
          <cell r="E478" t="str">
            <v>2008-12-31</v>
          </cell>
          <cell r="F478" t="str">
            <v>BINGV33782</v>
          </cell>
          <cell r="G478">
            <v>19077.830000000002</v>
          </cell>
          <cell r="H478">
            <v>2050.8000000000002</v>
          </cell>
        </row>
        <row r="479">
          <cell r="A479" t="str">
            <v>481003</v>
          </cell>
          <cell r="B479" t="str">
            <v>01952</v>
          </cell>
          <cell r="D479" t="str">
            <v>200</v>
          </cell>
          <cell r="E479" t="str">
            <v>2008-12-31</v>
          </cell>
          <cell r="F479" t="str">
            <v>BINGV33782</v>
          </cell>
          <cell r="G479">
            <v>36705.68</v>
          </cell>
          <cell r="H479">
            <v>3945.73</v>
          </cell>
        </row>
        <row r="480">
          <cell r="A480" t="str">
            <v>481003</v>
          </cell>
          <cell r="B480" t="str">
            <v>01989</v>
          </cell>
          <cell r="D480" t="str">
            <v>200</v>
          </cell>
          <cell r="E480" t="str">
            <v>2008-12-31</v>
          </cell>
          <cell r="F480" t="str">
            <v>BINGV33782</v>
          </cell>
          <cell r="G480">
            <v>14198.42</v>
          </cell>
          <cell r="H480">
            <v>1526.28</v>
          </cell>
        </row>
        <row r="481">
          <cell r="A481" t="str">
            <v>481003</v>
          </cell>
          <cell r="B481" t="str">
            <v>01988</v>
          </cell>
          <cell r="D481" t="str">
            <v>200</v>
          </cell>
          <cell r="E481" t="str">
            <v>2008-12-31</v>
          </cell>
          <cell r="F481" t="str">
            <v>BINGV33782</v>
          </cell>
          <cell r="G481">
            <v>9596.0300000000007</v>
          </cell>
          <cell r="H481">
            <v>1031.54</v>
          </cell>
        </row>
        <row r="482">
          <cell r="A482" t="str">
            <v>481003</v>
          </cell>
          <cell r="B482" t="str">
            <v>01986</v>
          </cell>
          <cell r="D482" t="str">
            <v>200</v>
          </cell>
          <cell r="E482" t="str">
            <v>2008-12-31</v>
          </cell>
          <cell r="F482" t="str">
            <v>BINGV33782</v>
          </cell>
          <cell r="G482">
            <v>17944.849999999999</v>
          </cell>
          <cell r="H482">
            <v>1929</v>
          </cell>
        </row>
        <row r="483">
          <cell r="A483" t="str">
            <v>481003</v>
          </cell>
          <cell r="B483" t="str">
            <v>01989</v>
          </cell>
          <cell r="D483" t="str">
            <v>200</v>
          </cell>
          <cell r="E483" t="str">
            <v>2008-12-31</v>
          </cell>
          <cell r="F483" t="str">
            <v>BINGV33921</v>
          </cell>
          <cell r="G483">
            <v>-11163.19</v>
          </cell>
          <cell r="H483">
            <v>-1200</v>
          </cell>
        </row>
        <row r="484">
          <cell r="A484" t="str">
            <v>481003</v>
          </cell>
          <cell r="B484" t="str">
            <v>01974</v>
          </cell>
          <cell r="D484" t="str">
            <v>200</v>
          </cell>
          <cell r="E484" t="str">
            <v>2008-12-31</v>
          </cell>
          <cell r="F484" t="str">
            <v>GLCOR17B</v>
          </cell>
          <cell r="G484">
            <v>-26674.73</v>
          </cell>
          <cell r="H484">
            <v>0</v>
          </cell>
        </row>
        <row r="485">
          <cell r="A485" t="str">
            <v>481003</v>
          </cell>
          <cell r="B485" t="str">
            <v>01988</v>
          </cell>
          <cell r="D485" t="str">
            <v>200</v>
          </cell>
          <cell r="E485" t="str">
            <v>2008-12-31</v>
          </cell>
          <cell r="F485" t="str">
            <v>GLCOR17B</v>
          </cell>
          <cell r="G485">
            <v>-7955.99</v>
          </cell>
          <cell r="H485">
            <v>0</v>
          </cell>
        </row>
        <row r="486">
          <cell r="G486">
            <v>3044863.1599999997</v>
          </cell>
          <cell r="H486">
            <v>402027.17000000004</v>
          </cell>
        </row>
      </sheetData>
      <sheetData sheetId="6">
        <row r="3">
          <cell r="J3" t="str">
            <v>Account</v>
          </cell>
          <cell r="K3" t="str">
            <v>Dept</v>
          </cell>
          <cell r="L3" t="str">
            <v>Sum Amount</v>
          </cell>
          <cell r="M3" t="str">
            <v>Trans</v>
          </cell>
          <cell r="N3" t="str">
            <v>Product</v>
          </cell>
          <cell r="O3" t="str">
            <v>Sum Stat Amt</v>
          </cell>
          <cell r="P3" t="str">
            <v>Period</v>
          </cell>
          <cell r="Q3" t="str">
            <v>Date</v>
          </cell>
        </row>
        <row r="4">
          <cell r="M4">
            <v>202</v>
          </cell>
          <cell r="N4">
            <v>407</v>
          </cell>
          <cell r="Q4">
            <v>39478</v>
          </cell>
        </row>
        <row r="89">
          <cell r="J89" t="str">
            <v>Account</v>
          </cell>
          <cell r="K89" t="str">
            <v>Dept</v>
          </cell>
          <cell r="L89" t="str">
            <v>Sum Amount</v>
          </cell>
          <cell r="M89" t="str">
            <v>Trans</v>
          </cell>
          <cell r="N89" t="str">
            <v>Product</v>
          </cell>
          <cell r="O89" t="str">
            <v>Sum Stat Amt</v>
          </cell>
          <cell r="P89" t="str">
            <v>Period</v>
          </cell>
          <cell r="Q89" t="str">
            <v>Date</v>
          </cell>
          <cell r="S89" t="str">
            <v>Account</v>
          </cell>
          <cell r="T89" t="str">
            <v>Dept</v>
          </cell>
          <cell r="U89" t="str">
            <v>Sum Amount</v>
          </cell>
          <cell r="V89" t="str">
            <v>Trans</v>
          </cell>
          <cell r="W89" t="str">
            <v>Product</v>
          </cell>
          <cell r="X89" t="str">
            <v>Sum Stat Amt</v>
          </cell>
          <cell r="Y89" t="str">
            <v>Period</v>
          </cell>
          <cell r="Z89" t="str">
            <v>Date</v>
          </cell>
          <cell r="AB89" t="str">
            <v>Account</v>
          </cell>
          <cell r="AC89" t="str">
            <v>Dept</v>
          </cell>
          <cell r="AD89" t="str">
            <v>Sum Amount</v>
          </cell>
          <cell r="AE89" t="str">
            <v>Trans</v>
          </cell>
          <cell r="AF89" t="str">
            <v>Product</v>
          </cell>
          <cell r="AG89" t="str">
            <v>Sum Stat Amt</v>
          </cell>
          <cell r="AH89" t="str">
            <v>Period</v>
          </cell>
          <cell r="AI89" t="str">
            <v>Date</v>
          </cell>
          <cell r="AK89" t="str">
            <v>Account</v>
          </cell>
          <cell r="AL89" t="str">
            <v>Dept</v>
          </cell>
          <cell r="AM89" t="str">
            <v>Sum Amount</v>
          </cell>
          <cell r="AN89" t="str">
            <v>Trans</v>
          </cell>
          <cell r="AO89" t="str">
            <v>Product</v>
          </cell>
          <cell r="AP89" t="str">
            <v>Sum Stat Amt</v>
          </cell>
          <cell r="AQ89" t="str">
            <v>Period</v>
          </cell>
          <cell r="AR89" t="str">
            <v>Date</v>
          </cell>
          <cell r="AT89" t="str">
            <v>Account</v>
          </cell>
          <cell r="AU89" t="str">
            <v>Dept</v>
          </cell>
          <cell r="AV89" t="str">
            <v>Sum Amount</v>
          </cell>
          <cell r="AW89" t="str">
            <v>Trans</v>
          </cell>
          <cell r="AX89" t="str">
            <v>Product</v>
          </cell>
          <cell r="AY89" t="str">
            <v>Sum Stat Amt</v>
          </cell>
          <cell r="AZ89" t="str">
            <v>Period</v>
          </cell>
          <cell r="BA89" t="str">
            <v>Date</v>
          </cell>
          <cell r="BC89" t="str">
            <v>Account</v>
          </cell>
          <cell r="BD89" t="str">
            <v>Dept</v>
          </cell>
          <cell r="BE89" t="str">
            <v>Sum Amount</v>
          </cell>
          <cell r="BF89" t="str">
            <v>Trans</v>
          </cell>
          <cell r="BG89" t="str">
            <v>Product</v>
          </cell>
          <cell r="BH89" t="str">
            <v>Sum Stat Amt</v>
          </cell>
          <cell r="BI89" t="str">
            <v>Period</v>
          </cell>
          <cell r="BJ89" t="str">
            <v>Date</v>
          </cell>
          <cell r="BL89" t="str">
            <v>Account</v>
          </cell>
          <cell r="BM89" t="str">
            <v>Dept</v>
          </cell>
          <cell r="BN89" t="str">
            <v>Sum Amount</v>
          </cell>
          <cell r="BO89" t="str">
            <v>Trans</v>
          </cell>
          <cell r="BP89" t="str">
            <v>Product</v>
          </cell>
          <cell r="BQ89" t="str">
            <v>Sum Stat Amt</v>
          </cell>
          <cell r="BR89" t="str">
            <v>Period</v>
          </cell>
          <cell r="BS89" t="str">
            <v>Date</v>
          </cell>
          <cell r="BU89" t="str">
            <v>Account</v>
          </cell>
          <cell r="BV89" t="str">
            <v>Dept</v>
          </cell>
          <cell r="BW89" t="str">
            <v>Sum Amount</v>
          </cell>
          <cell r="BX89" t="str">
            <v>Trans</v>
          </cell>
          <cell r="BY89" t="str">
            <v>Product</v>
          </cell>
          <cell r="BZ89" t="str">
            <v>Sum Stat Amt</v>
          </cell>
          <cell r="CA89" t="str">
            <v>Period</v>
          </cell>
          <cell r="CB89" t="str">
            <v>Date</v>
          </cell>
          <cell r="CD89" t="str">
            <v>Account</v>
          </cell>
          <cell r="CE89" t="str">
            <v>Dept</v>
          </cell>
          <cell r="CF89" t="str">
            <v>Sum Amount</v>
          </cell>
          <cell r="CG89" t="str">
            <v>Trans</v>
          </cell>
          <cell r="CH89" t="str">
            <v>Product</v>
          </cell>
          <cell r="CI89" t="str">
            <v>Sum Stat Amt</v>
          </cell>
          <cell r="CJ89" t="str">
            <v>Period</v>
          </cell>
          <cell r="CK89" t="str">
            <v>Date</v>
          </cell>
          <cell r="CM89" t="str">
            <v>Account</v>
          </cell>
          <cell r="CN89" t="str">
            <v>Dept</v>
          </cell>
          <cell r="CO89" t="str">
            <v>Sum Amount</v>
          </cell>
          <cell r="CP89" t="str">
            <v>Trans</v>
          </cell>
          <cell r="CQ89" t="str">
            <v>Product</v>
          </cell>
          <cell r="CR89" t="str">
            <v>Sum Stat Amt</v>
          </cell>
          <cell r="CS89" t="str">
            <v>Period</v>
          </cell>
          <cell r="CT89" t="str">
            <v>Date</v>
          </cell>
          <cell r="CV89" t="str">
            <v>Account</v>
          </cell>
          <cell r="CW89" t="str">
            <v>Dept</v>
          </cell>
          <cell r="CX89" t="str">
            <v>Sum Amount</v>
          </cell>
          <cell r="CY89" t="str">
            <v>Trans</v>
          </cell>
          <cell r="CZ89" t="str">
            <v>Product</v>
          </cell>
          <cell r="DA89" t="str">
            <v>Sum Stat Amt</v>
          </cell>
          <cell r="DB89" t="str">
            <v>Period</v>
          </cell>
          <cell r="DC89" t="str">
            <v>Date</v>
          </cell>
          <cell r="DE89" t="str">
            <v>Account</v>
          </cell>
          <cell r="DF89" t="str">
            <v>Dept</v>
          </cell>
          <cell r="DG89" t="str">
            <v>Sum Amount</v>
          </cell>
          <cell r="DH89" t="str">
            <v>Trans</v>
          </cell>
          <cell r="DI89" t="str">
            <v>Product</v>
          </cell>
          <cell r="DJ89" t="str">
            <v>Sum Stat Amt</v>
          </cell>
          <cell r="DK89" t="str">
            <v>Period</v>
          </cell>
          <cell r="DL89" t="str">
            <v>Date</v>
          </cell>
        </row>
        <row r="90">
          <cell r="M90">
            <v>204</v>
          </cell>
          <cell r="N90">
            <v>406</v>
          </cell>
          <cell r="Q90">
            <v>39478</v>
          </cell>
          <cell r="V90">
            <v>204</v>
          </cell>
          <cell r="W90">
            <v>406</v>
          </cell>
          <cell r="Z90">
            <v>39507</v>
          </cell>
          <cell r="AE90">
            <v>204</v>
          </cell>
          <cell r="AF90">
            <v>406</v>
          </cell>
          <cell r="AI90">
            <v>39538</v>
          </cell>
          <cell r="AN90">
            <v>204</v>
          </cell>
          <cell r="AO90">
            <v>406</v>
          </cell>
          <cell r="AR90">
            <v>39568</v>
          </cell>
          <cell r="AW90">
            <v>204</v>
          </cell>
          <cell r="AX90">
            <v>406</v>
          </cell>
          <cell r="BA90">
            <v>39599</v>
          </cell>
          <cell r="BF90">
            <v>204</v>
          </cell>
          <cell r="BG90">
            <v>406</v>
          </cell>
          <cell r="BJ90">
            <v>39629</v>
          </cell>
          <cell r="BO90">
            <v>204</v>
          </cell>
          <cell r="BP90">
            <v>406</v>
          </cell>
          <cell r="BS90">
            <v>39660</v>
          </cell>
          <cell r="BX90">
            <v>204</v>
          </cell>
          <cell r="BY90">
            <v>406</v>
          </cell>
          <cell r="CB90">
            <v>39691</v>
          </cell>
          <cell r="CG90">
            <v>204</v>
          </cell>
          <cell r="CH90">
            <v>406</v>
          </cell>
          <cell r="CK90">
            <v>39721</v>
          </cell>
          <cell r="CP90">
            <v>204</v>
          </cell>
          <cell r="CQ90">
            <v>406</v>
          </cell>
          <cell r="CT90">
            <v>39752</v>
          </cell>
          <cell r="CY90">
            <v>204</v>
          </cell>
          <cell r="CZ90">
            <v>406</v>
          </cell>
          <cell r="DC90">
            <v>39782</v>
          </cell>
          <cell r="DH90">
            <v>204</v>
          </cell>
          <cell r="DI90">
            <v>406</v>
          </cell>
          <cell r="DL90">
            <v>39813</v>
          </cell>
        </row>
        <row r="98">
          <cell r="J98" t="str">
            <v>Account</v>
          </cell>
          <cell r="K98" t="str">
            <v>Dept</v>
          </cell>
          <cell r="L98" t="str">
            <v>Sum Amount</v>
          </cell>
          <cell r="M98" t="str">
            <v>Trans</v>
          </cell>
          <cell r="N98" t="str">
            <v>Product</v>
          </cell>
          <cell r="O98" t="str">
            <v>Sum Stat Amt</v>
          </cell>
          <cell r="P98" t="str">
            <v>Period</v>
          </cell>
          <cell r="Q98" t="str">
            <v>Date</v>
          </cell>
          <cell r="S98" t="str">
            <v>Account</v>
          </cell>
          <cell r="T98" t="str">
            <v>Dept</v>
          </cell>
          <cell r="U98" t="str">
            <v>Sum Amount</v>
          </cell>
          <cell r="V98" t="str">
            <v>Trans</v>
          </cell>
          <cell r="W98" t="str">
            <v>Product</v>
          </cell>
          <cell r="X98" t="str">
            <v>Sum Stat Amt</v>
          </cell>
          <cell r="Y98" t="str">
            <v>Period</v>
          </cell>
          <cell r="Z98" t="str">
            <v>Date</v>
          </cell>
          <cell r="AB98" t="str">
            <v>Account</v>
          </cell>
          <cell r="AC98" t="str">
            <v>Dept</v>
          </cell>
          <cell r="AD98" t="str">
            <v>Sum Amount</v>
          </cell>
          <cell r="AE98" t="str">
            <v>Trans</v>
          </cell>
          <cell r="AF98" t="str">
            <v>Product</v>
          </cell>
          <cell r="AG98" t="str">
            <v>Sum Stat Amt</v>
          </cell>
          <cell r="AH98" t="str">
            <v>Period</v>
          </cell>
          <cell r="AI98" t="str">
            <v>Date</v>
          </cell>
          <cell r="AK98" t="str">
            <v>Account</v>
          </cell>
          <cell r="AL98" t="str">
            <v>Dept</v>
          </cell>
          <cell r="AM98" t="str">
            <v>Sum Amount</v>
          </cell>
          <cell r="AN98" t="str">
            <v>Trans</v>
          </cell>
          <cell r="AO98" t="str">
            <v>Product</v>
          </cell>
          <cell r="AP98" t="str">
            <v>Sum Stat Amt</v>
          </cell>
          <cell r="AQ98" t="str">
            <v>Period</v>
          </cell>
          <cell r="AR98" t="str">
            <v>Date</v>
          </cell>
          <cell r="AT98" t="str">
            <v>Account</v>
          </cell>
          <cell r="AU98" t="str">
            <v>Dept</v>
          </cell>
          <cell r="AV98" t="str">
            <v>Sum Amount</v>
          </cell>
          <cell r="AW98" t="str">
            <v>Trans</v>
          </cell>
          <cell r="AX98" t="str">
            <v>Product</v>
          </cell>
          <cell r="AY98" t="str">
            <v>Sum Stat Amt</v>
          </cell>
          <cell r="AZ98" t="str">
            <v>Period</v>
          </cell>
          <cell r="BA98" t="str">
            <v>Date</v>
          </cell>
          <cell r="BC98" t="str">
            <v>Account</v>
          </cell>
          <cell r="BD98" t="str">
            <v>Dept</v>
          </cell>
          <cell r="BE98" t="str">
            <v>Sum Amount</v>
          </cell>
          <cell r="BF98" t="str">
            <v>Trans</v>
          </cell>
          <cell r="BG98" t="str">
            <v>Product</v>
          </cell>
          <cell r="BH98" t="str">
            <v>Sum Stat Amt</v>
          </cell>
          <cell r="BI98" t="str">
            <v>Period</v>
          </cell>
          <cell r="BJ98" t="str">
            <v>Date</v>
          </cell>
          <cell r="BL98" t="str">
            <v>Account</v>
          </cell>
          <cell r="BM98" t="str">
            <v>Dept</v>
          </cell>
          <cell r="BN98" t="str">
            <v>Sum Amount</v>
          </cell>
          <cell r="BO98" t="str">
            <v>Trans</v>
          </cell>
          <cell r="BP98" t="str">
            <v>Product</v>
          </cell>
          <cell r="BQ98" t="str">
            <v>Sum Stat Amt</v>
          </cell>
          <cell r="BR98" t="str">
            <v>Period</v>
          </cell>
          <cell r="BS98" t="str">
            <v>Date</v>
          </cell>
          <cell r="BU98" t="str">
            <v>Account</v>
          </cell>
          <cell r="BV98" t="str">
            <v>Dept</v>
          </cell>
          <cell r="BW98" t="str">
            <v>Sum Amount</v>
          </cell>
          <cell r="BX98" t="str">
            <v>Trans</v>
          </cell>
          <cell r="BY98" t="str">
            <v>Product</v>
          </cell>
          <cell r="BZ98" t="str">
            <v>Sum Stat Amt</v>
          </cell>
          <cell r="CA98" t="str">
            <v>Period</v>
          </cell>
          <cell r="CB98" t="str">
            <v>Date</v>
          </cell>
          <cell r="CD98" t="str">
            <v>Account</v>
          </cell>
          <cell r="CE98" t="str">
            <v>Dept</v>
          </cell>
          <cell r="CF98" t="str">
            <v>Sum Amount</v>
          </cell>
          <cell r="CG98" t="str">
            <v>Trans</v>
          </cell>
          <cell r="CH98" t="str">
            <v>Product</v>
          </cell>
          <cell r="CI98" t="str">
            <v>Sum Stat Amt</v>
          </cell>
          <cell r="CJ98" t="str">
            <v>Period</v>
          </cell>
          <cell r="CK98" t="str">
            <v>Date</v>
          </cell>
          <cell r="CM98" t="str">
            <v>Account</v>
          </cell>
          <cell r="CN98" t="str">
            <v>Dept</v>
          </cell>
          <cell r="CO98" t="str">
            <v>Sum Amount</v>
          </cell>
          <cell r="CP98" t="str">
            <v>Trans</v>
          </cell>
          <cell r="CQ98" t="str">
            <v>Product</v>
          </cell>
          <cell r="CR98" t="str">
            <v>Sum Stat Amt</v>
          </cell>
          <cell r="CS98" t="str">
            <v>Period</v>
          </cell>
          <cell r="CT98" t="str">
            <v>Date</v>
          </cell>
          <cell r="CV98" t="str">
            <v>Account</v>
          </cell>
          <cell r="CW98" t="str">
            <v>Dept</v>
          </cell>
          <cell r="CX98" t="str">
            <v>Sum Amount</v>
          </cell>
          <cell r="CY98" t="str">
            <v>Trans</v>
          </cell>
          <cell r="CZ98" t="str">
            <v>Product</v>
          </cell>
          <cell r="DA98" t="str">
            <v>Sum Stat Amt</v>
          </cell>
          <cell r="DB98" t="str">
            <v>Period</v>
          </cell>
          <cell r="DC98" t="str">
            <v>Date</v>
          </cell>
          <cell r="DE98" t="str">
            <v>Account</v>
          </cell>
          <cell r="DF98" t="str">
            <v>Dept</v>
          </cell>
          <cell r="DG98" t="str">
            <v>Sum Amount</v>
          </cell>
          <cell r="DH98" t="str">
            <v>Trans</v>
          </cell>
          <cell r="DI98" t="str">
            <v>Product</v>
          </cell>
          <cell r="DJ98" t="str">
            <v>Sum Stat Amt</v>
          </cell>
          <cell r="DK98" t="str">
            <v>Period</v>
          </cell>
          <cell r="DL98" t="str">
            <v>Date</v>
          </cell>
        </row>
        <row r="99">
          <cell r="M99">
            <v>203</v>
          </cell>
          <cell r="N99">
            <v>416</v>
          </cell>
          <cell r="Q99">
            <v>39478</v>
          </cell>
          <cell r="V99">
            <v>203</v>
          </cell>
          <cell r="W99">
            <v>416</v>
          </cell>
          <cell r="Z99">
            <v>39507</v>
          </cell>
          <cell r="AE99">
            <v>203</v>
          </cell>
          <cell r="AF99">
            <v>416</v>
          </cell>
          <cell r="AI99">
            <v>39538</v>
          </cell>
          <cell r="AN99">
            <v>203</v>
          </cell>
          <cell r="AO99">
            <v>416</v>
          </cell>
          <cell r="AR99">
            <v>39568</v>
          </cell>
          <cell r="AW99">
            <v>203</v>
          </cell>
          <cell r="AX99">
            <v>416</v>
          </cell>
          <cell r="BA99">
            <v>39599</v>
          </cell>
          <cell r="BF99">
            <v>203</v>
          </cell>
          <cell r="BG99">
            <v>416</v>
          </cell>
          <cell r="BJ99">
            <v>39629</v>
          </cell>
          <cell r="BO99">
            <v>203</v>
          </cell>
          <cell r="BP99">
            <v>416</v>
          </cell>
          <cell r="BS99">
            <v>39660</v>
          </cell>
          <cell r="BX99">
            <v>203</v>
          </cell>
          <cell r="BY99">
            <v>416</v>
          </cell>
          <cell r="CB99">
            <v>39691</v>
          </cell>
          <cell r="CG99">
            <v>203</v>
          </cell>
          <cell r="CH99">
            <v>416</v>
          </cell>
          <cell r="CK99">
            <v>39721</v>
          </cell>
          <cell r="CP99">
            <v>203</v>
          </cell>
          <cell r="CQ99">
            <v>416</v>
          </cell>
          <cell r="CT99">
            <v>39752</v>
          </cell>
          <cell r="CY99">
            <v>203</v>
          </cell>
          <cell r="CZ99">
            <v>416</v>
          </cell>
          <cell r="DC99">
            <v>39782</v>
          </cell>
          <cell r="DH99">
            <v>203</v>
          </cell>
          <cell r="DI99">
            <v>416</v>
          </cell>
          <cell r="DL99">
            <v>39813</v>
          </cell>
        </row>
        <row r="104">
          <cell r="J104" t="str">
            <v>Account</v>
          </cell>
          <cell r="K104" t="str">
            <v>Dept</v>
          </cell>
          <cell r="L104" t="str">
            <v>Sum Amount</v>
          </cell>
          <cell r="M104" t="str">
            <v>Trans</v>
          </cell>
          <cell r="N104" t="str">
            <v>Product</v>
          </cell>
          <cell r="O104" t="str">
            <v>Sum Stat Amt</v>
          </cell>
          <cell r="P104" t="str">
            <v>Period</v>
          </cell>
          <cell r="Q104" t="str">
            <v>Date</v>
          </cell>
          <cell r="S104" t="str">
            <v>Account</v>
          </cell>
          <cell r="T104" t="str">
            <v>Dept</v>
          </cell>
          <cell r="U104" t="str">
            <v>Sum Amount</v>
          </cell>
          <cell r="V104" t="str">
            <v>Trans</v>
          </cell>
          <cell r="W104" t="str">
            <v>Product</v>
          </cell>
          <cell r="X104" t="str">
            <v>Sum Stat Amt</v>
          </cell>
          <cell r="Y104" t="str">
            <v>Period</v>
          </cell>
          <cell r="Z104" t="str">
            <v>Date</v>
          </cell>
          <cell r="AB104" t="str">
            <v>Account</v>
          </cell>
          <cell r="AC104" t="str">
            <v>Dept</v>
          </cell>
          <cell r="AD104" t="str">
            <v>Sum Amount</v>
          </cell>
          <cell r="AE104" t="str">
            <v>Trans</v>
          </cell>
          <cell r="AF104" t="str">
            <v>Product</v>
          </cell>
          <cell r="AG104" t="str">
            <v>Sum Stat Amt</v>
          </cell>
          <cell r="AH104" t="str">
            <v>Period</v>
          </cell>
          <cell r="AI104" t="str">
            <v>Date</v>
          </cell>
          <cell r="AK104" t="str">
            <v>Account</v>
          </cell>
          <cell r="AL104" t="str">
            <v>Dept</v>
          </cell>
          <cell r="AM104" t="str">
            <v>Sum Amount</v>
          </cell>
          <cell r="AN104" t="str">
            <v>Trans</v>
          </cell>
          <cell r="AO104" t="str">
            <v>Product</v>
          </cell>
          <cell r="AP104" t="str">
            <v>Sum Stat Amt</v>
          </cell>
          <cell r="AQ104" t="str">
            <v>Period</v>
          </cell>
          <cell r="AR104" t="str">
            <v>Date</v>
          </cell>
          <cell r="AT104" t="str">
            <v>Account</v>
          </cell>
          <cell r="AU104" t="str">
            <v>Dept</v>
          </cell>
          <cell r="AV104" t="str">
            <v>Sum Amount</v>
          </cell>
          <cell r="AW104" t="str">
            <v>Trans</v>
          </cell>
          <cell r="AX104" t="str">
            <v>Product</v>
          </cell>
          <cell r="AY104" t="str">
            <v>Sum Stat Amt</v>
          </cell>
          <cell r="AZ104" t="str">
            <v>Period</v>
          </cell>
          <cell r="BA104" t="str">
            <v>Date</v>
          </cell>
          <cell r="BC104" t="str">
            <v>Account</v>
          </cell>
          <cell r="BD104" t="str">
            <v>Dept</v>
          </cell>
          <cell r="BE104" t="str">
            <v>Sum Amount</v>
          </cell>
          <cell r="BF104" t="str">
            <v>Trans</v>
          </cell>
          <cell r="BG104" t="str">
            <v>Product</v>
          </cell>
          <cell r="BH104" t="str">
            <v>Sum Stat Amt</v>
          </cell>
          <cell r="BI104" t="str">
            <v>Period</v>
          </cell>
          <cell r="BJ104" t="str">
            <v>Date</v>
          </cell>
          <cell r="BL104" t="str">
            <v>Account</v>
          </cell>
          <cell r="BM104" t="str">
            <v>Dept</v>
          </cell>
          <cell r="BN104" t="str">
            <v>Sum Amount</v>
          </cell>
          <cell r="BO104" t="str">
            <v>Trans</v>
          </cell>
          <cell r="BP104" t="str">
            <v>Product</v>
          </cell>
          <cell r="BQ104" t="str">
            <v>Sum Stat Amt</v>
          </cell>
          <cell r="BR104" t="str">
            <v>Period</v>
          </cell>
          <cell r="BS104" t="str">
            <v>Date</v>
          </cell>
          <cell r="BU104" t="str">
            <v>Account</v>
          </cell>
          <cell r="BV104" t="str">
            <v>Dept</v>
          </cell>
          <cell r="BW104" t="str">
            <v>Sum Amount</v>
          </cell>
          <cell r="BX104" t="str">
            <v>Trans</v>
          </cell>
          <cell r="BY104" t="str">
            <v>Product</v>
          </cell>
          <cell r="BZ104" t="str">
            <v>Sum Stat Amt</v>
          </cell>
          <cell r="CA104" t="str">
            <v>Period</v>
          </cell>
          <cell r="CB104" t="str">
            <v>Date</v>
          </cell>
          <cell r="CD104" t="str">
            <v>Account</v>
          </cell>
          <cell r="CE104" t="str">
            <v>Dept</v>
          </cell>
          <cell r="CF104" t="str">
            <v>Sum Amount</v>
          </cell>
          <cell r="CG104" t="str">
            <v>Trans</v>
          </cell>
          <cell r="CH104" t="str">
            <v>Product</v>
          </cell>
          <cell r="CI104" t="str">
            <v>Sum Stat Amt</v>
          </cell>
          <cell r="CJ104" t="str">
            <v>Period</v>
          </cell>
          <cell r="CK104" t="str">
            <v>Date</v>
          </cell>
          <cell r="CM104" t="str">
            <v>Account</v>
          </cell>
          <cell r="CN104" t="str">
            <v>Dept</v>
          </cell>
          <cell r="CO104" t="str">
            <v>Sum Amount</v>
          </cell>
          <cell r="CP104" t="str">
            <v>Trans</v>
          </cell>
          <cell r="CQ104" t="str">
            <v>Product</v>
          </cell>
          <cell r="CR104" t="str">
            <v>Sum Stat Amt</v>
          </cell>
          <cell r="CS104" t="str">
            <v>Period</v>
          </cell>
          <cell r="CT104" t="str">
            <v>Date</v>
          </cell>
          <cell r="CV104" t="str">
            <v>Account</v>
          </cell>
          <cell r="CW104" t="str">
            <v>Dept</v>
          </cell>
          <cell r="CX104" t="str">
            <v>Sum Amount</v>
          </cell>
          <cell r="CY104" t="str">
            <v>Trans</v>
          </cell>
          <cell r="CZ104" t="str">
            <v>Product</v>
          </cell>
          <cell r="DA104" t="str">
            <v>Sum Stat Amt</v>
          </cell>
          <cell r="DB104" t="str">
            <v>Period</v>
          </cell>
          <cell r="DC104" t="str">
            <v>Date</v>
          </cell>
          <cell r="DE104" t="str">
            <v>Account</v>
          </cell>
          <cell r="DF104" t="str">
            <v>Dept</v>
          </cell>
          <cell r="DG104" t="str">
            <v>Sum Amount</v>
          </cell>
          <cell r="DH104" t="str">
            <v>Trans</v>
          </cell>
          <cell r="DI104" t="str">
            <v>Product</v>
          </cell>
          <cell r="DJ104" t="str">
            <v>Sum Stat Amt</v>
          </cell>
          <cell r="DK104" t="str">
            <v>Period</v>
          </cell>
          <cell r="DL104" t="str">
            <v>Date</v>
          </cell>
        </row>
        <row r="105">
          <cell r="M105">
            <v>204</v>
          </cell>
          <cell r="N105">
            <v>415</v>
          </cell>
          <cell r="Q105">
            <v>39478</v>
          </cell>
          <cell r="V105">
            <v>204</v>
          </cell>
          <cell r="W105">
            <v>415</v>
          </cell>
          <cell r="Z105">
            <v>39507</v>
          </cell>
          <cell r="AE105">
            <v>204</v>
          </cell>
          <cell r="AF105">
            <v>415</v>
          </cell>
          <cell r="AI105">
            <v>39538</v>
          </cell>
          <cell r="AN105">
            <v>204</v>
          </cell>
          <cell r="AO105">
            <v>415</v>
          </cell>
          <cell r="AR105">
            <v>39568</v>
          </cell>
          <cell r="AW105">
            <v>204</v>
          </cell>
          <cell r="AX105">
            <v>415</v>
          </cell>
          <cell r="BA105">
            <v>39599</v>
          </cell>
          <cell r="BF105">
            <v>204</v>
          </cell>
          <cell r="BG105">
            <v>415</v>
          </cell>
          <cell r="BJ105">
            <v>39629</v>
          </cell>
          <cell r="BO105">
            <v>204</v>
          </cell>
          <cell r="BP105">
            <v>415</v>
          </cell>
          <cell r="BS105">
            <v>39660</v>
          </cell>
          <cell r="BX105">
            <v>204</v>
          </cell>
          <cell r="BY105">
            <v>415</v>
          </cell>
          <cell r="CB105">
            <v>39691</v>
          </cell>
          <cell r="CG105">
            <v>204</v>
          </cell>
          <cell r="CH105">
            <v>415</v>
          </cell>
          <cell r="CK105">
            <v>39721</v>
          </cell>
          <cell r="CP105">
            <v>204</v>
          </cell>
          <cell r="CQ105">
            <v>415</v>
          </cell>
          <cell r="CT105">
            <v>39752</v>
          </cell>
          <cell r="CY105">
            <v>204</v>
          </cell>
          <cell r="CZ105">
            <v>415</v>
          </cell>
          <cell r="DC105">
            <v>39782</v>
          </cell>
          <cell r="DH105">
            <v>204</v>
          </cell>
          <cell r="DI105">
            <v>415</v>
          </cell>
          <cell r="DL105">
            <v>39813</v>
          </cell>
        </row>
        <row r="135">
          <cell r="J135" t="str">
            <v>Account</v>
          </cell>
          <cell r="K135" t="str">
            <v>Dept</v>
          </cell>
          <cell r="L135" t="str">
            <v>Sum Amount</v>
          </cell>
          <cell r="M135" t="str">
            <v>Trans</v>
          </cell>
          <cell r="N135" t="str">
            <v>Product</v>
          </cell>
          <cell r="O135" t="str">
            <v>Sum Stat Amt</v>
          </cell>
          <cell r="P135" t="str">
            <v>Period</v>
          </cell>
          <cell r="Q135" t="str">
            <v>Date</v>
          </cell>
          <cell r="S135" t="str">
            <v>Account</v>
          </cell>
          <cell r="T135" t="str">
            <v>Dept</v>
          </cell>
          <cell r="U135" t="str">
            <v>Sum Amount</v>
          </cell>
          <cell r="V135" t="str">
            <v>Trans</v>
          </cell>
          <cell r="W135" t="str">
            <v>Product</v>
          </cell>
          <cell r="X135" t="str">
            <v>Sum Stat Amt</v>
          </cell>
          <cell r="Y135" t="str">
            <v>Period</v>
          </cell>
          <cell r="Z135" t="str">
            <v>Date</v>
          </cell>
          <cell r="AB135" t="str">
            <v>Account</v>
          </cell>
          <cell r="AC135" t="str">
            <v>Dept</v>
          </cell>
          <cell r="AD135" t="str">
            <v>Sum Amount</v>
          </cell>
          <cell r="AE135" t="str">
            <v>Trans</v>
          </cell>
          <cell r="AF135" t="str">
            <v>Product</v>
          </cell>
          <cell r="AG135" t="str">
            <v>Sum Stat Amt</v>
          </cell>
          <cell r="AH135" t="str">
            <v>Period</v>
          </cell>
          <cell r="AI135" t="str">
            <v>Date</v>
          </cell>
          <cell r="AK135" t="str">
            <v>Account</v>
          </cell>
          <cell r="AL135" t="str">
            <v>Dept</v>
          </cell>
          <cell r="AM135" t="str">
            <v>Sum Amount</v>
          </cell>
          <cell r="AN135" t="str">
            <v>Trans</v>
          </cell>
          <cell r="AO135" t="str">
            <v>Product</v>
          </cell>
          <cell r="AP135" t="str">
            <v>Sum Stat Amt</v>
          </cell>
          <cell r="AQ135" t="str">
            <v>Period</v>
          </cell>
          <cell r="AR135" t="str">
            <v>Date</v>
          </cell>
          <cell r="AT135" t="str">
            <v>Account</v>
          </cell>
          <cell r="AU135" t="str">
            <v>Dept</v>
          </cell>
          <cell r="AV135" t="str">
            <v>Sum Amount</v>
          </cell>
          <cell r="AW135" t="str">
            <v>Trans</v>
          </cell>
          <cell r="AX135" t="str">
            <v>Product</v>
          </cell>
          <cell r="AY135" t="str">
            <v>Sum Stat Amt</v>
          </cell>
          <cell r="AZ135" t="str">
            <v>Period</v>
          </cell>
          <cell r="BA135" t="str">
            <v>Date</v>
          </cell>
          <cell r="BC135" t="str">
            <v>Account</v>
          </cell>
          <cell r="BD135" t="str">
            <v>Dept</v>
          </cell>
          <cell r="BE135" t="str">
            <v>Sum Amount</v>
          </cell>
          <cell r="BF135" t="str">
            <v>Trans</v>
          </cell>
          <cell r="BG135" t="str">
            <v>Product</v>
          </cell>
          <cell r="BH135" t="str">
            <v>Sum Stat Amt</v>
          </cell>
          <cell r="BI135" t="str">
            <v>Period</v>
          </cell>
          <cell r="BJ135" t="str">
            <v>Date</v>
          </cell>
          <cell r="BL135" t="str">
            <v>Account</v>
          </cell>
          <cell r="BM135" t="str">
            <v>Dept</v>
          </cell>
          <cell r="BN135" t="str">
            <v>Sum Amount</v>
          </cell>
          <cell r="BO135" t="str">
            <v>Trans</v>
          </cell>
          <cell r="BP135" t="str">
            <v>Product</v>
          </cell>
          <cell r="BQ135" t="str">
            <v>Sum Stat Amt</v>
          </cell>
          <cell r="BR135" t="str">
            <v>Period</v>
          </cell>
          <cell r="BS135" t="str">
            <v>Date</v>
          </cell>
          <cell r="BU135" t="str">
            <v>Account</v>
          </cell>
          <cell r="BV135" t="str">
            <v>Dept</v>
          </cell>
          <cell r="BW135" t="str">
            <v>Sum Amount</v>
          </cell>
          <cell r="BX135" t="str">
            <v>Trans</v>
          </cell>
          <cell r="BY135" t="str">
            <v>Product</v>
          </cell>
          <cell r="BZ135" t="str">
            <v>Sum Stat Amt</v>
          </cell>
          <cell r="CA135" t="str">
            <v>Period</v>
          </cell>
          <cell r="CB135" t="str">
            <v>Date</v>
          </cell>
          <cell r="CD135" t="str">
            <v>Account</v>
          </cell>
          <cell r="CE135" t="str">
            <v>Dept</v>
          </cell>
          <cell r="CF135" t="str">
            <v>Sum Amount</v>
          </cell>
          <cell r="CG135" t="str">
            <v>Trans</v>
          </cell>
          <cell r="CH135" t="str">
            <v>Product</v>
          </cell>
          <cell r="CI135" t="str">
            <v>Sum Stat Amt</v>
          </cell>
          <cell r="CJ135" t="str">
            <v>Period</v>
          </cell>
          <cell r="CK135" t="str">
            <v>Date</v>
          </cell>
          <cell r="CM135" t="str">
            <v>Account</v>
          </cell>
          <cell r="CN135" t="str">
            <v>Dept</v>
          </cell>
          <cell r="CO135" t="str">
            <v>Sum Amount</v>
          </cell>
          <cell r="CP135" t="str">
            <v>Trans</v>
          </cell>
          <cell r="CQ135" t="str">
            <v>Product</v>
          </cell>
          <cell r="CR135" t="str">
            <v>Sum Stat Amt</v>
          </cell>
          <cell r="CS135" t="str">
            <v>Period</v>
          </cell>
          <cell r="CT135" t="str">
            <v>Date</v>
          </cell>
          <cell r="CV135" t="str">
            <v>Account</v>
          </cell>
          <cell r="CW135" t="str">
            <v>Dept</v>
          </cell>
          <cell r="CX135" t="str">
            <v>Sum Amount</v>
          </cell>
          <cell r="CY135" t="str">
            <v>Trans</v>
          </cell>
          <cell r="CZ135" t="str">
            <v>Product</v>
          </cell>
          <cell r="DA135" t="str">
            <v>Sum Stat Amt</v>
          </cell>
          <cell r="DB135" t="str">
            <v>Period</v>
          </cell>
          <cell r="DC135" t="str">
            <v>Date</v>
          </cell>
          <cell r="DE135" t="str">
            <v>Account</v>
          </cell>
          <cell r="DF135" t="str">
            <v>Dept</v>
          </cell>
          <cell r="DG135" t="str">
            <v>Sum Amount</v>
          </cell>
          <cell r="DH135" t="str">
            <v>Trans</v>
          </cell>
          <cell r="DI135" t="str">
            <v>Product</v>
          </cell>
          <cell r="DJ135" t="str">
            <v>Sum Stat Amt</v>
          </cell>
          <cell r="DK135" t="str">
            <v>Period</v>
          </cell>
          <cell r="DL135" t="str">
            <v>Date</v>
          </cell>
        </row>
        <row r="136">
          <cell r="M136">
            <v>205</v>
          </cell>
          <cell r="N136">
            <v>455</v>
          </cell>
          <cell r="Q136">
            <v>39478</v>
          </cell>
          <cell r="V136">
            <v>205</v>
          </cell>
          <cell r="W136">
            <v>455</v>
          </cell>
          <cell r="Z136">
            <v>39507</v>
          </cell>
          <cell r="AE136">
            <v>205</v>
          </cell>
          <cell r="AF136">
            <v>455</v>
          </cell>
          <cell r="AI136">
            <v>39538</v>
          </cell>
          <cell r="AN136">
            <v>205</v>
          </cell>
          <cell r="AO136">
            <v>455</v>
          </cell>
          <cell r="AR136">
            <v>39568</v>
          </cell>
          <cell r="AW136">
            <v>205</v>
          </cell>
          <cell r="AX136">
            <v>455</v>
          </cell>
          <cell r="BA136">
            <v>39599</v>
          </cell>
          <cell r="BF136">
            <v>205</v>
          </cell>
          <cell r="BG136">
            <v>455</v>
          </cell>
          <cell r="BJ136">
            <v>39629</v>
          </cell>
          <cell r="BO136">
            <v>205</v>
          </cell>
          <cell r="BP136">
            <v>455</v>
          </cell>
          <cell r="BS136">
            <v>39660</v>
          </cell>
          <cell r="BX136">
            <v>205</v>
          </cell>
          <cell r="BY136">
            <v>455</v>
          </cell>
          <cell r="CB136">
            <v>39691</v>
          </cell>
          <cell r="CG136">
            <v>205</v>
          </cell>
          <cell r="CH136">
            <v>455</v>
          </cell>
          <cell r="CK136">
            <v>39721</v>
          </cell>
          <cell r="CP136">
            <v>205</v>
          </cell>
          <cell r="CQ136">
            <v>455</v>
          </cell>
          <cell r="CT136">
            <v>39752</v>
          </cell>
          <cell r="CY136">
            <v>205</v>
          </cell>
          <cell r="CZ136">
            <v>455</v>
          </cell>
          <cell r="DC136">
            <v>39782</v>
          </cell>
          <cell r="DH136">
            <v>205</v>
          </cell>
          <cell r="DI136">
            <v>455</v>
          </cell>
          <cell r="DL136">
            <v>39813</v>
          </cell>
        </row>
        <row r="163">
          <cell r="J163" t="str">
            <v>Account</v>
          </cell>
          <cell r="K163" t="str">
            <v>Dept</v>
          </cell>
          <cell r="L163" t="str">
            <v>Sum Amount</v>
          </cell>
          <cell r="M163" t="str">
            <v>Trans</v>
          </cell>
          <cell r="N163" t="str">
            <v>Product</v>
          </cell>
          <cell r="O163" t="str">
            <v>Sum Stat Amt</v>
          </cell>
          <cell r="P163" t="str">
            <v>Period</v>
          </cell>
          <cell r="Q163" t="str">
            <v>Date</v>
          </cell>
          <cell r="S163" t="str">
            <v>Account</v>
          </cell>
          <cell r="T163" t="str">
            <v>Dept</v>
          </cell>
          <cell r="U163" t="str">
            <v>Sum Amount</v>
          </cell>
          <cell r="V163" t="str">
            <v>Trans</v>
          </cell>
          <cell r="W163" t="str">
            <v>Product</v>
          </cell>
          <cell r="X163" t="str">
            <v>Sum Stat Amt</v>
          </cell>
          <cell r="Y163" t="str">
            <v>Period</v>
          </cell>
          <cell r="Z163" t="str">
            <v>Date</v>
          </cell>
          <cell r="AB163" t="str">
            <v>Account</v>
          </cell>
          <cell r="AC163" t="str">
            <v>Dept</v>
          </cell>
          <cell r="AD163" t="str">
            <v>Sum Amount</v>
          </cell>
          <cell r="AE163" t="str">
            <v>Trans</v>
          </cell>
          <cell r="AF163" t="str">
            <v>Product</v>
          </cell>
          <cell r="AG163" t="str">
            <v>Sum Stat Amt</v>
          </cell>
          <cell r="AH163" t="str">
            <v>Period</v>
          </cell>
          <cell r="AI163" t="str">
            <v>Date</v>
          </cell>
          <cell r="AK163" t="str">
            <v>Account</v>
          </cell>
          <cell r="AL163" t="str">
            <v>Dept</v>
          </cell>
          <cell r="AM163" t="str">
            <v>Sum Amount</v>
          </cell>
          <cell r="AN163" t="str">
            <v>Trans</v>
          </cell>
          <cell r="AO163" t="str">
            <v>Product</v>
          </cell>
          <cell r="AP163" t="str">
            <v>Sum Stat Amt</v>
          </cell>
          <cell r="AQ163" t="str">
            <v>Period</v>
          </cell>
          <cell r="AR163" t="str">
            <v>Date</v>
          </cell>
          <cell r="AT163" t="str">
            <v>Account</v>
          </cell>
          <cell r="AU163" t="str">
            <v>Dept</v>
          </cell>
          <cell r="AV163" t="str">
            <v>Sum Amount</v>
          </cell>
          <cell r="AW163" t="str">
            <v>Trans</v>
          </cell>
          <cell r="AX163" t="str">
            <v>Product</v>
          </cell>
          <cell r="AY163" t="str">
            <v>Sum Stat Amt</v>
          </cell>
          <cell r="AZ163" t="str">
            <v>Period</v>
          </cell>
          <cell r="BA163" t="str">
            <v>Date</v>
          </cell>
          <cell r="BC163" t="str">
            <v>Account</v>
          </cell>
          <cell r="BD163" t="str">
            <v>Dept</v>
          </cell>
          <cell r="BE163" t="str">
            <v>Sum Amount</v>
          </cell>
          <cell r="BF163" t="str">
            <v>Trans</v>
          </cell>
          <cell r="BG163" t="str">
            <v>Product</v>
          </cell>
          <cell r="BH163" t="str">
            <v>Sum Stat Amt</v>
          </cell>
          <cell r="BI163" t="str">
            <v>Period</v>
          </cell>
          <cell r="BJ163" t="str">
            <v>Date</v>
          </cell>
          <cell r="BL163" t="str">
            <v>Account</v>
          </cell>
          <cell r="BM163" t="str">
            <v>Dept</v>
          </cell>
          <cell r="BN163" t="str">
            <v>Sum Amount</v>
          </cell>
          <cell r="BO163" t="str">
            <v>Trans</v>
          </cell>
          <cell r="BP163" t="str">
            <v>Product</v>
          </cell>
          <cell r="BQ163" t="str">
            <v>Sum Stat Amt</v>
          </cell>
          <cell r="BR163" t="str">
            <v>Period</v>
          </cell>
          <cell r="BS163" t="str">
            <v>Date</v>
          </cell>
          <cell r="BU163" t="str">
            <v>Account</v>
          </cell>
          <cell r="BV163" t="str">
            <v>Dept</v>
          </cell>
          <cell r="BW163" t="str">
            <v>Sum Amount</v>
          </cell>
          <cell r="BX163" t="str">
            <v>Trans</v>
          </cell>
          <cell r="BY163" t="str">
            <v>Product</v>
          </cell>
          <cell r="BZ163" t="str">
            <v>Sum Stat Amt</v>
          </cell>
          <cell r="CA163" t="str">
            <v>Period</v>
          </cell>
          <cell r="CB163" t="str">
            <v>Date</v>
          </cell>
          <cell r="CD163" t="str">
            <v>Account</v>
          </cell>
          <cell r="CE163" t="str">
            <v>Dept</v>
          </cell>
          <cell r="CF163" t="str">
            <v>Sum Amount</v>
          </cell>
          <cell r="CG163" t="str">
            <v>Trans</v>
          </cell>
          <cell r="CH163" t="str">
            <v>Product</v>
          </cell>
          <cell r="CI163" t="str">
            <v>Sum Stat Amt</v>
          </cell>
          <cell r="CJ163" t="str">
            <v>Period</v>
          </cell>
          <cell r="CK163" t="str">
            <v>Date</v>
          </cell>
          <cell r="CM163" t="str">
            <v>Account</v>
          </cell>
          <cell r="CN163" t="str">
            <v>Dept</v>
          </cell>
          <cell r="CO163" t="str">
            <v>Sum Amount</v>
          </cell>
          <cell r="CP163" t="str">
            <v>Trans</v>
          </cell>
          <cell r="CQ163" t="str">
            <v>Product</v>
          </cell>
          <cell r="CR163" t="str">
            <v>Sum Stat Amt</v>
          </cell>
          <cell r="CS163" t="str">
            <v>Period</v>
          </cell>
          <cell r="CT163" t="str">
            <v>Date</v>
          </cell>
          <cell r="CV163" t="str">
            <v>Account</v>
          </cell>
          <cell r="CW163" t="str">
            <v>Dept</v>
          </cell>
          <cell r="CX163" t="str">
            <v>Sum Amount</v>
          </cell>
          <cell r="CY163" t="str">
            <v>Trans</v>
          </cell>
          <cell r="CZ163" t="str">
            <v>Product</v>
          </cell>
          <cell r="DA163" t="str">
            <v>Sum Stat Amt</v>
          </cell>
          <cell r="DB163" t="str">
            <v>Period</v>
          </cell>
          <cell r="DC163" t="str">
            <v>Date</v>
          </cell>
          <cell r="DE163" t="str">
            <v>Account</v>
          </cell>
          <cell r="DF163" t="str">
            <v>Dept</v>
          </cell>
          <cell r="DG163" t="str">
            <v>Sum Amount</v>
          </cell>
          <cell r="DH163" t="str">
            <v>Trans</v>
          </cell>
          <cell r="DI163" t="str">
            <v>Product</v>
          </cell>
          <cell r="DJ163" t="str">
            <v>Sum Stat Amt</v>
          </cell>
          <cell r="DK163" t="str">
            <v>Period</v>
          </cell>
          <cell r="DL163" t="str">
            <v>Date</v>
          </cell>
        </row>
        <row r="164">
          <cell r="M164" t="str">
            <v>215</v>
          </cell>
          <cell r="N164" t="str">
            <v>CET</v>
          </cell>
          <cell r="Q164">
            <v>39478</v>
          </cell>
          <cell r="V164" t="str">
            <v>215</v>
          </cell>
          <cell r="W164" t="str">
            <v>CET</v>
          </cell>
          <cell r="Z164">
            <v>39507</v>
          </cell>
          <cell r="AE164" t="str">
            <v>215</v>
          </cell>
          <cell r="AF164" t="str">
            <v>CET</v>
          </cell>
          <cell r="AI164">
            <v>39538</v>
          </cell>
          <cell r="AN164" t="str">
            <v>215</v>
          </cell>
          <cell r="AO164" t="str">
            <v>CET</v>
          </cell>
          <cell r="AR164">
            <v>39568</v>
          </cell>
          <cell r="AW164" t="str">
            <v>215</v>
          </cell>
          <cell r="AX164" t="str">
            <v>CET</v>
          </cell>
          <cell r="BA164">
            <v>39599</v>
          </cell>
          <cell r="BF164" t="str">
            <v>215</v>
          </cell>
          <cell r="BG164" t="str">
            <v>CET</v>
          </cell>
          <cell r="BJ164">
            <v>39629</v>
          </cell>
          <cell r="BO164" t="str">
            <v>215</v>
          </cell>
          <cell r="BP164" t="str">
            <v>CET</v>
          </cell>
          <cell r="BS164">
            <v>39660</v>
          </cell>
          <cell r="BX164" t="str">
            <v>215</v>
          </cell>
          <cell r="BY164" t="str">
            <v>CET</v>
          </cell>
          <cell r="CB164">
            <v>39691</v>
          </cell>
          <cell r="CG164" t="str">
            <v>215</v>
          </cell>
          <cell r="CH164" t="str">
            <v>CET</v>
          </cell>
          <cell r="CK164">
            <v>39721</v>
          </cell>
          <cell r="CP164" t="str">
            <v>215</v>
          </cell>
          <cell r="CQ164" t="str">
            <v>CET</v>
          </cell>
          <cell r="CT164">
            <v>39752</v>
          </cell>
          <cell r="CY164" t="str">
            <v>215</v>
          </cell>
          <cell r="CZ164" t="str">
            <v>CET</v>
          </cell>
          <cell r="DC164">
            <v>39782</v>
          </cell>
          <cell r="DH164" t="str">
            <v>215</v>
          </cell>
          <cell r="DI164" t="str">
            <v>CET</v>
          </cell>
          <cell r="DL164">
            <v>39813</v>
          </cell>
        </row>
        <row r="166">
          <cell r="J166" t="str">
            <v>Account</v>
          </cell>
          <cell r="K166" t="str">
            <v>Dept</v>
          </cell>
          <cell r="L166" t="str">
            <v>Sum Amount</v>
          </cell>
          <cell r="M166" t="str">
            <v>Trans</v>
          </cell>
          <cell r="N166" t="str">
            <v>Product</v>
          </cell>
          <cell r="O166" t="str">
            <v>Sum Stat Amt</v>
          </cell>
          <cell r="P166" t="str">
            <v>Period</v>
          </cell>
          <cell r="Q166" t="str">
            <v>Date</v>
          </cell>
          <cell r="S166" t="str">
            <v>Account</v>
          </cell>
          <cell r="T166" t="str">
            <v>Dept</v>
          </cell>
          <cell r="U166" t="str">
            <v>Sum Amount</v>
          </cell>
          <cell r="V166" t="str">
            <v>Trans</v>
          </cell>
          <cell r="W166" t="str">
            <v>Product</v>
          </cell>
          <cell r="X166" t="str">
            <v>Sum Stat Amt</v>
          </cell>
          <cell r="Y166" t="str">
            <v>Period</v>
          </cell>
          <cell r="Z166" t="str">
            <v>Date</v>
          </cell>
          <cell r="AB166" t="str">
            <v>Account</v>
          </cell>
          <cell r="AC166" t="str">
            <v>Dept</v>
          </cell>
          <cell r="AD166" t="str">
            <v>Sum Amount</v>
          </cell>
          <cell r="AE166" t="str">
            <v>Trans</v>
          </cell>
          <cell r="AF166" t="str">
            <v>Product</v>
          </cell>
          <cell r="AG166" t="str">
            <v>Sum Stat Amt</v>
          </cell>
          <cell r="AH166" t="str">
            <v>Period</v>
          </cell>
          <cell r="AI166" t="str">
            <v>Date</v>
          </cell>
          <cell r="AK166" t="str">
            <v>Account</v>
          </cell>
          <cell r="AL166" t="str">
            <v>Dept</v>
          </cell>
          <cell r="AM166" t="str">
            <v>Sum Amount</v>
          </cell>
          <cell r="AN166" t="str">
            <v>Trans</v>
          </cell>
          <cell r="AO166" t="str">
            <v>Product</v>
          </cell>
          <cell r="AP166" t="str">
            <v>Sum Stat Amt</v>
          </cell>
          <cell r="AQ166" t="str">
            <v>Period</v>
          </cell>
          <cell r="AR166" t="str">
            <v>Date</v>
          </cell>
          <cell r="AT166" t="str">
            <v>Account</v>
          </cell>
          <cell r="AU166" t="str">
            <v>Dept</v>
          </cell>
          <cell r="AV166" t="str">
            <v>Sum Amount</v>
          </cell>
          <cell r="AW166" t="str">
            <v>Trans</v>
          </cell>
          <cell r="AX166" t="str">
            <v>Product</v>
          </cell>
          <cell r="AY166" t="str">
            <v>Sum Stat Amt</v>
          </cell>
          <cell r="AZ166" t="str">
            <v>Period</v>
          </cell>
          <cell r="BA166" t="str">
            <v>Date</v>
          </cell>
          <cell r="BC166" t="str">
            <v>Account</v>
          </cell>
          <cell r="BD166" t="str">
            <v>Dept</v>
          </cell>
          <cell r="BE166" t="str">
            <v>Sum Amount</v>
          </cell>
          <cell r="BF166" t="str">
            <v>Trans</v>
          </cell>
          <cell r="BG166" t="str">
            <v>Product</v>
          </cell>
          <cell r="BH166" t="str">
            <v>Sum Stat Amt</v>
          </cell>
          <cell r="BI166" t="str">
            <v>Period</v>
          </cell>
          <cell r="BJ166" t="str">
            <v>Date</v>
          </cell>
          <cell r="BL166" t="str">
            <v>Account</v>
          </cell>
          <cell r="BM166" t="str">
            <v>Dept</v>
          </cell>
          <cell r="BN166" t="str">
            <v>Sum Amount</v>
          </cell>
          <cell r="BO166" t="str">
            <v>Trans</v>
          </cell>
          <cell r="BP166" t="str">
            <v>Product</v>
          </cell>
          <cell r="BQ166" t="str">
            <v>Sum Stat Amt</v>
          </cell>
          <cell r="BR166" t="str">
            <v>Period</v>
          </cell>
          <cell r="BS166" t="str">
            <v>Date</v>
          </cell>
          <cell r="BU166" t="str">
            <v>Account</v>
          </cell>
          <cell r="BV166" t="str">
            <v>Dept</v>
          </cell>
          <cell r="BW166" t="str">
            <v>Sum Amount</v>
          </cell>
          <cell r="BX166" t="str">
            <v>Trans</v>
          </cell>
          <cell r="BY166" t="str">
            <v>Product</v>
          </cell>
          <cell r="BZ166" t="str">
            <v>Sum Stat Amt</v>
          </cell>
          <cell r="CA166" t="str">
            <v>Period</v>
          </cell>
          <cell r="CB166" t="str">
            <v>Date</v>
          </cell>
          <cell r="CD166" t="str">
            <v>Account</v>
          </cell>
          <cell r="CE166" t="str">
            <v>Dept</v>
          </cell>
          <cell r="CF166" t="str">
            <v>Sum Amount</v>
          </cell>
          <cell r="CG166" t="str">
            <v>Trans</v>
          </cell>
          <cell r="CH166" t="str">
            <v>Product</v>
          </cell>
          <cell r="CI166" t="str">
            <v>Sum Stat Amt</v>
          </cell>
          <cell r="CJ166" t="str">
            <v>Period</v>
          </cell>
          <cell r="CK166" t="str">
            <v>Date</v>
          </cell>
          <cell r="CM166" t="str">
            <v>Account</v>
          </cell>
          <cell r="CN166" t="str">
            <v>Dept</v>
          </cell>
          <cell r="CO166" t="str">
            <v>Sum Amount</v>
          </cell>
          <cell r="CP166" t="str">
            <v>Trans</v>
          </cell>
          <cell r="CQ166" t="str">
            <v>Product</v>
          </cell>
          <cell r="CR166" t="str">
            <v>Sum Stat Amt</v>
          </cell>
          <cell r="CS166" t="str">
            <v>Period</v>
          </cell>
          <cell r="CT166" t="str">
            <v>Date</v>
          </cell>
          <cell r="CV166" t="str">
            <v>Account</v>
          </cell>
          <cell r="CW166" t="str">
            <v>Dept</v>
          </cell>
          <cell r="CX166" t="str">
            <v>Sum Amount</v>
          </cell>
          <cell r="CY166" t="str">
            <v>Trans</v>
          </cell>
          <cell r="CZ166" t="str">
            <v>Product</v>
          </cell>
          <cell r="DA166" t="str">
            <v>Sum Stat Amt</v>
          </cell>
          <cell r="DB166" t="str">
            <v>Period</v>
          </cell>
          <cell r="DC166" t="str">
            <v>Date</v>
          </cell>
          <cell r="DE166" t="str">
            <v>Account</v>
          </cell>
          <cell r="DF166" t="str">
            <v>Dept</v>
          </cell>
          <cell r="DG166" t="str">
            <v>Sum Amount</v>
          </cell>
          <cell r="DH166" t="str">
            <v>Trans</v>
          </cell>
          <cell r="DI166" t="str">
            <v>Product</v>
          </cell>
          <cell r="DJ166" t="str">
            <v>Sum Stat Amt</v>
          </cell>
          <cell r="DK166" t="str">
            <v>Period</v>
          </cell>
          <cell r="DL166" t="str">
            <v>Date</v>
          </cell>
        </row>
        <row r="167">
          <cell r="M167">
            <v>216</v>
          </cell>
          <cell r="Q167">
            <v>39478</v>
          </cell>
          <cell r="V167">
            <v>216</v>
          </cell>
          <cell r="Z167">
            <v>39507</v>
          </cell>
          <cell r="AE167">
            <v>216</v>
          </cell>
          <cell r="AI167">
            <v>39538</v>
          </cell>
          <cell r="AN167">
            <v>216</v>
          </cell>
          <cell r="AR167">
            <v>39568</v>
          </cell>
          <cell r="AW167">
            <v>216</v>
          </cell>
          <cell r="BA167">
            <v>39599</v>
          </cell>
          <cell r="BF167">
            <v>216</v>
          </cell>
          <cell r="BJ167">
            <v>39629</v>
          </cell>
          <cell r="BO167">
            <v>216</v>
          </cell>
          <cell r="BS167">
            <v>39660</v>
          </cell>
          <cell r="BX167">
            <v>216</v>
          </cell>
          <cell r="CB167">
            <v>39691</v>
          </cell>
          <cell r="CG167">
            <v>216</v>
          </cell>
          <cell r="CK167">
            <v>39721</v>
          </cell>
          <cell r="CP167">
            <v>216</v>
          </cell>
          <cell r="CT167">
            <v>39752</v>
          </cell>
          <cell r="CY167">
            <v>216</v>
          </cell>
          <cell r="DC167">
            <v>39782</v>
          </cell>
          <cell r="DH167">
            <v>216</v>
          </cell>
          <cell r="DL167">
            <v>39813</v>
          </cell>
        </row>
        <row r="169">
          <cell r="J169" t="str">
            <v>Account</v>
          </cell>
          <cell r="K169" t="str">
            <v>Dept</v>
          </cell>
          <cell r="L169" t="str">
            <v>Sum Amount</v>
          </cell>
          <cell r="M169" t="str">
            <v>Trans</v>
          </cell>
          <cell r="N169" t="str">
            <v>Product</v>
          </cell>
          <cell r="O169" t="str">
            <v>Sum Stat Amt</v>
          </cell>
          <cell r="P169" t="str">
            <v>Period</v>
          </cell>
          <cell r="Q169" t="str">
            <v>Date</v>
          </cell>
          <cell r="S169" t="str">
            <v>Account</v>
          </cell>
          <cell r="T169" t="str">
            <v>Dept</v>
          </cell>
          <cell r="U169" t="str">
            <v>Sum Amount</v>
          </cell>
          <cell r="V169" t="str">
            <v>Trans</v>
          </cell>
          <cell r="W169" t="str">
            <v>Product</v>
          </cell>
          <cell r="X169" t="str">
            <v>Sum Stat Amt</v>
          </cell>
          <cell r="Y169" t="str">
            <v>Period</v>
          </cell>
          <cell r="Z169" t="str">
            <v>Date</v>
          </cell>
          <cell r="AB169" t="str">
            <v>Account</v>
          </cell>
          <cell r="AC169" t="str">
            <v>Dept</v>
          </cell>
          <cell r="AD169" t="str">
            <v>Sum Amount</v>
          </cell>
          <cell r="AE169" t="str">
            <v>Trans</v>
          </cell>
          <cell r="AF169" t="str">
            <v>Product</v>
          </cell>
          <cell r="AG169" t="str">
            <v>Sum Stat Amt</v>
          </cell>
          <cell r="AH169" t="str">
            <v>Period</v>
          </cell>
          <cell r="AI169" t="str">
            <v>Date</v>
          </cell>
          <cell r="AK169" t="str">
            <v>Account</v>
          </cell>
          <cell r="AL169" t="str">
            <v>Dept</v>
          </cell>
          <cell r="AM169" t="str">
            <v>Sum Amount</v>
          </cell>
          <cell r="AN169" t="str">
            <v>Trans</v>
          </cell>
          <cell r="AO169" t="str">
            <v>Product</v>
          </cell>
          <cell r="AP169" t="str">
            <v>Sum Stat Amt</v>
          </cell>
          <cell r="AQ169" t="str">
            <v>Period</v>
          </cell>
          <cell r="AR169" t="str">
            <v>Date</v>
          </cell>
          <cell r="AT169" t="str">
            <v>Account</v>
          </cell>
          <cell r="AU169" t="str">
            <v>Dept</v>
          </cell>
          <cell r="AV169" t="str">
            <v>Sum Amount</v>
          </cell>
          <cell r="AW169" t="str">
            <v>Trans</v>
          </cell>
          <cell r="AX169" t="str">
            <v>Product</v>
          </cell>
          <cell r="AY169" t="str">
            <v>Sum Stat Amt</v>
          </cell>
          <cell r="AZ169" t="str">
            <v>Period</v>
          </cell>
          <cell r="BA169" t="str">
            <v>Date</v>
          </cell>
          <cell r="BC169" t="str">
            <v>Account</v>
          </cell>
          <cell r="BD169" t="str">
            <v>Dept</v>
          </cell>
          <cell r="BE169" t="str">
            <v>Sum Amount</v>
          </cell>
          <cell r="BF169" t="str">
            <v>Trans</v>
          </cell>
          <cell r="BG169" t="str">
            <v>Product</v>
          </cell>
          <cell r="BH169" t="str">
            <v>Sum Stat Amt</v>
          </cell>
          <cell r="BI169" t="str">
            <v>Period</v>
          </cell>
          <cell r="BJ169" t="str">
            <v>Date</v>
          </cell>
          <cell r="BL169" t="str">
            <v>Account</v>
          </cell>
          <cell r="BM169" t="str">
            <v>Dept</v>
          </cell>
          <cell r="BN169" t="str">
            <v>Sum Amount</v>
          </cell>
          <cell r="BO169" t="str">
            <v>Trans</v>
          </cell>
          <cell r="BP169" t="str">
            <v>Product</v>
          </cell>
          <cell r="BQ169" t="str">
            <v>Sum Stat Amt</v>
          </cell>
          <cell r="BR169" t="str">
            <v>Period</v>
          </cell>
          <cell r="BS169" t="str">
            <v>Date</v>
          </cell>
          <cell r="BU169" t="str">
            <v>Account</v>
          </cell>
          <cell r="BV169" t="str">
            <v>Dept</v>
          </cell>
          <cell r="BW169" t="str">
            <v>Sum Amount</v>
          </cell>
          <cell r="BX169" t="str">
            <v>Trans</v>
          </cell>
          <cell r="BY169" t="str">
            <v>Product</v>
          </cell>
          <cell r="BZ169" t="str">
            <v>Sum Stat Amt</v>
          </cell>
          <cell r="CA169" t="str">
            <v>Period</v>
          </cell>
          <cell r="CB169" t="str">
            <v>Date</v>
          </cell>
          <cell r="CD169" t="str">
            <v>Account</v>
          </cell>
          <cell r="CE169" t="str">
            <v>Dept</v>
          </cell>
          <cell r="CF169" t="str">
            <v>Sum Amount</v>
          </cell>
          <cell r="CG169" t="str">
            <v>Trans</v>
          </cell>
          <cell r="CH169" t="str">
            <v>Product</v>
          </cell>
          <cell r="CI169" t="str">
            <v>Sum Stat Amt</v>
          </cell>
          <cell r="CJ169" t="str">
            <v>Period</v>
          </cell>
          <cell r="CK169" t="str">
            <v>Date</v>
          </cell>
          <cell r="CM169" t="str">
            <v>Account</v>
          </cell>
          <cell r="CN169" t="str">
            <v>Dept</v>
          </cell>
          <cell r="CO169" t="str">
            <v>Sum Amount</v>
          </cell>
          <cell r="CP169" t="str">
            <v>Trans</v>
          </cell>
          <cell r="CQ169" t="str">
            <v>Product</v>
          </cell>
          <cell r="CR169" t="str">
            <v>Sum Stat Amt</v>
          </cell>
          <cell r="CS169" t="str">
            <v>Period</v>
          </cell>
          <cell r="CT169" t="str">
            <v>Date</v>
          </cell>
          <cell r="CV169" t="str">
            <v>Account</v>
          </cell>
          <cell r="CW169" t="str">
            <v>Dept</v>
          </cell>
          <cell r="CX169" t="str">
            <v>Sum Amount</v>
          </cell>
          <cell r="CY169" t="str">
            <v>Trans</v>
          </cell>
          <cell r="CZ169" t="str">
            <v>Product</v>
          </cell>
          <cell r="DA169" t="str">
            <v>Sum Stat Amt</v>
          </cell>
          <cell r="DB169" t="str">
            <v>Period</v>
          </cell>
          <cell r="DC169" t="str">
            <v>Date</v>
          </cell>
          <cell r="DE169" t="str">
            <v>Account</v>
          </cell>
          <cell r="DF169" t="str">
            <v>Dept</v>
          </cell>
          <cell r="DG169" t="str">
            <v>Sum Amount</v>
          </cell>
          <cell r="DH169" t="str">
            <v>Trans</v>
          </cell>
          <cell r="DI169" t="str">
            <v>Product</v>
          </cell>
          <cell r="DJ169" t="str">
            <v>Sum Stat Amt</v>
          </cell>
          <cell r="DK169" t="str">
            <v>Period</v>
          </cell>
          <cell r="DL169" t="str">
            <v>Date</v>
          </cell>
        </row>
        <row r="170">
          <cell r="M170">
            <v>200</v>
          </cell>
          <cell r="Q170">
            <v>39478</v>
          </cell>
          <cell r="V170">
            <v>200</v>
          </cell>
          <cell r="Z170">
            <v>39507</v>
          </cell>
          <cell r="AE170">
            <v>200</v>
          </cell>
          <cell r="AI170">
            <v>39538</v>
          </cell>
          <cell r="AN170">
            <v>200</v>
          </cell>
          <cell r="AR170">
            <v>39568</v>
          </cell>
          <cell r="AW170">
            <v>200</v>
          </cell>
          <cell r="BA170">
            <v>39599</v>
          </cell>
          <cell r="BF170">
            <v>200</v>
          </cell>
          <cell r="BJ170">
            <v>39629</v>
          </cell>
          <cell r="BO170">
            <v>200</v>
          </cell>
          <cell r="BS170">
            <v>39660</v>
          </cell>
          <cell r="BX170">
            <v>200</v>
          </cell>
          <cell r="CB170">
            <v>39691</v>
          </cell>
          <cell r="CG170">
            <v>200</v>
          </cell>
          <cell r="CK170">
            <v>39721</v>
          </cell>
          <cell r="CP170">
            <v>200</v>
          </cell>
          <cell r="CT170">
            <v>39752</v>
          </cell>
          <cell r="CY170">
            <v>200</v>
          </cell>
          <cell r="DC170">
            <v>39782</v>
          </cell>
          <cell r="DH170">
            <v>200</v>
          </cell>
          <cell r="DL170">
            <v>39813</v>
          </cell>
        </row>
        <row r="172">
          <cell r="J172" t="str">
            <v>Account</v>
          </cell>
          <cell r="K172" t="str">
            <v>Oper Unit</v>
          </cell>
          <cell r="L172" t="str">
            <v>Product</v>
          </cell>
          <cell r="M172" t="str">
            <v>Trans</v>
          </cell>
          <cell r="N172" t="str">
            <v>Date</v>
          </cell>
          <cell r="O172" t="str">
            <v>Journal ID</v>
          </cell>
          <cell r="P172" t="str">
            <v>Monetary Amount</v>
          </cell>
          <cell r="Q172" t="str">
            <v>Statistic Amount</v>
          </cell>
          <cell r="S172" t="str">
            <v>Account</v>
          </cell>
          <cell r="T172" t="str">
            <v>Oper Unit</v>
          </cell>
          <cell r="U172" t="str">
            <v>Product</v>
          </cell>
          <cell r="V172" t="str">
            <v>Trans</v>
          </cell>
          <cell r="W172" t="str">
            <v>Date</v>
          </cell>
          <cell r="X172" t="str">
            <v>Journal ID</v>
          </cell>
          <cell r="Y172" t="str">
            <v>Monetary Amount</v>
          </cell>
          <cell r="Z172" t="str">
            <v>Statistic Amount</v>
          </cell>
          <cell r="AB172" t="str">
            <v>Account</v>
          </cell>
          <cell r="AC172" t="str">
            <v>Oper Unit</v>
          </cell>
          <cell r="AD172" t="str">
            <v>Product</v>
          </cell>
          <cell r="AE172" t="str">
            <v>Trans</v>
          </cell>
          <cell r="AF172" t="str">
            <v>Date</v>
          </cell>
          <cell r="AG172" t="str">
            <v>Journal ID</v>
          </cell>
          <cell r="AH172" t="str">
            <v>Monetary Amount</v>
          </cell>
          <cell r="AI172" t="str">
            <v>Statistic Amount</v>
          </cell>
          <cell r="AK172" t="str">
            <v>Account</v>
          </cell>
          <cell r="AL172" t="str">
            <v>Oper Unit</v>
          </cell>
          <cell r="AM172" t="str">
            <v>Product</v>
          </cell>
          <cell r="AN172" t="str">
            <v>Trans</v>
          </cell>
          <cell r="AO172" t="str">
            <v>Date</v>
          </cell>
          <cell r="AP172" t="str">
            <v>Journal ID</v>
          </cell>
          <cell r="AQ172" t="str">
            <v>Monetary Amount</v>
          </cell>
          <cell r="AR172" t="str">
            <v>Statistic Amount</v>
          </cell>
          <cell r="AT172" t="str">
            <v>Account</v>
          </cell>
          <cell r="AU172" t="str">
            <v>Oper Unit</v>
          </cell>
          <cell r="AV172" t="str">
            <v>Product</v>
          </cell>
          <cell r="AW172" t="str">
            <v>Trans</v>
          </cell>
          <cell r="AX172" t="str">
            <v>Date</v>
          </cell>
          <cell r="AY172" t="str">
            <v>Journal ID</v>
          </cell>
          <cell r="AZ172" t="str">
            <v>Monetary Amount</v>
          </cell>
          <cell r="BA172" t="str">
            <v>Statistic Amount</v>
          </cell>
          <cell r="BC172" t="str">
            <v>Account</v>
          </cell>
          <cell r="BD172" t="str">
            <v>Oper Unit</v>
          </cell>
          <cell r="BE172" t="str">
            <v>Product</v>
          </cell>
          <cell r="BF172" t="str">
            <v>Trans</v>
          </cell>
          <cell r="BG172" t="str">
            <v>Date</v>
          </cell>
          <cell r="BH172" t="str">
            <v>Journal ID</v>
          </cell>
          <cell r="BI172" t="str">
            <v>Monetary Amount</v>
          </cell>
          <cell r="BJ172" t="str">
            <v>Statistic Amount</v>
          </cell>
          <cell r="BL172" t="str">
            <v>Account</v>
          </cell>
          <cell r="BM172" t="str">
            <v>Oper Unit</v>
          </cell>
          <cell r="BN172" t="str">
            <v>Product</v>
          </cell>
          <cell r="BO172" t="str">
            <v>Trans</v>
          </cell>
          <cell r="BP172" t="str">
            <v>Date</v>
          </cell>
          <cell r="BQ172" t="str">
            <v>Journal ID</v>
          </cell>
          <cell r="BR172" t="str">
            <v>Monetary Amount</v>
          </cell>
          <cell r="BS172" t="str">
            <v>Statistic Amount</v>
          </cell>
          <cell r="BU172" t="str">
            <v>Account</v>
          </cell>
          <cell r="BV172" t="str">
            <v>Oper Unit</v>
          </cell>
          <cell r="BW172" t="str">
            <v>Product</v>
          </cell>
          <cell r="BX172" t="str">
            <v>Trans</v>
          </cell>
          <cell r="BY172" t="str">
            <v>Date</v>
          </cell>
          <cell r="BZ172" t="str">
            <v>Journal ID</v>
          </cell>
          <cell r="CA172" t="str">
            <v>Monetary Amount</v>
          </cell>
          <cell r="CB172" t="str">
            <v>Statistic Amount</v>
          </cell>
          <cell r="CD172" t="str">
            <v>Account</v>
          </cell>
          <cell r="CE172" t="str">
            <v>Oper Unit</v>
          </cell>
          <cell r="CF172" t="str">
            <v>Product</v>
          </cell>
          <cell r="CG172" t="str">
            <v>Trans</v>
          </cell>
          <cell r="CH172" t="str">
            <v>Date</v>
          </cell>
          <cell r="CI172" t="str">
            <v>Journal ID</v>
          </cell>
          <cell r="CJ172" t="str">
            <v>Monetary Amount</v>
          </cell>
          <cell r="CK172" t="str">
            <v>Statistic Amount</v>
          </cell>
          <cell r="CM172" t="str">
            <v>Account</v>
          </cell>
          <cell r="CN172" t="str">
            <v>Oper Unit</v>
          </cell>
          <cell r="CO172" t="str">
            <v>Product</v>
          </cell>
          <cell r="CP172" t="str">
            <v>Trans</v>
          </cell>
          <cell r="CQ172" t="str">
            <v>Date</v>
          </cell>
          <cell r="CR172" t="str">
            <v>Journal ID</v>
          </cell>
          <cell r="CS172" t="str">
            <v>Monetary Amount</v>
          </cell>
          <cell r="CT172" t="str">
            <v>Statistic Amount</v>
          </cell>
          <cell r="CV172" t="str">
            <v>Account</v>
          </cell>
          <cell r="CW172" t="str">
            <v>Oper Unit</v>
          </cell>
          <cell r="CX172" t="str">
            <v>Product</v>
          </cell>
          <cell r="CY172" t="str">
            <v>Trans</v>
          </cell>
          <cell r="CZ172" t="str">
            <v>Date</v>
          </cell>
          <cell r="DA172" t="str">
            <v>Journal ID</v>
          </cell>
          <cell r="DB172" t="str">
            <v>Monetary Amount</v>
          </cell>
          <cell r="DC172" t="str">
            <v>Statistic Amount</v>
          </cell>
          <cell r="DE172" t="str">
            <v>Account</v>
          </cell>
          <cell r="DF172" t="str">
            <v>Oper Unit</v>
          </cell>
          <cell r="DG172" t="str">
            <v>Product</v>
          </cell>
          <cell r="DH172" t="str">
            <v>Trans</v>
          </cell>
          <cell r="DI172" t="str">
            <v>Date</v>
          </cell>
          <cell r="DJ172" t="str">
            <v>Journal ID</v>
          </cell>
          <cell r="DK172" t="str">
            <v>Monetary Amount</v>
          </cell>
          <cell r="DL172" t="str">
            <v>Statistic Amount</v>
          </cell>
        </row>
        <row r="173">
          <cell r="K173">
            <v>1993</v>
          </cell>
          <cell r="M173">
            <v>200</v>
          </cell>
          <cell r="N173">
            <v>39478</v>
          </cell>
          <cell r="T173">
            <v>1993</v>
          </cell>
          <cell r="V173">
            <v>200</v>
          </cell>
          <cell r="W173">
            <v>39507</v>
          </cell>
          <cell r="AC173">
            <v>1993</v>
          </cell>
          <cell r="AE173">
            <v>200</v>
          </cell>
          <cell r="AF173">
            <v>39538</v>
          </cell>
          <cell r="AL173">
            <v>1993</v>
          </cell>
          <cell r="AN173">
            <v>200</v>
          </cell>
          <cell r="AO173">
            <v>39568</v>
          </cell>
          <cell r="AU173">
            <v>1993</v>
          </cell>
          <cell r="AW173">
            <v>200</v>
          </cell>
          <cell r="AX173">
            <v>39599</v>
          </cell>
          <cell r="BD173">
            <v>1993</v>
          </cell>
          <cell r="BF173">
            <v>200</v>
          </cell>
          <cell r="BG173">
            <v>39629</v>
          </cell>
          <cell r="BM173">
            <v>1993</v>
          </cell>
          <cell r="BO173">
            <v>200</v>
          </cell>
          <cell r="BP173">
            <v>39660</v>
          </cell>
          <cell r="BV173">
            <v>1993</v>
          </cell>
          <cell r="BX173">
            <v>200</v>
          </cell>
          <cell r="BY173">
            <v>39691</v>
          </cell>
          <cell r="CE173">
            <v>1993</v>
          </cell>
          <cell r="CG173">
            <v>200</v>
          </cell>
          <cell r="CH173">
            <v>39721</v>
          </cell>
          <cell r="CN173">
            <v>1993</v>
          </cell>
          <cell r="CP173">
            <v>200</v>
          </cell>
          <cell r="CQ173">
            <v>39752</v>
          </cell>
          <cell r="CW173">
            <v>1993</v>
          </cell>
          <cell r="CY173">
            <v>200</v>
          </cell>
          <cell r="CZ173">
            <v>39782</v>
          </cell>
          <cell r="DF173">
            <v>1993</v>
          </cell>
          <cell r="DH173">
            <v>200</v>
          </cell>
          <cell r="DI173">
            <v>39813</v>
          </cell>
        </row>
        <row r="174">
          <cell r="K174">
            <v>1943</v>
          </cell>
          <cell r="M174">
            <v>200</v>
          </cell>
          <cell r="N174">
            <v>39478</v>
          </cell>
          <cell r="T174">
            <v>1943</v>
          </cell>
          <cell r="V174">
            <v>200</v>
          </cell>
          <cell r="W174">
            <v>39507</v>
          </cell>
          <cell r="AC174">
            <v>1943</v>
          </cell>
          <cell r="AE174">
            <v>200</v>
          </cell>
          <cell r="AF174">
            <v>39538</v>
          </cell>
          <cell r="AL174">
            <v>1943</v>
          </cell>
          <cell r="AN174">
            <v>200</v>
          </cell>
          <cell r="AO174">
            <v>39568</v>
          </cell>
          <cell r="AU174">
            <v>1943</v>
          </cell>
          <cell r="AW174">
            <v>200</v>
          </cell>
          <cell r="AX174">
            <v>39599</v>
          </cell>
          <cell r="BD174">
            <v>1943</v>
          </cell>
          <cell r="BF174">
            <v>200</v>
          </cell>
          <cell r="BG174">
            <v>39629</v>
          </cell>
          <cell r="BM174">
            <v>1943</v>
          </cell>
          <cell r="BO174">
            <v>200</v>
          </cell>
          <cell r="BP174">
            <v>39660</v>
          </cell>
          <cell r="BV174">
            <v>1943</v>
          </cell>
          <cell r="BX174">
            <v>200</v>
          </cell>
          <cell r="BY174">
            <v>39691</v>
          </cell>
          <cell r="CE174">
            <v>1943</v>
          </cell>
          <cell r="CG174">
            <v>200</v>
          </cell>
          <cell r="CH174">
            <v>39721</v>
          </cell>
          <cell r="CN174">
            <v>1943</v>
          </cell>
          <cell r="CP174">
            <v>200</v>
          </cell>
          <cell r="CQ174">
            <v>39752</v>
          </cell>
          <cell r="CW174">
            <v>1943</v>
          </cell>
          <cell r="CY174">
            <v>200</v>
          </cell>
          <cell r="CZ174">
            <v>39782</v>
          </cell>
          <cell r="DF174">
            <v>1943</v>
          </cell>
          <cell r="DH174">
            <v>200</v>
          </cell>
          <cell r="DI174">
            <v>39813</v>
          </cell>
        </row>
      </sheetData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Panel"/>
      <sheetName val="Bill Factor Data &amp; Summary"/>
      <sheetName val="Criteria"/>
      <sheetName val="Pivot"/>
    </sheetNames>
    <sheetDataSet>
      <sheetData sheetId="0" refreshError="1"/>
      <sheetData sheetId="1" refreshError="1"/>
      <sheetData sheetId="2" refreshError="1">
        <row r="2">
          <cell r="A2" t="str">
            <v>Mo</v>
          </cell>
          <cell r="B2" t="str">
            <v>St</v>
          </cell>
          <cell r="C2" t="str">
            <v>Rate</v>
          </cell>
          <cell r="E2" t="str">
            <v>Mo</v>
          </cell>
          <cell r="F2" t="str">
            <v>St</v>
          </cell>
          <cell r="G2" t="str">
            <v>Rate</v>
          </cell>
          <cell r="L2" t="str">
            <v>St</v>
          </cell>
          <cell r="M2" t="str">
            <v>Rate</v>
          </cell>
          <cell r="O2" t="str">
            <v>St</v>
          </cell>
          <cell r="P2" t="str">
            <v>Rate</v>
          </cell>
          <cell r="Q2" t="str">
            <v>St</v>
          </cell>
          <cell r="R2" t="str">
            <v>Rate</v>
          </cell>
        </row>
        <row r="3">
          <cell r="A3">
            <v>1</v>
          </cell>
          <cell r="B3" t="str">
            <v>UT</v>
          </cell>
          <cell r="C3" t="str">
            <v xml:space="preserve">GSR </v>
          </cell>
          <cell r="E3">
            <v>1</v>
          </cell>
          <cell r="F3" t="str">
            <v>UT</v>
          </cell>
          <cell r="G3" t="str">
            <v>F1</v>
          </cell>
          <cell r="L3" t="str">
            <v>UT</v>
          </cell>
          <cell r="M3" t="str">
            <v>I4</v>
          </cell>
          <cell r="O3" t="str">
            <v>WY</v>
          </cell>
          <cell r="P3" t="str">
            <v xml:space="preserve">GS </v>
          </cell>
          <cell r="Q3" t="str">
            <v>WY</v>
          </cell>
          <cell r="R3" t="str">
            <v>I2</v>
          </cell>
        </row>
        <row r="4">
          <cell r="A4">
            <v>2</v>
          </cell>
          <cell r="B4" t="str">
            <v>UT</v>
          </cell>
          <cell r="C4" t="str">
            <v xml:space="preserve">GSR </v>
          </cell>
          <cell r="E4">
            <v>2</v>
          </cell>
          <cell r="F4" t="str">
            <v>UT</v>
          </cell>
          <cell r="G4" t="str">
            <v>F1</v>
          </cell>
        </row>
        <row r="5">
          <cell r="A5">
            <v>3</v>
          </cell>
          <cell r="B5" t="str">
            <v>UT</v>
          </cell>
          <cell r="C5" t="str">
            <v xml:space="preserve">GSR </v>
          </cell>
          <cell r="E5">
            <v>3</v>
          </cell>
          <cell r="F5" t="str">
            <v>UT</v>
          </cell>
          <cell r="G5" t="str">
            <v>F1</v>
          </cell>
        </row>
        <row r="6">
          <cell r="A6">
            <v>11</v>
          </cell>
          <cell r="B6" t="str">
            <v>UT</v>
          </cell>
          <cell r="C6" t="str">
            <v xml:space="preserve">GSR </v>
          </cell>
          <cell r="E6">
            <v>11</v>
          </cell>
          <cell r="F6" t="str">
            <v>UT</v>
          </cell>
          <cell r="G6" t="str">
            <v>F1</v>
          </cell>
          <cell r="L6" t="str">
            <v>St</v>
          </cell>
          <cell r="M6" t="str">
            <v>Rate</v>
          </cell>
          <cell r="O6" t="str">
            <v>St</v>
          </cell>
          <cell r="P6" t="str">
            <v>Rate</v>
          </cell>
          <cell r="Q6" t="str">
            <v>St</v>
          </cell>
          <cell r="R6" t="str">
            <v>Rate</v>
          </cell>
        </row>
        <row r="7">
          <cell r="A7">
            <v>12</v>
          </cell>
          <cell r="B7" t="str">
            <v>UT</v>
          </cell>
          <cell r="C7" t="str">
            <v xml:space="preserve">GSR </v>
          </cell>
          <cell r="E7">
            <v>12</v>
          </cell>
          <cell r="F7" t="str">
            <v>UT</v>
          </cell>
          <cell r="G7" t="str">
            <v>F1</v>
          </cell>
          <cell r="L7" t="str">
            <v>UT</v>
          </cell>
          <cell r="M7" t="str">
            <v>IS2</v>
          </cell>
          <cell r="O7" t="str">
            <v>WY</v>
          </cell>
          <cell r="P7" t="str">
            <v>NGV</v>
          </cell>
          <cell r="Q7" t="str">
            <v>WY</v>
          </cell>
          <cell r="R7" t="str">
            <v>I4</v>
          </cell>
        </row>
        <row r="10">
          <cell r="A10" t="str">
            <v>Mo</v>
          </cell>
          <cell r="B10" t="str">
            <v>St</v>
          </cell>
          <cell r="C10" t="str">
            <v>Rate</v>
          </cell>
          <cell r="E10" t="str">
            <v>Mo</v>
          </cell>
          <cell r="F10" t="str">
            <v>St</v>
          </cell>
          <cell r="G10" t="str">
            <v>Rate</v>
          </cell>
          <cell r="L10" t="str">
            <v>St</v>
          </cell>
          <cell r="M10" t="str">
            <v>Rate</v>
          </cell>
          <cell r="O10" t="str">
            <v>St</v>
          </cell>
          <cell r="P10" t="str">
            <v>Rate</v>
          </cell>
          <cell r="Q10" t="str">
            <v>St</v>
          </cell>
          <cell r="R10" t="str">
            <v>Rate</v>
          </cell>
        </row>
        <row r="11">
          <cell r="A11">
            <v>4</v>
          </cell>
          <cell r="B11" t="str">
            <v>UT</v>
          </cell>
          <cell r="C11" t="str">
            <v xml:space="preserve">GSR </v>
          </cell>
          <cell r="E11">
            <v>4</v>
          </cell>
          <cell r="F11" t="str">
            <v>UT</v>
          </cell>
          <cell r="G11" t="str">
            <v>F1</v>
          </cell>
          <cell r="L11" t="str">
            <v>UT</v>
          </cell>
          <cell r="M11" t="str">
            <v>IS4</v>
          </cell>
          <cell r="O11" t="str">
            <v>WY</v>
          </cell>
          <cell r="P11" t="str">
            <v>F1</v>
          </cell>
          <cell r="Q11" t="str">
            <v>WY</v>
          </cell>
          <cell r="R11" t="str">
            <v xml:space="preserve">IC </v>
          </cell>
        </row>
        <row r="12">
          <cell r="A12">
            <v>5</v>
          </cell>
          <cell r="B12" t="str">
            <v>UT</v>
          </cell>
          <cell r="C12" t="str">
            <v xml:space="preserve">GSR </v>
          </cell>
          <cell r="E12">
            <v>5</v>
          </cell>
          <cell r="F12" t="str">
            <v>UT</v>
          </cell>
          <cell r="G12" t="str">
            <v>F1</v>
          </cell>
        </row>
        <row r="13">
          <cell r="A13">
            <v>6</v>
          </cell>
          <cell r="B13" t="str">
            <v>UT</v>
          </cell>
          <cell r="C13" t="str">
            <v xml:space="preserve">GSR </v>
          </cell>
          <cell r="E13">
            <v>6</v>
          </cell>
          <cell r="F13" t="str">
            <v>UT</v>
          </cell>
          <cell r="G13" t="str">
            <v>F1</v>
          </cell>
        </row>
        <row r="14">
          <cell r="A14">
            <v>7</v>
          </cell>
          <cell r="B14" t="str">
            <v>UT</v>
          </cell>
          <cell r="C14" t="str">
            <v xml:space="preserve">GSR </v>
          </cell>
          <cell r="E14">
            <v>7</v>
          </cell>
          <cell r="F14" t="str">
            <v>UT</v>
          </cell>
          <cell r="G14" t="str">
            <v>F1</v>
          </cell>
          <cell r="L14" t="str">
            <v>St</v>
          </cell>
          <cell r="M14" t="str">
            <v>Rate</v>
          </cell>
          <cell r="O14" t="str">
            <v>St</v>
          </cell>
          <cell r="P14" t="str">
            <v>Rate</v>
          </cell>
          <cell r="Q14" t="str">
            <v>St</v>
          </cell>
          <cell r="R14" t="str">
            <v>Rate</v>
          </cell>
        </row>
        <row r="15">
          <cell r="A15">
            <v>8</v>
          </cell>
          <cell r="B15" t="str">
            <v>UT</v>
          </cell>
          <cell r="C15" t="str">
            <v xml:space="preserve">GSR </v>
          </cell>
          <cell r="E15">
            <v>8</v>
          </cell>
          <cell r="F15" t="str">
            <v>UT</v>
          </cell>
          <cell r="G15" t="str">
            <v>F1</v>
          </cell>
          <cell r="L15" t="str">
            <v>UT</v>
          </cell>
          <cell r="M15" t="str">
            <v xml:space="preserve">IT  </v>
          </cell>
          <cell r="O15" t="str">
            <v>WY</v>
          </cell>
          <cell r="P15" t="str">
            <v>GSW</v>
          </cell>
          <cell r="Q15" t="str">
            <v>WY</v>
          </cell>
          <cell r="R15" t="str">
            <v xml:space="preserve">IC1 </v>
          </cell>
        </row>
        <row r="16">
          <cell r="A16">
            <v>9</v>
          </cell>
          <cell r="B16" t="str">
            <v>UT</v>
          </cell>
          <cell r="C16" t="str">
            <v xml:space="preserve">GSR </v>
          </cell>
          <cell r="E16">
            <v>9</v>
          </cell>
          <cell r="F16" t="str">
            <v>UT</v>
          </cell>
          <cell r="G16" t="str">
            <v>F1</v>
          </cell>
        </row>
        <row r="17">
          <cell r="A17">
            <v>10</v>
          </cell>
          <cell r="B17" t="str">
            <v>UT</v>
          </cell>
          <cell r="C17" t="str">
            <v xml:space="preserve">GSR </v>
          </cell>
          <cell r="E17">
            <v>10</v>
          </cell>
          <cell r="F17" t="str">
            <v>UT</v>
          </cell>
          <cell r="G17" t="str">
            <v>F1</v>
          </cell>
        </row>
        <row r="18">
          <cell r="Q18" t="str">
            <v>St</v>
          </cell>
          <cell r="R18" t="str">
            <v>Rate</v>
          </cell>
        </row>
        <row r="19">
          <cell r="Q19" t="str">
            <v>WY</v>
          </cell>
          <cell r="R19" t="str">
            <v xml:space="preserve">IC2 </v>
          </cell>
        </row>
        <row r="20">
          <cell r="A20" t="str">
            <v>Mo</v>
          </cell>
          <cell r="B20" t="str">
            <v>St</v>
          </cell>
          <cell r="C20" t="str">
            <v>Rate</v>
          </cell>
          <cell r="E20" t="str">
            <v>Mo</v>
          </cell>
          <cell r="F20" t="str">
            <v>St</v>
          </cell>
          <cell r="G20" t="str">
            <v>Rate</v>
          </cell>
        </row>
        <row r="21">
          <cell r="A21">
            <v>1</v>
          </cell>
          <cell r="B21" t="str">
            <v>UT</v>
          </cell>
          <cell r="C21" t="str">
            <v>GSS</v>
          </cell>
          <cell r="E21">
            <v>1</v>
          </cell>
          <cell r="F21" t="str">
            <v>UT</v>
          </cell>
          <cell r="G21" t="str">
            <v>F1E</v>
          </cell>
        </row>
        <row r="22">
          <cell r="A22">
            <v>2</v>
          </cell>
          <cell r="B22" t="str">
            <v>UT</v>
          </cell>
          <cell r="C22" t="str">
            <v>GSS</v>
          </cell>
          <cell r="E22">
            <v>2</v>
          </cell>
          <cell r="F22" t="str">
            <v>UT</v>
          </cell>
          <cell r="G22" t="str">
            <v>F1E</v>
          </cell>
          <cell r="L22" t="str">
            <v>St</v>
          </cell>
          <cell r="M22" t="str">
            <v>Rate</v>
          </cell>
          <cell r="Q22" t="str">
            <v>St</v>
          </cell>
          <cell r="R22" t="str">
            <v>Rate</v>
          </cell>
        </row>
        <row r="23">
          <cell r="A23">
            <v>3</v>
          </cell>
          <cell r="B23" t="str">
            <v>UT</v>
          </cell>
          <cell r="C23" t="str">
            <v>GSS</v>
          </cell>
          <cell r="E23">
            <v>3</v>
          </cell>
          <cell r="F23" t="str">
            <v>UT</v>
          </cell>
          <cell r="G23" t="str">
            <v>F1E</v>
          </cell>
          <cell r="L23" t="str">
            <v>UT</v>
          </cell>
          <cell r="M23" t="str">
            <v xml:space="preserve">ITS </v>
          </cell>
          <cell r="Q23" t="str">
            <v>WY</v>
          </cell>
          <cell r="R23" t="str">
            <v>IT</v>
          </cell>
        </row>
        <row r="24">
          <cell r="A24">
            <v>11</v>
          </cell>
          <cell r="B24" t="str">
            <v>UT</v>
          </cell>
          <cell r="C24" t="str">
            <v>GSS</v>
          </cell>
          <cell r="E24">
            <v>11</v>
          </cell>
          <cell r="F24" t="str">
            <v>UT</v>
          </cell>
          <cell r="G24" t="str">
            <v>F1E</v>
          </cell>
        </row>
        <row r="25">
          <cell r="A25">
            <v>12</v>
          </cell>
          <cell r="B25" t="str">
            <v>UT</v>
          </cell>
          <cell r="C25" t="str">
            <v>GSS</v>
          </cell>
          <cell r="E25">
            <v>12</v>
          </cell>
          <cell r="F25" t="str">
            <v>UT</v>
          </cell>
          <cell r="G25" t="str">
            <v>F1E</v>
          </cell>
        </row>
        <row r="26">
          <cell r="Q26" t="str">
            <v>St</v>
          </cell>
          <cell r="R26" t="str">
            <v>Rate</v>
          </cell>
        </row>
        <row r="27">
          <cell r="Q27" t="str">
            <v>CO</v>
          </cell>
          <cell r="R27" t="str">
            <v>I4</v>
          </cell>
        </row>
        <row r="28">
          <cell r="A28" t="str">
            <v>Mo</v>
          </cell>
          <cell r="B28" t="str">
            <v>St</v>
          </cell>
          <cell r="C28" t="str">
            <v>Rate</v>
          </cell>
          <cell r="E28" t="str">
            <v>Mo</v>
          </cell>
          <cell r="F28" t="str">
            <v>St</v>
          </cell>
          <cell r="G28" t="str">
            <v>Rate</v>
          </cell>
        </row>
        <row r="29">
          <cell r="A29">
            <v>4</v>
          </cell>
          <cell r="B29" t="str">
            <v>UT</v>
          </cell>
          <cell r="C29" t="str">
            <v>GSS</v>
          </cell>
          <cell r="E29">
            <v>4</v>
          </cell>
          <cell r="F29" t="str">
            <v>UT</v>
          </cell>
          <cell r="G29" t="str">
            <v>F1E</v>
          </cell>
        </row>
        <row r="30">
          <cell r="A30">
            <v>5</v>
          </cell>
          <cell r="B30" t="str">
            <v>UT</v>
          </cell>
          <cell r="C30" t="str">
            <v>GSS</v>
          </cell>
          <cell r="E30">
            <v>5</v>
          </cell>
          <cell r="F30" t="str">
            <v>UT</v>
          </cell>
          <cell r="G30" t="str">
            <v>F1E</v>
          </cell>
        </row>
        <row r="31">
          <cell r="A31">
            <v>6</v>
          </cell>
          <cell r="B31" t="str">
            <v>UT</v>
          </cell>
          <cell r="C31" t="str">
            <v>GSS</v>
          </cell>
          <cell r="E31">
            <v>6</v>
          </cell>
          <cell r="F31" t="str">
            <v>UT</v>
          </cell>
          <cell r="G31" t="str">
            <v>F1E</v>
          </cell>
        </row>
        <row r="32">
          <cell r="A32">
            <v>7</v>
          </cell>
          <cell r="B32" t="str">
            <v>UT</v>
          </cell>
          <cell r="C32" t="str">
            <v>GSS</v>
          </cell>
          <cell r="E32">
            <v>7</v>
          </cell>
          <cell r="F32" t="str">
            <v>UT</v>
          </cell>
          <cell r="G32" t="str">
            <v>F1E</v>
          </cell>
        </row>
        <row r="33">
          <cell r="A33">
            <v>8</v>
          </cell>
          <cell r="B33" t="str">
            <v>UT</v>
          </cell>
          <cell r="C33" t="str">
            <v>GSS</v>
          </cell>
          <cell r="E33">
            <v>8</v>
          </cell>
          <cell r="F33" t="str">
            <v>UT</v>
          </cell>
          <cell r="G33" t="str">
            <v>F1E</v>
          </cell>
        </row>
        <row r="34">
          <cell r="A34">
            <v>9</v>
          </cell>
          <cell r="B34" t="str">
            <v>UT</v>
          </cell>
          <cell r="C34" t="str">
            <v>GSS</v>
          </cell>
          <cell r="E34">
            <v>9</v>
          </cell>
          <cell r="F34" t="str">
            <v>UT</v>
          </cell>
          <cell r="G34" t="str">
            <v>F1E</v>
          </cell>
        </row>
        <row r="35">
          <cell r="A35">
            <v>10</v>
          </cell>
          <cell r="B35" t="str">
            <v>UT</v>
          </cell>
          <cell r="C35" t="str">
            <v>GSS</v>
          </cell>
          <cell r="E35">
            <v>10</v>
          </cell>
          <cell r="F35" t="str">
            <v>UT</v>
          </cell>
          <cell r="G35" t="str">
            <v>F1E</v>
          </cell>
        </row>
      </sheetData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PROGRAM SPLIT"/>
      <sheetName val="PROGRAM NO SPLIT"/>
      <sheetName val="EXPORT"/>
      <sheetName val="REVRUN INPUT"/>
      <sheetName val="CRITERIA"/>
      <sheetName val="USAGE"/>
      <sheetName val="Macro1"/>
      <sheetName val="Model Chec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F7" t="str">
            <v>State</v>
          </cell>
          <cell r="G7" t="str">
            <v>Rate</v>
          </cell>
          <cell r="H7" t="str">
            <v>Type</v>
          </cell>
        </row>
        <row r="8">
          <cell r="F8" t="str">
            <v>UT</v>
          </cell>
          <cell r="G8" t="str">
            <v xml:space="preserve">GSR </v>
          </cell>
          <cell r="H8" t="str">
            <v xml:space="preserve">Dth      </v>
          </cell>
        </row>
        <row r="10">
          <cell r="B10" t="str">
            <v>State</v>
          </cell>
          <cell r="C10" t="str">
            <v>Rate</v>
          </cell>
          <cell r="D10" t="str">
            <v>Type</v>
          </cell>
        </row>
        <row r="11">
          <cell r="B11" t="str">
            <v>UT</v>
          </cell>
          <cell r="C11" t="str">
            <v xml:space="preserve">GS  </v>
          </cell>
          <cell r="D11" t="str">
            <v>Customers</v>
          </cell>
        </row>
        <row r="13">
          <cell r="F13" t="str">
            <v>State</v>
          </cell>
          <cell r="G13" t="str">
            <v>Rate</v>
          </cell>
          <cell r="H13" t="str">
            <v>Type</v>
          </cell>
        </row>
        <row r="14">
          <cell r="F14" t="str">
            <v>UT</v>
          </cell>
          <cell r="G14" t="str">
            <v xml:space="preserve">GSR </v>
          </cell>
          <cell r="H14" t="str">
            <v xml:space="preserve">DNG      </v>
          </cell>
        </row>
        <row r="16">
          <cell r="F16" t="str">
            <v>State</v>
          </cell>
          <cell r="G16" t="str">
            <v>Rate</v>
          </cell>
          <cell r="H16" t="str">
            <v>Type</v>
          </cell>
        </row>
        <row r="17">
          <cell r="F17" t="str">
            <v>UT</v>
          </cell>
          <cell r="G17" t="str">
            <v xml:space="preserve">GSR </v>
          </cell>
          <cell r="H17" t="str">
            <v xml:space="preserve">SNG      </v>
          </cell>
        </row>
        <row r="19">
          <cell r="F19" t="str">
            <v>State</v>
          </cell>
          <cell r="G19" t="str">
            <v>Rate</v>
          </cell>
          <cell r="H19" t="str">
            <v>Type</v>
          </cell>
        </row>
        <row r="20">
          <cell r="F20" t="str">
            <v>UT</v>
          </cell>
          <cell r="G20" t="str">
            <v xml:space="preserve">GSR </v>
          </cell>
          <cell r="H20" t="str">
            <v>Commodity</v>
          </cell>
        </row>
        <row r="23">
          <cell r="B23" t="str">
            <v>State</v>
          </cell>
          <cell r="C23" t="str">
            <v>Rate</v>
          </cell>
          <cell r="D23" t="str">
            <v>Type</v>
          </cell>
        </row>
        <row r="24">
          <cell r="B24" t="str">
            <v>UT</v>
          </cell>
          <cell r="C24" t="str">
            <v xml:space="preserve">GSC </v>
          </cell>
          <cell r="D24" t="str">
            <v xml:space="preserve">Dth      </v>
          </cell>
        </row>
        <row r="29">
          <cell r="B29" t="str">
            <v>State</v>
          </cell>
          <cell r="C29" t="str">
            <v>Rate</v>
          </cell>
          <cell r="D29" t="str">
            <v>Type</v>
          </cell>
        </row>
        <row r="30">
          <cell r="B30" t="str">
            <v>UT</v>
          </cell>
          <cell r="C30" t="str">
            <v xml:space="preserve">GSC </v>
          </cell>
          <cell r="D30" t="str">
            <v xml:space="preserve">DNG      </v>
          </cell>
        </row>
        <row r="32">
          <cell r="B32" t="str">
            <v>State</v>
          </cell>
          <cell r="C32" t="str">
            <v>Rate</v>
          </cell>
          <cell r="D32" t="str">
            <v>Type</v>
          </cell>
        </row>
        <row r="33">
          <cell r="B33" t="str">
            <v>UT</v>
          </cell>
          <cell r="C33" t="str">
            <v xml:space="preserve">GSC </v>
          </cell>
          <cell r="D33" t="str">
            <v xml:space="preserve">SNG      </v>
          </cell>
        </row>
        <row r="35">
          <cell r="B35" t="str">
            <v>State</v>
          </cell>
          <cell r="C35" t="str">
            <v>Rate</v>
          </cell>
          <cell r="D35" t="str">
            <v>Type</v>
          </cell>
        </row>
        <row r="36">
          <cell r="B36" t="str">
            <v>UT</v>
          </cell>
          <cell r="C36" t="str">
            <v xml:space="preserve">GSC </v>
          </cell>
          <cell r="D36" t="str">
            <v>Commodity</v>
          </cell>
        </row>
        <row r="42">
          <cell r="B42" t="str">
            <v>State</v>
          </cell>
          <cell r="C42" t="str">
            <v>Rate</v>
          </cell>
          <cell r="D42" t="str">
            <v>Type</v>
          </cell>
        </row>
        <row r="43">
          <cell r="B43" t="str">
            <v>UT</v>
          </cell>
          <cell r="C43" t="str">
            <v xml:space="preserve">GSS </v>
          </cell>
          <cell r="D43" t="str">
            <v>Customers</v>
          </cell>
        </row>
        <row r="61">
          <cell r="B61" t="str">
            <v>State</v>
          </cell>
          <cell r="C61" t="str">
            <v>Rate</v>
          </cell>
          <cell r="D61" t="str">
            <v>Type</v>
          </cell>
        </row>
        <row r="62">
          <cell r="B62" t="str">
            <v>UT</v>
          </cell>
          <cell r="C62" t="str">
            <v xml:space="preserve">FS  </v>
          </cell>
          <cell r="D62" t="str">
            <v>Customers</v>
          </cell>
        </row>
        <row r="63">
          <cell r="B63" t="str">
            <v>UT</v>
          </cell>
          <cell r="C63" t="str">
            <v xml:space="preserve">F1  </v>
          </cell>
          <cell r="D63" t="str">
            <v>Customers</v>
          </cell>
        </row>
        <row r="64">
          <cell r="B64" t="str">
            <v>UT</v>
          </cell>
          <cell r="C64" t="str">
            <v xml:space="preserve">F1B </v>
          </cell>
          <cell r="D64" t="str">
            <v>Customers</v>
          </cell>
        </row>
        <row r="65">
          <cell r="B65" t="str">
            <v>UT</v>
          </cell>
          <cell r="C65" t="str">
            <v xml:space="preserve">F1C </v>
          </cell>
          <cell r="D65" t="str">
            <v>Customers</v>
          </cell>
        </row>
        <row r="90">
          <cell r="B90" t="str">
            <v>State</v>
          </cell>
          <cell r="C90" t="str">
            <v>Rate</v>
          </cell>
          <cell r="D90" t="str">
            <v>Type</v>
          </cell>
        </row>
        <row r="91">
          <cell r="B91" t="str">
            <v>UT</v>
          </cell>
          <cell r="C91" t="str">
            <v xml:space="preserve">NGV </v>
          </cell>
          <cell r="D91" t="str">
            <v>Customers</v>
          </cell>
        </row>
        <row r="106">
          <cell r="B106" t="str">
            <v>State</v>
          </cell>
          <cell r="C106" t="str">
            <v>Rate</v>
          </cell>
          <cell r="D106" t="str">
            <v>Type</v>
          </cell>
        </row>
        <row r="107">
          <cell r="B107" t="str">
            <v>UT</v>
          </cell>
          <cell r="C107" t="str">
            <v xml:space="preserve">F3  </v>
          </cell>
          <cell r="D107" t="str">
            <v>Customers</v>
          </cell>
        </row>
        <row r="119">
          <cell r="B119" t="str">
            <v>State</v>
          </cell>
          <cell r="C119" t="str">
            <v>Rate</v>
          </cell>
          <cell r="D119" t="str">
            <v>Type</v>
          </cell>
        </row>
        <row r="120">
          <cell r="B120" t="str">
            <v>UT</v>
          </cell>
          <cell r="C120" t="str">
            <v xml:space="preserve">F4  </v>
          </cell>
          <cell r="D120" t="str">
            <v xml:space="preserve">Dth      </v>
          </cell>
        </row>
        <row r="122">
          <cell r="B122" t="str">
            <v>State</v>
          </cell>
          <cell r="C122" t="str">
            <v>Rate</v>
          </cell>
          <cell r="D122" t="str">
            <v>Type</v>
          </cell>
        </row>
        <row r="123">
          <cell r="B123" t="str">
            <v>UT</v>
          </cell>
          <cell r="C123" t="str">
            <v xml:space="preserve">F4  </v>
          </cell>
          <cell r="D123" t="str">
            <v>Customers</v>
          </cell>
        </row>
        <row r="125">
          <cell r="B125" t="str">
            <v>State</v>
          </cell>
          <cell r="C125" t="str">
            <v>Rate</v>
          </cell>
          <cell r="D125" t="str">
            <v>Type</v>
          </cell>
        </row>
        <row r="126">
          <cell r="B126" t="str">
            <v>UT</v>
          </cell>
          <cell r="C126" t="str">
            <v xml:space="preserve">F4  </v>
          </cell>
          <cell r="D126" t="str">
            <v xml:space="preserve">DNG      </v>
          </cell>
        </row>
        <row r="128">
          <cell r="B128" t="str">
            <v>State</v>
          </cell>
          <cell r="C128" t="str">
            <v>Rate</v>
          </cell>
          <cell r="D128" t="str">
            <v>Type</v>
          </cell>
        </row>
        <row r="129">
          <cell r="B129" t="str">
            <v>UT</v>
          </cell>
          <cell r="C129" t="str">
            <v xml:space="preserve">F4  </v>
          </cell>
          <cell r="D129" t="str">
            <v xml:space="preserve">SNG      </v>
          </cell>
        </row>
        <row r="131">
          <cell r="B131" t="str">
            <v>State</v>
          </cell>
          <cell r="C131" t="str">
            <v>Rate</v>
          </cell>
          <cell r="D131" t="str">
            <v>Type</v>
          </cell>
        </row>
        <row r="132">
          <cell r="B132" t="str">
            <v>UT</v>
          </cell>
          <cell r="C132" t="str">
            <v xml:space="preserve">F4  </v>
          </cell>
          <cell r="D132" t="str">
            <v>Commodity</v>
          </cell>
        </row>
        <row r="139">
          <cell r="B139" t="str">
            <v>State</v>
          </cell>
          <cell r="C139" t="str">
            <v>Rate</v>
          </cell>
          <cell r="D139" t="str">
            <v>Type</v>
          </cell>
        </row>
        <row r="140">
          <cell r="B140" t="str">
            <v>UT</v>
          </cell>
          <cell r="C140" t="str">
            <v xml:space="preserve">I2  </v>
          </cell>
          <cell r="D140" t="str">
            <v>Customers</v>
          </cell>
        </row>
        <row r="159">
          <cell r="B159" t="str">
            <v>State</v>
          </cell>
          <cell r="C159" t="str">
            <v>Rate</v>
          </cell>
          <cell r="D159" t="str">
            <v>Type</v>
          </cell>
        </row>
        <row r="160">
          <cell r="B160" t="str">
            <v>UT</v>
          </cell>
          <cell r="C160" t="str">
            <v xml:space="preserve">IS2 </v>
          </cell>
          <cell r="D160" t="str">
            <v>Customers</v>
          </cell>
        </row>
        <row r="161">
          <cell r="B161" t="str">
            <v>UT</v>
          </cell>
          <cell r="C161" t="str">
            <v xml:space="preserve">IS2 </v>
          </cell>
          <cell r="D161" t="str">
            <v>Customers</v>
          </cell>
        </row>
        <row r="179">
          <cell r="B179" t="str">
            <v>State</v>
          </cell>
          <cell r="C179" t="str">
            <v>Rate</v>
          </cell>
          <cell r="D179" t="str">
            <v>Type</v>
          </cell>
        </row>
        <row r="180">
          <cell r="B180" t="str">
            <v>UT</v>
          </cell>
          <cell r="C180" t="str">
            <v xml:space="preserve">ISE </v>
          </cell>
          <cell r="D180" t="str">
            <v>Customers</v>
          </cell>
        </row>
        <row r="213">
          <cell r="B213" t="str">
            <v>State</v>
          </cell>
          <cell r="C213" t="str">
            <v>Rate</v>
          </cell>
          <cell r="D213" t="str">
            <v>Type</v>
          </cell>
        </row>
        <row r="214">
          <cell r="B214" t="str">
            <v>UT</v>
          </cell>
          <cell r="C214" t="str">
            <v xml:space="preserve">IT  </v>
          </cell>
          <cell r="D214" t="str">
            <v>Customers</v>
          </cell>
        </row>
        <row r="215">
          <cell r="B215" t="str">
            <v>UT</v>
          </cell>
          <cell r="C215" t="str">
            <v xml:space="preserve">TS  </v>
          </cell>
          <cell r="D215" t="str">
            <v>Customers</v>
          </cell>
        </row>
        <row r="216">
          <cell r="B216" t="str">
            <v>UT</v>
          </cell>
          <cell r="C216" t="str">
            <v xml:space="preserve">ITB </v>
          </cell>
          <cell r="D216" t="str">
            <v>Customers</v>
          </cell>
        </row>
        <row r="237">
          <cell r="B237" t="str">
            <v>State</v>
          </cell>
          <cell r="C237" t="str">
            <v>Rate</v>
          </cell>
          <cell r="D237" t="str">
            <v>Type</v>
          </cell>
        </row>
        <row r="238">
          <cell r="B238" t="str">
            <v>UT</v>
          </cell>
          <cell r="C238" t="str">
            <v xml:space="preserve">TSE </v>
          </cell>
          <cell r="D238" t="str">
            <v>Customers</v>
          </cell>
        </row>
        <row r="254">
          <cell r="B254" t="str">
            <v>State</v>
          </cell>
          <cell r="C254" t="str">
            <v>Rate</v>
          </cell>
          <cell r="D254" t="str">
            <v>Type</v>
          </cell>
        </row>
        <row r="255">
          <cell r="B255" t="str">
            <v>UT</v>
          </cell>
          <cell r="C255" t="str">
            <v>FT</v>
          </cell>
          <cell r="D255" t="str">
            <v>Customers</v>
          </cell>
        </row>
        <row r="256">
          <cell r="B256" t="str">
            <v>UT</v>
          </cell>
          <cell r="C256" t="str">
            <v xml:space="preserve">FT1 </v>
          </cell>
          <cell r="D256" t="str">
            <v>Customers</v>
          </cell>
        </row>
        <row r="271">
          <cell r="B271" t="str">
            <v>State</v>
          </cell>
          <cell r="C271" t="str">
            <v>Rate</v>
          </cell>
          <cell r="D271" t="str">
            <v>Type</v>
          </cell>
        </row>
        <row r="272">
          <cell r="B272" t="str">
            <v>UT</v>
          </cell>
          <cell r="C272" t="str">
            <v>FT1L</v>
          </cell>
          <cell r="D272" t="str">
            <v xml:space="preserve">Dth      </v>
          </cell>
        </row>
        <row r="277">
          <cell r="B277" t="str">
            <v>State</v>
          </cell>
          <cell r="C277" t="str">
            <v>Rate</v>
          </cell>
          <cell r="D277" t="str">
            <v>Type</v>
          </cell>
        </row>
        <row r="278">
          <cell r="B278" t="str">
            <v>UT</v>
          </cell>
          <cell r="C278" t="str">
            <v>FT1L</v>
          </cell>
          <cell r="D278" t="str">
            <v xml:space="preserve">DNG      </v>
          </cell>
        </row>
        <row r="280">
          <cell r="B280" t="str">
            <v>State</v>
          </cell>
          <cell r="C280" t="str">
            <v>Rate</v>
          </cell>
          <cell r="D280" t="str">
            <v>Type</v>
          </cell>
        </row>
        <row r="281">
          <cell r="B281" t="str">
            <v>UT</v>
          </cell>
          <cell r="C281" t="str">
            <v>FT1L</v>
          </cell>
          <cell r="D281" t="str">
            <v xml:space="preserve">SNG      </v>
          </cell>
        </row>
        <row r="283">
          <cell r="B283" t="str">
            <v>State</v>
          </cell>
          <cell r="C283" t="str">
            <v>Rate</v>
          </cell>
          <cell r="D283" t="str">
            <v>Type</v>
          </cell>
        </row>
        <row r="284">
          <cell r="B284" t="str">
            <v>UT</v>
          </cell>
          <cell r="C284" t="str">
            <v>FT1L</v>
          </cell>
          <cell r="D284" t="str">
            <v>Commodity</v>
          </cell>
        </row>
        <row r="290">
          <cell r="B290" t="str">
            <v>State</v>
          </cell>
          <cell r="C290" t="str">
            <v>Rate</v>
          </cell>
          <cell r="D290" t="str">
            <v>Type</v>
          </cell>
        </row>
        <row r="291">
          <cell r="B291" t="str">
            <v>UT</v>
          </cell>
          <cell r="C291" t="str">
            <v xml:space="preserve">FT2 </v>
          </cell>
          <cell r="D291" t="str">
            <v>Customers</v>
          </cell>
        </row>
        <row r="303">
          <cell r="B303" t="str">
            <v>State</v>
          </cell>
          <cell r="C303" t="str">
            <v>Rate</v>
          </cell>
          <cell r="D303" t="str">
            <v>Type</v>
          </cell>
        </row>
        <row r="304">
          <cell r="B304" t="str">
            <v>UT</v>
          </cell>
          <cell r="C304" t="str">
            <v>FT2C</v>
          </cell>
          <cell r="D304" t="str">
            <v xml:space="preserve">Dth      </v>
          </cell>
        </row>
        <row r="306">
          <cell r="B306" t="str">
            <v>State</v>
          </cell>
          <cell r="C306" t="str">
            <v>Rate</v>
          </cell>
          <cell r="D306" t="str">
            <v>Type</v>
          </cell>
        </row>
        <row r="307">
          <cell r="B307" t="str">
            <v>UT</v>
          </cell>
          <cell r="C307" t="str">
            <v>FT2C</v>
          </cell>
          <cell r="D307" t="str">
            <v>Customers</v>
          </cell>
        </row>
        <row r="309">
          <cell r="B309" t="str">
            <v>State</v>
          </cell>
          <cell r="C309" t="str">
            <v>Rate</v>
          </cell>
          <cell r="D309" t="str">
            <v>Type</v>
          </cell>
        </row>
        <row r="310">
          <cell r="B310" t="str">
            <v>UT</v>
          </cell>
          <cell r="C310" t="str">
            <v>FT2C</v>
          </cell>
          <cell r="D310" t="str">
            <v xml:space="preserve">DNG      </v>
          </cell>
        </row>
        <row r="312">
          <cell r="B312" t="str">
            <v>State</v>
          </cell>
          <cell r="C312" t="str">
            <v>Rate</v>
          </cell>
          <cell r="D312" t="str">
            <v>Type</v>
          </cell>
        </row>
        <row r="313">
          <cell r="B313" t="str">
            <v>UT</v>
          </cell>
          <cell r="C313" t="str">
            <v>FT2C</v>
          </cell>
          <cell r="D313" t="str">
            <v xml:space="preserve">SNG      </v>
          </cell>
        </row>
        <row r="315">
          <cell r="B315" t="str">
            <v>State</v>
          </cell>
          <cell r="C315" t="str">
            <v>Rate</v>
          </cell>
          <cell r="D315" t="str">
            <v>Type</v>
          </cell>
        </row>
        <row r="316">
          <cell r="B316" t="str">
            <v>UT</v>
          </cell>
          <cell r="C316" t="str">
            <v>FT2C</v>
          </cell>
          <cell r="D316" t="str">
            <v>Commodity</v>
          </cell>
        </row>
        <row r="322">
          <cell r="B322" t="str">
            <v>State</v>
          </cell>
          <cell r="C322" t="str">
            <v>Rate</v>
          </cell>
          <cell r="D322" t="str">
            <v>Type</v>
          </cell>
        </row>
        <row r="323">
          <cell r="B323" t="str">
            <v>UT</v>
          </cell>
          <cell r="C323" t="str">
            <v xml:space="preserve">FTE </v>
          </cell>
          <cell r="D323" t="str">
            <v>Customers</v>
          </cell>
        </row>
        <row r="338">
          <cell r="B338" t="str">
            <v>State</v>
          </cell>
          <cell r="C338" t="str">
            <v>Rate</v>
          </cell>
          <cell r="D338" t="str">
            <v>Type</v>
          </cell>
        </row>
        <row r="339">
          <cell r="B339" t="str">
            <v>UT</v>
          </cell>
          <cell r="C339" t="str">
            <v xml:space="preserve">MT  </v>
          </cell>
          <cell r="D339" t="str">
            <v>Customers</v>
          </cell>
        </row>
        <row r="354">
          <cell r="B354" t="str">
            <v>State</v>
          </cell>
          <cell r="C354" t="str">
            <v>Rate</v>
          </cell>
          <cell r="D354" t="str">
            <v>Type</v>
          </cell>
        </row>
        <row r="355">
          <cell r="B355" t="str">
            <v>UT</v>
          </cell>
          <cell r="C355" t="str">
            <v xml:space="preserve">E1  </v>
          </cell>
          <cell r="D355" t="str">
            <v>Customers</v>
          </cell>
        </row>
        <row r="370">
          <cell r="B370" t="str">
            <v>State</v>
          </cell>
          <cell r="C370" t="str">
            <v>Rate</v>
          </cell>
          <cell r="D370" t="str">
            <v>Type</v>
          </cell>
        </row>
        <row r="371">
          <cell r="B371" t="str">
            <v>UT</v>
          </cell>
          <cell r="C371" t="str">
            <v>P1</v>
          </cell>
          <cell r="D371" t="str">
            <v>Customers</v>
          </cell>
        </row>
        <row r="420">
          <cell r="B420" t="str">
            <v>State</v>
          </cell>
          <cell r="C420" t="str">
            <v>Rate</v>
          </cell>
          <cell r="D420" t="str">
            <v>Type</v>
          </cell>
        </row>
        <row r="421">
          <cell r="B421" t="str">
            <v>UT</v>
          </cell>
          <cell r="C421" t="str">
            <v xml:space="preserve">I4  </v>
          </cell>
          <cell r="D421" t="str">
            <v>Customers</v>
          </cell>
        </row>
        <row r="422">
          <cell r="B422" t="str">
            <v>UT</v>
          </cell>
          <cell r="C422" t="str">
            <v xml:space="preserve">I4A </v>
          </cell>
          <cell r="D422" t="str">
            <v>Customers</v>
          </cell>
        </row>
        <row r="423">
          <cell r="B423" t="str">
            <v>UT</v>
          </cell>
          <cell r="C423" t="str">
            <v>I4</v>
          </cell>
          <cell r="D423" t="str">
            <v>Customers</v>
          </cell>
        </row>
        <row r="447">
          <cell r="B447" t="str">
            <v>State</v>
          </cell>
          <cell r="C447" t="str">
            <v>Rate</v>
          </cell>
          <cell r="D447" t="str">
            <v>Type</v>
          </cell>
        </row>
        <row r="448">
          <cell r="B448" t="str">
            <v>UT</v>
          </cell>
          <cell r="D448" t="str">
            <v>Customers</v>
          </cell>
        </row>
        <row r="499">
          <cell r="B499" t="str">
            <v>State</v>
          </cell>
          <cell r="C499" t="str">
            <v>Rate</v>
          </cell>
          <cell r="D499" t="str">
            <v>Type</v>
          </cell>
        </row>
        <row r="500">
          <cell r="B500" t="str">
            <v>WY</v>
          </cell>
          <cell r="C500" t="str">
            <v xml:space="preserve">GS  </v>
          </cell>
          <cell r="D500" t="str">
            <v>Customers</v>
          </cell>
        </row>
        <row r="515">
          <cell r="B515" t="str">
            <v>State</v>
          </cell>
          <cell r="C515" t="str">
            <v>Rate</v>
          </cell>
          <cell r="D515" t="str">
            <v>Type</v>
          </cell>
        </row>
        <row r="516">
          <cell r="B516" t="str">
            <v>WY</v>
          </cell>
          <cell r="C516" t="str">
            <v xml:space="preserve">F1  </v>
          </cell>
          <cell r="D516" t="str">
            <v>Customers</v>
          </cell>
        </row>
        <row r="517">
          <cell r="B517" t="str">
            <v>WY</v>
          </cell>
          <cell r="C517" t="str">
            <v xml:space="preserve">F1A </v>
          </cell>
          <cell r="D517" t="str">
            <v>Customers</v>
          </cell>
        </row>
        <row r="518">
          <cell r="B518" t="str">
            <v>WY</v>
          </cell>
          <cell r="C518" t="str">
            <v xml:space="preserve">F1B </v>
          </cell>
          <cell r="D518" t="str">
            <v>Customers</v>
          </cell>
        </row>
        <row r="519">
          <cell r="B519" t="str">
            <v>WY</v>
          </cell>
          <cell r="C519" t="str">
            <v xml:space="preserve">F1C </v>
          </cell>
          <cell r="D519" t="str">
            <v>Customers</v>
          </cell>
        </row>
        <row r="537">
          <cell r="B537" t="str">
            <v>State</v>
          </cell>
          <cell r="C537" t="str">
            <v>Rate</v>
          </cell>
          <cell r="D537" t="str">
            <v>Type</v>
          </cell>
        </row>
        <row r="538">
          <cell r="B538" t="str">
            <v>WY</v>
          </cell>
          <cell r="C538" t="str">
            <v xml:space="preserve">NGV </v>
          </cell>
          <cell r="D538" t="str">
            <v>Customers</v>
          </cell>
        </row>
        <row r="550">
          <cell r="B550" t="str">
            <v>State</v>
          </cell>
          <cell r="C550" t="str">
            <v>Rate</v>
          </cell>
          <cell r="D550" t="str">
            <v>Type</v>
          </cell>
        </row>
        <row r="551">
          <cell r="B551" t="str">
            <v>WY</v>
          </cell>
          <cell r="C551" t="str">
            <v xml:space="preserve">GSW </v>
          </cell>
          <cell r="D551" t="str">
            <v>Customers</v>
          </cell>
        </row>
        <row r="589">
          <cell r="B589" t="str">
            <v>State</v>
          </cell>
          <cell r="C589" t="str">
            <v>Rate</v>
          </cell>
          <cell r="D589" t="str">
            <v>Type</v>
          </cell>
        </row>
        <row r="590">
          <cell r="B590" t="str">
            <v>WY</v>
          </cell>
          <cell r="C590" t="str">
            <v xml:space="preserve">I2  </v>
          </cell>
          <cell r="D590" t="str">
            <v>Customers</v>
          </cell>
        </row>
        <row r="606">
          <cell r="B606" t="str">
            <v>State</v>
          </cell>
          <cell r="C606" t="str">
            <v>Rate</v>
          </cell>
          <cell r="D606" t="str">
            <v>Type</v>
          </cell>
        </row>
        <row r="607">
          <cell r="B607" t="str">
            <v>WY</v>
          </cell>
          <cell r="C607" t="str">
            <v xml:space="preserve">I4  </v>
          </cell>
          <cell r="D607" t="str">
            <v>Customers</v>
          </cell>
        </row>
        <row r="608">
          <cell r="B608" t="str">
            <v>WY</v>
          </cell>
          <cell r="C608" t="str">
            <v xml:space="preserve">I4A </v>
          </cell>
          <cell r="D608" t="str">
            <v>Customers</v>
          </cell>
        </row>
        <row r="627">
          <cell r="B627" t="str">
            <v>State</v>
          </cell>
          <cell r="C627" t="str">
            <v>Rate</v>
          </cell>
          <cell r="D627" t="str">
            <v>Type</v>
          </cell>
        </row>
        <row r="628">
          <cell r="B628" t="str">
            <v>WY</v>
          </cell>
          <cell r="C628" t="str">
            <v>IT2</v>
          </cell>
          <cell r="D628" t="str">
            <v>Customers</v>
          </cell>
        </row>
        <row r="629">
          <cell r="B629" t="str">
            <v>WY</v>
          </cell>
          <cell r="C629" t="str">
            <v xml:space="preserve">IT  </v>
          </cell>
          <cell r="D629" t="str">
            <v>Customers</v>
          </cell>
        </row>
        <row r="647">
          <cell r="B647" t="str">
            <v>State</v>
          </cell>
          <cell r="C647" t="str">
            <v>Rate</v>
          </cell>
          <cell r="D647" t="str">
            <v>Type</v>
          </cell>
        </row>
        <row r="648">
          <cell r="B648" t="str">
            <v>WY</v>
          </cell>
          <cell r="C648" t="str">
            <v xml:space="preserve">IC  </v>
          </cell>
          <cell r="D648" t="str">
            <v>Customers</v>
          </cell>
        </row>
        <row r="649">
          <cell r="B649" t="str">
            <v>WY</v>
          </cell>
          <cell r="C649" t="str">
            <v xml:space="preserve">IC1 </v>
          </cell>
          <cell r="D649" t="str">
            <v>Customers</v>
          </cell>
        </row>
        <row r="650">
          <cell r="B650" t="str">
            <v>WY</v>
          </cell>
          <cell r="C650" t="str">
            <v xml:space="preserve">IC2 </v>
          </cell>
          <cell r="D650" t="str">
            <v>Customers</v>
          </cell>
        </row>
        <row r="651">
          <cell r="B651" t="str">
            <v>WY</v>
          </cell>
          <cell r="C651" t="str">
            <v xml:space="preserve">IC8 </v>
          </cell>
          <cell r="D651" t="str">
            <v>Customers</v>
          </cell>
        </row>
        <row r="652">
          <cell r="B652" t="str">
            <v>WY</v>
          </cell>
          <cell r="C652" t="str">
            <v xml:space="preserve">IC9 </v>
          </cell>
          <cell r="D652" t="str">
            <v>Customers</v>
          </cell>
        </row>
        <row r="677">
          <cell r="B677" t="str">
            <v>State</v>
          </cell>
          <cell r="C677" t="str">
            <v>Rate</v>
          </cell>
          <cell r="D677" t="str">
            <v>Type</v>
          </cell>
        </row>
        <row r="678">
          <cell r="B678" t="str">
            <v>WY</v>
          </cell>
          <cell r="D678" t="str">
            <v>CUSTOMERS</v>
          </cell>
        </row>
        <row r="685">
          <cell r="B685" t="str">
            <v>State</v>
          </cell>
          <cell r="C685" t="str">
            <v>Rate</v>
          </cell>
          <cell r="D685" t="str">
            <v>Type</v>
          </cell>
        </row>
        <row r="686">
          <cell r="B686" t="str">
            <v>CO</v>
          </cell>
          <cell r="C686" t="str">
            <v xml:space="preserve">I4  </v>
          </cell>
          <cell r="D686" t="str">
            <v>Customers</v>
          </cell>
        </row>
        <row r="699">
          <cell r="B699" t="str">
            <v>State</v>
          </cell>
          <cell r="C699" t="str">
            <v>Rate</v>
          </cell>
          <cell r="D699" t="str">
            <v>Type</v>
          </cell>
        </row>
        <row r="700">
          <cell r="B700" t="str">
            <v>CO</v>
          </cell>
          <cell r="C700" t="str">
            <v>IC</v>
          </cell>
          <cell r="D700" t="str">
            <v>Customers</v>
          </cell>
        </row>
        <row r="701">
          <cell r="B701" t="str">
            <v>CO</v>
          </cell>
          <cell r="C701" t="str">
            <v>IT</v>
          </cell>
          <cell r="D701" t="str">
            <v>Customers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PROGRAM"/>
      <sheetName val="EXPORT"/>
      <sheetName val="orig rev run no tie to grey bac"/>
      <sheetName val="new rev run input(wyocust=grey"/>
      <sheetName val="REVRUN INPUT"/>
      <sheetName val="CRITERIA"/>
      <sheetName val="US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B7" t="str">
            <v>State</v>
          </cell>
          <cell r="C7" t="str">
            <v>Rate</v>
          </cell>
          <cell r="D7" t="str">
            <v>Type</v>
          </cell>
        </row>
        <row r="8">
          <cell r="B8" t="str">
            <v>UT</v>
          </cell>
          <cell r="C8" t="str">
            <v>GS</v>
          </cell>
          <cell r="D8" t="str">
            <v>DTH</v>
          </cell>
        </row>
        <row r="10">
          <cell r="B10" t="str">
            <v>State</v>
          </cell>
          <cell r="C10" t="str">
            <v>Rate</v>
          </cell>
          <cell r="D10" t="str">
            <v>Type</v>
          </cell>
        </row>
        <row r="11">
          <cell r="B11" t="str">
            <v>UT</v>
          </cell>
          <cell r="C11" t="str">
            <v>GS</v>
          </cell>
          <cell r="D11" t="str">
            <v>CST</v>
          </cell>
        </row>
        <row r="13">
          <cell r="B13" t="str">
            <v>State</v>
          </cell>
          <cell r="C13" t="str">
            <v>Rate</v>
          </cell>
          <cell r="D13" t="str">
            <v>Type</v>
          </cell>
        </row>
        <row r="14">
          <cell r="B14" t="str">
            <v>UT</v>
          </cell>
          <cell r="C14" t="str">
            <v>GS</v>
          </cell>
          <cell r="D14" t="str">
            <v>DNG</v>
          </cell>
        </row>
        <row r="16">
          <cell r="B16" t="str">
            <v>State</v>
          </cell>
          <cell r="C16" t="str">
            <v>Rate</v>
          </cell>
          <cell r="D16" t="str">
            <v>Type</v>
          </cell>
        </row>
        <row r="17">
          <cell r="B17" t="str">
            <v>UT</v>
          </cell>
          <cell r="C17" t="str">
            <v>GS</v>
          </cell>
          <cell r="D17" t="str">
            <v>SNG</v>
          </cell>
        </row>
        <row r="19">
          <cell r="B19" t="str">
            <v>State</v>
          </cell>
          <cell r="C19" t="str">
            <v>Rate</v>
          </cell>
          <cell r="D19" t="str">
            <v>Type</v>
          </cell>
        </row>
        <row r="20">
          <cell r="B20" t="str">
            <v>UT</v>
          </cell>
          <cell r="C20" t="str">
            <v>GS</v>
          </cell>
          <cell r="D20" t="str">
            <v>COM</v>
          </cell>
        </row>
        <row r="23">
          <cell r="B23" t="str">
            <v>State</v>
          </cell>
          <cell r="C23" t="str">
            <v>Rate</v>
          </cell>
          <cell r="D23" t="str">
            <v>Type</v>
          </cell>
        </row>
        <row r="24">
          <cell r="B24" t="str">
            <v>UT</v>
          </cell>
          <cell r="C24" t="str">
            <v>GS</v>
          </cell>
          <cell r="D24" t="str">
            <v>SIF</v>
          </cell>
        </row>
        <row r="28">
          <cell r="B28" t="str">
            <v>State</v>
          </cell>
          <cell r="C28" t="str">
            <v>Rate</v>
          </cell>
          <cell r="D28" t="str">
            <v>Type</v>
          </cell>
        </row>
        <row r="29">
          <cell r="B29" t="str">
            <v>UT</v>
          </cell>
          <cell r="C29" t="str">
            <v>GSE</v>
          </cell>
          <cell r="D29" t="str">
            <v>DTH</v>
          </cell>
        </row>
        <row r="31">
          <cell r="B31" t="str">
            <v>State</v>
          </cell>
          <cell r="C31" t="str">
            <v>Rate</v>
          </cell>
          <cell r="D31" t="str">
            <v>Type</v>
          </cell>
        </row>
        <row r="32">
          <cell r="B32" t="str">
            <v>UT</v>
          </cell>
          <cell r="C32" t="str">
            <v>GSE</v>
          </cell>
          <cell r="D32" t="str">
            <v>CST</v>
          </cell>
        </row>
        <row r="34">
          <cell r="B34" t="str">
            <v>State</v>
          </cell>
          <cell r="C34" t="str">
            <v>Rate</v>
          </cell>
          <cell r="D34" t="str">
            <v>Type</v>
          </cell>
        </row>
        <row r="35">
          <cell r="B35" t="str">
            <v>UT</v>
          </cell>
          <cell r="C35" t="str">
            <v>GSE</v>
          </cell>
          <cell r="D35" t="str">
            <v>DNG</v>
          </cell>
        </row>
        <row r="37">
          <cell r="B37" t="str">
            <v>State</v>
          </cell>
          <cell r="C37" t="str">
            <v>Rate</v>
          </cell>
          <cell r="D37" t="str">
            <v>Type</v>
          </cell>
        </row>
        <row r="38">
          <cell r="B38" t="str">
            <v>UT</v>
          </cell>
          <cell r="C38" t="str">
            <v>GSE</v>
          </cell>
          <cell r="D38" t="str">
            <v>SNG</v>
          </cell>
        </row>
        <row r="40">
          <cell r="B40" t="str">
            <v>State</v>
          </cell>
          <cell r="C40" t="str">
            <v>Rate</v>
          </cell>
          <cell r="D40" t="str">
            <v>Type</v>
          </cell>
        </row>
        <row r="41">
          <cell r="B41" t="str">
            <v>UT</v>
          </cell>
          <cell r="C41" t="str">
            <v>GSE</v>
          </cell>
          <cell r="D41" t="str">
            <v>COM</v>
          </cell>
        </row>
        <row r="43">
          <cell r="B43" t="str">
            <v>State</v>
          </cell>
          <cell r="C43" t="str">
            <v>Rate</v>
          </cell>
          <cell r="D43" t="str">
            <v>Type</v>
          </cell>
        </row>
        <row r="44">
          <cell r="B44" t="str">
            <v>UT</v>
          </cell>
          <cell r="C44" t="str">
            <v>GSE</v>
          </cell>
          <cell r="D44" t="str">
            <v>SIF</v>
          </cell>
        </row>
        <row r="48">
          <cell r="B48" t="str">
            <v>State</v>
          </cell>
          <cell r="C48" t="str">
            <v>Rate</v>
          </cell>
          <cell r="D48" t="str">
            <v>Type</v>
          </cell>
        </row>
        <row r="49">
          <cell r="B49" t="str">
            <v>UT</v>
          </cell>
          <cell r="C49" t="str">
            <v>GSS</v>
          </cell>
          <cell r="D49" t="str">
            <v>DTH</v>
          </cell>
        </row>
        <row r="51">
          <cell r="B51" t="str">
            <v>State</v>
          </cell>
          <cell r="C51" t="str">
            <v>Rate</v>
          </cell>
          <cell r="D51" t="str">
            <v>Type</v>
          </cell>
        </row>
        <row r="52">
          <cell r="B52" t="str">
            <v>UT</v>
          </cell>
          <cell r="C52" t="str">
            <v>GSS</v>
          </cell>
          <cell r="D52" t="str">
            <v>CST</v>
          </cell>
        </row>
        <row r="54">
          <cell r="B54" t="str">
            <v>State</v>
          </cell>
          <cell r="C54" t="str">
            <v>Rate</v>
          </cell>
          <cell r="D54" t="str">
            <v>Type</v>
          </cell>
        </row>
        <row r="55">
          <cell r="B55" t="str">
            <v>UT</v>
          </cell>
          <cell r="C55" t="str">
            <v>GSS</v>
          </cell>
          <cell r="D55" t="str">
            <v>DNG</v>
          </cell>
        </row>
        <row r="57">
          <cell r="B57" t="str">
            <v>State</v>
          </cell>
          <cell r="C57" t="str">
            <v>Rate</v>
          </cell>
          <cell r="D57" t="str">
            <v>Type</v>
          </cell>
        </row>
        <row r="58">
          <cell r="B58" t="str">
            <v>UT</v>
          </cell>
          <cell r="C58" t="str">
            <v>GSS</v>
          </cell>
          <cell r="D58" t="str">
            <v>SNG</v>
          </cell>
        </row>
        <row r="60">
          <cell r="B60" t="str">
            <v>State</v>
          </cell>
          <cell r="C60" t="str">
            <v>Rate</v>
          </cell>
          <cell r="D60" t="str">
            <v>Type</v>
          </cell>
        </row>
        <row r="61">
          <cell r="B61" t="str">
            <v>UT</v>
          </cell>
          <cell r="C61" t="str">
            <v>GSS</v>
          </cell>
          <cell r="D61" t="str">
            <v>COM</v>
          </cell>
        </row>
        <row r="63">
          <cell r="B63" t="str">
            <v>State</v>
          </cell>
          <cell r="C63" t="str">
            <v>Rate</v>
          </cell>
          <cell r="D63" t="str">
            <v>Type</v>
          </cell>
        </row>
        <row r="64">
          <cell r="B64" t="str">
            <v>UT</v>
          </cell>
          <cell r="C64" t="str">
            <v>GSS</v>
          </cell>
          <cell r="D64" t="str">
            <v>SIF</v>
          </cell>
        </row>
        <row r="68">
          <cell r="B68" t="str">
            <v>State</v>
          </cell>
          <cell r="C68" t="str">
            <v>Rate</v>
          </cell>
          <cell r="D68" t="str">
            <v>Type</v>
          </cell>
        </row>
        <row r="69">
          <cell r="B69" t="str">
            <v>UT</v>
          </cell>
          <cell r="C69" t="str">
            <v>F1</v>
          </cell>
          <cell r="D69" t="str">
            <v>DTH</v>
          </cell>
        </row>
        <row r="71">
          <cell r="B71" t="str">
            <v>State</v>
          </cell>
          <cell r="C71" t="str">
            <v>Rate</v>
          </cell>
          <cell r="D71" t="str">
            <v>Type</v>
          </cell>
        </row>
        <row r="72">
          <cell r="B72" t="str">
            <v>UT</v>
          </cell>
          <cell r="C72" t="str">
            <v>F1</v>
          </cell>
          <cell r="D72" t="str">
            <v>DNG</v>
          </cell>
        </row>
        <row r="74">
          <cell r="B74" t="str">
            <v>State</v>
          </cell>
          <cell r="C74" t="str">
            <v>Rate</v>
          </cell>
          <cell r="D74" t="str">
            <v>Type</v>
          </cell>
        </row>
        <row r="75">
          <cell r="B75" t="str">
            <v>UT</v>
          </cell>
          <cell r="C75" t="str">
            <v>F1</v>
          </cell>
          <cell r="D75" t="str">
            <v>SNG</v>
          </cell>
        </row>
        <row r="77">
          <cell r="B77" t="str">
            <v>State</v>
          </cell>
          <cell r="C77" t="str">
            <v>Rate</v>
          </cell>
          <cell r="D77" t="str">
            <v>Type</v>
          </cell>
        </row>
        <row r="78">
          <cell r="B78" t="str">
            <v>UT</v>
          </cell>
          <cell r="C78" t="str">
            <v>F1</v>
          </cell>
          <cell r="D78" t="str">
            <v>COM</v>
          </cell>
        </row>
        <row r="85">
          <cell r="B85" t="str">
            <v>State</v>
          </cell>
          <cell r="C85" t="str">
            <v>Rate</v>
          </cell>
          <cell r="D85" t="str">
            <v>Type</v>
          </cell>
        </row>
        <row r="86">
          <cell r="B86" t="str">
            <v>UT</v>
          </cell>
          <cell r="C86" t="str">
            <v>NGV</v>
          </cell>
          <cell r="D86" t="str">
            <v>DTH</v>
          </cell>
        </row>
        <row r="88">
          <cell r="B88" t="str">
            <v>State</v>
          </cell>
          <cell r="C88" t="str">
            <v>Rate</v>
          </cell>
          <cell r="D88" t="str">
            <v>Type</v>
          </cell>
        </row>
        <row r="89">
          <cell r="B89" t="str">
            <v>UT</v>
          </cell>
          <cell r="C89" t="str">
            <v>NGV</v>
          </cell>
          <cell r="D89" t="str">
            <v>DNG</v>
          </cell>
        </row>
        <row r="91">
          <cell r="B91" t="str">
            <v>State</v>
          </cell>
          <cell r="C91" t="str">
            <v>Rate</v>
          </cell>
          <cell r="D91" t="str">
            <v>Type</v>
          </cell>
        </row>
        <row r="92">
          <cell r="B92" t="str">
            <v>UT</v>
          </cell>
          <cell r="C92" t="str">
            <v>NGV</v>
          </cell>
          <cell r="D92" t="str">
            <v>SNG</v>
          </cell>
        </row>
        <row r="94">
          <cell r="B94" t="str">
            <v>State</v>
          </cell>
          <cell r="C94" t="str">
            <v>Rate</v>
          </cell>
          <cell r="D94" t="str">
            <v>Type</v>
          </cell>
        </row>
        <row r="95">
          <cell r="B95" t="str">
            <v>UT</v>
          </cell>
          <cell r="C95" t="str">
            <v>NGV</v>
          </cell>
          <cell r="D95" t="str">
            <v>COM</v>
          </cell>
        </row>
        <row r="102">
          <cell r="B102" t="str">
            <v>State</v>
          </cell>
          <cell r="C102" t="str">
            <v>Rate</v>
          </cell>
          <cell r="D102" t="str">
            <v>Type</v>
          </cell>
        </row>
        <row r="103">
          <cell r="B103" t="str">
            <v>UT</v>
          </cell>
          <cell r="C103" t="str">
            <v>F3</v>
          </cell>
          <cell r="D103" t="str">
            <v>DTH</v>
          </cell>
        </row>
        <row r="105">
          <cell r="B105" t="str">
            <v>State</v>
          </cell>
          <cell r="C105" t="str">
            <v>Rate</v>
          </cell>
          <cell r="D105" t="str">
            <v>Type</v>
          </cell>
        </row>
        <row r="106">
          <cell r="B106" t="str">
            <v>UT</v>
          </cell>
          <cell r="C106" t="str">
            <v>F3</v>
          </cell>
          <cell r="D106" t="str">
            <v>DNG</v>
          </cell>
        </row>
        <row r="108">
          <cell r="B108" t="str">
            <v>State</v>
          </cell>
          <cell r="C108" t="str">
            <v>Rate</v>
          </cell>
          <cell r="D108" t="str">
            <v>Type</v>
          </cell>
        </row>
        <row r="109">
          <cell r="B109" t="str">
            <v>UT</v>
          </cell>
          <cell r="C109" t="str">
            <v>F3</v>
          </cell>
          <cell r="D109" t="str">
            <v>SNG</v>
          </cell>
        </row>
        <row r="111">
          <cell r="B111" t="str">
            <v>State</v>
          </cell>
          <cell r="C111" t="str">
            <v>Rate</v>
          </cell>
          <cell r="D111" t="str">
            <v>Type</v>
          </cell>
        </row>
        <row r="112">
          <cell r="B112" t="str">
            <v>UT</v>
          </cell>
          <cell r="C112" t="str">
            <v>F3</v>
          </cell>
          <cell r="D112" t="str">
            <v>COM</v>
          </cell>
        </row>
        <row r="128">
          <cell r="B128" t="str">
            <v>State</v>
          </cell>
          <cell r="C128" t="str">
            <v>Rate</v>
          </cell>
          <cell r="D128" t="str">
            <v>Type</v>
          </cell>
        </row>
        <row r="129">
          <cell r="B129" t="str">
            <v>UT</v>
          </cell>
          <cell r="C129" t="str">
            <v>I</v>
          </cell>
          <cell r="D129" t="str">
            <v xml:space="preserve">Dth      </v>
          </cell>
        </row>
        <row r="130">
          <cell r="B130" t="str">
            <v>UT</v>
          </cell>
          <cell r="C130" t="str">
            <v>I2</v>
          </cell>
          <cell r="D130" t="str">
            <v>DTH</v>
          </cell>
        </row>
        <row r="132">
          <cell r="B132" t="str">
            <v>State</v>
          </cell>
          <cell r="C132" t="str">
            <v>Rate</v>
          </cell>
          <cell r="D132" t="str">
            <v>Type</v>
          </cell>
        </row>
        <row r="133">
          <cell r="B133" t="str">
            <v>UT</v>
          </cell>
          <cell r="C133" t="str">
            <v>I</v>
          </cell>
          <cell r="D133" t="str">
            <v xml:space="preserve">DNG      </v>
          </cell>
        </row>
        <row r="134">
          <cell r="B134" t="str">
            <v>UT</v>
          </cell>
          <cell r="C134" t="str">
            <v>I2</v>
          </cell>
          <cell r="D134" t="str">
            <v>DNG</v>
          </cell>
        </row>
        <row r="136">
          <cell r="B136" t="str">
            <v>State</v>
          </cell>
          <cell r="C136" t="str">
            <v>Rate</v>
          </cell>
          <cell r="D136" t="str">
            <v>Type</v>
          </cell>
        </row>
        <row r="137">
          <cell r="B137" t="str">
            <v>UT</v>
          </cell>
          <cell r="C137" t="str">
            <v xml:space="preserve">I  </v>
          </cell>
          <cell r="D137" t="str">
            <v xml:space="preserve">SNG      </v>
          </cell>
        </row>
        <row r="138">
          <cell r="B138" t="str">
            <v>UT</v>
          </cell>
          <cell r="C138" t="str">
            <v>I2</v>
          </cell>
          <cell r="D138" t="str">
            <v>SNG</v>
          </cell>
        </row>
        <row r="140">
          <cell r="B140" t="str">
            <v>State</v>
          </cell>
          <cell r="C140" t="str">
            <v>Rate</v>
          </cell>
          <cell r="D140" t="str">
            <v>Type</v>
          </cell>
        </row>
        <row r="141">
          <cell r="B141" t="str">
            <v>UT</v>
          </cell>
          <cell r="C141" t="str">
            <v>I</v>
          </cell>
          <cell r="D141" t="str">
            <v>Commodity</v>
          </cell>
        </row>
        <row r="142">
          <cell r="B142" t="str">
            <v>UT</v>
          </cell>
          <cell r="C142" t="str">
            <v>I2</v>
          </cell>
          <cell r="D142" t="str">
            <v>COM</v>
          </cell>
        </row>
        <row r="145">
          <cell r="B145" t="str">
            <v>State</v>
          </cell>
          <cell r="C145" t="str">
            <v>Rate</v>
          </cell>
          <cell r="D145" t="str">
            <v>Type</v>
          </cell>
        </row>
        <row r="146">
          <cell r="B146" t="str">
            <v>UT</v>
          </cell>
          <cell r="C146" t="str">
            <v>IS</v>
          </cell>
          <cell r="D146" t="str">
            <v xml:space="preserve">Dth      </v>
          </cell>
        </row>
        <row r="147">
          <cell r="B147" t="str">
            <v>UT</v>
          </cell>
          <cell r="C147" t="str">
            <v>IS2</v>
          </cell>
          <cell r="D147" t="str">
            <v>DTH</v>
          </cell>
        </row>
        <row r="149">
          <cell r="B149" t="str">
            <v>State</v>
          </cell>
          <cell r="C149" t="str">
            <v>Rate</v>
          </cell>
          <cell r="D149" t="str">
            <v>Type</v>
          </cell>
        </row>
        <row r="150">
          <cell r="B150" t="str">
            <v>UT</v>
          </cell>
          <cell r="C150" t="str">
            <v>IS</v>
          </cell>
          <cell r="D150" t="str">
            <v xml:space="preserve">DNG      </v>
          </cell>
        </row>
        <row r="151">
          <cell r="B151" t="str">
            <v>UT</v>
          </cell>
          <cell r="C151" t="str">
            <v>IS2</v>
          </cell>
          <cell r="D151" t="str">
            <v>DNG</v>
          </cell>
        </row>
        <row r="153">
          <cell r="B153" t="str">
            <v>State</v>
          </cell>
          <cell r="C153" t="str">
            <v>Rate</v>
          </cell>
          <cell r="D153" t="str">
            <v>Type</v>
          </cell>
        </row>
        <row r="154">
          <cell r="B154" t="str">
            <v>UT</v>
          </cell>
          <cell r="C154" t="str">
            <v>IS</v>
          </cell>
          <cell r="D154" t="str">
            <v xml:space="preserve">SNG      </v>
          </cell>
        </row>
        <row r="155">
          <cell r="B155" t="str">
            <v>UT</v>
          </cell>
          <cell r="C155" t="str">
            <v>IS2</v>
          </cell>
          <cell r="D155" t="str">
            <v>SNG</v>
          </cell>
        </row>
        <row r="157">
          <cell r="B157" t="str">
            <v>State</v>
          </cell>
          <cell r="C157" t="str">
            <v>Rate</v>
          </cell>
          <cell r="D157" t="str">
            <v>Type</v>
          </cell>
        </row>
        <row r="158">
          <cell r="B158" t="str">
            <v>UT</v>
          </cell>
          <cell r="C158" t="str">
            <v xml:space="preserve">IS </v>
          </cell>
          <cell r="D158" t="str">
            <v>Commodity</v>
          </cell>
        </row>
        <row r="159">
          <cell r="B159" t="str">
            <v>UT</v>
          </cell>
          <cell r="C159" t="str">
            <v>IS2</v>
          </cell>
          <cell r="D159" t="str">
            <v>COM</v>
          </cell>
        </row>
        <row r="162">
          <cell r="B162" t="str">
            <v>State</v>
          </cell>
          <cell r="C162" t="str">
            <v>Rate</v>
          </cell>
          <cell r="D162" t="str">
            <v>Type</v>
          </cell>
        </row>
        <row r="163">
          <cell r="B163" t="str">
            <v>UT</v>
          </cell>
          <cell r="C163" t="str">
            <v>IS4</v>
          </cell>
          <cell r="D163" t="str">
            <v>DTH</v>
          </cell>
        </row>
        <row r="165">
          <cell r="B165" t="str">
            <v>State</v>
          </cell>
          <cell r="C165" t="str">
            <v>Rate</v>
          </cell>
          <cell r="D165" t="str">
            <v>Type</v>
          </cell>
        </row>
        <row r="166">
          <cell r="B166" t="str">
            <v>UT</v>
          </cell>
          <cell r="C166" t="str">
            <v>IS4</v>
          </cell>
          <cell r="D166" t="str">
            <v>DNG</v>
          </cell>
        </row>
        <row r="168">
          <cell r="B168" t="str">
            <v>State</v>
          </cell>
          <cell r="C168" t="str">
            <v>Rate</v>
          </cell>
          <cell r="D168" t="str">
            <v>Type</v>
          </cell>
        </row>
        <row r="169">
          <cell r="B169" t="str">
            <v>UT</v>
          </cell>
          <cell r="C169" t="str">
            <v>IS4</v>
          </cell>
          <cell r="D169" t="str">
            <v>SNG</v>
          </cell>
        </row>
        <row r="171">
          <cell r="B171" t="str">
            <v>State</v>
          </cell>
          <cell r="C171" t="str">
            <v>Rate</v>
          </cell>
          <cell r="D171" t="str">
            <v>Type</v>
          </cell>
        </row>
        <row r="172">
          <cell r="B172" t="str">
            <v>UT</v>
          </cell>
          <cell r="C172" t="str">
            <v>IS4</v>
          </cell>
          <cell r="D172" t="str">
            <v>COM</v>
          </cell>
        </row>
        <row r="175">
          <cell r="B175" t="str">
            <v>State</v>
          </cell>
          <cell r="C175" t="str">
            <v>Rate</v>
          </cell>
          <cell r="D175" t="str">
            <v>Type</v>
          </cell>
        </row>
        <row r="176">
          <cell r="B176" t="str">
            <v>UT</v>
          </cell>
          <cell r="C176" t="str">
            <v>F1E</v>
          </cell>
          <cell r="D176" t="str">
            <v>DTH</v>
          </cell>
        </row>
        <row r="178">
          <cell r="B178" t="str">
            <v>State</v>
          </cell>
          <cell r="C178" t="str">
            <v>Rate</v>
          </cell>
          <cell r="D178" t="str">
            <v>Type</v>
          </cell>
        </row>
        <row r="179">
          <cell r="B179" t="str">
            <v>UT</v>
          </cell>
          <cell r="C179" t="str">
            <v>F1E</v>
          </cell>
          <cell r="D179" t="str">
            <v>DNG</v>
          </cell>
        </row>
        <row r="181">
          <cell r="B181" t="str">
            <v>State</v>
          </cell>
          <cell r="C181" t="str">
            <v>Rate</v>
          </cell>
          <cell r="D181" t="str">
            <v>Type</v>
          </cell>
        </row>
        <row r="182">
          <cell r="B182" t="str">
            <v>UT</v>
          </cell>
          <cell r="C182" t="str">
            <v>F1E</v>
          </cell>
          <cell r="D182" t="str">
            <v>SNG</v>
          </cell>
        </row>
        <row r="184">
          <cell r="B184" t="str">
            <v>State</v>
          </cell>
          <cell r="C184" t="str">
            <v>Rate</v>
          </cell>
          <cell r="D184" t="str">
            <v>Type</v>
          </cell>
        </row>
        <row r="185">
          <cell r="B185" t="str">
            <v>UT</v>
          </cell>
          <cell r="C185" t="str">
            <v>F1E</v>
          </cell>
          <cell r="D185" t="str">
            <v>COM</v>
          </cell>
        </row>
        <row r="192">
          <cell r="B192" t="str">
            <v>State</v>
          </cell>
          <cell r="C192" t="str">
            <v>Rate</v>
          </cell>
          <cell r="D192" t="str">
            <v>Type</v>
          </cell>
        </row>
        <row r="193">
          <cell r="B193" t="str">
            <v>UT</v>
          </cell>
          <cell r="C193" t="str">
            <v>IT</v>
          </cell>
          <cell r="D193" t="str">
            <v>DTH</v>
          </cell>
        </row>
        <row r="194">
          <cell r="B194" t="str">
            <v>UT</v>
          </cell>
          <cell r="C194" t="str">
            <v>IT2</v>
          </cell>
          <cell r="D194" t="str">
            <v>DTH</v>
          </cell>
        </row>
        <row r="196">
          <cell r="B196" t="str">
            <v>State</v>
          </cell>
          <cell r="C196" t="str">
            <v>Rate</v>
          </cell>
          <cell r="D196" t="str">
            <v>Type</v>
          </cell>
        </row>
        <row r="197">
          <cell r="B197" t="str">
            <v>UT</v>
          </cell>
          <cell r="C197" t="str">
            <v>IT</v>
          </cell>
          <cell r="D197" t="str">
            <v>DNG</v>
          </cell>
        </row>
        <row r="198">
          <cell r="B198" t="str">
            <v>UT</v>
          </cell>
          <cell r="C198" t="str">
            <v>IT2</v>
          </cell>
          <cell r="D198" t="str">
            <v>DNG</v>
          </cell>
        </row>
        <row r="200">
          <cell r="B200" t="str">
            <v>State</v>
          </cell>
          <cell r="C200" t="str">
            <v>Rate</v>
          </cell>
          <cell r="D200" t="str">
            <v>Type</v>
          </cell>
        </row>
        <row r="201">
          <cell r="B201" t="str">
            <v>UT</v>
          </cell>
          <cell r="C201" t="str">
            <v>IT</v>
          </cell>
          <cell r="D201" t="str">
            <v>SNG</v>
          </cell>
        </row>
        <row r="202">
          <cell r="B202" t="str">
            <v>UT</v>
          </cell>
          <cell r="C202" t="str">
            <v>IT2</v>
          </cell>
          <cell r="D202" t="str">
            <v>SNG</v>
          </cell>
        </row>
        <row r="204">
          <cell r="B204" t="str">
            <v>State</v>
          </cell>
          <cell r="C204" t="str">
            <v>Rate</v>
          </cell>
          <cell r="D204" t="str">
            <v>Type</v>
          </cell>
        </row>
        <row r="205">
          <cell r="B205" t="str">
            <v>UT</v>
          </cell>
          <cell r="C205" t="str">
            <v>IT</v>
          </cell>
          <cell r="D205" t="str">
            <v>COM</v>
          </cell>
        </row>
        <row r="206">
          <cell r="B206" t="str">
            <v>UT</v>
          </cell>
          <cell r="C206" t="str">
            <v>IT2</v>
          </cell>
          <cell r="D206" t="str">
            <v>COM</v>
          </cell>
        </row>
        <row r="209">
          <cell r="B209" t="str">
            <v>State</v>
          </cell>
          <cell r="C209" t="str">
            <v>Rate</v>
          </cell>
          <cell r="D209" t="str">
            <v>Type</v>
          </cell>
        </row>
        <row r="210">
          <cell r="B210" t="str">
            <v>UT</v>
          </cell>
          <cell r="C210" t="str">
            <v>ITS</v>
          </cell>
          <cell r="D210" t="str">
            <v>Dth</v>
          </cell>
        </row>
        <row r="211">
          <cell r="B211" t="str">
            <v>UT</v>
          </cell>
          <cell r="C211" t="str">
            <v>ITS2</v>
          </cell>
          <cell r="D211" t="str">
            <v>Dth</v>
          </cell>
        </row>
        <row r="213">
          <cell r="B213" t="str">
            <v>State</v>
          </cell>
          <cell r="C213" t="str">
            <v>Rate</v>
          </cell>
          <cell r="D213" t="str">
            <v>Type</v>
          </cell>
        </row>
        <row r="214">
          <cell r="B214" t="str">
            <v>UT</v>
          </cell>
          <cell r="C214" t="str">
            <v>ITS</v>
          </cell>
          <cell r="D214" t="str">
            <v>DNG</v>
          </cell>
        </row>
        <row r="215">
          <cell r="B215" t="str">
            <v>UT</v>
          </cell>
          <cell r="C215" t="str">
            <v>ITS2</v>
          </cell>
          <cell r="D215" t="str">
            <v>DNG</v>
          </cell>
        </row>
        <row r="217">
          <cell r="B217" t="str">
            <v>State</v>
          </cell>
          <cell r="C217" t="str">
            <v>Rate</v>
          </cell>
          <cell r="D217" t="str">
            <v>Type</v>
          </cell>
        </row>
        <row r="218">
          <cell r="B218" t="str">
            <v>UT</v>
          </cell>
          <cell r="C218" t="str">
            <v>ITS</v>
          </cell>
          <cell r="D218" t="str">
            <v>SNG</v>
          </cell>
        </row>
        <row r="219">
          <cell r="B219" t="str">
            <v>UT</v>
          </cell>
          <cell r="C219" t="str">
            <v>ITS2</v>
          </cell>
          <cell r="D219" t="str">
            <v>SNG</v>
          </cell>
        </row>
        <row r="221">
          <cell r="B221" t="str">
            <v>State</v>
          </cell>
          <cell r="C221" t="str">
            <v>Rate</v>
          </cell>
          <cell r="D221" t="str">
            <v>Type</v>
          </cell>
        </row>
        <row r="222">
          <cell r="B222" t="str">
            <v>UT</v>
          </cell>
          <cell r="C222" t="str">
            <v>ITS</v>
          </cell>
          <cell r="D222" t="str">
            <v>Commodity</v>
          </cell>
        </row>
        <row r="223">
          <cell r="B223" t="str">
            <v>UT</v>
          </cell>
          <cell r="C223" t="str">
            <v>ITS2</v>
          </cell>
          <cell r="D223" t="str">
            <v>Commodity</v>
          </cell>
        </row>
        <row r="226">
          <cell r="B226" t="str">
            <v>State</v>
          </cell>
          <cell r="C226" t="str">
            <v>Rate</v>
          </cell>
          <cell r="D226" t="str">
            <v>Type</v>
          </cell>
        </row>
        <row r="227">
          <cell r="B227" t="str">
            <v>UT</v>
          </cell>
          <cell r="C227" t="str">
            <v>FT</v>
          </cell>
          <cell r="D227" t="str">
            <v xml:space="preserve">Dth      </v>
          </cell>
        </row>
        <row r="228">
          <cell r="B228" t="str">
            <v>UT</v>
          </cell>
          <cell r="C228" t="str">
            <v>FT1</v>
          </cell>
          <cell r="D228" t="str">
            <v>DTH</v>
          </cell>
        </row>
        <row r="230">
          <cell r="B230" t="str">
            <v>State</v>
          </cell>
          <cell r="C230" t="str">
            <v>Rate</v>
          </cell>
          <cell r="D230" t="str">
            <v>Type</v>
          </cell>
        </row>
        <row r="231">
          <cell r="B231" t="str">
            <v>UT</v>
          </cell>
          <cell r="C231" t="str">
            <v>FT</v>
          </cell>
          <cell r="D231" t="str">
            <v xml:space="preserve">DNG      </v>
          </cell>
        </row>
        <row r="232">
          <cell r="B232" t="str">
            <v>UT</v>
          </cell>
          <cell r="C232" t="str">
            <v>FT1</v>
          </cell>
          <cell r="D232" t="str">
            <v>DNG</v>
          </cell>
        </row>
        <row r="234">
          <cell r="B234" t="str">
            <v>State</v>
          </cell>
          <cell r="C234" t="str">
            <v>Rate</v>
          </cell>
          <cell r="D234" t="str">
            <v>Type</v>
          </cell>
        </row>
        <row r="235">
          <cell r="B235" t="str">
            <v>UT</v>
          </cell>
          <cell r="C235" t="str">
            <v>FT</v>
          </cell>
          <cell r="D235" t="str">
            <v xml:space="preserve">SNG      </v>
          </cell>
        </row>
        <row r="236">
          <cell r="B236" t="str">
            <v>UT</v>
          </cell>
          <cell r="C236" t="str">
            <v>FT1</v>
          </cell>
          <cell r="D236" t="str">
            <v>SNG</v>
          </cell>
        </row>
        <row r="238">
          <cell r="B238" t="str">
            <v>State</v>
          </cell>
          <cell r="C238" t="str">
            <v>Rate</v>
          </cell>
          <cell r="D238" t="str">
            <v>Type</v>
          </cell>
        </row>
        <row r="239">
          <cell r="B239" t="str">
            <v>UT</v>
          </cell>
          <cell r="C239" t="str">
            <v>FT</v>
          </cell>
          <cell r="D239" t="str">
            <v>Commodity</v>
          </cell>
        </row>
        <row r="240">
          <cell r="B240" t="str">
            <v>UT</v>
          </cell>
          <cell r="C240" t="str">
            <v>FT1</v>
          </cell>
          <cell r="D240" t="str">
            <v>COM</v>
          </cell>
        </row>
        <row r="243">
          <cell r="B243" t="str">
            <v>State</v>
          </cell>
          <cell r="C243" t="str">
            <v>Rate</v>
          </cell>
          <cell r="D243" t="str">
            <v>Type</v>
          </cell>
        </row>
        <row r="244">
          <cell r="B244" t="str">
            <v>UT</v>
          </cell>
          <cell r="C244" t="str">
            <v>FT2</v>
          </cell>
          <cell r="D244" t="str">
            <v>DTH</v>
          </cell>
        </row>
        <row r="246">
          <cell r="B246" t="str">
            <v>State</v>
          </cell>
          <cell r="C246" t="str">
            <v>Rate</v>
          </cell>
          <cell r="D246" t="str">
            <v>Type</v>
          </cell>
        </row>
        <row r="247">
          <cell r="B247" t="str">
            <v>UT</v>
          </cell>
          <cell r="C247" t="str">
            <v>FT2</v>
          </cell>
          <cell r="D247" t="str">
            <v>DNG</v>
          </cell>
        </row>
        <row r="249">
          <cell r="B249" t="str">
            <v>State</v>
          </cell>
          <cell r="C249" t="str">
            <v>Rate</v>
          </cell>
          <cell r="D249" t="str">
            <v>Type</v>
          </cell>
        </row>
        <row r="250">
          <cell r="B250" t="str">
            <v>UT</v>
          </cell>
          <cell r="C250" t="str">
            <v>FT2</v>
          </cell>
          <cell r="D250" t="str">
            <v>SNG</v>
          </cell>
        </row>
        <row r="252">
          <cell r="B252" t="str">
            <v>State</v>
          </cell>
          <cell r="C252" t="str">
            <v>Rate</v>
          </cell>
          <cell r="D252" t="str">
            <v>Type</v>
          </cell>
        </row>
        <row r="253">
          <cell r="B253" t="str">
            <v>UT</v>
          </cell>
          <cell r="C253" t="str">
            <v>FT2</v>
          </cell>
          <cell r="D253" t="str">
            <v>COM</v>
          </cell>
        </row>
        <row r="256">
          <cell r="B256" t="str">
            <v>State</v>
          </cell>
          <cell r="C256" t="str">
            <v>Rate</v>
          </cell>
          <cell r="D256" t="str">
            <v>Type</v>
          </cell>
        </row>
        <row r="257">
          <cell r="B257" t="str">
            <v>UT</v>
          </cell>
          <cell r="C257" t="str">
            <v>FTE</v>
          </cell>
          <cell r="D257" t="str">
            <v>DTH</v>
          </cell>
        </row>
        <row r="259">
          <cell r="B259" t="str">
            <v>State</v>
          </cell>
          <cell r="C259" t="str">
            <v>Rate</v>
          </cell>
          <cell r="D259" t="str">
            <v>Type</v>
          </cell>
        </row>
        <row r="260">
          <cell r="B260" t="str">
            <v>UT</v>
          </cell>
          <cell r="C260" t="str">
            <v>FTE</v>
          </cell>
          <cell r="D260" t="str">
            <v>DNG</v>
          </cell>
        </row>
        <row r="262">
          <cell r="B262" t="str">
            <v>State</v>
          </cell>
          <cell r="C262" t="str">
            <v>Rate</v>
          </cell>
          <cell r="D262" t="str">
            <v>Type</v>
          </cell>
        </row>
        <row r="263">
          <cell r="B263" t="str">
            <v>UT</v>
          </cell>
          <cell r="C263" t="str">
            <v>FTE</v>
          </cell>
          <cell r="D263" t="str">
            <v>SNG</v>
          </cell>
        </row>
        <row r="265">
          <cell r="B265" t="str">
            <v>State</v>
          </cell>
          <cell r="C265" t="str">
            <v>Rate</v>
          </cell>
          <cell r="D265" t="str">
            <v>Type</v>
          </cell>
        </row>
        <row r="266">
          <cell r="B266" t="str">
            <v>UT</v>
          </cell>
          <cell r="C266" t="str">
            <v>FTE</v>
          </cell>
          <cell r="D266" t="str">
            <v>COM</v>
          </cell>
        </row>
        <row r="269">
          <cell r="B269" t="str">
            <v>State</v>
          </cell>
          <cell r="C269" t="str">
            <v>Rate</v>
          </cell>
          <cell r="D269" t="str">
            <v>Type</v>
          </cell>
        </row>
        <row r="270">
          <cell r="B270" t="str">
            <v>UT</v>
          </cell>
          <cell r="C270" t="str">
            <v>MT</v>
          </cell>
          <cell r="D270" t="str">
            <v>DTH</v>
          </cell>
        </row>
        <row r="272">
          <cell r="B272" t="str">
            <v>State</v>
          </cell>
          <cell r="C272" t="str">
            <v>Rate</v>
          </cell>
          <cell r="D272" t="str">
            <v>Type</v>
          </cell>
        </row>
        <row r="273">
          <cell r="B273" t="str">
            <v>UT</v>
          </cell>
          <cell r="C273" t="str">
            <v>MT</v>
          </cell>
          <cell r="D273" t="str">
            <v>DNG</v>
          </cell>
        </row>
        <row r="275">
          <cell r="B275" t="str">
            <v>State</v>
          </cell>
          <cell r="C275" t="str">
            <v>Rate</v>
          </cell>
          <cell r="D275" t="str">
            <v>Type</v>
          </cell>
        </row>
        <row r="276">
          <cell r="B276" t="str">
            <v>UT</v>
          </cell>
          <cell r="C276" t="str">
            <v>MT</v>
          </cell>
          <cell r="D276" t="str">
            <v>SNG</v>
          </cell>
        </row>
        <row r="278">
          <cell r="B278" t="str">
            <v>State</v>
          </cell>
          <cell r="C278" t="str">
            <v>Rate</v>
          </cell>
          <cell r="D278" t="str">
            <v>Type</v>
          </cell>
        </row>
        <row r="279">
          <cell r="B279" t="str">
            <v>UT</v>
          </cell>
          <cell r="C279" t="str">
            <v>MT</v>
          </cell>
          <cell r="D279" t="str">
            <v>COM</v>
          </cell>
        </row>
        <row r="282">
          <cell r="B282" t="str">
            <v>State</v>
          </cell>
          <cell r="C282" t="str">
            <v>Rate</v>
          </cell>
          <cell r="D282" t="str">
            <v>Type</v>
          </cell>
        </row>
        <row r="283">
          <cell r="B283" t="str">
            <v>UT</v>
          </cell>
          <cell r="C283" t="str">
            <v>E1</v>
          </cell>
          <cell r="D283" t="str">
            <v>DTH</v>
          </cell>
        </row>
        <row r="285">
          <cell r="B285" t="str">
            <v>State</v>
          </cell>
          <cell r="C285" t="str">
            <v>Rate</v>
          </cell>
          <cell r="D285" t="str">
            <v>Type</v>
          </cell>
        </row>
        <row r="286">
          <cell r="B286" t="str">
            <v>UT</v>
          </cell>
          <cell r="C286" t="str">
            <v>E1</v>
          </cell>
          <cell r="D286" t="str">
            <v>DNG</v>
          </cell>
        </row>
        <row r="288">
          <cell r="B288" t="str">
            <v>State</v>
          </cell>
          <cell r="C288" t="str">
            <v>Rate</v>
          </cell>
          <cell r="D288" t="str">
            <v>Type</v>
          </cell>
        </row>
        <row r="289">
          <cell r="B289" t="str">
            <v>UT</v>
          </cell>
          <cell r="C289" t="str">
            <v>E1</v>
          </cell>
          <cell r="D289" t="str">
            <v>SNG</v>
          </cell>
        </row>
        <row r="291">
          <cell r="B291" t="str">
            <v>State</v>
          </cell>
          <cell r="C291" t="str">
            <v>Rate</v>
          </cell>
          <cell r="D291" t="str">
            <v>Type</v>
          </cell>
        </row>
        <row r="292">
          <cell r="B292" t="str">
            <v>UT</v>
          </cell>
          <cell r="C292" t="str">
            <v>E1</v>
          </cell>
          <cell r="D292" t="str">
            <v>COM</v>
          </cell>
        </row>
        <row r="300">
          <cell r="B300" t="str">
            <v>State</v>
          </cell>
          <cell r="C300" t="str">
            <v>Rate</v>
          </cell>
          <cell r="D300" t="str">
            <v>Type</v>
          </cell>
        </row>
        <row r="301">
          <cell r="B301" t="str">
            <v>UT</v>
          </cell>
          <cell r="C301" t="str">
            <v>P1</v>
          </cell>
          <cell r="D301" t="str">
            <v>Dth</v>
          </cell>
        </row>
        <row r="303">
          <cell r="B303" t="str">
            <v>State</v>
          </cell>
          <cell r="C303" t="str">
            <v>Rate</v>
          </cell>
          <cell r="D303" t="str">
            <v>Type</v>
          </cell>
        </row>
        <row r="304">
          <cell r="B304" t="str">
            <v>UT</v>
          </cell>
          <cell r="C304" t="str">
            <v>P1</v>
          </cell>
          <cell r="D304" t="str">
            <v>DNG</v>
          </cell>
        </row>
        <row r="306">
          <cell r="B306" t="str">
            <v>State</v>
          </cell>
          <cell r="C306" t="str">
            <v>Rate</v>
          </cell>
          <cell r="D306" t="str">
            <v>Type</v>
          </cell>
        </row>
        <row r="307">
          <cell r="B307" t="str">
            <v>UT</v>
          </cell>
          <cell r="C307" t="str">
            <v>P1</v>
          </cell>
          <cell r="D307" t="str">
            <v>SNG</v>
          </cell>
        </row>
        <row r="309">
          <cell r="B309" t="str">
            <v>State</v>
          </cell>
          <cell r="C309" t="str">
            <v>Rate</v>
          </cell>
          <cell r="D309" t="str">
            <v>Type</v>
          </cell>
        </row>
        <row r="310">
          <cell r="B310" t="str">
            <v>UT</v>
          </cell>
          <cell r="C310" t="str">
            <v>P1</v>
          </cell>
          <cell r="D310" t="str">
            <v>Commodity</v>
          </cell>
        </row>
        <row r="339">
          <cell r="B339" t="str">
            <v>State</v>
          </cell>
          <cell r="C339" t="str">
            <v>Rate</v>
          </cell>
          <cell r="D339" t="str">
            <v>Type</v>
          </cell>
        </row>
        <row r="340">
          <cell r="B340" t="str">
            <v>UT</v>
          </cell>
          <cell r="C340" t="str">
            <v>I4</v>
          </cell>
          <cell r="D340" t="str">
            <v>DTH</v>
          </cell>
        </row>
        <row r="342">
          <cell r="B342" t="str">
            <v>State</v>
          </cell>
          <cell r="C342" t="str">
            <v>Rate</v>
          </cell>
          <cell r="D342" t="str">
            <v>Type</v>
          </cell>
        </row>
        <row r="343">
          <cell r="B343" t="str">
            <v>UT</v>
          </cell>
          <cell r="C343" t="str">
            <v>I4</v>
          </cell>
          <cell r="D343" t="str">
            <v>DNG</v>
          </cell>
        </row>
        <row r="345">
          <cell r="B345" t="str">
            <v>State</v>
          </cell>
          <cell r="C345" t="str">
            <v>Rate</v>
          </cell>
          <cell r="D345" t="str">
            <v>Type</v>
          </cell>
        </row>
        <row r="346">
          <cell r="B346" t="str">
            <v>UT</v>
          </cell>
          <cell r="C346" t="str">
            <v>I4</v>
          </cell>
          <cell r="D346" t="str">
            <v>SNG</v>
          </cell>
        </row>
        <row r="348">
          <cell r="B348" t="str">
            <v>State</v>
          </cell>
          <cell r="C348" t="str">
            <v>Rate</v>
          </cell>
          <cell r="D348" t="str">
            <v>Type</v>
          </cell>
        </row>
        <row r="349">
          <cell r="B349" t="str">
            <v>UT</v>
          </cell>
          <cell r="C349" t="str">
            <v>I4</v>
          </cell>
          <cell r="D349" t="str">
            <v>COM</v>
          </cell>
        </row>
        <row r="359">
          <cell r="B359" t="str">
            <v>State</v>
          </cell>
          <cell r="C359" t="str">
            <v>Rate</v>
          </cell>
          <cell r="D359" t="str">
            <v>Type</v>
          </cell>
        </row>
        <row r="360">
          <cell r="B360" t="str">
            <v>ID</v>
          </cell>
          <cell r="C360" t="str">
            <v xml:space="preserve">GSS </v>
          </cell>
          <cell r="D360" t="str">
            <v>Dth</v>
          </cell>
        </row>
        <row r="362">
          <cell r="B362" t="str">
            <v>State</v>
          </cell>
          <cell r="C362" t="str">
            <v>Rate</v>
          </cell>
          <cell r="D362" t="str">
            <v>Type</v>
          </cell>
        </row>
        <row r="363">
          <cell r="B363" t="str">
            <v>ID</v>
          </cell>
          <cell r="C363" t="str">
            <v xml:space="preserve">GSS </v>
          </cell>
          <cell r="D363" t="str">
            <v>DNG</v>
          </cell>
        </row>
        <row r="365">
          <cell r="B365" t="str">
            <v>State</v>
          </cell>
          <cell r="C365" t="str">
            <v>Rate</v>
          </cell>
          <cell r="D365" t="str">
            <v>Type</v>
          </cell>
        </row>
        <row r="366">
          <cell r="B366" t="str">
            <v>ID</v>
          </cell>
          <cell r="C366" t="str">
            <v xml:space="preserve">GSS </v>
          </cell>
          <cell r="D366" t="str">
            <v>SNG</v>
          </cell>
        </row>
        <row r="368">
          <cell r="B368" t="str">
            <v>State</v>
          </cell>
          <cell r="C368" t="str">
            <v>Rate</v>
          </cell>
          <cell r="D368" t="str">
            <v>Type</v>
          </cell>
        </row>
        <row r="369">
          <cell r="B369" t="str">
            <v>ID</v>
          </cell>
          <cell r="C369" t="str">
            <v xml:space="preserve">GSS </v>
          </cell>
          <cell r="D369" t="str">
            <v>Commodity</v>
          </cell>
        </row>
        <row r="372">
          <cell r="B372" t="str">
            <v>State</v>
          </cell>
          <cell r="C372" t="str">
            <v>Rate</v>
          </cell>
          <cell r="D372" t="str">
            <v>Type</v>
          </cell>
        </row>
        <row r="373">
          <cell r="B373" t="str">
            <v>ID</v>
          </cell>
          <cell r="C373" t="str">
            <v xml:space="preserve">IS  </v>
          </cell>
          <cell r="D373" t="str">
            <v xml:space="preserve">Dth      </v>
          </cell>
        </row>
        <row r="374">
          <cell r="B374" t="str">
            <v>ID</v>
          </cell>
          <cell r="C374" t="str">
            <v xml:space="preserve">IS2 </v>
          </cell>
          <cell r="D374" t="str">
            <v xml:space="preserve">Dth      </v>
          </cell>
        </row>
        <row r="376">
          <cell r="B376" t="str">
            <v>State</v>
          </cell>
          <cell r="C376" t="str">
            <v>Rate</v>
          </cell>
          <cell r="D376" t="str">
            <v>Type</v>
          </cell>
        </row>
        <row r="377">
          <cell r="B377" t="str">
            <v>ID</v>
          </cell>
          <cell r="C377" t="str">
            <v xml:space="preserve">IS  </v>
          </cell>
          <cell r="D377" t="str">
            <v xml:space="preserve">DNG      </v>
          </cell>
        </row>
        <row r="378">
          <cell r="B378" t="str">
            <v>ID</v>
          </cell>
          <cell r="C378" t="str">
            <v xml:space="preserve">IS2 </v>
          </cell>
          <cell r="D378" t="str">
            <v xml:space="preserve">DNG      </v>
          </cell>
        </row>
        <row r="380">
          <cell r="B380" t="str">
            <v>State</v>
          </cell>
          <cell r="C380" t="str">
            <v>Rate</v>
          </cell>
          <cell r="D380" t="str">
            <v>Type</v>
          </cell>
        </row>
        <row r="381">
          <cell r="B381" t="str">
            <v>ID</v>
          </cell>
          <cell r="C381" t="str">
            <v xml:space="preserve">IS  </v>
          </cell>
          <cell r="D381" t="str">
            <v xml:space="preserve">SNG      </v>
          </cell>
        </row>
        <row r="382">
          <cell r="B382" t="str">
            <v>ID</v>
          </cell>
          <cell r="C382" t="str">
            <v xml:space="preserve">IS2 </v>
          </cell>
          <cell r="D382" t="str">
            <v xml:space="preserve">SNG      </v>
          </cell>
        </row>
        <row r="384">
          <cell r="B384" t="str">
            <v>State</v>
          </cell>
          <cell r="C384" t="str">
            <v>Rate</v>
          </cell>
          <cell r="D384" t="str">
            <v>Type</v>
          </cell>
        </row>
        <row r="385">
          <cell r="B385" t="str">
            <v>ID</v>
          </cell>
          <cell r="C385" t="str">
            <v xml:space="preserve">IS  </v>
          </cell>
          <cell r="D385" t="str">
            <v>Commodity</v>
          </cell>
        </row>
        <row r="386">
          <cell r="B386" t="str">
            <v>ID</v>
          </cell>
          <cell r="C386" t="str">
            <v xml:space="preserve">IS2 </v>
          </cell>
          <cell r="D386" t="str">
            <v>Commodity</v>
          </cell>
        </row>
        <row r="397">
          <cell r="B397" t="str">
            <v>State</v>
          </cell>
          <cell r="C397" t="str">
            <v>Rate</v>
          </cell>
          <cell r="D397" t="str">
            <v>Type</v>
          </cell>
        </row>
        <row r="398">
          <cell r="B398" t="str">
            <v>WY</v>
          </cell>
          <cell r="C398" t="str">
            <v>GS</v>
          </cell>
          <cell r="D398" t="str">
            <v>DTH</v>
          </cell>
        </row>
        <row r="400">
          <cell r="B400" t="str">
            <v>State</v>
          </cell>
          <cell r="C400" t="str">
            <v>Rate</v>
          </cell>
          <cell r="D400" t="str">
            <v>Type</v>
          </cell>
        </row>
        <row r="401">
          <cell r="B401" t="str">
            <v>WY</v>
          </cell>
          <cell r="C401" t="str">
            <v>GS</v>
          </cell>
          <cell r="D401" t="str">
            <v>DNG</v>
          </cell>
        </row>
        <row r="403">
          <cell r="B403" t="str">
            <v>State</v>
          </cell>
          <cell r="C403" t="str">
            <v>Rate</v>
          </cell>
          <cell r="D403" t="str">
            <v>Type</v>
          </cell>
        </row>
        <row r="404">
          <cell r="B404" t="str">
            <v>WY</v>
          </cell>
          <cell r="C404" t="str">
            <v>GS</v>
          </cell>
          <cell r="D404" t="str">
            <v>COM</v>
          </cell>
        </row>
        <row r="406">
          <cell r="B406" t="str">
            <v>State</v>
          </cell>
          <cell r="C406" t="str">
            <v>Rate</v>
          </cell>
          <cell r="D406" t="str">
            <v>Type</v>
          </cell>
        </row>
        <row r="407">
          <cell r="B407" t="str">
            <v>WY</v>
          </cell>
          <cell r="C407" t="str">
            <v>GS</v>
          </cell>
          <cell r="D407" t="str">
            <v>SIF</v>
          </cell>
        </row>
        <row r="410">
          <cell r="B410" t="str">
            <v>State</v>
          </cell>
          <cell r="C410" t="str">
            <v>Rate</v>
          </cell>
          <cell r="D410" t="str">
            <v>Type</v>
          </cell>
        </row>
        <row r="411">
          <cell r="B411" t="str">
            <v>WY</v>
          </cell>
          <cell r="C411" t="str">
            <v>F1</v>
          </cell>
          <cell r="D411" t="str">
            <v>DTH</v>
          </cell>
        </row>
        <row r="413">
          <cell r="B413" t="str">
            <v>State</v>
          </cell>
          <cell r="C413" t="str">
            <v>Rate</v>
          </cell>
          <cell r="D413" t="str">
            <v>Type</v>
          </cell>
        </row>
        <row r="414">
          <cell r="B414" t="str">
            <v>WY</v>
          </cell>
          <cell r="C414" t="str">
            <v>F1</v>
          </cell>
          <cell r="D414" t="str">
            <v>DNG</v>
          </cell>
        </row>
        <row r="416">
          <cell r="B416" t="str">
            <v>State</v>
          </cell>
          <cell r="C416" t="str">
            <v>Rate</v>
          </cell>
          <cell r="D416" t="str">
            <v>Type</v>
          </cell>
        </row>
        <row r="417">
          <cell r="B417" t="str">
            <v>WY</v>
          </cell>
          <cell r="C417" t="str">
            <v>F1</v>
          </cell>
          <cell r="D417" t="str">
            <v>COM</v>
          </cell>
        </row>
        <row r="420">
          <cell r="B420" t="str">
            <v>State</v>
          </cell>
          <cell r="C420" t="str">
            <v>Rate</v>
          </cell>
          <cell r="D420" t="str">
            <v>Type</v>
          </cell>
        </row>
        <row r="421">
          <cell r="B421" t="str">
            <v>WY</v>
          </cell>
          <cell r="C421" t="str">
            <v>NGV</v>
          </cell>
          <cell r="D421" t="str">
            <v>DTH</v>
          </cell>
        </row>
        <row r="423">
          <cell r="B423" t="str">
            <v>State</v>
          </cell>
          <cell r="C423" t="str">
            <v>Rate</v>
          </cell>
          <cell r="D423" t="str">
            <v>Type</v>
          </cell>
        </row>
        <row r="424">
          <cell r="B424" t="str">
            <v>WY</v>
          </cell>
          <cell r="C424" t="str">
            <v>NGV</v>
          </cell>
          <cell r="D424" t="str">
            <v>DNG</v>
          </cell>
        </row>
        <row r="426">
          <cell r="B426" t="str">
            <v>State</v>
          </cell>
          <cell r="C426" t="str">
            <v>Rate</v>
          </cell>
          <cell r="D426" t="str">
            <v>Type</v>
          </cell>
        </row>
        <row r="427">
          <cell r="B427" t="str">
            <v>WY</v>
          </cell>
          <cell r="C427" t="str">
            <v>NGV</v>
          </cell>
          <cell r="D427" t="str">
            <v>COM</v>
          </cell>
        </row>
        <row r="430">
          <cell r="B430" t="str">
            <v>State</v>
          </cell>
          <cell r="C430" t="str">
            <v>Rate</v>
          </cell>
          <cell r="D430" t="str">
            <v>Type</v>
          </cell>
        </row>
        <row r="431">
          <cell r="B431" t="str">
            <v>WY</v>
          </cell>
          <cell r="C431" t="str">
            <v>GSW</v>
          </cell>
          <cell r="D431" t="str">
            <v>DTH</v>
          </cell>
        </row>
        <row r="433">
          <cell r="B433" t="str">
            <v>State</v>
          </cell>
          <cell r="C433" t="str">
            <v>Rate</v>
          </cell>
          <cell r="D433" t="str">
            <v>Type</v>
          </cell>
        </row>
        <row r="434">
          <cell r="B434" t="str">
            <v>WY</v>
          </cell>
          <cell r="C434" t="str">
            <v>GSW</v>
          </cell>
          <cell r="D434" t="str">
            <v>DNG</v>
          </cell>
        </row>
        <row r="436">
          <cell r="B436" t="str">
            <v>State</v>
          </cell>
          <cell r="C436" t="str">
            <v>Rate</v>
          </cell>
          <cell r="D436" t="str">
            <v>Type</v>
          </cell>
        </row>
        <row r="437">
          <cell r="B437" t="str">
            <v>WY</v>
          </cell>
          <cell r="C437" t="str">
            <v>GSW</v>
          </cell>
          <cell r="D437" t="str">
            <v>COM</v>
          </cell>
        </row>
        <row r="450">
          <cell r="B450" t="str">
            <v>State</v>
          </cell>
          <cell r="C450" t="str">
            <v>Rate</v>
          </cell>
          <cell r="D450" t="str">
            <v>Type</v>
          </cell>
        </row>
        <row r="451">
          <cell r="B451" t="str">
            <v>WY</v>
          </cell>
          <cell r="C451" t="str">
            <v>IC</v>
          </cell>
          <cell r="D451" t="str">
            <v>DTH</v>
          </cell>
        </row>
        <row r="453">
          <cell r="B453" t="str">
            <v>State</v>
          </cell>
          <cell r="C453" t="str">
            <v>Rate</v>
          </cell>
          <cell r="D453" t="str">
            <v>Type</v>
          </cell>
        </row>
        <row r="454">
          <cell r="B454" t="str">
            <v>WY</v>
          </cell>
          <cell r="C454" t="str">
            <v>IC</v>
          </cell>
          <cell r="D454" t="str">
            <v>DNG</v>
          </cell>
        </row>
        <row r="456">
          <cell r="B456" t="str">
            <v>State</v>
          </cell>
          <cell r="C456" t="str">
            <v>Rate</v>
          </cell>
          <cell r="D456" t="str">
            <v>Type</v>
          </cell>
        </row>
        <row r="457">
          <cell r="B457" t="str">
            <v>WY</v>
          </cell>
          <cell r="C457" t="str">
            <v>IC</v>
          </cell>
          <cell r="D457" t="str">
            <v>COM</v>
          </cell>
        </row>
        <row r="460">
          <cell r="B460" t="str">
            <v>State</v>
          </cell>
          <cell r="C460" t="str">
            <v>Rate</v>
          </cell>
          <cell r="D460" t="str">
            <v>Type</v>
          </cell>
        </row>
        <row r="461">
          <cell r="B461" t="str">
            <v>WY</v>
          </cell>
          <cell r="C461" t="str">
            <v>I2</v>
          </cell>
          <cell r="D461" t="str">
            <v>DTH</v>
          </cell>
        </row>
        <row r="463">
          <cell r="B463" t="str">
            <v>State</v>
          </cell>
          <cell r="C463" t="str">
            <v>Rate</v>
          </cell>
          <cell r="D463" t="str">
            <v>Type</v>
          </cell>
        </row>
        <row r="464">
          <cell r="B464" t="str">
            <v>WY</v>
          </cell>
          <cell r="C464" t="str">
            <v>I2</v>
          </cell>
          <cell r="D464" t="str">
            <v>DNG</v>
          </cell>
        </row>
        <row r="466">
          <cell r="B466" t="str">
            <v>State</v>
          </cell>
          <cell r="C466" t="str">
            <v>Rate</v>
          </cell>
          <cell r="D466" t="str">
            <v>Type</v>
          </cell>
        </row>
        <row r="467">
          <cell r="B467" t="str">
            <v>WY</v>
          </cell>
          <cell r="C467" t="str">
            <v>I2</v>
          </cell>
          <cell r="D467" t="str">
            <v>SNG</v>
          </cell>
        </row>
        <row r="469">
          <cell r="B469" t="str">
            <v>State</v>
          </cell>
          <cell r="C469" t="str">
            <v>Rate</v>
          </cell>
          <cell r="D469" t="str">
            <v>Type</v>
          </cell>
        </row>
        <row r="470">
          <cell r="B470" t="str">
            <v>WY</v>
          </cell>
          <cell r="C470" t="str">
            <v>I2</v>
          </cell>
          <cell r="D470" t="str">
            <v>COM</v>
          </cell>
        </row>
        <row r="473">
          <cell r="B473" t="str">
            <v>State</v>
          </cell>
          <cell r="C473" t="str">
            <v>Rate</v>
          </cell>
          <cell r="D473" t="str">
            <v>Type</v>
          </cell>
        </row>
        <row r="474">
          <cell r="B474" t="str">
            <v>WY</v>
          </cell>
          <cell r="C474" t="str">
            <v>I4</v>
          </cell>
          <cell r="D474" t="str">
            <v>DTH</v>
          </cell>
        </row>
        <row r="476">
          <cell r="B476" t="str">
            <v>State</v>
          </cell>
          <cell r="C476" t="str">
            <v>Rate</v>
          </cell>
          <cell r="D476" t="str">
            <v>Type</v>
          </cell>
        </row>
        <row r="477">
          <cell r="B477" t="str">
            <v>WY</v>
          </cell>
          <cell r="C477" t="str">
            <v>I4</v>
          </cell>
          <cell r="D477" t="str">
            <v>DNG</v>
          </cell>
        </row>
        <row r="479">
          <cell r="B479" t="str">
            <v>State</v>
          </cell>
          <cell r="C479" t="str">
            <v>Rate</v>
          </cell>
          <cell r="D479" t="str">
            <v>Type</v>
          </cell>
        </row>
        <row r="480">
          <cell r="B480" t="str">
            <v>WY</v>
          </cell>
          <cell r="C480" t="str">
            <v>I4</v>
          </cell>
          <cell r="D480" t="str">
            <v>SNG</v>
          </cell>
        </row>
        <row r="482">
          <cell r="B482" t="str">
            <v>State</v>
          </cell>
          <cell r="C482" t="str">
            <v>Rate</v>
          </cell>
          <cell r="D482" t="str">
            <v>Type</v>
          </cell>
        </row>
        <row r="483">
          <cell r="B483" t="str">
            <v>WY</v>
          </cell>
          <cell r="C483" t="str">
            <v>I4</v>
          </cell>
          <cell r="D483" t="str">
            <v>COM</v>
          </cell>
        </row>
        <row r="486">
          <cell r="B486" t="str">
            <v>State</v>
          </cell>
          <cell r="C486" t="str">
            <v>Rate</v>
          </cell>
          <cell r="D486" t="str">
            <v>Type</v>
          </cell>
        </row>
        <row r="487">
          <cell r="B487" t="str">
            <v>WY</v>
          </cell>
          <cell r="C487" t="str">
            <v>IT2</v>
          </cell>
          <cell r="D487" t="str">
            <v xml:space="preserve">Dth      </v>
          </cell>
        </row>
        <row r="488">
          <cell r="B488" t="str">
            <v>WY</v>
          </cell>
          <cell r="C488" t="str">
            <v>IT</v>
          </cell>
          <cell r="D488" t="str">
            <v>DTH</v>
          </cell>
        </row>
        <row r="490">
          <cell r="B490" t="str">
            <v>State</v>
          </cell>
          <cell r="C490" t="str">
            <v>Rate</v>
          </cell>
          <cell r="D490" t="str">
            <v>Type</v>
          </cell>
        </row>
        <row r="491">
          <cell r="B491" t="str">
            <v>WY</v>
          </cell>
          <cell r="C491" t="str">
            <v xml:space="preserve">IT2 </v>
          </cell>
          <cell r="D491" t="str">
            <v xml:space="preserve">DNG      </v>
          </cell>
        </row>
        <row r="492">
          <cell r="B492" t="str">
            <v>WY</v>
          </cell>
          <cell r="C492" t="str">
            <v>IT</v>
          </cell>
          <cell r="D492" t="str">
            <v>DNG</v>
          </cell>
        </row>
        <row r="494">
          <cell r="B494" t="str">
            <v>State</v>
          </cell>
          <cell r="C494" t="str">
            <v>Rate</v>
          </cell>
          <cell r="D494" t="str">
            <v>Type</v>
          </cell>
        </row>
        <row r="495">
          <cell r="B495" t="str">
            <v>WY</v>
          </cell>
          <cell r="C495" t="str">
            <v>IT2</v>
          </cell>
          <cell r="D495" t="str">
            <v>Commodity</v>
          </cell>
        </row>
        <row r="496">
          <cell r="B496" t="str">
            <v>WY</v>
          </cell>
          <cell r="C496" t="str">
            <v>IT</v>
          </cell>
          <cell r="D496" t="str">
            <v>COM</v>
          </cell>
        </row>
        <row r="499">
          <cell r="B499" t="str">
            <v>State</v>
          </cell>
          <cell r="C499" t="str">
            <v>Rate</v>
          </cell>
          <cell r="D499" t="str">
            <v>Type</v>
          </cell>
        </row>
        <row r="500">
          <cell r="B500" t="str">
            <v>WY</v>
          </cell>
          <cell r="C500" t="str">
            <v xml:space="preserve">IC2 </v>
          </cell>
          <cell r="D500" t="str">
            <v xml:space="preserve">Dth      </v>
          </cell>
        </row>
        <row r="501">
          <cell r="B501" t="str">
            <v>WY</v>
          </cell>
          <cell r="C501" t="str">
            <v xml:space="preserve">IC3 </v>
          </cell>
          <cell r="D501" t="str">
            <v xml:space="preserve">Dth      </v>
          </cell>
        </row>
        <row r="502">
          <cell r="B502" t="str">
            <v>WY</v>
          </cell>
          <cell r="C502" t="str">
            <v xml:space="preserve">IC7 </v>
          </cell>
          <cell r="D502" t="str">
            <v xml:space="preserve">Dth      </v>
          </cell>
        </row>
        <row r="503">
          <cell r="B503" t="str">
            <v>WY</v>
          </cell>
          <cell r="C503" t="str">
            <v xml:space="preserve">IC8 </v>
          </cell>
          <cell r="D503" t="str">
            <v xml:space="preserve">Dth      </v>
          </cell>
        </row>
        <row r="504">
          <cell r="B504" t="str">
            <v>WY</v>
          </cell>
          <cell r="C504" t="str">
            <v xml:space="preserve">IC9 </v>
          </cell>
          <cell r="D504" t="str">
            <v xml:space="preserve">Dth      </v>
          </cell>
        </row>
        <row r="506">
          <cell r="B506" t="str">
            <v>State</v>
          </cell>
          <cell r="C506" t="str">
            <v>Rate</v>
          </cell>
          <cell r="D506" t="str">
            <v>Type</v>
          </cell>
        </row>
        <row r="507">
          <cell r="B507" t="str">
            <v>WY</v>
          </cell>
          <cell r="C507" t="str">
            <v xml:space="preserve">IC2 </v>
          </cell>
          <cell r="D507" t="str">
            <v xml:space="preserve">DNG      </v>
          </cell>
        </row>
        <row r="508">
          <cell r="B508" t="str">
            <v>WY</v>
          </cell>
          <cell r="C508" t="str">
            <v xml:space="preserve">IC3 </v>
          </cell>
          <cell r="D508" t="str">
            <v xml:space="preserve">DNG      </v>
          </cell>
        </row>
        <row r="509">
          <cell r="B509" t="str">
            <v>WY</v>
          </cell>
          <cell r="C509" t="str">
            <v xml:space="preserve">IC7 </v>
          </cell>
          <cell r="D509" t="str">
            <v xml:space="preserve">DNG      </v>
          </cell>
        </row>
        <row r="510">
          <cell r="B510" t="str">
            <v>WY</v>
          </cell>
          <cell r="C510" t="str">
            <v xml:space="preserve">IC8 </v>
          </cell>
          <cell r="D510" t="str">
            <v xml:space="preserve">DNG      </v>
          </cell>
        </row>
        <row r="511">
          <cell r="B511" t="str">
            <v>WY</v>
          </cell>
          <cell r="C511" t="str">
            <v xml:space="preserve">IC9 </v>
          </cell>
          <cell r="D511" t="str">
            <v xml:space="preserve">DNG      </v>
          </cell>
        </row>
        <row r="513">
          <cell r="B513" t="str">
            <v>State</v>
          </cell>
          <cell r="C513" t="str">
            <v>Rate</v>
          </cell>
          <cell r="D513" t="str">
            <v>Type</v>
          </cell>
        </row>
        <row r="514">
          <cell r="B514" t="str">
            <v>WY</v>
          </cell>
          <cell r="C514" t="str">
            <v xml:space="preserve">IC2 </v>
          </cell>
          <cell r="D514" t="str">
            <v>Commodity</v>
          </cell>
        </row>
        <row r="515">
          <cell r="B515" t="str">
            <v>WY</v>
          </cell>
          <cell r="C515" t="str">
            <v>IC3</v>
          </cell>
          <cell r="D515" t="str">
            <v>Commodity</v>
          </cell>
        </row>
        <row r="516">
          <cell r="B516" t="str">
            <v>WY</v>
          </cell>
          <cell r="C516" t="str">
            <v>IC5</v>
          </cell>
          <cell r="D516" t="str">
            <v>Commodity</v>
          </cell>
        </row>
        <row r="517">
          <cell r="B517" t="str">
            <v>WY</v>
          </cell>
          <cell r="C517" t="str">
            <v>IC6</v>
          </cell>
          <cell r="D517" t="str">
            <v>Commodity</v>
          </cell>
        </row>
        <row r="518">
          <cell r="B518" t="str">
            <v>WY</v>
          </cell>
          <cell r="C518" t="str">
            <v>IC7</v>
          </cell>
          <cell r="D518" t="str">
            <v>Commodity</v>
          </cell>
        </row>
        <row r="519">
          <cell r="B519" t="str">
            <v>WY</v>
          </cell>
          <cell r="C519" t="str">
            <v xml:space="preserve">IC8 </v>
          </cell>
          <cell r="D519" t="str">
            <v>Commodity</v>
          </cell>
        </row>
        <row r="520">
          <cell r="B520" t="str">
            <v>WY</v>
          </cell>
          <cell r="C520" t="str">
            <v>IC9</v>
          </cell>
          <cell r="D520" t="str">
            <v>Commodity</v>
          </cell>
        </row>
        <row r="530">
          <cell r="B530" t="str">
            <v>State</v>
          </cell>
          <cell r="C530" t="str">
            <v>Rate</v>
          </cell>
          <cell r="D530" t="str">
            <v>Type</v>
          </cell>
        </row>
        <row r="531">
          <cell r="B531" t="str">
            <v>CO</v>
          </cell>
          <cell r="C531" t="str">
            <v>I4</v>
          </cell>
          <cell r="D531" t="str">
            <v>DTH</v>
          </cell>
        </row>
        <row r="533">
          <cell r="B533" t="str">
            <v>State</v>
          </cell>
          <cell r="C533" t="str">
            <v>Rate</v>
          </cell>
          <cell r="D533" t="str">
            <v>Type</v>
          </cell>
        </row>
        <row r="534">
          <cell r="B534" t="str">
            <v>CO</v>
          </cell>
          <cell r="C534" t="str">
            <v>I4</v>
          </cell>
          <cell r="D534" t="str">
            <v>DNG</v>
          </cell>
        </row>
        <row r="536">
          <cell r="B536" t="str">
            <v>State</v>
          </cell>
          <cell r="C536" t="str">
            <v>Rate</v>
          </cell>
          <cell r="D536" t="str">
            <v>Type</v>
          </cell>
        </row>
        <row r="537">
          <cell r="B537" t="str">
            <v>CO</v>
          </cell>
          <cell r="C537" t="str">
            <v>I4</v>
          </cell>
          <cell r="D537" t="str">
            <v>COM</v>
          </cell>
        </row>
        <row r="540">
          <cell r="B540" t="str">
            <v>State</v>
          </cell>
          <cell r="C540" t="str">
            <v>Rate</v>
          </cell>
          <cell r="D540" t="str">
            <v>Type</v>
          </cell>
        </row>
        <row r="541">
          <cell r="B541" t="str">
            <v>CO</v>
          </cell>
          <cell r="C541" t="str">
            <v>IC</v>
          </cell>
          <cell r="D541" t="str">
            <v>Dth</v>
          </cell>
        </row>
        <row r="542">
          <cell r="B542" t="str">
            <v>CO</v>
          </cell>
          <cell r="C542" t="str">
            <v>IT</v>
          </cell>
          <cell r="D542" t="str">
            <v>Dth</v>
          </cell>
        </row>
        <row r="544">
          <cell r="B544" t="str">
            <v>State</v>
          </cell>
          <cell r="C544" t="str">
            <v>Rate</v>
          </cell>
          <cell r="D544" t="str">
            <v>Type</v>
          </cell>
        </row>
        <row r="545">
          <cell r="B545" t="str">
            <v>CO</v>
          </cell>
          <cell r="C545" t="str">
            <v>IC</v>
          </cell>
          <cell r="D545" t="str">
            <v>DNG</v>
          </cell>
        </row>
        <row r="546">
          <cell r="B546" t="str">
            <v>CO</v>
          </cell>
          <cell r="C546" t="str">
            <v>IT</v>
          </cell>
          <cell r="D546" t="str">
            <v>DNG</v>
          </cell>
        </row>
        <row r="548">
          <cell r="B548" t="str">
            <v>State</v>
          </cell>
          <cell r="C548" t="str">
            <v>Rate</v>
          </cell>
          <cell r="D548" t="str">
            <v>Type</v>
          </cell>
        </row>
        <row r="549">
          <cell r="B549" t="str">
            <v>CO</v>
          </cell>
          <cell r="C549" t="str">
            <v>IC</v>
          </cell>
          <cell r="D549" t="str">
            <v>Commodity</v>
          </cell>
        </row>
        <row r="550">
          <cell r="B550" t="str">
            <v>CO</v>
          </cell>
          <cell r="C550" t="str">
            <v>IT</v>
          </cell>
          <cell r="D550" t="str">
            <v>Commodity</v>
          </cell>
        </row>
      </sheetData>
      <sheetData sheetId="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YPE"/>
      <sheetName val="RATE CLASS"/>
      <sheetName val="PIVOT"/>
      <sheetName val="QUERY_FOR PIVOT"/>
      <sheetName val="NGV RATES"/>
      <sheetName val="NGV Query"/>
      <sheetName val="CRITERIA"/>
      <sheetName val="BOOKED REV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Account</v>
          </cell>
          <cell r="B1" t="str">
            <v>Dept</v>
          </cell>
          <cell r="C1" t="str">
            <v>Sum Amount</v>
          </cell>
          <cell r="D1" t="str">
            <v>Trans</v>
          </cell>
          <cell r="E1" t="str">
            <v>Product</v>
          </cell>
          <cell r="F1" t="str">
            <v>Sum Stat Amt</v>
          </cell>
          <cell r="G1" t="str">
            <v>Period</v>
          </cell>
          <cell r="H1" t="str">
            <v>Date</v>
          </cell>
        </row>
        <row r="2">
          <cell r="A2" t="str">
            <v>481003</v>
          </cell>
          <cell r="B2" t="str">
            <v>1015</v>
          </cell>
          <cell r="C2">
            <v>-1604.99</v>
          </cell>
          <cell r="D2" t="str">
            <v>200</v>
          </cell>
          <cell r="F2">
            <v>-340.85</v>
          </cell>
          <cell r="G2">
            <v>6</v>
          </cell>
          <cell r="H2" t="str">
            <v>2010-06-30</v>
          </cell>
        </row>
        <row r="3">
          <cell r="A3" t="str">
            <v>481003</v>
          </cell>
          <cell r="B3" t="str">
            <v>1015</v>
          </cell>
          <cell r="C3">
            <v>-12334.23</v>
          </cell>
          <cell r="D3" t="str">
            <v>200</v>
          </cell>
          <cell r="F3">
            <v>-1551.7</v>
          </cell>
          <cell r="G3">
            <v>9</v>
          </cell>
          <cell r="H3" t="str">
            <v>2009-09-30</v>
          </cell>
        </row>
        <row r="4">
          <cell r="A4" t="str">
            <v>481003</v>
          </cell>
          <cell r="B4" t="str">
            <v>1015</v>
          </cell>
          <cell r="C4">
            <v>-1938.42</v>
          </cell>
          <cell r="D4" t="str">
            <v>200</v>
          </cell>
          <cell r="F4">
            <v>-314.85000000000002</v>
          </cell>
          <cell r="G4">
            <v>10</v>
          </cell>
          <cell r="H4" t="str">
            <v>2009-10-31</v>
          </cell>
        </row>
        <row r="5">
          <cell r="A5" t="str">
            <v>481003</v>
          </cell>
          <cell r="B5" t="str">
            <v>1015</v>
          </cell>
          <cell r="C5">
            <v>-50.28</v>
          </cell>
          <cell r="D5" t="str">
            <v>200</v>
          </cell>
          <cell r="F5">
            <v>-9.1199999999999992</v>
          </cell>
          <cell r="G5">
            <v>12</v>
          </cell>
          <cell r="H5" t="str">
            <v>2009-12-31</v>
          </cell>
        </row>
        <row r="6">
          <cell r="A6" t="str">
            <v>481003</v>
          </cell>
          <cell r="B6" t="str">
            <v>1015</v>
          </cell>
          <cell r="C6">
            <v>-43981.1</v>
          </cell>
          <cell r="D6" t="str">
            <v>200</v>
          </cell>
          <cell r="F6">
            <v>-5469.81</v>
          </cell>
          <cell r="G6">
            <v>12</v>
          </cell>
          <cell r="H6" t="str">
            <v>2009-12-31</v>
          </cell>
        </row>
        <row r="7">
          <cell r="A7" t="str">
            <v>481003</v>
          </cell>
          <cell r="B7" t="str">
            <v>1015</v>
          </cell>
          <cell r="C7">
            <v>-24897.119999999999</v>
          </cell>
          <cell r="D7" t="str">
            <v>200</v>
          </cell>
          <cell r="F7">
            <v>-3088.03</v>
          </cell>
          <cell r="G7">
            <v>12</v>
          </cell>
          <cell r="H7" t="str">
            <v>2009-12-31</v>
          </cell>
        </row>
        <row r="8">
          <cell r="A8" t="str">
            <v>481003</v>
          </cell>
          <cell r="B8" t="str">
            <v>1015</v>
          </cell>
          <cell r="C8">
            <v>-7913.46</v>
          </cell>
          <cell r="D8" t="str">
            <v>200</v>
          </cell>
          <cell r="F8">
            <v>-1434.52</v>
          </cell>
          <cell r="G8">
            <v>12</v>
          </cell>
          <cell r="H8" t="str">
            <v>2009-12-31</v>
          </cell>
        </row>
        <row r="9">
          <cell r="A9" t="str">
            <v>481003</v>
          </cell>
          <cell r="B9" t="str">
            <v>1015</v>
          </cell>
          <cell r="C9">
            <v>-1130.0899999999999</v>
          </cell>
          <cell r="D9" t="str">
            <v>200</v>
          </cell>
          <cell r="F9">
            <v>-188.2</v>
          </cell>
          <cell r="G9">
            <v>1</v>
          </cell>
          <cell r="H9" t="str">
            <v>2010-01-31</v>
          </cell>
        </row>
        <row r="10">
          <cell r="A10" t="str">
            <v>481003</v>
          </cell>
          <cell r="B10" t="str">
            <v>1015</v>
          </cell>
          <cell r="C10">
            <v>-16461.09</v>
          </cell>
          <cell r="D10" t="str">
            <v>200</v>
          </cell>
          <cell r="F10">
            <v>-2983.9</v>
          </cell>
          <cell r="G10">
            <v>5</v>
          </cell>
          <cell r="H10" t="str">
            <v>2010-05-31</v>
          </cell>
        </row>
        <row r="11">
          <cell r="A11" t="str">
            <v>481003</v>
          </cell>
          <cell r="B11" t="str">
            <v>1015</v>
          </cell>
          <cell r="C11">
            <v>-22578.45</v>
          </cell>
          <cell r="D11" t="str">
            <v>200</v>
          </cell>
          <cell r="F11">
            <v>-4092.73</v>
          </cell>
          <cell r="G11">
            <v>5</v>
          </cell>
          <cell r="H11" t="str">
            <v>2010-05-31</v>
          </cell>
        </row>
        <row r="12">
          <cell r="A12" t="str">
            <v>481003</v>
          </cell>
          <cell r="B12" t="str">
            <v>1015</v>
          </cell>
          <cell r="C12">
            <v>-2467.1</v>
          </cell>
          <cell r="D12" t="str">
            <v>200</v>
          </cell>
          <cell r="F12">
            <v>-416.27</v>
          </cell>
          <cell r="G12">
            <v>6</v>
          </cell>
          <cell r="H12" t="str">
            <v>2010-06-30</v>
          </cell>
        </row>
        <row r="13">
          <cell r="A13" t="str">
            <v>481003</v>
          </cell>
          <cell r="B13" t="str">
            <v>1015</v>
          </cell>
          <cell r="C13">
            <v>-7058.1</v>
          </cell>
          <cell r="D13" t="str">
            <v>200</v>
          </cell>
          <cell r="F13">
            <v>-706.68</v>
          </cell>
          <cell r="G13">
            <v>7</v>
          </cell>
          <cell r="H13" t="str">
            <v>2009-07-31</v>
          </cell>
        </row>
        <row r="14">
          <cell r="A14" t="str">
            <v>481003</v>
          </cell>
          <cell r="B14" t="str">
            <v>1015</v>
          </cell>
          <cell r="C14">
            <v>-15844.47</v>
          </cell>
          <cell r="D14" t="str">
            <v>200</v>
          </cell>
          <cell r="F14">
            <v>-1586.4</v>
          </cell>
          <cell r="G14">
            <v>8</v>
          </cell>
          <cell r="H14" t="str">
            <v>2009-08-31</v>
          </cell>
        </row>
        <row r="15">
          <cell r="A15" t="str">
            <v>481003</v>
          </cell>
          <cell r="B15" t="str">
            <v>1015</v>
          </cell>
          <cell r="C15">
            <v>-5863.17</v>
          </cell>
          <cell r="D15" t="str">
            <v>200</v>
          </cell>
          <cell r="F15">
            <v>-587.04</v>
          </cell>
          <cell r="G15">
            <v>9</v>
          </cell>
          <cell r="H15" t="str">
            <v>2009-09-30</v>
          </cell>
        </row>
        <row r="16">
          <cell r="A16" t="str">
            <v>481003</v>
          </cell>
          <cell r="B16" t="str">
            <v>1015</v>
          </cell>
          <cell r="C16">
            <v>-14588.42</v>
          </cell>
          <cell r="D16" t="str">
            <v>200</v>
          </cell>
          <cell r="F16">
            <v>-1460.64</v>
          </cell>
          <cell r="G16">
            <v>9</v>
          </cell>
          <cell r="H16" t="str">
            <v>2009-09-30</v>
          </cell>
        </row>
        <row r="17">
          <cell r="A17" t="str">
            <v>481003</v>
          </cell>
          <cell r="B17" t="str">
            <v>1015</v>
          </cell>
          <cell r="C17">
            <v>-11519</v>
          </cell>
          <cell r="D17" t="str">
            <v>200</v>
          </cell>
          <cell r="F17">
            <v>-1153.32</v>
          </cell>
          <cell r="G17">
            <v>10</v>
          </cell>
          <cell r="H17" t="str">
            <v>2009-10-31</v>
          </cell>
        </row>
        <row r="18">
          <cell r="A18" t="str">
            <v>481003</v>
          </cell>
          <cell r="B18" t="str">
            <v>1015</v>
          </cell>
          <cell r="C18">
            <v>-31321.119999999999</v>
          </cell>
          <cell r="D18" t="str">
            <v>200</v>
          </cell>
          <cell r="F18">
            <v>-3135.97</v>
          </cell>
          <cell r="G18">
            <v>10</v>
          </cell>
          <cell r="H18" t="str">
            <v>2009-10-31</v>
          </cell>
        </row>
        <row r="19">
          <cell r="A19" t="str">
            <v>481003</v>
          </cell>
          <cell r="B19" t="str">
            <v>1015</v>
          </cell>
          <cell r="C19">
            <v>-8622.16</v>
          </cell>
          <cell r="D19" t="str">
            <v>200</v>
          </cell>
          <cell r="F19">
            <v>-890.16</v>
          </cell>
          <cell r="G19">
            <v>11</v>
          </cell>
          <cell r="H19" t="str">
            <v>2009-11-30</v>
          </cell>
        </row>
        <row r="20">
          <cell r="A20" t="str">
            <v>481003</v>
          </cell>
          <cell r="B20" t="str">
            <v>1015</v>
          </cell>
          <cell r="C20">
            <v>-11601.21</v>
          </cell>
          <cell r="D20" t="str">
            <v>200</v>
          </cell>
          <cell r="F20">
            <v>-1197.72</v>
          </cell>
          <cell r="G20">
            <v>11</v>
          </cell>
          <cell r="H20" t="str">
            <v>2009-11-30</v>
          </cell>
        </row>
        <row r="21">
          <cell r="A21" t="str">
            <v>481003</v>
          </cell>
          <cell r="B21" t="str">
            <v>1015</v>
          </cell>
          <cell r="C21">
            <v>-18656.939999999999</v>
          </cell>
          <cell r="D21" t="str">
            <v>200</v>
          </cell>
          <cell r="F21">
            <v>-1926.12</v>
          </cell>
          <cell r="G21">
            <v>11</v>
          </cell>
          <cell r="H21" t="str">
            <v>2009-11-30</v>
          </cell>
        </row>
        <row r="22">
          <cell r="A22" t="str">
            <v>481003</v>
          </cell>
          <cell r="B22" t="str">
            <v>1015</v>
          </cell>
          <cell r="C22">
            <v>-3598.23</v>
          </cell>
          <cell r="D22" t="str">
            <v>200</v>
          </cell>
          <cell r="F22">
            <v>-371.52</v>
          </cell>
          <cell r="G22">
            <v>11</v>
          </cell>
          <cell r="H22" t="str">
            <v>2009-11-30</v>
          </cell>
        </row>
        <row r="23">
          <cell r="A23" t="str">
            <v>481003</v>
          </cell>
          <cell r="B23" t="str">
            <v>1015</v>
          </cell>
          <cell r="C23">
            <v>-11940.88</v>
          </cell>
          <cell r="D23" t="str">
            <v>200</v>
          </cell>
          <cell r="F23">
            <v>-1232.76</v>
          </cell>
          <cell r="G23">
            <v>12</v>
          </cell>
          <cell r="H23" t="str">
            <v>2009-12-31</v>
          </cell>
        </row>
        <row r="24">
          <cell r="A24" t="str">
            <v>481003</v>
          </cell>
          <cell r="B24" t="str">
            <v>1015</v>
          </cell>
          <cell r="C24">
            <v>-10899.17</v>
          </cell>
          <cell r="D24" t="str">
            <v>200</v>
          </cell>
          <cell r="F24">
            <v>-1125.24</v>
          </cell>
          <cell r="G24">
            <v>1</v>
          </cell>
          <cell r="H24" t="str">
            <v>2010-01-31</v>
          </cell>
        </row>
        <row r="25">
          <cell r="A25" t="str">
            <v>481003</v>
          </cell>
          <cell r="B25" t="str">
            <v>1015</v>
          </cell>
          <cell r="C25">
            <v>-16894.46</v>
          </cell>
          <cell r="D25" t="str">
            <v>200</v>
          </cell>
          <cell r="F25">
            <v>-1744.2</v>
          </cell>
          <cell r="G25">
            <v>1</v>
          </cell>
          <cell r="H25" t="str">
            <v>2010-01-31</v>
          </cell>
        </row>
        <row r="26">
          <cell r="A26" t="str">
            <v>481003</v>
          </cell>
          <cell r="B26" t="str">
            <v>1015</v>
          </cell>
          <cell r="C26">
            <v>-3550.58</v>
          </cell>
          <cell r="D26" t="str">
            <v>200</v>
          </cell>
          <cell r="F26">
            <v>-366.6</v>
          </cell>
          <cell r="G26">
            <v>1</v>
          </cell>
          <cell r="H26" t="str">
            <v>2010-01-31</v>
          </cell>
        </row>
        <row r="27">
          <cell r="A27" t="str">
            <v>481003</v>
          </cell>
          <cell r="B27" t="str">
            <v>1015</v>
          </cell>
          <cell r="C27">
            <v>-3635.43</v>
          </cell>
          <cell r="D27" t="str">
            <v>200</v>
          </cell>
          <cell r="F27">
            <v>-375.36</v>
          </cell>
          <cell r="G27">
            <v>2</v>
          </cell>
          <cell r="H27" t="str">
            <v>2010-02-28</v>
          </cell>
        </row>
        <row r="28">
          <cell r="A28" t="str">
            <v>481003</v>
          </cell>
          <cell r="B28" t="str">
            <v>1015</v>
          </cell>
          <cell r="C28">
            <v>-3385.53</v>
          </cell>
          <cell r="D28" t="str">
            <v>200</v>
          </cell>
          <cell r="F28">
            <v>-349.56</v>
          </cell>
          <cell r="G28">
            <v>3</v>
          </cell>
          <cell r="H28" t="str">
            <v>2010-03-31</v>
          </cell>
        </row>
        <row r="29">
          <cell r="A29" t="str">
            <v>481003</v>
          </cell>
          <cell r="B29" t="str">
            <v>1015</v>
          </cell>
          <cell r="C29">
            <v>-2789.8</v>
          </cell>
          <cell r="D29" t="str">
            <v>200</v>
          </cell>
          <cell r="F29">
            <v>-288.02</v>
          </cell>
          <cell r="G29">
            <v>4</v>
          </cell>
          <cell r="H29" t="str">
            <v>2010-04-30</v>
          </cell>
        </row>
        <row r="30">
          <cell r="A30" t="str">
            <v>481003</v>
          </cell>
          <cell r="B30" t="str">
            <v>1015</v>
          </cell>
          <cell r="C30">
            <v>-41765.99</v>
          </cell>
          <cell r="D30" t="str">
            <v>200</v>
          </cell>
          <cell r="F30">
            <v>-4311.96</v>
          </cell>
          <cell r="G30">
            <v>5</v>
          </cell>
          <cell r="H30" t="str">
            <v>2010-05-31</v>
          </cell>
        </row>
        <row r="31">
          <cell r="A31" t="str">
            <v>481003</v>
          </cell>
          <cell r="B31" t="str">
            <v>1015</v>
          </cell>
          <cell r="C31">
            <v>-4058.51</v>
          </cell>
          <cell r="D31" t="str">
            <v>200</v>
          </cell>
          <cell r="F31">
            <v>-419.04</v>
          </cell>
          <cell r="G31">
            <v>5</v>
          </cell>
          <cell r="H31" t="str">
            <v>2010-05-31</v>
          </cell>
        </row>
        <row r="32">
          <cell r="A32" t="str">
            <v>481003</v>
          </cell>
          <cell r="B32" t="str">
            <v>1015</v>
          </cell>
          <cell r="C32">
            <v>-10638.81</v>
          </cell>
          <cell r="D32" t="str">
            <v>200</v>
          </cell>
          <cell r="F32">
            <v>-1098.3599999999999</v>
          </cell>
          <cell r="G32">
            <v>6</v>
          </cell>
          <cell r="H32" t="str">
            <v>2010-06-30</v>
          </cell>
        </row>
        <row r="33">
          <cell r="A33" t="str">
            <v>481003</v>
          </cell>
          <cell r="B33" t="str">
            <v>1015</v>
          </cell>
          <cell r="C33">
            <v>-23.51</v>
          </cell>
          <cell r="D33" t="str">
            <v>200</v>
          </cell>
          <cell r="F33">
            <v>-6.62</v>
          </cell>
          <cell r="G33">
            <v>7</v>
          </cell>
          <cell r="H33" t="str">
            <v>2009-07-31</v>
          </cell>
        </row>
        <row r="34">
          <cell r="A34" t="str">
            <v>481003</v>
          </cell>
          <cell r="B34" t="str">
            <v>1015</v>
          </cell>
          <cell r="C34">
            <v>-15.47</v>
          </cell>
          <cell r="D34" t="str">
            <v>200</v>
          </cell>
          <cell r="F34">
            <v>-4.3600000000000003</v>
          </cell>
          <cell r="G34">
            <v>7</v>
          </cell>
          <cell r="H34" t="str">
            <v>2009-07-31</v>
          </cell>
        </row>
        <row r="35">
          <cell r="A35" t="str">
            <v>481003</v>
          </cell>
          <cell r="B35" t="str">
            <v>1015</v>
          </cell>
          <cell r="C35">
            <v>-12626.82</v>
          </cell>
          <cell r="D35" t="str">
            <v>200</v>
          </cell>
          <cell r="F35">
            <v>-2185.16</v>
          </cell>
          <cell r="G35">
            <v>8</v>
          </cell>
          <cell r="H35" t="str">
            <v>2009-08-31</v>
          </cell>
        </row>
        <row r="36">
          <cell r="A36" t="str">
            <v>481003</v>
          </cell>
          <cell r="B36" t="str">
            <v>1015</v>
          </cell>
          <cell r="C36">
            <v>-9725.68</v>
          </cell>
          <cell r="D36" t="str">
            <v>200</v>
          </cell>
          <cell r="F36">
            <v>-1775.34</v>
          </cell>
          <cell r="G36">
            <v>12</v>
          </cell>
          <cell r="H36" t="str">
            <v>2009-12-31</v>
          </cell>
        </row>
        <row r="37">
          <cell r="A37" t="str">
            <v>481003</v>
          </cell>
          <cell r="B37" t="str">
            <v>1015</v>
          </cell>
          <cell r="C37">
            <v>-29.41</v>
          </cell>
          <cell r="D37" t="str">
            <v>200</v>
          </cell>
          <cell r="F37">
            <v>-8.2899999999999991</v>
          </cell>
          <cell r="G37">
            <v>12</v>
          </cell>
          <cell r="H37" t="str">
            <v>2009-12-31</v>
          </cell>
        </row>
        <row r="38">
          <cell r="A38" t="str">
            <v>481003</v>
          </cell>
          <cell r="B38" t="str">
            <v>1015</v>
          </cell>
          <cell r="C38">
            <v>-1375.02</v>
          </cell>
          <cell r="D38" t="str">
            <v>200</v>
          </cell>
          <cell r="F38">
            <v>-299.3</v>
          </cell>
          <cell r="G38">
            <v>1</v>
          </cell>
          <cell r="H38" t="str">
            <v>2010-01-31</v>
          </cell>
        </row>
        <row r="39">
          <cell r="A39" t="str">
            <v>481003</v>
          </cell>
          <cell r="B39" t="str">
            <v>1015</v>
          </cell>
          <cell r="C39">
            <v>-9668.34</v>
          </cell>
          <cell r="D39" t="str">
            <v>200</v>
          </cell>
          <cell r="F39">
            <v>-1764.66</v>
          </cell>
          <cell r="G39">
            <v>4</v>
          </cell>
          <cell r="H39" t="str">
            <v>2010-04-30</v>
          </cell>
        </row>
        <row r="40">
          <cell r="A40" t="str">
            <v>481003</v>
          </cell>
          <cell r="B40" t="str">
            <v>1015</v>
          </cell>
          <cell r="C40">
            <v>-51.11</v>
          </cell>
          <cell r="D40" t="str">
            <v>200</v>
          </cell>
          <cell r="F40">
            <v>-14.39</v>
          </cell>
          <cell r="G40">
            <v>4</v>
          </cell>
          <cell r="H40" t="str">
            <v>2010-04-30</v>
          </cell>
        </row>
        <row r="41">
          <cell r="A41" t="str">
            <v>481003</v>
          </cell>
          <cell r="B41" t="str">
            <v>1015</v>
          </cell>
          <cell r="C41">
            <v>-1934.54</v>
          </cell>
          <cell r="D41" t="str">
            <v>200</v>
          </cell>
          <cell r="F41">
            <v>-326.87</v>
          </cell>
          <cell r="G41">
            <v>7</v>
          </cell>
          <cell r="H41" t="str">
            <v>2009-07-31</v>
          </cell>
        </row>
        <row r="42">
          <cell r="A42" t="str">
            <v>481003</v>
          </cell>
          <cell r="B42" t="str">
            <v>1015</v>
          </cell>
          <cell r="C42">
            <v>-29809.37</v>
          </cell>
          <cell r="D42" t="str">
            <v>200</v>
          </cell>
          <cell r="F42">
            <v>-3236.56</v>
          </cell>
          <cell r="G42">
            <v>8</v>
          </cell>
          <cell r="H42" t="str">
            <v>2009-08-31</v>
          </cell>
        </row>
        <row r="43">
          <cell r="A43" t="str">
            <v>481003</v>
          </cell>
          <cell r="B43" t="str">
            <v>1015</v>
          </cell>
          <cell r="C43">
            <v>-38102.400000000001</v>
          </cell>
          <cell r="D43" t="str">
            <v>200</v>
          </cell>
          <cell r="F43">
            <v>-4237.01</v>
          </cell>
          <cell r="G43">
            <v>8</v>
          </cell>
          <cell r="H43" t="str">
            <v>2009-08-31</v>
          </cell>
        </row>
        <row r="44">
          <cell r="A44" t="str">
            <v>481003</v>
          </cell>
          <cell r="B44" t="str">
            <v>1015</v>
          </cell>
          <cell r="C44">
            <v>-28579.18</v>
          </cell>
          <cell r="D44" t="str">
            <v>200</v>
          </cell>
          <cell r="F44">
            <v>-3475.71</v>
          </cell>
          <cell r="G44">
            <v>10</v>
          </cell>
          <cell r="H44" t="str">
            <v>2009-10-31</v>
          </cell>
        </row>
        <row r="45">
          <cell r="A45" t="str">
            <v>481003</v>
          </cell>
          <cell r="B45" t="str">
            <v>1015</v>
          </cell>
          <cell r="C45">
            <v>-11032.71</v>
          </cell>
          <cell r="D45" t="str">
            <v>200</v>
          </cell>
          <cell r="F45">
            <v>-1999.85</v>
          </cell>
          <cell r="G45">
            <v>11</v>
          </cell>
          <cell r="H45" t="str">
            <v>2009-11-30</v>
          </cell>
        </row>
        <row r="46">
          <cell r="A46" t="str">
            <v>481003</v>
          </cell>
          <cell r="B46" t="str">
            <v>1015</v>
          </cell>
          <cell r="C46">
            <v>-11384.38</v>
          </cell>
          <cell r="D46" t="str">
            <v>200</v>
          </cell>
          <cell r="F46">
            <v>-2063.61</v>
          </cell>
          <cell r="G46">
            <v>11</v>
          </cell>
          <cell r="H46" t="str">
            <v>2009-11-30</v>
          </cell>
        </row>
        <row r="47">
          <cell r="A47" t="str">
            <v>481003</v>
          </cell>
          <cell r="B47" t="str">
            <v>1015</v>
          </cell>
          <cell r="C47">
            <v>-1337.16</v>
          </cell>
          <cell r="D47" t="str">
            <v>200</v>
          </cell>
          <cell r="F47">
            <v>-218.02</v>
          </cell>
          <cell r="G47">
            <v>12</v>
          </cell>
          <cell r="H47" t="str">
            <v>2009-12-31</v>
          </cell>
        </row>
        <row r="48">
          <cell r="A48" t="str">
            <v>481003</v>
          </cell>
          <cell r="B48" t="str">
            <v>1015</v>
          </cell>
          <cell r="C48">
            <v>-15305.8</v>
          </cell>
          <cell r="D48" t="str">
            <v>200</v>
          </cell>
          <cell r="F48">
            <v>-2774.23</v>
          </cell>
          <cell r="G48">
            <v>1</v>
          </cell>
          <cell r="H48" t="str">
            <v>2010-01-31</v>
          </cell>
        </row>
        <row r="49">
          <cell r="A49" t="str">
            <v>481003</v>
          </cell>
          <cell r="B49" t="str">
            <v>1015</v>
          </cell>
          <cell r="C49">
            <v>-13135.13</v>
          </cell>
          <cell r="D49" t="str">
            <v>200</v>
          </cell>
          <cell r="F49">
            <v>-2380.9899999999998</v>
          </cell>
          <cell r="G49">
            <v>2</v>
          </cell>
          <cell r="H49" t="str">
            <v>2010-02-28</v>
          </cell>
        </row>
        <row r="50">
          <cell r="A50" t="str">
            <v>481003</v>
          </cell>
          <cell r="B50" t="str">
            <v>1015</v>
          </cell>
          <cell r="C50">
            <v>-10535.76</v>
          </cell>
          <cell r="D50" t="str">
            <v>200</v>
          </cell>
          <cell r="F50">
            <v>-1909.77</v>
          </cell>
          <cell r="G50">
            <v>2</v>
          </cell>
          <cell r="H50" t="str">
            <v>2010-02-28</v>
          </cell>
        </row>
        <row r="51">
          <cell r="A51" t="str">
            <v>481003</v>
          </cell>
          <cell r="B51" t="str">
            <v>1015</v>
          </cell>
          <cell r="C51">
            <v>-20375.73</v>
          </cell>
          <cell r="D51" t="str">
            <v>200</v>
          </cell>
          <cell r="F51">
            <v>-2519.37</v>
          </cell>
          <cell r="G51">
            <v>3</v>
          </cell>
          <cell r="H51" t="str">
            <v>2010-03-31</v>
          </cell>
        </row>
        <row r="52">
          <cell r="A52" t="str">
            <v>481003</v>
          </cell>
          <cell r="B52" t="str">
            <v>1015</v>
          </cell>
          <cell r="C52">
            <v>-19794.43</v>
          </cell>
          <cell r="D52" t="str">
            <v>200</v>
          </cell>
          <cell r="F52">
            <v>-3588.03</v>
          </cell>
          <cell r="G52">
            <v>4</v>
          </cell>
          <cell r="H52" t="str">
            <v>2010-04-30</v>
          </cell>
        </row>
        <row r="53">
          <cell r="A53" t="str">
            <v>481003</v>
          </cell>
          <cell r="B53" t="str">
            <v>1015</v>
          </cell>
          <cell r="C53">
            <v>-12116.74</v>
          </cell>
          <cell r="D53" t="str">
            <v>200</v>
          </cell>
          <cell r="F53">
            <v>-2196.37</v>
          </cell>
          <cell r="G53">
            <v>5</v>
          </cell>
          <cell r="H53" t="str">
            <v>2010-05-31</v>
          </cell>
        </row>
        <row r="54">
          <cell r="A54" t="str">
            <v>481003</v>
          </cell>
          <cell r="B54" t="str">
            <v>1015</v>
          </cell>
          <cell r="C54">
            <v>-14640.11</v>
          </cell>
          <cell r="D54" t="str">
            <v>200</v>
          </cell>
          <cell r="F54">
            <v>-2653.75</v>
          </cell>
          <cell r="G54">
            <v>5</v>
          </cell>
          <cell r="H54" t="str">
            <v>2010-05-31</v>
          </cell>
        </row>
        <row r="55">
          <cell r="A55" t="str">
            <v>481003</v>
          </cell>
          <cell r="B55" t="str">
            <v>1015</v>
          </cell>
          <cell r="C55">
            <v>-20323.29</v>
          </cell>
          <cell r="D55" t="str">
            <v>200</v>
          </cell>
          <cell r="F55">
            <v>-2413.02</v>
          </cell>
          <cell r="G55">
            <v>6</v>
          </cell>
          <cell r="H55" t="str">
            <v>2010-06-30</v>
          </cell>
        </row>
        <row r="56">
          <cell r="A56" t="str">
            <v>481003</v>
          </cell>
          <cell r="B56" t="str">
            <v>1015</v>
          </cell>
          <cell r="C56">
            <v>-8111.59</v>
          </cell>
          <cell r="D56" t="str">
            <v>200</v>
          </cell>
          <cell r="F56">
            <v>-1419.2</v>
          </cell>
          <cell r="G56">
            <v>6</v>
          </cell>
          <cell r="H56" t="str">
            <v>2010-06-30</v>
          </cell>
        </row>
        <row r="57">
          <cell r="A57" t="str">
            <v>481003</v>
          </cell>
          <cell r="B57" t="str">
            <v>1015</v>
          </cell>
          <cell r="C57">
            <v>-27839.95</v>
          </cell>
          <cell r="D57" t="str">
            <v>200</v>
          </cell>
          <cell r="F57">
            <v>-2787.43</v>
          </cell>
          <cell r="G57">
            <v>7</v>
          </cell>
          <cell r="H57" t="str">
            <v>2009-07-31</v>
          </cell>
        </row>
        <row r="58">
          <cell r="A58" t="str">
            <v>481003</v>
          </cell>
          <cell r="B58" t="str">
            <v>1015</v>
          </cell>
          <cell r="C58">
            <v>-5217.17</v>
          </cell>
          <cell r="D58" t="str">
            <v>200</v>
          </cell>
          <cell r="F58">
            <v>-522.36</v>
          </cell>
          <cell r="G58">
            <v>7</v>
          </cell>
          <cell r="H58" t="str">
            <v>2009-07-31</v>
          </cell>
        </row>
        <row r="59">
          <cell r="A59" t="str">
            <v>481003</v>
          </cell>
          <cell r="B59" t="str">
            <v>1015</v>
          </cell>
          <cell r="C59">
            <v>-33200.050000000003</v>
          </cell>
          <cell r="D59" t="str">
            <v>200</v>
          </cell>
          <cell r="F59">
            <v>-3324.1</v>
          </cell>
          <cell r="G59">
            <v>8</v>
          </cell>
          <cell r="H59" t="str">
            <v>2009-08-31</v>
          </cell>
        </row>
        <row r="60">
          <cell r="A60" t="str">
            <v>481003</v>
          </cell>
          <cell r="B60" t="str">
            <v>1015</v>
          </cell>
          <cell r="C60">
            <v>-28532.66</v>
          </cell>
          <cell r="D60" t="str">
            <v>200</v>
          </cell>
          <cell r="F60">
            <v>-2856.78</v>
          </cell>
          <cell r="G60">
            <v>9</v>
          </cell>
          <cell r="H60" t="str">
            <v>2009-09-30</v>
          </cell>
        </row>
        <row r="61">
          <cell r="A61" t="str">
            <v>481003</v>
          </cell>
          <cell r="B61" t="str">
            <v>1015</v>
          </cell>
          <cell r="C61">
            <v>-61.13</v>
          </cell>
          <cell r="D61" t="str">
            <v>200</v>
          </cell>
          <cell r="F61">
            <v>-6.12</v>
          </cell>
          <cell r="G61">
            <v>10</v>
          </cell>
          <cell r="H61" t="str">
            <v>2009-10-31</v>
          </cell>
        </row>
        <row r="62">
          <cell r="A62" t="str">
            <v>481003</v>
          </cell>
          <cell r="B62" t="str">
            <v>1015</v>
          </cell>
          <cell r="C62">
            <v>-10151.49</v>
          </cell>
          <cell r="D62" t="str">
            <v>200</v>
          </cell>
          <cell r="F62">
            <v>-1016.4</v>
          </cell>
          <cell r="G62">
            <v>10</v>
          </cell>
          <cell r="H62" t="str">
            <v>2009-10-31</v>
          </cell>
        </row>
        <row r="63">
          <cell r="A63" t="str">
            <v>481003</v>
          </cell>
          <cell r="B63" t="str">
            <v>1015</v>
          </cell>
          <cell r="C63">
            <v>-14060.7</v>
          </cell>
          <cell r="D63" t="str">
            <v>200</v>
          </cell>
          <cell r="F63">
            <v>-1451.64</v>
          </cell>
          <cell r="G63">
            <v>11</v>
          </cell>
          <cell r="H63" t="str">
            <v>2009-11-30</v>
          </cell>
        </row>
        <row r="64">
          <cell r="A64" t="str">
            <v>481003</v>
          </cell>
          <cell r="B64" t="str">
            <v>1015</v>
          </cell>
          <cell r="C64">
            <v>-269.38</v>
          </cell>
          <cell r="D64" t="str">
            <v>200</v>
          </cell>
          <cell r="F64">
            <v>-30</v>
          </cell>
          <cell r="G64">
            <v>12</v>
          </cell>
          <cell r="H64" t="str">
            <v>2009-12-31</v>
          </cell>
        </row>
        <row r="65">
          <cell r="A65" t="str">
            <v>481003</v>
          </cell>
          <cell r="B65" t="str">
            <v>1015</v>
          </cell>
          <cell r="C65">
            <v>-3772.58</v>
          </cell>
          <cell r="D65" t="str">
            <v>200</v>
          </cell>
          <cell r="F65">
            <v>-389.52</v>
          </cell>
          <cell r="G65">
            <v>12</v>
          </cell>
          <cell r="H65" t="str">
            <v>2009-12-31</v>
          </cell>
        </row>
        <row r="66">
          <cell r="A66" t="str">
            <v>481003</v>
          </cell>
          <cell r="B66" t="str">
            <v>1015</v>
          </cell>
          <cell r="C66">
            <v>-25319.02</v>
          </cell>
          <cell r="D66" t="str">
            <v>200</v>
          </cell>
          <cell r="F66">
            <v>-2613.96</v>
          </cell>
          <cell r="G66">
            <v>1</v>
          </cell>
          <cell r="H66" t="str">
            <v>2010-01-31</v>
          </cell>
        </row>
        <row r="67">
          <cell r="A67" t="str">
            <v>481003</v>
          </cell>
          <cell r="B67" t="str">
            <v>1015</v>
          </cell>
          <cell r="C67">
            <v>-14214.13</v>
          </cell>
          <cell r="D67" t="str">
            <v>200</v>
          </cell>
          <cell r="F67">
            <v>-1467.48</v>
          </cell>
          <cell r="G67">
            <v>2</v>
          </cell>
          <cell r="H67" t="str">
            <v>2010-02-28</v>
          </cell>
        </row>
        <row r="68">
          <cell r="A68" t="str">
            <v>481003</v>
          </cell>
          <cell r="B68" t="str">
            <v>1015</v>
          </cell>
          <cell r="C68">
            <v>-12856.8</v>
          </cell>
          <cell r="D68" t="str">
            <v>200</v>
          </cell>
          <cell r="F68">
            <v>-1327.37</v>
          </cell>
          <cell r="G68">
            <v>2</v>
          </cell>
          <cell r="H68" t="str">
            <v>2010-02-28</v>
          </cell>
        </row>
        <row r="69">
          <cell r="A69" t="str">
            <v>481003</v>
          </cell>
          <cell r="B69" t="str">
            <v>1015</v>
          </cell>
          <cell r="C69">
            <v>-9328.86</v>
          </cell>
          <cell r="D69" t="str">
            <v>200</v>
          </cell>
          <cell r="F69">
            <v>-963.12</v>
          </cell>
          <cell r="G69">
            <v>2</v>
          </cell>
          <cell r="H69" t="str">
            <v>2010-02-28</v>
          </cell>
        </row>
        <row r="70">
          <cell r="A70" t="str">
            <v>481003</v>
          </cell>
          <cell r="B70" t="str">
            <v>1015</v>
          </cell>
          <cell r="C70">
            <v>-133.18</v>
          </cell>
          <cell r="D70" t="str">
            <v>200</v>
          </cell>
          <cell r="F70">
            <v>-14.83</v>
          </cell>
          <cell r="G70">
            <v>4</v>
          </cell>
          <cell r="H70" t="str">
            <v>2010-04-30</v>
          </cell>
        </row>
        <row r="71">
          <cell r="A71" t="str">
            <v>481003</v>
          </cell>
          <cell r="B71" t="str">
            <v>1015</v>
          </cell>
          <cell r="C71">
            <v>-2142.17</v>
          </cell>
          <cell r="D71" t="str">
            <v>200</v>
          </cell>
          <cell r="F71">
            <v>-221.16</v>
          </cell>
          <cell r="G71">
            <v>5</v>
          </cell>
          <cell r="H71" t="str">
            <v>2010-05-31</v>
          </cell>
        </row>
        <row r="72">
          <cell r="A72" t="str">
            <v>481003</v>
          </cell>
          <cell r="B72" t="str">
            <v>1015</v>
          </cell>
          <cell r="C72">
            <v>-3450.62</v>
          </cell>
          <cell r="D72" t="str">
            <v>200</v>
          </cell>
          <cell r="F72">
            <v>-356.28</v>
          </cell>
          <cell r="G72">
            <v>6</v>
          </cell>
          <cell r="H72" t="str">
            <v>2010-06-30</v>
          </cell>
        </row>
        <row r="73">
          <cell r="A73" t="str">
            <v>481003</v>
          </cell>
          <cell r="B73" t="str">
            <v>1015</v>
          </cell>
          <cell r="C73">
            <v>-555.02</v>
          </cell>
          <cell r="D73" t="str">
            <v>200</v>
          </cell>
          <cell r="F73">
            <v>0</v>
          </cell>
          <cell r="G73">
            <v>7</v>
          </cell>
          <cell r="H73" t="str">
            <v>2009-07-31</v>
          </cell>
        </row>
        <row r="74">
          <cell r="A74" t="str">
            <v>481003</v>
          </cell>
          <cell r="B74" t="str">
            <v>1015</v>
          </cell>
          <cell r="C74">
            <v>-158430.1</v>
          </cell>
          <cell r="D74" t="str">
            <v>200</v>
          </cell>
          <cell r="F74">
            <v>0</v>
          </cell>
          <cell r="G74">
            <v>10</v>
          </cell>
          <cell r="H74" t="str">
            <v>2009-10-31</v>
          </cell>
        </row>
        <row r="75">
          <cell r="A75" t="str">
            <v>481003</v>
          </cell>
          <cell r="B75" t="str">
            <v>1015</v>
          </cell>
          <cell r="C75">
            <v>-1349.22</v>
          </cell>
          <cell r="D75" t="str">
            <v>200</v>
          </cell>
          <cell r="F75">
            <v>0</v>
          </cell>
          <cell r="G75">
            <v>1</v>
          </cell>
          <cell r="H75" t="str">
            <v>2010-01-31</v>
          </cell>
        </row>
        <row r="76">
          <cell r="A76" t="str">
            <v>481003</v>
          </cell>
          <cell r="B76" t="str">
            <v>1015</v>
          </cell>
          <cell r="C76">
            <v>-210900.6</v>
          </cell>
          <cell r="D76" t="str">
            <v>200</v>
          </cell>
          <cell r="F76">
            <v>0</v>
          </cell>
          <cell r="G76">
            <v>1</v>
          </cell>
          <cell r="H76" t="str">
            <v>2010-01-31</v>
          </cell>
        </row>
        <row r="77">
          <cell r="A77" t="str">
            <v>481003</v>
          </cell>
          <cell r="B77" t="str">
            <v>1015</v>
          </cell>
          <cell r="C77">
            <v>-8.3699999999999992</v>
          </cell>
          <cell r="D77" t="str">
            <v>200</v>
          </cell>
          <cell r="F77">
            <v>-2.36</v>
          </cell>
          <cell r="G77">
            <v>8</v>
          </cell>
          <cell r="H77" t="str">
            <v>2009-08-31</v>
          </cell>
        </row>
        <row r="78">
          <cell r="A78" t="str">
            <v>481003</v>
          </cell>
          <cell r="B78" t="str">
            <v>1015</v>
          </cell>
          <cell r="C78">
            <v>-27.45</v>
          </cell>
          <cell r="D78" t="str">
            <v>200</v>
          </cell>
          <cell r="F78">
            <v>-7.73</v>
          </cell>
          <cell r="G78">
            <v>9</v>
          </cell>
          <cell r="H78" t="str">
            <v>2009-09-30</v>
          </cell>
        </row>
        <row r="79">
          <cell r="A79" t="str">
            <v>481003</v>
          </cell>
          <cell r="B79" t="str">
            <v>1015</v>
          </cell>
          <cell r="C79">
            <v>-29.71</v>
          </cell>
          <cell r="D79" t="str">
            <v>200</v>
          </cell>
          <cell r="F79">
            <v>-8.3699999999999992</v>
          </cell>
          <cell r="G79">
            <v>1</v>
          </cell>
          <cell r="H79" t="str">
            <v>2010-01-31</v>
          </cell>
        </row>
        <row r="80">
          <cell r="A80" t="str">
            <v>481003</v>
          </cell>
          <cell r="B80" t="str">
            <v>1015</v>
          </cell>
          <cell r="C80">
            <v>-25.12</v>
          </cell>
          <cell r="D80" t="str">
            <v>200</v>
          </cell>
          <cell r="F80">
            <v>-7.08</v>
          </cell>
          <cell r="G80">
            <v>2</v>
          </cell>
          <cell r="H80" t="str">
            <v>2010-02-28</v>
          </cell>
        </row>
        <row r="81">
          <cell r="A81" t="str">
            <v>481003</v>
          </cell>
          <cell r="B81" t="str">
            <v>1015</v>
          </cell>
          <cell r="C81">
            <v>-10136.469999999999</v>
          </cell>
          <cell r="D81" t="str">
            <v>200</v>
          </cell>
          <cell r="F81">
            <v>-1848.74</v>
          </cell>
          <cell r="G81">
            <v>2</v>
          </cell>
          <cell r="H81" t="str">
            <v>2010-02-28</v>
          </cell>
        </row>
        <row r="82">
          <cell r="A82" t="str">
            <v>481003</v>
          </cell>
          <cell r="B82" t="str">
            <v>1015</v>
          </cell>
          <cell r="C82">
            <v>-9.91</v>
          </cell>
          <cell r="D82" t="str">
            <v>200</v>
          </cell>
          <cell r="F82">
            <v>-2.81</v>
          </cell>
          <cell r="G82">
            <v>5</v>
          </cell>
          <cell r="H82" t="str">
            <v>2010-05-31</v>
          </cell>
        </row>
        <row r="83">
          <cell r="A83" t="str">
            <v>481003</v>
          </cell>
          <cell r="B83" t="str">
            <v>1015</v>
          </cell>
          <cell r="C83">
            <v>-13.39</v>
          </cell>
          <cell r="D83" t="str">
            <v>200</v>
          </cell>
          <cell r="F83">
            <v>-3.82</v>
          </cell>
          <cell r="G83">
            <v>6</v>
          </cell>
          <cell r="H83" t="str">
            <v>2010-06-30</v>
          </cell>
        </row>
        <row r="84">
          <cell r="A84" t="str">
            <v>481003</v>
          </cell>
          <cell r="B84" t="str">
            <v>1015</v>
          </cell>
          <cell r="C84">
            <v>-10474.379999999999</v>
          </cell>
          <cell r="D84" t="str">
            <v>200</v>
          </cell>
          <cell r="F84">
            <v>-1048.71</v>
          </cell>
          <cell r="G84">
            <v>8</v>
          </cell>
          <cell r="H84" t="str">
            <v>2009-08-31</v>
          </cell>
        </row>
        <row r="85">
          <cell r="A85" t="str">
            <v>481003</v>
          </cell>
          <cell r="B85" t="str">
            <v>1015</v>
          </cell>
          <cell r="C85">
            <v>-10878.08</v>
          </cell>
          <cell r="D85" t="str">
            <v>200</v>
          </cell>
          <cell r="F85">
            <v>-1867.48</v>
          </cell>
          <cell r="G85">
            <v>8</v>
          </cell>
          <cell r="H85" t="str">
            <v>2009-08-31</v>
          </cell>
        </row>
        <row r="86">
          <cell r="A86" t="str">
            <v>481003</v>
          </cell>
          <cell r="B86" t="str">
            <v>1015</v>
          </cell>
          <cell r="C86">
            <v>-7790.41</v>
          </cell>
          <cell r="D86" t="str">
            <v>200</v>
          </cell>
          <cell r="F86">
            <v>-1337.77</v>
          </cell>
          <cell r="G86">
            <v>8</v>
          </cell>
          <cell r="H86" t="str">
            <v>2009-08-31</v>
          </cell>
        </row>
        <row r="87">
          <cell r="A87" t="str">
            <v>481003</v>
          </cell>
          <cell r="B87" t="str">
            <v>1015</v>
          </cell>
          <cell r="C87">
            <v>-11564.7</v>
          </cell>
          <cell r="D87" t="str">
            <v>200</v>
          </cell>
          <cell r="F87">
            <v>-2076.2600000000002</v>
          </cell>
          <cell r="G87">
            <v>10</v>
          </cell>
          <cell r="H87" t="str">
            <v>2009-10-31</v>
          </cell>
        </row>
        <row r="88">
          <cell r="A88" t="str">
            <v>481003</v>
          </cell>
          <cell r="B88" t="str">
            <v>1015</v>
          </cell>
          <cell r="C88">
            <v>-22289.26</v>
          </cell>
          <cell r="D88" t="str">
            <v>200</v>
          </cell>
          <cell r="F88">
            <v>-2766.37</v>
          </cell>
          <cell r="G88">
            <v>1</v>
          </cell>
          <cell r="H88" t="str">
            <v>2010-01-31</v>
          </cell>
        </row>
        <row r="89">
          <cell r="A89" t="str">
            <v>481003</v>
          </cell>
          <cell r="B89" t="str">
            <v>1015</v>
          </cell>
          <cell r="C89">
            <v>-7703.57</v>
          </cell>
          <cell r="D89" t="str">
            <v>200</v>
          </cell>
          <cell r="F89">
            <v>-1396.39</v>
          </cell>
          <cell r="G89">
            <v>1</v>
          </cell>
          <cell r="H89" t="str">
            <v>2010-01-31</v>
          </cell>
        </row>
        <row r="90">
          <cell r="A90" t="str">
            <v>481003</v>
          </cell>
          <cell r="B90" t="str">
            <v>1015</v>
          </cell>
          <cell r="C90">
            <v>-12765.61</v>
          </cell>
          <cell r="D90" t="str">
            <v>200</v>
          </cell>
          <cell r="F90">
            <v>-2313.9899999999998</v>
          </cell>
          <cell r="G90">
            <v>1</v>
          </cell>
          <cell r="H90" t="str">
            <v>2010-01-31</v>
          </cell>
        </row>
        <row r="91">
          <cell r="A91" t="str">
            <v>481003</v>
          </cell>
          <cell r="B91" t="str">
            <v>1015</v>
          </cell>
          <cell r="C91">
            <v>-7872.7</v>
          </cell>
          <cell r="D91" t="str">
            <v>200</v>
          </cell>
          <cell r="F91">
            <v>-1427.09</v>
          </cell>
          <cell r="G91">
            <v>1</v>
          </cell>
          <cell r="H91" t="str">
            <v>2010-01-31</v>
          </cell>
        </row>
        <row r="92">
          <cell r="A92" t="str">
            <v>481003</v>
          </cell>
          <cell r="B92" t="str">
            <v>1015</v>
          </cell>
          <cell r="C92">
            <v>-11708.21</v>
          </cell>
          <cell r="D92" t="str">
            <v>200</v>
          </cell>
          <cell r="F92">
            <v>-2122.3000000000002</v>
          </cell>
          <cell r="G92">
            <v>3</v>
          </cell>
          <cell r="H92" t="str">
            <v>2010-03-31</v>
          </cell>
        </row>
        <row r="93">
          <cell r="A93" t="str">
            <v>481003</v>
          </cell>
          <cell r="B93" t="str">
            <v>1015</v>
          </cell>
          <cell r="C93">
            <v>-12843.99</v>
          </cell>
          <cell r="D93" t="str">
            <v>200</v>
          </cell>
          <cell r="F93">
            <v>-2328.15</v>
          </cell>
          <cell r="G93">
            <v>3</v>
          </cell>
          <cell r="H93" t="str">
            <v>2010-03-31</v>
          </cell>
        </row>
        <row r="94">
          <cell r="A94" t="str">
            <v>481003</v>
          </cell>
          <cell r="B94" t="str">
            <v>1015</v>
          </cell>
          <cell r="C94">
            <v>-17168.34</v>
          </cell>
          <cell r="D94" t="str">
            <v>200</v>
          </cell>
          <cell r="F94">
            <v>-3089.59</v>
          </cell>
          <cell r="G94">
            <v>3</v>
          </cell>
          <cell r="H94" t="str">
            <v>2010-03-31</v>
          </cell>
        </row>
        <row r="95">
          <cell r="A95" t="str">
            <v>481003</v>
          </cell>
          <cell r="B95" t="str">
            <v>1015</v>
          </cell>
          <cell r="C95">
            <v>-14321.49</v>
          </cell>
          <cell r="D95" t="str">
            <v>200</v>
          </cell>
          <cell r="F95">
            <v>-2596</v>
          </cell>
          <cell r="G95">
            <v>4</v>
          </cell>
          <cell r="H95" t="str">
            <v>2010-04-30</v>
          </cell>
        </row>
        <row r="96">
          <cell r="A96" t="str">
            <v>481003</v>
          </cell>
          <cell r="B96" t="str">
            <v>1015</v>
          </cell>
          <cell r="C96">
            <v>-8558.76</v>
          </cell>
          <cell r="D96" t="str">
            <v>200</v>
          </cell>
          <cell r="F96">
            <v>-1551.45</v>
          </cell>
          <cell r="G96">
            <v>5</v>
          </cell>
          <cell r="H96" t="str">
            <v>2010-05-31</v>
          </cell>
        </row>
        <row r="97">
          <cell r="A97" t="str">
            <v>481003</v>
          </cell>
          <cell r="B97" t="str">
            <v>1015</v>
          </cell>
          <cell r="C97">
            <v>-13825.19</v>
          </cell>
          <cell r="D97" t="str">
            <v>200</v>
          </cell>
          <cell r="F97">
            <v>-2506.09</v>
          </cell>
          <cell r="G97">
            <v>5</v>
          </cell>
          <cell r="H97" t="str">
            <v>2010-05-31</v>
          </cell>
        </row>
        <row r="98">
          <cell r="A98" t="str">
            <v>481003</v>
          </cell>
          <cell r="B98" t="str">
            <v>1015</v>
          </cell>
          <cell r="C98">
            <v>-20327.55</v>
          </cell>
          <cell r="D98" t="str">
            <v>200</v>
          </cell>
          <cell r="F98">
            <v>-3560.42</v>
          </cell>
          <cell r="G98">
            <v>6</v>
          </cell>
          <cell r="H98" t="str">
            <v>2010-06-30</v>
          </cell>
        </row>
        <row r="99">
          <cell r="A99" t="str">
            <v>481003</v>
          </cell>
          <cell r="B99" t="str">
            <v>1015</v>
          </cell>
          <cell r="C99">
            <v>-3176.75</v>
          </cell>
          <cell r="D99" t="str">
            <v>200</v>
          </cell>
          <cell r="F99">
            <v>-327.97</v>
          </cell>
          <cell r="G99">
            <v>6</v>
          </cell>
          <cell r="H99" t="str">
            <v>2010-06-30</v>
          </cell>
        </row>
        <row r="100">
          <cell r="A100" t="str">
            <v>481003</v>
          </cell>
          <cell r="B100" t="str">
            <v>1015</v>
          </cell>
          <cell r="C100">
            <v>-20846.97</v>
          </cell>
          <cell r="D100" t="str">
            <v>200</v>
          </cell>
          <cell r="F100">
            <v>-3649.52</v>
          </cell>
          <cell r="G100">
            <v>6</v>
          </cell>
          <cell r="H100" t="str">
            <v>2010-06-30</v>
          </cell>
        </row>
        <row r="101">
          <cell r="A101" t="str">
            <v>481003</v>
          </cell>
          <cell r="B101" t="str">
            <v>1015</v>
          </cell>
          <cell r="C101">
            <v>-36497.660000000003</v>
          </cell>
          <cell r="D101" t="str">
            <v>200</v>
          </cell>
          <cell r="F101">
            <v>-3654.26</v>
          </cell>
          <cell r="G101">
            <v>7</v>
          </cell>
          <cell r="H101" t="str">
            <v>2009-07-31</v>
          </cell>
        </row>
        <row r="102">
          <cell r="A102" t="str">
            <v>481003</v>
          </cell>
          <cell r="B102" t="str">
            <v>1015</v>
          </cell>
          <cell r="C102">
            <v>-8774.3799999999992</v>
          </cell>
          <cell r="D102" t="str">
            <v>200</v>
          </cell>
          <cell r="F102">
            <v>-878.52</v>
          </cell>
          <cell r="G102">
            <v>8</v>
          </cell>
          <cell r="H102" t="str">
            <v>2009-08-31</v>
          </cell>
        </row>
        <row r="103">
          <cell r="A103" t="str">
            <v>481003</v>
          </cell>
          <cell r="B103" t="str">
            <v>1015</v>
          </cell>
          <cell r="C103">
            <v>-16267.55</v>
          </cell>
          <cell r="D103" t="str">
            <v>200</v>
          </cell>
          <cell r="F103">
            <v>-1628.76</v>
          </cell>
          <cell r="G103">
            <v>8</v>
          </cell>
          <cell r="H103" t="str">
            <v>2009-08-31</v>
          </cell>
        </row>
        <row r="104">
          <cell r="A104" t="str">
            <v>481003</v>
          </cell>
          <cell r="B104" t="str">
            <v>1015</v>
          </cell>
          <cell r="C104">
            <v>-12293.25</v>
          </cell>
          <cell r="D104" t="str">
            <v>200</v>
          </cell>
          <cell r="F104">
            <v>-1230.8399999999999</v>
          </cell>
          <cell r="G104">
            <v>9</v>
          </cell>
          <cell r="H104" t="str">
            <v>2009-09-30</v>
          </cell>
        </row>
        <row r="105">
          <cell r="A105" t="str">
            <v>481003</v>
          </cell>
          <cell r="B105" t="str">
            <v>1015</v>
          </cell>
          <cell r="C105">
            <v>-7573.47</v>
          </cell>
          <cell r="D105" t="str">
            <v>200</v>
          </cell>
          <cell r="F105">
            <v>-758.28</v>
          </cell>
          <cell r="G105">
            <v>9</v>
          </cell>
          <cell r="H105" t="str">
            <v>2009-09-30</v>
          </cell>
        </row>
        <row r="106">
          <cell r="A106" t="str">
            <v>481003</v>
          </cell>
          <cell r="B106" t="str">
            <v>1015</v>
          </cell>
          <cell r="C106">
            <v>-18038.97</v>
          </cell>
          <cell r="D106" t="str">
            <v>200</v>
          </cell>
          <cell r="F106">
            <v>-1806.12</v>
          </cell>
          <cell r="G106">
            <v>9</v>
          </cell>
          <cell r="H106" t="str">
            <v>2009-09-30</v>
          </cell>
        </row>
        <row r="107">
          <cell r="A107" t="str">
            <v>481003</v>
          </cell>
          <cell r="B107" t="str">
            <v>1015</v>
          </cell>
          <cell r="C107">
            <v>-15730.67</v>
          </cell>
          <cell r="D107" t="str">
            <v>200</v>
          </cell>
          <cell r="F107">
            <v>-1575</v>
          </cell>
          <cell r="G107">
            <v>9</v>
          </cell>
          <cell r="H107" t="str">
            <v>2009-09-30</v>
          </cell>
        </row>
        <row r="108">
          <cell r="A108" t="str">
            <v>481003</v>
          </cell>
          <cell r="B108" t="str">
            <v>1015</v>
          </cell>
          <cell r="C108">
            <v>-3591.63</v>
          </cell>
          <cell r="D108" t="str">
            <v>200</v>
          </cell>
          <cell r="F108">
            <v>-359.64</v>
          </cell>
          <cell r="G108">
            <v>10</v>
          </cell>
          <cell r="H108" t="str">
            <v>2009-10-31</v>
          </cell>
        </row>
        <row r="109">
          <cell r="A109" t="str">
            <v>481003</v>
          </cell>
          <cell r="B109" t="str">
            <v>1015</v>
          </cell>
          <cell r="C109">
            <v>-7535.38</v>
          </cell>
          <cell r="D109" t="str">
            <v>200</v>
          </cell>
          <cell r="F109">
            <v>-777.96</v>
          </cell>
          <cell r="G109">
            <v>11</v>
          </cell>
          <cell r="H109" t="str">
            <v>2009-11-30</v>
          </cell>
        </row>
        <row r="110">
          <cell r="A110" t="str">
            <v>481003</v>
          </cell>
          <cell r="B110" t="str">
            <v>1015</v>
          </cell>
          <cell r="C110">
            <v>-6842.63</v>
          </cell>
          <cell r="D110" t="str">
            <v>200</v>
          </cell>
          <cell r="F110">
            <v>-706.44</v>
          </cell>
          <cell r="G110">
            <v>11</v>
          </cell>
          <cell r="H110" t="str">
            <v>2009-11-30</v>
          </cell>
        </row>
        <row r="111">
          <cell r="A111" t="str">
            <v>481003</v>
          </cell>
          <cell r="B111" t="str">
            <v>1015</v>
          </cell>
          <cell r="C111">
            <v>-12382.3</v>
          </cell>
          <cell r="D111" t="str">
            <v>200</v>
          </cell>
          <cell r="F111">
            <v>-1278.3599999999999</v>
          </cell>
          <cell r="G111">
            <v>12</v>
          </cell>
          <cell r="H111" t="str">
            <v>2009-12-31</v>
          </cell>
        </row>
        <row r="112">
          <cell r="A112" t="str">
            <v>481003</v>
          </cell>
          <cell r="B112" t="str">
            <v>1015</v>
          </cell>
          <cell r="C112">
            <v>-4099.34</v>
          </cell>
          <cell r="D112" t="str">
            <v>200</v>
          </cell>
          <cell r="F112">
            <v>-423.21</v>
          </cell>
          <cell r="G112">
            <v>12</v>
          </cell>
          <cell r="H112" t="str">
            <v>2009-12-31</v>
          </cell>
        </row>
        <row r="113">
          <cell r="A113" t="str">
            <v>481003</v>
          </cell>
          <cell r="B113" t="str">
            <v>1015</v>
          </cell>
          <cell r="C113">
            <v>-17078.47</v>
          </cell>
          <cell r="D113" t="str">
            <v>200</v>
          </cell>
          <cell r="F113">
            <v>-1763.16</v>
          </cell>
          <cell r="G113">
            <v>12</v>
          </cell>
          <cell r="H113" t="str">
            <v>2009-12-31</v>
          </cell>
        </row>
        <row r="114">
          <cell r="A114" t="str">
            <v>481003</v>
          </cell>
          <cell r="B114" t="str">
            <v>1015</v>
          </cell>
          <cell r="C114">
            <v>-9048.93</v>
          </cell>
          <cell r="D114" t="str">
            <v>200</v>
          </cell>
          <cell r="F114">
            <v>-934.2</v>
          </cell>
          <cell r="G114">
            <v>3</v>
          </cell>
          <cell r="H114" t="str">
            <v>2010-03-31</v>
          </cell>
        </row>
        <row r="115">
          <cell r="A115" t="str">
            <v>481003</v>
          </cell>
          <cell r="B115" t="str">
            <v>1015</v>
          </cell>
          <cell r="C115">
            <v>-7326.16</v>
          </cell>
          <cell r="D115" t="str">
            <v>200</v>
          </cell>
          <cell r="F115">
            <v>-756.36</v>
          </cell>
          <cell r="G115">
            <v>3</v>
          </cell>
          <cell r="H115" t="str">
            <v>2010-03-31</v>
          </cell>
        </row>
        <row r="116">
          <cell r="A116" t="str">
            <v>481003</v>
          </cell>
          <cell r="B116" t="str">
            <v>1015</v>
          </cell>
          <cell r="C116">
            <v>-22548.03</v>
          </cell>
          <cell r="D116" t="str">
            <v>200</v>
          </cell>
          <cell r="F116">
            <v>-2327.88</v>
          </cell>
          <cell r="G116">
            <v>4</v>
          </cell>
          <cell r="H116" t="str">
            <v>2010-04-30</v>
          </cell>
        </row>
        <row r="117">
          <cell r="A117" t="str">
            <v>481003</v>
          </cell>
          <cell r="B117" t="str">
            <v>1015</v>
          </cell>
          <cell r="C117">
            <v>-17633.7</v>
          </cell>
          <cell r="D117" t="str">
            <v>200</v>
          </cell>
          <cell r="F117">
            <v>-1820.52</v>
          </cell>
          <cell r="G117">
            <v>6</v>
          </cell>
          <cell r="H117" t="str">
            <v>2010-06-30</v>
          </cell>
        </row>
        <row r="118">
          <cell r="A118" t="str">
            <v>481003</v>
          </cell>
          <cell r="B118" t="str">
            <v>1015</v>
          </cell>
          <cell r="C118">
            <v>-1720.39</v>
          </cell>
          <cell r="D118" t="str">
            <v>200</v>
          </cell>
          <cell r="F118">
            <v>-357.32</v>
          </cell>
          <cell r="G118">
            <v>11</v>
          </cell>
          <cell r="H118" t="str">
            <v>2009-11-30</v>
          </cell>
        </row>
        <row r="119">
          <cell r="A119" t="str">
            <v>481003</v>
          </cell>
          <cell r="B119" t="str">
            <v>1015</v>
          </cell>
          <cell r="C119">
            <v>-11762.47</v>
          </cell>
          <cell r="D119" t="str">
            <v>200</v>
          </cell>
          <cell r="F119">
            <v>-2146.0100000000002</v>
          </cell>
          <cell r="G119">
            <v>11</v>
          </cell>
          <cell r="H119" t="str">
            <v>2009-11-30</v>
          </cell>
        </row>
        <row r="120">
          <cell r="A120" t="str">
            <v>481003</v>
          </cell>
          <cell r="B120" t="str">
            <v>1015</v>
          </cell>
          <cell r="C120">
            <v>-9624.64</v>
          </cell>
          <cell r="D120" t="str">
            <v>200</v>
          </cell>
          <cell r="F120">
            <v>-1756.74</v>
          </cell>
          <cell r="G120">
            <v>1</v>
          </cell>
          <cell r="H120" t="str">
            <v>2010-01-31</v>
          </cell>
        </row>
        <row r="121">
          <cell r="A121" t="str">
            <v>481003</v>
          </cell>
          <cell r="B121" t="str">
            <v>1015</v>
          </cell>
          <cell r="C121">
            <v>-956.72</v>
          </cell>
          <cell r="D121" t="str">
            <v>200</v>
          </cell>
          <cell r="F121">
            <v>-213.95</v>
          </cell>
          <cell r="G121">
            <v>2</v>
          </cell>
          <cell r="H121" t="str">
            <v>2010-02-28</v>
          </cell>
        </row>
        <row r="122">
          <cell r="A122" t="str">
            <v>481003</v>
          </cell>
          <cell r="B122" t="str">
            <v>1015</v>
          </cell>
          <cell r="C122">
            <v>-27.99</v>
          </cell>
          <cell r="D122" t="str">
            <v>200</v>
          </cell>
          <cell r="F122">
            <v>-7.88</v>
          </cell>
          <cell r="G122">
            <v>3</v>
          </cell>
          <cell r="H122" t="str">
            <v>2010-03-31</v>
          </cell>
        </row>
        <row r="123">
          <cell r="A123" t="str">
            <v>481003</v>
          </cell>
          <cell r="B123" t="str">
            <v>1015</v>
          </cell>
          <cell r="C123">
            <v>-25.27</v>
          </cell>
          <cell r="D123" t="str">
            <v>200</v>
          </cell>
          <cell r="F123">
            <v>-7.11</v>
          </cell>
          <cell r="G123">
            <v>4</v>
          </cell>
          <cell r="H123" t="str">
            <v>2010-04-30</v>
          </cell>
        </row>
        <row r="124">
          <cell r="A124" t="str">
            <v>481003</v>
          </cell>
          <cell r="B124" t="str">
            <v>1015</v>
          </cell>
          <cell r="C124">
            <v>-15790.63</v>
          </cell>
          <cell r="D124" t="str">
            <v>200</v>
          </cell>
          <cell r="F124">
            <v>-2711.14</v>
          </cell>
          <cell r="G124">
            <v>7</v>
          </cell>
          <cell r="H124" t="str">
            <v>2009-07-31</v>
          </cell>
        </row>
        <row r="125">
          <cell r="A125" t="str">
            <v>481003</v>
          </cell>
          <cell r="B125" t="str">
            <v>1015</v>
          </cell>
          <cell r="C125">
            <v>-19647.41</v>
          </cell>
          <cell r="D125" t="str">
            <v>200</v>
          </cell>
          <cell r="F125">
            <v>-3533.63</v>
          </cell>
          <cell r="G125">
            <v>10</v>
          </cell>
          <cell r="H125" t="str">
            <v>2009-10-31</v>
          </cell>
        </row>
        <row r="126">
          <cell r="A126" t="str">
            <v>481003</v>
          </cell>
          <cell r="B126" t="str">
            <v>1015</v>
          </cell>
          <cell r="C126">
            <v>-17287.02</v>
          </cell>
          <cell r="D126" t="str">
            <v>200</v>
          </cell>
          <cell r="F126">
            <v>-2424.3000000000002</v>
          </cell>
          <cell r="G126">
            <v>11</v>
          </cell>
          <cell r="H126" t="str">
            <v>2009-11-30</v>
          </cell>
        </row>
        <row r="127">
          <cell r="A127" t="str">
            <v>481003</v>
          </cell>
          <cell r="B127" t="str">
            <v>1015</v>
          </cell>
          <cell r="C127">
            <v>-8763.4699999999993</v>
          </cell>
          <cell r="D127" t="str">
            <v>200</v>
          </cell>
          <cell r="F127">
            <v>-1588.54</v>
          </cell>
          <cell r="G127">
            <v>12</v>
          </cell>
          <cell r="H127" t="str">
            <v>2009-12-31</v>
          </cell>
        </row>
        <row r="128">
          <cell r="A128" t="str">
            <v>481003</v>
          </cell>
          <cell r="B128" t="str">
            <v>1015</v>
          </cell>
          <cell r="C128">
            <v>-2553.81</v>
          </cell>
          <cell r="D128" t="str">
            <v>200</v>
          </cell>
          <cell r="F128">
            <v>-462.85</v>
          </cell>
          <cell r="G128">
            <v>12</v>
          </cell>
          <cell r="H128" t="str">
            <v>2009-12-31</v>
          </cell>
        </row>
        <row r="129">
          <cell r="A129" t="str">
            <v>481003</v>
          </cell>
          <cell r="B129" t="str">
            <v>1015</v>
          </cell>
          <cell r="C129">
            <v>-3027.68</v>
          </cell>
          <cell r="D129" t="str">
            <v>200</v>
          </cell>
          <cell r="F129">
            <v>-548.77</v>
          </cell>
          <cell r="G129">
            <v>1</v>
          </cell>
          <cell r="H129" t="str">
            <v>2010-01-31</v>
          </cell>
        </row>
        <row r="130">
          <cell r="A130" t="str">
            <v>481003</v>
          </cell>
          <cell r="B130" t="str">
            <v>1015</v>
          </cell>
          <cell r="C130">
            <v>-4777.9399999999996</v>
          </cell>
          <cell r="D130" t="str">
            <v>200</v>
          </cell>
          <cell r="F130">
            <v>-866.11</v>
          </cell>
          <cell r="G130">
            <v>2</v>
          </cell>
          <cell r="H130" t="str">
            <v>2010-02-28</v>
          </cell>
        </row>
        <row r="131">
          <cell r="A131" t="str">
            <v>481003</v>
          </cell>
          <cell r="B131" t="str">
            <v>1015</v>
          </cell>
          <cell r="C131">
            <v>-3033.82</v>
          </cell>
          <cell r="D131" t="str">
            <v>200</v>
          </cell>
          <cell r="F131">
            <v>-549.84</v>
          </cell>
          <cell r="G131">
            <v>3</v>
          </cell>
          <cell r="H131" t="str">
            <v>2010-03-31</v>
          </cell>
        </row>
        <row r="132">
          <cell r="A132" t="str">
            <v>481003</v>
          </cell>
          <cell r="B132" t="str">
            <v>1015</v>
          </cell>
          <cell r="C132">
            <v>-15207.05</v>
          </cell>
          <cell r="D132" t="str">
            <v>200</v>
          </cell>
          <cell r="F132">
            <v>-2756.58</v>
          </cell>
          <cell r="G132">
            <v>4</v>
          </cell>
          <cell r="H132" t="str">
            <v>2010-04-30</v>
          </cell>
        </row>
        <row r="133">
          <cell r="A133" t="str">
            <v>481003</v>
          </cell>
          <cell r="B133" t="str">
            <v>1015</v>
          </cell>
          <cell r="C133">
            <v>-13650.49</v>
          </cell>
          <cell r="D133" t="str">
            <v>200</v>
          </cell>
          <cell r="F133">
            <v>-1671.49</v>
          </cell>
          <cell r="G133">
            <v>5</v>
          </cell>
          <cell r="H133" t="str">
            <v>2010-05-31</v>
          </cell>
        </row>
        <row r="134">
          <cell r="A134" t="str">
            <v>481003</v>
          </cell>
          <cell r="B134" t="str">
            <v>1015</v>
          </cell>
          <cell r="C134">
            <v>-3939.85</v>
          </cell>
          <cell r="D134" t="str">
            <v>200</v>
          </cell>
          <cell r="F134">
            <v>-714.07</v>
          </cell>
          <cell r="G134">
            <v>5</v>
          </cell>
          <cell r="H134" t="str">
            <v>2010-05-31</v>
          </cell>
        </row>
        <row r="135">
          <cell r="A135" t="str">
            <v>481003</v>
          </cell>
          <cell r="B135" t="str">
            <v>1015</v>
          </cell>
          <cell r="C135">
            <v>-14944.74</v>
          </cell>
          <cell r="D135" t="str">
            <v>200</v>
          </cell>
          <cell r="F135">
            <v>-2617.94</v>
          </cell>
          <cell r="G135">
            <v>6</v>
          </cell>
          <cell r="H135" t="str">
            <v>2010-06-30</v>
          </cell>
        </row>
        <row r="136">
          <cell r="A136" t="str">
            <v>481003</v>
          </cell>
          <cell r="B136" t="str">
            <v>1015</v>
          </cell>
          <cell r="C136">
            <v>-386.45</v>
          </cell>
          <cell r="D136" t="str">
            <v>200</v>
          </cell>
          <cell r="F136">
            <v>-41.55</v>
          </cell>
          <cell r="G136">
            <v>7</v>
          </cell>
          <cell r="H136" t="str">
            <v>2009-07-31</v>
          </cell>
        </row>
        <row r="137">
          <cell r="A137" t="str">
            <v>481003</v>
          </cell>
          <cell r="B137" t="str">
            <v>1015</v>
          </cell>
          <cell r="C137">
            <v>-375.83</v>
          </cell>
          <cell r="D137" t="str">
            <v>200</v>
          </cell>
          <cell r="F137">
            <v>-40.5</v>
          </cell>
          <cell r="G137">
            <v>9</v>
          </cell>
          <cell r="H137" t="str">
            <v>2009-09-30</v>
          </cell>
        </row>
        <row r="138">
          <cell r="A138" t="str">
            <v>481003</v>
          </cell>
          <cell r="B138" t="str">
            <v>1015</v>
          </cell>
          <cell r="C138">
            <v>-13373.12</v>
          </cell>
          <cell r="D138" t="str">
            <v>200</v>
          </cell>
          <cell r="F138">
            <v>-1338.96</v>
          </cell>
          <cell r="G138">
            <v>9</v>
          </cell>
          <cell r="H138" t="str">
            <v>2009-09-30</v>
          </cell>
        </row>
        <row r="139">
          <cell r="A139" t="str">
            <v>481003</v>
          </cell>
          <cell r="B139" t="str">
            <v>1015</v>
          </cell>
          <cell r="C139">
            <v>-31176.1</v>
          </cell>
          <cell r="D139" t="str">
            <v>200</v>
          </cell>
          <cell r="F139">
            <v>-3121.45</v>
          </cell>
          <cell r="G139">
            <v>10</v>
          </cell>
          <cell r="H139" t="str">
            <v>2009-10-31</v>
          </cell>
        </row>
        <row r="140">
          <cell r="A140" t="str">
            <v>481003</v>
          </cell>
          <cell r="B140" t="str">
            <v>1015</v>
          </cell>
          <cell r="C140">
            <v>-32197.69</v>
          </cell>
          <cell r="D140" t="str">
            <v>200</v>
          </cell>
          <cell r="F140">
            <v>-3324.12</v>
          </cell>
          <cell r="G140">
            <v>11</v>
          </cell>
          <cell r="H140" t="str">
            <v>2009-11-30</v>
          </cell>
        </row>
        <row r="141">
          <cell r="A141" t="str">
            <v>481003</v>
          </cell>
          <cell r="B141" t="str">
            <v>1015</v>
          </cell>
          <cell r="C141">
            <v>-9284.8799999999992</v>
          </cell>
          <cell r="D141" t="str">
            <v>200</v>
          </cell>
          <cell r="F141">
            <v>-958.56</v>
          </cell>
          <cell r="G141">
            <v>12</v>
          </cell>
          <cell r="H141" t="str">
            <v>2009-12-31</v>
          </cell>
        </row>
        <row r="142">
          <cell r="A142" t="str">
            <v>481003</v>
          </cell>
          <cell r="B142" t="str">
            <v>1015</v>
          </cell>
          <cell r="C142">
            <v>-12070.79</v>
          </cell>
          <cell r="D142" t="str">
            <v>200</v>
          </cell>
          <cell r="F142">
            <v>-1246.2</v>
          </cell>
          <cell r="G142">
            <v>1</v>
          </cell>
          <cell r="H142" t="str">
            <v>2010-01-31</v>
          </cell>
        </row>
        <row r="143">
          <cell r="A143" t="str">
            <v>481003</v>
          </cell>
          <cell r="B143" t="str">
            <v>1015</v>
          </cell>
          <cell r="C143">
            <v>-9953.0300000000007</v>
          </cell>
          <cell r="D143" t="str">
            <v>200</v>
          </cell>
          <cell r="F143">
            <v>-1027.56</v>
          </cell>
          <cell r="G143">
            <v>1</v>
          </cell>
          <cell r="H143" t="str">
            <v>2010-01-31</v>
          </cell>
        </row>
        <row r="144">
          <cell r="A144" t="str">
            <v>481003</v>
          </cell>
          <cell r="B144" t="str">
            <v>1015</v>
          </cell>
          <cell r="C144">
            <v>-8694.2199999999993</v>
          </cell>
          <cell r="D144" t="str">
            <v>200</v>
          </cell>
          <cell r="F144">
            <v>-897.6</v>
          </cell>
          <cell r="G144">
            <v>2</v>
          </cell>
          <cell r="H144" t="str">
            <v>2010-02-28</v>
          </cell>
        </row>
        <row r="145">
          <cell r="A145" t="str">
            <v>481003</v>
          </cell>
          <cell r="B145" t="str">
            <v>1015</v>
          </cell>
          <cell r="C145">
            <v>-17412.86</v>
          </cell>
          <cell r="D145" t="str">
            <v>200</v>
          </cell>
          <cell r="F145">
            <v>-1797.72</v>
          </cell>
          <cell r="G145">
            <v>3</v>
          </cell>
          <cell r="H145" t="str">
            <v>2010-03-31</v>
          </cell>
        </row>
        <row r="146">
          <cell r="A146" t="str">
            <v>481003</v>
          </cell>
          <cell r="B146" t="str">
            <v>1015</v>
          </cell>
          <cell r="C146">
            <v>-10118.08</v>
          </cell>
          <cell r="D146" t="str">
            <v>200</v>
          </cell>
          <cell r="F146">
            <v>-1044.5999999999999</v>
          </cell>
          <cell r="G146">
            <v>3</v>
          </cell>
          <cell r="H146" t="str">
            <v>2010-03-31</v>
          </cell>
        </row>
        <row r="147">
          <cell r="A147" t="str">
            <v>481003</v>
          </cell>
          <cell r="B147" t="str">
            <v>1015</v>
          </cell>
          <cell r="C147">
            <v>-10555.11</v>
          </cell>
          <cell r="D147" t="str">
            <v>200</v>
          </cell>
          <cell r="F147">
            <v>-1089.72</v>
          </cell>
          <cell r="G147">
            <v>4</v>
          </cell>
          <cell r="H147" t="str">
            <v>2010-04-30</v>
          </cell>
        </row>
        <row r="148">
          <cell r="A148" t="str">
            <v>481003</v>
          </cell>
          <cell r="B148" t="str">
            <v>1015</v>
          </cell>
          <cell r="C148">
            <v>-4771</v>
          </cell>
          <cell r="D148" t="str">
            <v>200</v>
          </cell>
          <cell r="F148">
            <v>-492.55</v>
          </cell>
          <cell r="G148">
            <v>4</v>
          </cell>
          <cell r="H148" t="str">
            <v>2010-04-30</v>
          </cell>
        </row>
        <row r="149">
          <cell r="A149" t="str">
            <v>481003</v>
          </cell>
          <cell r="B149" t="str">
            <v>1015</v>
          </cell>
          <cell r="C149">
            <v>-14173.45</v>
          </cell>
          <cell r="D149" t="str">
            <v>200</v>
          </cell>
          <cell r="F149">
            <v>-1463.28</v>
          </cell>
          <cell r="G149">
            <v>4</v>
          </cell>
          <cell r="H149" t="str">
            <v>2010-04-30</v>
          </cell>
        </row>
        <row r="150">
          <cell r="A150" t="str">
            <v>481003</v>
          </cell>
          <cell r="B150" t="str">
            <v>1015</v>
          </cell>
          <cell r="C150">
            <v>-12228.87</v>
          </cell>
          <cell r="D150" t="str">
            <v>200</v>
          </cell>
          <cell r="F150">
            <v>-1262.52</v>
          </cell>
          <cell r="G150">
            <v>4</v>
          </cell>
          <cell r="H150" t="str">
            <v>2010-04-30</v>
          </cell>
        </row>
        <row r="151">
          <cell r="A151" t="str">
            <v>481003</v>
          </cell>
          <cell r="B151" t="str">
            <v>1015</v>
          </cell>
          <cell r="C151">
            <v>-19237.71</v>
          </cell>
          <cell r="D151" t="str">
            <v>200</v>
          </cell>
          <cell r="F151">
            <v>-1986.12</v>
          </cell>
          <cell r="G151">
            <v>5</v>
          </cell>
          <cell r="H151" t="str">
            <v>2010-05-31</v>
          </cell>
        </row>
        <row r="152">
          <cell r="A152" t="str">
            <v>481003</v>
          </cell>
          <cell r="B152" t="str">
            <v>1015</v>
          </cell>
          <cell r="C152">
            <v>-11674.44</v>
          </cell>
          <cell r="D152" t="str">
            <v>200</v>
          </cell>
          <cell r="F152">
            <v>-1205.28</v>
          </cell>
          <cell r="G152">
            <v>5</v>
          </cell>
          <cell r="H152" t="str">
            <v>2010-05-31</v>
          </cell>
        </row>
        <row r="153">
          <cell r="A153" t="str">
            <v>481003</v>
          </cell>
          <cell r="B153" t="str">
            <v>1015</v>
          </cell>
          <cell r="C153">
            <v>-106180.49</v>
          </cell>
          <cell r="D153" t="str">
            <v>200</v>
          </cell>
          <cell r="F153">
            <v>0</v>
          </cell>
          <cell r="G153">
            <v>7</v>
          </cell>
          <cell r="H153" t="str">
            <v>2009-07-31</v>
          </cell>
        </row>
        <row r="154">
          <cell r="A154" t="str">
            <v>481003</v>
          </cell>
          <cell r="B154" t="str">
            <v>1015</v>
          </cell>
          <cell r="C154">
            <v>-1014.06</v>
          </cell>
          <cell r="D154" t="str">
            <v>200</v>
          </cell>
          <cell r="F154">
            <v>0</v>
          </cell>
          <cell r="G154">
            <v>10</v>
          </cell>
          <cell r="H154" t="str">
            <v>2009-10-31</v>
          </cell>
        </row>
        <row r="155">
          <cell r="A155" t="str">
            <v>481003</v>
          </cell>
          <cell r="B155" t="str">
            <v>1015</v>
          </cell>
          <cell r="C155">
            <v>-12215.03</v>
          </cell>
          <cell r="D155" t="str">
            <v>200</v>
          </cell>
          <cell r="F155">
            <v>-2113.0100000000002</v>
          </cell>
          <cell r="G155">
            <v>7</v>
          </cell>
          <cell r="H155" t="str">
            <v>2009-07-31</v>
          </cell>
        </row>
        <row r="156">
          <cell r="A156" t="str">
            <v>481003</v>
          </cell>
          <cell r="B156" t="str">
            <v>1015</v>
          </cell>
          <cell r="C156">
            <v>-29.52</v>
          </cell>
          <cell r="D156" t="str">
            <v>200</v>
          </cell>
          <cell r="F156">
            <v>-8.32</v>
          </cell>
          <cell r="G156">
            <v>10</v>
          </cell>
          <cell r="H156" t="str">
            <v>2009-10-31</v>
          </cell>
        </row>
        <row r="157">
          <cell r="A157" t="str">
            <v>481003</v>
          </cell>
          <cell r="B157" t="str">
            <v>1015</v>
          </cell>
          <cell r="C157">
            <v>-49.22</v>
          </cell>
          <cell r="D157" t="str">
            <v>200</v>
          </cell>
          <cell r="F157">
            <v>-13.87</v>
          </cell>
          <cell r="G157">
            <v>11</v>
          </cell>
          <cell r="H157" t="str">
            <v>2009-11-30</v>
          </cell>
        </row>
        <row r="158">
          <cell r="A158" t="str">
            <v>481003</v>
          </cell>
          <cell r="B158" t="str">
            <v>1015</v>
          </cell>
          <cell r="C158">
            <v>-1529.99</v>
          </cell>
          <cell r="D158" t="str">
            <v>200</v>
          </cell>
          <cell r="F158">
            <v>-327.79</v>
          </cell>
          <cell r="G158">
            <v>12</v>
          </cell>
          <cell r="H158" t="str">
            <v>2009-12-31</v>
          </cell>
        </row>
        <row r="159">
          <cell r="A159" t="str">
            <v>481003</v>
          </cell>
          <cell r="B159" t="str">
            <v>1015</v>
          </cell>
          <cell r="C159">
            <v>-1521.54</v>
          </cell>
          <cell r="D159" t="str">
            <v>200</v>
          </cell>
          <cell r="F159">
            <v>-360.28</v>
          </cell>
          <cell r="G159">
            <v>4</v>
          </cell>
          <cell r="H159" t="str">
            <v>2010-04-30</v>
          </cell>
        </row>
        <row r="160">
          <cell r="A160" t="str">
            <v>481003</v>
          </cell>
          <cell r="B160" t="str">
            <v>1015</v>
          </cell>
          <cell r="C160">
            <v>-1711.51</v>
          </cell>
          <cell r="D160" t="str">
            <v>200</v>
          </cell>
          <cell r="F160">
            <v>-393.7</v>
          </cell>
          <cell r="G160">
            <v>5</v>
          </cell>
          <cell r="H160" t="str">
            <v>2010-05-31</v>
          </cell>
        </row>
        <row r="161">
          <cell r="A161" t="str">
            <v>481003</v>
          </cell>
          <cell r="B161" t="str">
            <v>1015</v>
          </cell>
          <cell r="C161">
            <v>-10004.56</v>
          </cell>
          <cell r="D161" t="str">
            <v>200</v>
          </cell>
          <cell r="F161">
            <v>-1825.55</v>
          </cell>
          <cell r="G161">
            <v>5</v>
          </cell>
          <cell r="H161" t="str">
            <v>2010-05-31</v>
          </cell>
        </row>
        <row r="162">
          <cell r="A162" t="str">
            <v>481003</v>
          </cell>
          <cell r="B162" t="str">
            <v>1015</v>
          </cell>
          <cell r="C162">
            <v>-9099.18</v>
          </cell>
          <cell r="D162" t="str">
            <v>200</v>
          </cell>
          <cell r="F162">
            <v>-1597.76</v>
          </cell>
          <cell r="G162">
            <v>6</v>
          </cell>
          <cell r="H162" t="str">
            <v>2010-06-30</v>
          </cell>
        </row>
        <row r="163">
          <cell r="A163" t="str">
            <v>481003</v>
          </cell>
          <cell r="B163" t="str">
            <v>1015</v>
          </cell>
          <cell r="C163">
            <v>-9745.4599999999991</v>
          </cell>
          <cell r="D163" t="str">
            <v>200</v>
          </cell>
          <cell r="F163">
            <v>-975.78</v>
          </cell>
          <cell r="G163">
            <v>8</v>
          </cell>
          <cell r="H163" t="str">
            <v>2009-08-31</v>
          </cell>
        </row>
        <row r="164">
          <cell r="A164" t="str">
            <v>481003</v>
          </cell>
          <cell r="B164" t="str">
            <v>1015</v>
          </cell>
          <cell r="C164">
            <v>-11404.52</v>
          </cell>
          <cell r="D164" t="str">
            <v>200</v>
          </cell>
          <cell r="F164">
            <v>-1957.89</v>
          </cell>
          <cell r="G164">
            <v>7</v>
          </cell>
          <cell r="H164" t="str">
            <v>2009-07-31</v>
          </cell>
        </row>
        <row r="165">
          <cell r="A165" t="str">
            <v>481003</v>
          </cell>
          <cell r="B165" t="str">
            <v>1015</v>
          </cell>
          <cell r="C165">
            <v>-8445.01</v>
          </cell>
          <cell r="D165" t="str">
            <v>200</v>
          </cell>
          <cell r="F165">
            <v>-1449.8</v>
          </cell>
          <cell r="G165">
            <v>7</v>
          </cell>
          <cell r="H165" t="str">
            <v>2009-07-31</v>
          </cell>
        </row>
        <row r="166">
          <cell r="A166" t="str">
            <v>481003</v>
          </cell>
          <cell r="B166" t="str">
            <v>1015</v>
          </cell>
          <cell r="C166">
            <v>-27373.87</v>
          </cell>
          <cell r="D166" t="str">
            <v>200</v>
          </cell>
          <cell r="F166">
            <v>-3390.06</v>
          </cell>
          <cell r="G166">
            <v>9</v>
          </cell>
          <cell r="H166" t="str">
            <v>2009-09-30</v>
          </cell>
        </row>
        <row r="167">
          <cell r="A167" t="str">
            <v>481003</v>
          </cell>
          <cell r="B167" t="str">
            <v>1015</v>
          </cell>
          <cell r="C167">
            <v>-7484.72</v>
          </cell>
          <cell r="D167" t="str">
            <v>200</v>
          </cell>
          <cell r="F167">
            <v>-1285.2</v>
          </cell>
          <cell r="G167">
            <v>9</v>
          </cell>
          <cell r="H167" t="str">
            <v>2009-09-30</v>
          </cell>
        </row>
        <row r="168">
          <cell r="A168" t="str">
            <v>481003</v>
          </cell>
          <cell r="B168" t="str">
            <v>1015</v>
          </cell>
          <cell r="C168">
            <v>-12943.15</v>
          </cell>
          <cell r="D168" t="str">
            <v>200</v>
          </cell>
          <cell r="F168">
            <v>-1659.7</v>
          </cell>
          <cell r="G168">
            <v>10</v>
          </cell>
          <cell r="H168" t="str">
            <v>2009-10-31</v>
          </cell>
        </row>
        <row r="169">
          <cell r="A169" t="str">
            <v>481003</v>
          </cell>
          <cell r="B169" t="str">
            <v>1015</v>
          </cell>
          <cell r="C169">
            <v>-1563.72</v>
          </cell>
          <cell r="D169" t="str">
            <v>200</v>
          </cell>
          <cell r="F169">
            <v>-254.97</v>
          </cell>
          <cell r="G169">
            <v>11</v>
          </cell>
          <cell r="H169" t="str">
            <v>2009-11-30</v>
          </cell>
        </row>
        <row r="170">
          <cell r="A170" t="str">
            <v>481003</v>
          </cell>
          <cell r="B170" t="str">
            <v>1015</v>
          </cell>
          <cell r="C170">
            <v>-2730.78</v>
          </cell>
          <cell r="D170" t="str">
            <v>200</v>
          </cell>
          <cell r="F170">
            <v>-494.96</v>
          </cell>
          <cell r="G170">
            <v>11</v>
          </cell>
          <cell r="H170" t="str">
            <v>2009-11-30</v>
          </cell>
        </row>
        <row r="171">
          <cell r="A171" t="str">
            <v>481003</v>
          </cell>
          <cell r="B171" t="str">
            <v>1015</v>
          </cell>
          <cell r="C171">
            <v>-2912.54</v>
          </cell>
          <cell r="D171" t="str">
            <v>200</v>
          </cell>
          <cell r="F171">
            <v>-527.96</v>
          </cell>
          <cell r="G171">
            <v>1</v>
          </cell>
          <cell r="H171" t="str">
            <v>2010-01-31</v>
          </cell>
        </row>
        <row r="172">
          <cell r="A172" t="str">
            <v>481003</v>
          </cell>
          <cell r="B172" t="str">
            <v>1015</v>
          </cell>
          <cell r="C172">
            <v>-22379.75</v>
          </cell>
          <cell r="D172" t="str">
            <v>200</v>
          </cell>
          <cell r="F172">
            <v>-2760.2</v>
          </cell>
          <cell r="G172">
            <v>2</v>
          </cell>
          <cell r="H172" t="str">
            <v>2010-02-28</v>
          </cell>
        </row>
        <row r="173">
          <cell r="A173" t="str">
            <v>481003</v>
          </cell>
          <cell r="B173" t="str">
            <v>1015</v>
          </cell>
          <cell r="C173">
            <v>-17058.53</v>
          </cell>
          <cell r="D173" t="str">
            <v>200</v>
          </cell>
          <cell r="F173">
            <v>-3091.89</v>
          </cell>
          <cell r="G173">
            <v>3</v>
          </cell>
          <cell r="H173" t="str">
            <v>2010-03-31</v>
          </cell>
        </row>
        <row r="174">
          <cell r="A174" t="str">
            <v>481003</v>
          </cell>
          <cell r="B174" t="str">
            <v>1015</v>
          </cell>
          <cell r="C174">
            <v>-18974.23</v>
          </cell>
          <cell r="D174" t="str">
            <v>200</v>
          </cell>
          <cell r="F174">
            <v>-3439.1</v>
          </cell>
          <cell r="G174">
            <v>4</v>
          </cell>
          <cell r="H174" t="str">
            <v>2010-04-30</v>
          </cell>
        </row>
        <row r="175">
          <cell r="A175" t="str">
            <v>481003</v>
          </cell>
          <cell r="B175" t="str">
            <v>1015</v>
          </cell>
          <cell r="C175">
            <v>-3722.17</v>
          </cell>
          <cell r="D175" t="str">
            <v>200</v>
          </cell>
          <cell r="F175">
            <v>-674.6</v>
          </cell>
          <cell r="G175">
            <v>4</v>
          </cell>
          <cell r="H175" t="str">
            <v>2010-04-30</v>
          </cell>
        </row>
        <row r="176">
          <cell r="A176" t="str">
            <v>481003</v>
          </cell>
          <cell r="B176" t="str">
            <v>1015</v>
          </cell>
          <cell r="C176">
            <v>-6743.03</v>
          </cell>
          <cell r="D176" t="str">
            <v>200</v>
          </cell>
          <cell r="F176">
            <v>-1222.29</v>
          </cell>
          <cell r="G176">
            <v>4</v>
          </cell>
          <cell r="H176" t="str">
            <v>2010-04-30</v>
          </cell>
        </row>
        <row r="177">
          <cell r="A177" t="str">
            <v>481003</v>
          </cell>
          <cell r="B177" t="str">
            <v>1015</v>
          </cell>
          <cell r="C177">
            <v>-4191.3100000000004</v>
          </cell>
          <cell r="D177" t="str">
            <v>200</v>
          </cell>
          <cell r="F177">
            <v>-734.56</v>
          </cell>
          <cell r="G177">
            <v>6</v>
          </cell>
          <cell r="H177" t="str">
            <v>2010-06-30</v>
          </cell>
        </row>
        <row r="178">
          <cell r="A178" t="str">
            <v>481003</v>
          </cell>
          <cell r="B178" t="str">
            <v>1015</v>
          </cell>
          <cell r="C178">
            <v>-16168.08</v>
          </cell>
          <cell r="D178" t="str">
            <v>200</v>
          </cell>
          <cell r="F178">
            <v>-1618.8</v>
          </cell>
          <cell r="G178">
            <v>7</v>
          </cell>
          <cell r="H178" t="str">
            <v>2009-07-31</v>
          </cell>
        </row>
        <row r="179">
          <cell r="A179" t="str">
            <v>481003</v>
          </cell>
          <cell r="B179" t="str">
            <v>1015</v>
          </cell>
          <cell r="C179">
            <v>-17413.34</v>
          </cell>
          <cell r="D179" t="str">
            <v>200</v>
          </cell>
          <cell r="F179">
            <v>-1743.48</v>
          </cell>
          <cell r="G179">
            <v>7</v>
          </cell>
          <cell r="H179" t="str">
            <v>2009-07-31</v>
          </cell>
        </row>
        <row r="180">
          <cell r="A180" t="str">
            <v>481003</v>
          </cell>
          <cell r="B180" t="str">
            <v>1015</v>
          </cell>
          <cell r="C180">
            <v>-14550.07</v>
          </cell>
          <cell r="D180" t="str">
            <v>200</v>
          </cell>
          <cell r="F180">
            <v>-1456.8</v>
          </cell>
          <cell r="G180">
            <v>7</v>
          </cell>
          <cell r="H180" t="str">
            <v>2009-07-31</v>
          </cell>
        </row>
        <row r="181">
          <cell r="A181" t="str">
            <v>481003</v>
          </cell>
          <cell r="B181" t="str">
            <v>1015</v>
          </cell>
          <cell r="C181">
            <v>-24897.32</v>
          </cell>
          <cell r="D181" t="str">
            <v>200</v>
          </cell>
          <cell r="F181">
            <v>-2492.87</v>
          </cell>
          <cell r="G181">
            <v>7</v>
          </cell>
          <cell r="H181" t="str">
            <v>2009-07-31</v>
          </cell>
        </row>
        <row r="182">
          <cell r="A182" t="str">
            <v>481003</v>
          </cell>
          <cell r="B182" t="str">
            <v>1015</v>
          </cell>
          <cell r="C182">
            <v>-17363</v>
          </cell>
          <cell r="D182" t="str">
            <v>200</v>
          </cell>
          <cell r="F182">
            <v>-1738.44</v>
          </cell>
          <cell r="G182">
            <v>10</v>
          </cell>
          <cell r="H182" t="str">
            <v>2009-10-31</v>
          </cell>
        </row>
        <row r="183">
          <cell r="A183" t="str">
            <v>481003</v>
          </cell>
          <cell r="B183" t="str">
            <v>1015</v>
          </cell>
          <cell r="C183">
            <v>-31577.360000000001</v>
          </cell>
          <cell r="D183" t="str">
            <v>200</v>
          </cell>
          <cell r="F183">
            <v>-3260.08</v>
          </cell>
          <cell r="G183">
            <v>11</v>
          </cell>
          <cell r="H183" t="str">
            <v>2009-11-30</v>
          </cell>
        </row>
        <row r="184">
          <cell r="A184" t="str">
            <v>481003</v>
          </cell>
          <cell r="B184" t="str">
            <v>1015</v>
          </cell>
          <cell r="C184">
            <v>-4030.52</v>
          </cell>
          <cell r="D184" t="str">
            <v>200</v>
          </cell>
          <cell r="F184">
            <v>-416.13</v>
          </cell>
          <cell r="G184">
            <v>11</v>
          </cell>
          <cell r="H184" t="str">
            <v>2009-11-30</v>
          </cell>
        </row>
        <row r="185">
          <cell r="A185" t="str">
            <v>481003</v>
          </cell>
          <cell r="B185" t="str">
            <v>1015</v>
          </cell>
          <cell r="C185">
            <v>-16059.91</v>
          </cell>
          <cell r="D185" t="str">
            <v>200</v>
          </cell>
          <cell r="F185">
            <v>-1658.04</v>
          </cell>
          <cell r="G185">
            <v>12</v>
          </cell>
          <cell r="H185" t="str">
            <v>2009-12-31</v>
          </cell>
        </row>
        <row r="186">
          <cell r="A186" t="str">
            <v>481003</v>
          </cell>
          <cell r="B186" t="str">
            <v>1015</v>
          </cell>
          <cell r="C186">
            <v>-3889.94</v>
          </cell>
          <cell r="D186" t="str">
            <v>200</v>
          </cell>
          <cell r="F186">
            <v>-401.62</v>
          </cell>
          <cell r="G186">
            <v>1</v>
          </cell>
          <cell r="H186" t="str">
            <v>2010-01-31</v>
          </cell>
        </row>
        <row r="187">
          <cell r="A187" t="str">
            <v>481003</v>
          </cell>
          <cell r="B187" t="str">
            <v>1015</v>
          </cell>
          <cell r="C187">
            <v>-8483.84</v>
          </cell>
          <cell r="D187" t="str">
            <v>200</v>
          </cell>
          <cell r="F187">
            <v>-875.88</v>
          </cell>
          <cell r="G187">
            <v>1</v>
          </cell>
          <cell r="H187" t="str">
            <v>2010-01-31</v>
          </cell>
        </row>
        <row r="188">
          <cell r="A188" t="str">
            <v>481003</v>
          </cell>
          <cell r="B188" t="str">
            <v>1015</v>
          </cell>
          <cell r="C188">
            <v>-12889.07</v>
          </cell>
          <cell r="D188" t="str">
            <v>200</v>
          </cell>
          <cell r="F188">
            <v>-1330.68</v>
          </cell>
          <cell r="G188">
            <v>2</v>
          </cell>
          <cell r="H188" t="str">
            <v>2010-02-28</v>
          </cell>
        </row>
        <row r="189">
          <cell r="A189" t="str">
            <v>481003</v>
          </cell>
          <cell r="B189" t="str">
            <v>1015</v>
          </cell>
          <cell r="C189">
            <v>-6596.22</v>
          </cell>
          <cell r="D189" t="str">
            <v>200</v>
          </cell>
          <cell r="F189">
            <v>-681</v>
          </cell>
          <cell r="G189">
            <v>2</v>
          </cell>
          <cell r="H189" t="str">
            <v>2010-02-28</v>
          </cell>
        </row>
        <row r="190">
          <cell r="A190" t="str">
            <v>481003</v>
          </cell>
          <cell r="B190" t="str">
            <v>1015</v>
          </cell>
          <cell r="C190">
            <v>-31398.01</v>
          </cell>
          <cell r="D190" t="str">
            <v>200</v>
          </cell>
          <cell r="F190">
            <v>-3241.56</v>
          </cell>
          <cell r="G190">
            <v>2</v>
          </cell>
          <cell r="H190" t="str">
            <v>2010-02-28</v>
          </cell>
        </row>
        <row r="191">
          <cell r="A191" t="str">
            <v>481003</v>
          </cell>
          <cell r="B191" t="str">
            <v>1015</v>
          </cell>
          <cell r="C191">
            <v>-11558.21</v>
          </cell>
          <cell r="D191" t="str">
            <v>200</v>
          </cell>
          <cell r="F191">
            <v>-1193.28</v>
          </cell>
          <cell r="G191">
            <v>3</v>
          </cell>
          <cell r="H191" t="str">
            <v>2010-03-31</v>
          </cell>
        </row>
        <row r="192">
          <cell r="A192" t="str">
            <v>481003</v>
          </cell>
          <cell r="B192" t="str">
            <v>1015</v>
          </cell>
          <cell r="C192">
            <v>-17995.07</v>
          </cell>
          <cell r="D192" t="str">
            <v>200</v>
          </cell>
          <cell r="F192">
            <v>-1856.15</v>
          </cell>
          <cell r="G192">
            <v>3</v>
          </cell>
          <cell r="H192" t="str">
            <v>2010-03-31</v>
          </cell>
        </row>
        <row r="193">
          <cell r="A193" t="str">
            <v>481003</v>
          </cell>
          <cell r="B193" t="str">
            <v>1015</v>
          </cell>
          <cell r="C193">
            <v>-8317.6299999999992</v>
          </cell>
          <cell r="D193" t="str">
            <v>200</v>
          </cell>
          <cell r="F193">
            <v>-858.72</v>
          </cell>
          <cell r="G193">
            <v>4</v>
          </cell>
          <cell r="H193" t="str">
            <v>2010-04-30</v>
          </cell>
        </row>
        <row r="194">
          <cell r="A194" t="str">
            <v>481003</v>
          </cell>
          <cell r="B194" t="str">
            <v>1015</v>
          </cell>
          <cell r="C194">
            <v>-410.86</v>
          </cell>
          <cell r="D194" t="str">
            <v>200</v>
          </cell>
          <cell r="F194">
            <v>-45.77</v>
          </cell>
          <cell r="G194">
            <v>5</v>
          </cell>
          <cell r="H194" t="str">
            <v>2010-05-31</v>
          </cell>
        </row>
        <row r="195">
          <cell r="A195" t="str">
            <v>481003</v>
          </cell>
          <cell r="B195" t="str">
            <v>1015</v>
          </cell>
          <cell r="C195">
            <v>-12540.37</v>
          </cell>
          <cell r="D195" t="str">
            <v>200</v>
          </cell>
          <cell r="F195">
            <v>-1294.68</v>
          </cell>
          <cell r="G195">
            <v>5</v>
          </cell>
          <cell r="H195" t="str">
            <v>2010-05-31</v>
          </cell>
        </row>
        <row r="196">
          <cell r="A196" t="str">
            <v>481003</v>
          </cell>
          <cell r="B196" t="str">
            <v>1015</v>
          </cell>
          <cell r="C196">
            <v>-23566.23</v>
          </cell>
          <cell r="D196" t="str">
            <v>200</v>
          </cell>
          <cell r="F196">
            <v>-2433</v>
          </cell>
          <cell r="G196">
            <v>5</v>
          </cell>
          <cell r="H196" t="str">
            <v>2010-05-31</v>
          </cell>
        </row>
        <row r="197">
          <cell r="A197" t="str">
            <v>481003</v>
          </cell>
          <cell r="B197" t="str">
            <v>1015</v>
          </cell>
          <cell r="C197">
            <v>-9031.2999999999993</v>
          </cell>
          <cell r="D197" t="str">
            <v>200</v>
          </cell>
          <cell r="F197">
            <v>-932.4</v>
          </cell>
          <cell r="G197">
            <v>5</v>
          </cell>
          <cell r="H197" t="str">
            <v>2010-05-31</v>
          </cell>
        </row>
        <row r="198">
          <cell r="A198" t="str">
            <v>481003</v>
          </cell>
          <cell r="B198" t="str">
            <v>1015</v>
          </cell>
          <cell r="C198">
            <v>-17004.88</v>
          </cell>
          <cell r="D198" t="str">
            <v>200</v>
          </cell>
          <cell r="F198">
            <v>-1755.6</v>
          </cell>
          <cell r="G198">
            <v>6</v>
          </cell>
          <cell r="H198" t="str">
            <v>2010-06-30</v>
          </cell>
        </row>
        <row r="199">
          <cell r="A199" t="str">
            <v>481003</v>
          </cell>
          <cell r="B199" t="str">
            <v>1015</v>
          </cell>
          <cell r="C199">
            <v>-5977.06</v>
          </cell>
          <cell r="D199" t="str">
            <v>200</v>
          </cell>
          <cell r="F199">
            <v>-617.1</v>
          </cell>
          <cell r="G199">
            <v>6</v>
          </cell>
          <cell r="H199" t="str">
            <v>2010-06-30</v>
          </cell>
        </row>
        <row r="200">
          <cell r="A200" t="str">
            <v>481003</v>
          </cell>
          <cell r="B200" t="str">
            <v>1015</v>
          </cell>
          <cell r="C200">
            <v>-9883.2900000000009</v>
          </cell>
          <cell r="D200" t="str">
            <v>200</v>
          </cell>
          <cell r="F200">
            <v>-1020.36</v>
          </cell>
          <cell r="G200">
            <v>6</v>
          </cell>
          <cell r="H200" t="str">
            <v>2010-06-30</v>
          </cell>
        </row>
        <row r="201">
          <cell r="A201" t="str">
            <v>481003</v>
          </cell>
          <cell r="B201" t="str">
            <v>1015</v>
          </cell>
          <cell r="C201">
            <v>-8318.7900000000009</v>
          </cell>
          <cell r="D201" t="str">
            <v>200</v>
          </cell>
          <cell r="F201">
            <v>-858.84</v>
          </cell>
          <cell r="G201">
            <v>6</v>
          </cell>
          <cell r="H201" t="str">
            <v>2010-06-30</v>
          </cell>
        </row>
        <row r="202">
          <cell r="A202" t="str">
            <v>481003</v>
          </cell>
          <cell r="B202" t="str">
            <v>1015</v>
          </cell>
          <cell r="C202">
            <v>-2218.61</v>
          </cell>
          <cell r="D202" t="str">
            <v>200</v>
          </cell>
          <cell r="F202">
            <v>-502.09</v>
          </cell>
          <cell r="G202">
            <v>7</v>
          </cell>
          <cell r="H202" t="str">
            <v>2009-07-31</v>
          </cell>
        </row>
        <row r="203">
          <cell r="A203" t="str">
            <v>481003</v>
          </cell>
          <cell r="B203" t="str">
            <v>1015</v>
          </cell>
          <cell r="C203">
            <v>-18591.47</v>
          </cell>
          <cell r="D203" t="str">
            <v>200</v>
          </cell>
          <cell r="F203">
            <v>-3215.77</v>
          </cell>
          <cell r="G203">
            <v>9</v>
          </cell>
          <cell r="H203" t="str">
            <v>2009-09-30</v>
          </cell>
        </row>
        <row r="204">
          <cell r="A204" t="str">
            <v>481003</v>
          </cell>
          <cell r="B204" t="str">
            <v>1015</v>
          </cell>
          <cell r="C204">
            <v>25.27</v>
          </cell>
          <cell r="D204" t="str">
            <v>200</v>
          </cell>
          <cell r="F204">
            <v>7.11</v>
          </cell>
          <cell r="G204">
            <v>2</v>
          </cell>
          <cell r="H204" t="str">
            <v>2010-02-28</v>
          </cell>
        </row>
        <row r="205">
          <cell r="A205" t="str">
            <v>481003</v>
          </cell>
          <cell r="B205" t="str">
            <v>1015</v>
          </cell>
          <cell r="C205">
            <v>-23.67</v>
          </cell>
          <cell r="D205" t="str">
            <v>200</v>
          </cell>
          <cell r="F205">
            <v>-6.67</v>
          </cell>
          <cell r="G205">
            <v>3</v>
          </cell>
          <cell r="H205" t="str">
            <v>2010-03-31</v>
          </cell>
        </row>
        <row r="206">
          <cell r="A206" t="str">
            <v>481003</v>
          </cell>
          <cell r="B206" t="str">
            <v>1015</v>
          </cell>
          <cell r="C206">
            <v>-975.75</v>
          </cell>
          <cell r="D206" t="str">
            <v>200</v>
          </cell>
          <cell r="F206">
            <v>-226.41</v>
          </cell>
          <cell r="G206">
            <v>3</v>
          </cell>
          <cell r="H206" t="str">
            <v>2010-03-31</v>
          </cell>
        </row>
        <row r="207">
          <cell r="A207" t="str">
            <v>481003</v>
          </cell>
          <cell r="B207" t="str">
            <v>1015</v>
          </cell>
          <cell r="C207">
            <v>-25.25</v>
          </cell>
          <cell r="D207" t="str">
            <v>200</v>
          </cell>
          <cell r="F207">
            <v>-7.11</v>
          </cell>
          <cell r="G207">
            <v>5</v>
          </cell>
          <cell r="H207" t="str">
            <v>2010-05-31</v>
          </cell>
        </row>
        <row r="208">
          <cell r="A208" t="str">
            <v>481003</v>
          </cell>
          <cell r="B208" t="str">
            <v>1015</v>
          </cell>
          <cell r="C208">
            <v>-28891.94</v>
          </cell>
          <cell r="D208" t="str">
            <v>200</v>
          </cell>
          <cell r="F208">
            <v>-3450.44</v>
          </cell>
          <cell r="G208">
            <v>7</v>
          </cell>
          <cell r="H208" t="str">
            <v>2009-07-31</v>
          </cell>
        </row>
        <row r="209">
          <cell r="A209" t="str">
            <v>481003</v>
          </cell>
          <cell r="B209" t="str">
            <v>1015</v>
          </cell>
          <cell r="C209">
            <v>-16573.12</v>
          </cell>
          <cell r="D209" t="str">
            <v>200</v>
          </cell>
          <cell r="F209">
            <v>-2845.14</v>
          </cell>
          <cell r="G209">
            <v>8</v>
          </cell>
          <cell r="H209" t="str">
            <v>2009-08-31</v>
          </cell>
        </row>
        <row r="210">
          <cell r="A210" t="str">
            <v>481003</v>
          </cell>
          <cell r="B210" t="str">
            <v>1015</v>
          </cell>
          <cell r="C210">
            <v>-2652.9</v>
          </cell>
          <cell r="D210" t="str">
            <v>200</v>
          </cell>
          <cell r="F210">
            <v>-421.65</v>
          </cell>
          <cell r="G210">
            <v>9</v>
          </cell>
          <cell r="H210" t="str">
            <v>2009-09-30</v>
          </cell>
        </row>
        <row r="211">
          <cell r="A211" t="str">
            <v>481003</v>
          </cell>
          <cell r="B211" t="str">
            <v>1015</v>
          </cell>
          <cell r="C211">
            <v>-40221.85</v>
          </cell>
          <cell r="D211" t="str">
            <v>200</v>
          </cell>
          <cell r="F211">
            <v>-5605.31</v>
          </cell>
          <cell r="G211">
            <v>9</v>
          </cell>
          <cell r="H211" t="str">
            <v>2009-09-30</v>
          </cell>
        </row>
        <row r="212">
          <cell r="A212" t="str">
            <v>481003</v>
          </cell>
          <cell r="B212" t="str">
            <v>1015</v>
          </cell>
          <cell r="C212">
            <v>-7751.68</v>
          </cell>
          <cell r="D212" t="str">
            <v>200</v>
          </cell>
          <cell r="F212">
            <v>-824.66</v>
          </cell>
          <cell r="G212">
            <v>10</v>
          </cell>
          <cell r="H212" t="str">
            <v>2009-10-31</v>
          </cell>
        </row>
        <row r="213">
          <cell r="A213" t="str">
            <v>481003</v>
          </cell>
          <cell r="B213" t="str">
            <v>1015</v>
          </cell>
          <cell r="C213">
            <v>-8713.66</v>
          </cell>
          <cell r="D213" t="str">
            <v>200</v>
          </cell>
          <cell r="F213">
            <v>-1579.54</v>
          </cell>
          <cell r="G213">
            <v>11</v>
          </cell>
          <cell r="H213" t="str">
            <v>2009-11-30</v>
          </cell>
        </row>
        <row r="214">
          <cell r="A214" t="str">
            <v>481003</v>
          </cell>
          <cell r="B214" t="str">
            <v>1015</v>
          </cell>
          <cell r="C214">
            <v>-16197.21</v>
          </cell>
          <cell r="D214" t="str">
            <v>200</v>
          </cell>
          <cell r="F214">
            <v>-2935.73</v>
          </cell>
          <cell r="G214">
            <v>12</v>
          </cell>
          <cell r="H214" t="str">
            <v>2009-12-31</v>
          </cell>
        </row>
        <row r="215">
          <cell r="A215" t="str">
            <v>481003</v>
          </cell>
          <cell r="B215" t="str">
            <v>1015</v>
          </cell>
          <cell r="C215">
            <v>-16542.43</v>
          </cell>
          <cell r="D215" t="str">
            <v>200</v>
          </cell>
          <cell r="F215">
            <v>-2998.59</v>
          </cell>
          <cell r="G215">
            <v>12</v>
          </cell>
          <cell r="H215" t="str">
            <v>2009-12-31</v>
          </cell>
        </row>
        <row r="216">
          <cell r="A216" t="str">
            <v>481003</v>
          </cell>
          <cell r="B216" t="str">
            <v>1015</v>
          </cell>
          <cell r="C216">
            <v>-8218.7000000000007</v>
          </cell>
          <cell r="D216" t="str">
            <v>200</v>
          </cell>
          <cell r="F216">
            <v>-1489.74</v>
          </cell>
          <cell r="G216">
            <v>1</v>
          </cell>
          <cell r="H216" t="str">
            <v>2010-01-31</v>
          </cell>
        </row>
        <row r="217">
          <cell r="A217" t="str">
            <v>481003</v>
          </cell>
          <cell r="B217" t="str">
            <v>1015</v>
          </cell>
          <cell r="C217">
            <v>-3096.33</v>
          </cell>
          <cell r="D217" t="str">
            <v>200</v>
          </cell>
          <cell r="F217">
            <v>-561.19000000000005</v>
          </cell>
          <cell r="G217">
            <v>2</v>
          </cell>
          <cell r="H217" t="str">
            <v>2010-02-28</v>
          </cell>
        </row>
        <row r="218">
          <cell r="A218" t="str">
            <v>481003</v>
          </cell>
          <cell r="B218" t="str">
            <v>1015</v>
          </cell>
          <cell r="C218">
            <v>-24418.44</v>
          </cell>
          <cell r="D218" t="str">
            <v>200</v>
          </cell>
          <cell r="F218">
            <v>-2948.86</v>
          </cell>
          <cell r="G218">
            <v>4</v>
          </cell>
          <cell r="H218" t="str">
            <v>2010-04-30</v>
          </cell>
        </row>
        <row r="219">
          <cell r="A219" t="str">
            <v>481003</v>
          </cell>
          <cell r="B219" t="str">
            <v>1015</v>
          </cell>
          <cell r="C219">
            <v>-8939.3799999999992</v>
          </cell>
          <cell r="D219" t="str">
            <v>200</v>
          </cell>
          <cell r="F219">
            <v>-1620.46</v>
          </cell>
          <cell r="G219">
            <v>4</v>
          </cell>
          <cell r="H219" t="str">
            <v>2010-04-30</v>
          </cell>
        </row>
        <row r="220">
          <cell r="A220" t="str">
            <v>481003</v>
          </cell>
          <cell r="B220" t="str">
            <v>1015</v>
          </cell>
          <cell r="C220">
            <v>-9099.9599999999991</v>
          </cell>
          <cell r="D220" t="str">
            <v>200</v>
          </cell>
          <cell r="F220">
            <v>-1649.49</v>
          </cell>
          <cell r="G220">
            <v>4</v>
          </cell>
          <cell r="H220" t="str">
            <v>2010-04-30</v>
          </cell>
        </row>
        <row r="221">
          <cell r="A221" t="str">
            <v>481003</v>
          </cell>
          <cell r="B221" t="str">
            <v>1015</v>
          </cell>
          <cell r="C221">
            <v>-12197.65</v>
          </cell>
          <cell r="D221" t="str">
            <v>200</v>
          </cell>
          <cell r="F221">
            <v>-2211.0300000000002</v>
          </cell>
          <cell r="G221">
            <v>4</v>
          </cell>
          <cell r="H221" t="str">
            <v>2010-04-30</v>
          </cell>
        </row>
        <row r="222">
          <cell r="A222" t="str">
            <v>481003</v>
          </cell>
          <cell r="B222" t="str">
            <v>1015</v>
          </cell>
          <cell r="C222">
            <v>-2060.3000000000002</v>
          </cell>
          <cell r="D222" t="str">
            <v>200</v>
          </cell>
          <cell r="F222">
            <v>-365.2</v>
          </cell>
          <cell r="G222">
            <v>5</v>
          </cell>
          <cell r="H222" t="str">
            <v>2010-05-31</v>
          </cell>
        </row>
        <row r="223">
          <cell r="A223" t="str">
            <v>481003</v>
          </cell>
          <cell r="B223" t="str">
            <v>1015</v>
          </cell>
          <cell r="C223">
            <v>-9160.23</v>
          </cell>
          <cell r="D223" t="str">
            <v>200</v>
          </cell>
          <cell r="F223">
            <v>-1604.7</v>
          </cell>
          <cell r="G223">
            <v>6</v>
          </cell>
          <cell r="H223" t="str">
            <v>2010-06-30</v>
          </cell>
        </row>
        <row r="224">
          <cell r="A224" t="str">
            <v>481003</v>
          </cell>
          <cell r="B224" t="str">
            <v>1015</v>
          </cell>
          <cell r="C224">
            <v>-16569.32</v>
          </cell>
          <cell r="D224" t="str">
            <v>200</v>
          </cell>
          <cell r="F224">
            <v>-2900.62</v>
          </cell>
          <cell r="G224">
            <v>6</v>
          </cell>
          <cell r="H224" t="str">
            <v>2010-06-30</v>
          </cell>
        </row>
        <row r="225">
          <cell r="A225" t="str">
            <v>481003</v>
          </cell>
          <cell r="B225" t="str">
            <v>1015</v>
          </cell>
          <cell r="C225">
            <v>-29384.84</v>
          </cell>
          <cell r="D225" t="str">
            <v>200</v>
          </cell>
          <cell r="F225">
            <v>-2942.11</v>
          </cell>
          <cell r="G225">
            <v>7</v>
          </cell>
          <cell r="H225" t="str">
            <v>2009-07-31</v>
          </cell>
        </row>
        <row r="226">
          <cell r="A226" t="str">
            <v>481003</v>
          </cell>
          <cell r="B226" t="str">
            <v>1015</v>
          </cell>
          <cell r="C226">
            <v>-5915.9</v>
          </cell>
          <cell r="D226" t="str">
            <v>200</v>
          </cell>
          <cell r="F226">
            <v>-592.32000000000005</v>
          </cell>
          <cell r="G226">
            <v>8</v>
          </cell>
          <cell r="H226" t="str">
            <v>2009-08-31</v>
          </cell>
        </row>
        <row r="227">
          <cell r="A227" t="str">
            <v>481003</v>
          </cell>
          <cell r="B227" t="str">
            <v>1015</v>
          </cell>
          <cell r="C227">
            <v>-17340.23</v>
          </cell>
          <cell r="D227" t="str">
            <v>200</v>
          </cell>
          <cell r="F227">
            <v>-1736.16</v>
          </cell>
          <cell r="G227">
            <v>8</v>
          </cell>
          <cell r="H227" t="str">
            <v>2009-08-31</v>
          </cell>
        </row>
        <row r="228">
          <cell r="A228" t="str">
            <v>481003</v>
          </cell>
          <cell r="B228" t="str">
            <v>1015</v>
          </cell>
          <cell r="C228">
            <v>-7741.26</v>
          </cell>
          <cell r="D228" t="str">
            <v>200</v>
          </cell>
          <cell r="F228">
            <v>-775.08</v>
          </cell>
          <cell r="G228">
            <v>8</v>
          </cell>
          <cell r="H228" t="str">
            <v>2009-08-31</v>
          </cell>
        </row>
        <row r="229">
          <cell r="A229" t="str">
            <v>481003</v>
          </cell>
          <cell r="B229" t="str">
            <v>1015</v>
          </cell>
          <cell r="C229">
            <v>-3240.47</v>
          </cell>
          <cell r="D229" t="str">
            <v>200</v>
          </cell>
          <cell r="F229">
            <v>-324.48</v>
          </cell>
          <cell r="G229">
            <v>8</v>
          </cell>
          <cell r="H229" t="str">
            <v>2009-08-31</v>
          </cell>
        </row>
        <row r="230">
          <cell r="A230" t="str">
            <v>481003</v>
          </cell>
          <cell r="B230" t="str">
            <v>1015</v>
          </cell>
          <cell r="C230">
            <v>-14685.5</v>
          </cell>
          <cell r="D230" t="str">
            <v>200</v>
          </cell>
          <cell r="F230">
            <v>-1470.36</v>
          </cell>
          <cell r="G230">
            <v>9</v>
          </cell>
          <cell r="H230" t="str">
            <v>2009-09-30</v>
          </cell>
        </row>
        <row r="231">
          <cell r="A231" t="str">
            <v>481003</v>
          </cell>
          <cell r="B231" t="str">
            <v>1015</v>
          </cell>
          <cell r="C231">
            <v>-27488.44</v>
          </cell>
          <cell r="D231" t="str">
            <v>200</v>
          </cell>
          <cell r="F231">
            <v>-2752.23</v>
          </cell>
          <cell r="G231">
            <v>9</v>
          </cell>
          <cell r="H231" t="str">
            <v>2009-09-30</v>
          </cell>
        </row>
        <row r="232">
          <cell r="A232" t="str">
            <v>481003</v>
          </cell>
          <cell r="B232" t="str">
            <v>1015</v>
          </cell>
          <cell r="C232">
            <v>-20853.09</v>
          </cell>
          <cell r="D232" t="str">
            <v>200</v>
          </cell>
          <cell r="F232">
            <v>-2087.88</v>
          </cell>
          <cell r="G232">
            <v>10</v>
          </cell>
          <cell r="H232" t="str">
            <v>2009-10-31</v>
          </cell>
        </row>
        <row r="233">
          <cell r="A233" t="str">
            <v>481003</v>
          </cell>
          <cell r="B233" t="str">
            <v>1015</v>
          </cell>
          <cell r="C233">
            <v>-15335.78</v>
          </cell>
          <cell r="D233" t="str">
            <v>200</v>
          </cell>
          <cell r="F233">
            <v>-1583.28</v>
          </cell>
          <cell r="G233">
            <v>12</v>
          </cell>
          <cell r="H233" t="str">
            <v>2009-12-31</v>
          </cell>
        </row>
        <row r="234">
          <cell r="A234" t="str">
            <v>481003</v>
          </cell>
          <cell r="B234" t="str">
            <v>1015</v>
          </cell>
          <cell r="C234">
            <v>-26872.04</v>
          </cell>
          <cell r="D234" t="str">
            <v>200</v>
          </cell>
          <cell r="F234">
            <v>-2774.26</v>
          </cell>
          <cell r="G234">
            <v>12</v>
          </cell>
          <cell r="H234" t="str">
            <v>2009-12-31</v>
          </cell>
        </row>
        <row r="235">
          <cell r="A235" t="str">
            <v>481003</v>
          </cell>
          <cell r="B235" t="str">
            <v>1015</v>
          </cell>
          <cell r="C235">
            <v>-156.62</v>
          </cell>
          <cell r="D235" t="str">
            <v>200</v>
          </cell>
          <cell r="F235">
            <v>-17.55</v>
          </cell>
          <cell r="G235">
            <v>2</v>
          </cell>
          <cell r="H235" t="str">
            <v>2010-02-28</v>
          </cell>
        </row>
        <row r="236">
          <cell r="A236" t="str">
            <v>481003</v>
          </cell>
          <cell r="B236" t="str">
            <v>1015</v>
          </cell>
          <cell r="C236">
            <v>-33167.08</v>
          </cell>
          <cell r="D236" t="str">
            <v>200</v>
          </cell>
          <cell r="F236">
            <v>-3424.2</v>
          </cell>
          <cell r="G236">
            <v>3</v>
          </cell>
          <cell r="H236" t="str">
            <v>2010-03-31</v>
          </cell>
        </row>
        <row r="237">
          <cell r="A237" t="str">
            <v>481003</v>
          </cell>
          <cell r="B237" t="str">
            <v>1015</v>
          </cell>
          <cell r="C237">
            <v>-16799.150000000001</v>
          </cell>
          <cell r="D237" t="str">
            <v>200</v>
          </cell>
          <cell r="F237">
            <v>-1734.36</v>
          </cell>
          <cell r="G237">
            <v>4</v>
          </cell>
          <cell r="H237" t="str">
            <v>2010-04-30</v>
          </cell>
        </row>
        <row r="238">
          <cell r="A238" t="str">
            <v>481003</v>
          </cell>
          <cell r="B238" t="str">
            <v>1015</v>
          </cell>
          <cell r="C238">
            <v>-5346.42</v>
          </cell>
          <cell r="D238" t="str">
            <v>200</v>
          </cell>
          <cell r="F238">
            <v>-551.99</v>
          </cell>
          <cell r="G238">
            <v>5</v>
          </cell>
          <cell r="H238" t="str">
            <v>2010-05-31</v>
          </cell>
        </row>
        <row r="239">
          <cell r="A239" t="str">
            <v>481003</v>
          </cell>
          <cell r="B239" t="str">
            <v>1015</v>
          </cell>
          <cell r="C239">
            <v>-147.82</v>
          </cell>
          <cell r="D239" t="str">
            <v>200</v>
          </cell>
          <cell r="F239">
            <v>-16.47</v>
          </cell>
          <cell r="G239">
            <v>6</v>
          </cell>
          <cell r="H239" t="str">
            <v>2010-06-30</v>
          </cell>
        </row>
        <row r="240">
          <cell r="A240" t="str">
            <v>481003</v>
          </cell>
          <cell r="B240" t="str">
            <v>1015</v>
          </cell>
          <cell r="C240">
            <v>-13167.72</v>
          </cell>
          <cell r="D240" t="str">
            <v>200</v>
          </cell>
          <cell r="F240">
            <v>-1359.45</v>
          </cell>
          <cell r="G240">
            <v>6</v>
          </cell>
          <cell r="H240" t="str">
            <v>2010-06-30</v>
          </cell>
        </row>
        <row r="241">
          <cell r="A241" t="str">
            <v>481003</v>
          </cell>
          <cell r="B241" t="str">
            <v>1015</v>
          </cell>
          <cell r="C241">
            <v>-1992.72</v>
          </cell>
          <cell r="D241" t="str">
            <v>200</v>
          </cell>
          <cell r="F241">
            <v>-412.42</v>
          </cell>
          <cell r="G241">
            <v>8</v>
          </cell>
          <cell r="H241" t="str">
            <v>2009-08-31</v>
          </cell>
        </row>
        <row r="242">
          <cell r="A242" t="str">
            <v>481003</v>
          </cell>
          <cell r="B242" t="str">
            <v>1015</v>
          </cell>
          <cell r="C242">
            <v>-2074.3200000000002</v>
          </cell>
          <cell r="D242" t="str">
            <v>200</v>
          </cell>
          <cell r="F242">
            <v>-437.28</v>
          </cell>
          <cell r="G242">
            <v>10</v>
          </cell>
          <cell r="H242" t="str">
            <v>2009-10-31</v>
          </cell>
        </row>
        <row r="243">
          <cell r="A243" t="str">
            <v>481003</v>
          </cell>
          <cell r="B243" t="str">
            <v>1015</v>
          </cell>
          <cell r="C243">
            <v>-6.95</v>
          </cell>
          <cell r="D243" t="str">
            <v>200</v>
          </cell>
          <cell r="F243">
            <v>-1.96</v>
          </cell>
          <cell r="G243">
            <v>1</v>
          </cell>
          <cell r="H243" t="str">
            <v>2010-01-31</v>
          </cell>
        </row>
        <row r="244">
          <cell r="A244" t="str">
            <v>481003</v>
          </cell>
          <cell r="B244" t="str">
            <v>1015</v>
          </cell>
          <cell r="C244">
            <v>-11048.11</v>
          </cell>
          <cell r="D244" t="str">
            <v>200</v>
          </cell>
          <cell r="F244">
            <v>-1318.36</v>
          </cell>
          <cell r="G244">
            <v>7</v>
          </cell>
          <cell r="H244" t="str">
            <v>2009-07-31</v>
          </cell>
        </row>
        <row r="245">
          <cell r="A245" t="str">
            <v>481003</v>
          </cell>
          <cell r="B245" t="str">
            <v>1015</v>
          </cell>
          <cell r="C245">
            <v>-17460.060000000001</v>
          </cell>
          <cell r="D245" t="str">
            <v>200</v>
          </cell>
          <cell r="F245">
            <v>-2997.35</v>
          </cell>
          <cell r="G245">
            <v>9</v>
          </cell>
          <cell r="H245" t="str">
            <v>2009-09-30</v>
          </cell>
        </row>
        <row r="246">
          <cell r="A246" t="str">
            <v>481003</v>
          </cell>
          <cell r="B246" t="str">
            <v>1015</v>
          </cell>
          <cell r="C246">
            <v>-11335.68</v>
          </cell>
          <cell r="D246" t="str">
            <v>200</v>
          </cell>
          <cell r="F246">
            <v>-2035.16</v>
          </cell>
          <cell r="G246">
            <v>10</v>
          </cell>
          <cell r="H246" t="str">
            <v>2009-10-31</v>
          </cell>
        </row>
        <row r="247">
          <cell r="A247" t="str">
            <v>481003</v>
          </cell>
          <cell r="B247" t="str">
            <v>1015</v>
          </cell>
          <cell r="C247">
            <v>-12472.28</v>
          </cell>
          <cell r="D247" t="str">
            <v>200</v>
          </cell>
          <cell r="F247">
            <v>-2260.79</v>
          </cell>
          <cell r="G247">
            <v>12</v>
          </cell>
          <cell r="H247" t="str">
            <v>2009-12-31</v>
          </cell>
        </row>
        <row r="248">
          <cell r="A248" t="str">
            <v>481003</v>
          </cell>
          <cell r="B248" t="str">
            <v>1015</v>
          </cell>
          <cell r="C248">
            <v>-14671.8</v>
          </cell>
          <cell r="D248" t="str">
            <v>200</v>
          </cell>
          <cell r="F248">
            <v>-2659.51</v>
          </cell>
          <cell r="G248">
            <v>2</v>
          </cell>
          <cell r="H248" t="str">
            <v>2010-02-28</v>
          </cell>
        </row>
        <row r="249">
          <cell r="A249" t="str">
            <v>481003</v>
          </cell>
          <cell r="B249" t="str">
            <v>1015</v>
          </cell>
          <cell r="C249">
            <v>-18362.2</v>
          </cell>
          <cell r="D249" t="str">
            <v>200</v>
          </cell>
          <cell r="F249">
            <v>-3328.49</v>
          </cell>
          <cell r="G249">
            <v>2</v>
          </cell>
          <cell r="H249" t="str">
            <v>2010-02-28</v>
          </cell>
        </row>
        <row r="250">
          <cell r="A250" t="str">
            <v>481003</v>
          </cell>
          <cell r="B250" t="str">
            <v>1015</v>
          </cell>
          <cell r="C250">
            <v>-13255.53</v>
          </cell>
          <cell r="D250" t="str">
            <v>200</v>
          </cell>
          <cell r="F250">
            <v>-2402.81</v>
          </cell>
          <cell r="G250">
            <v>3</v>
          </cell>
          <cell r="H250" t="str">
            <v>2010-03-31</v>
          </cell>
        </row>
        <row r="251">
          <cell r="A251" t="str">
            <v>481003</v>
          </cell>
          <cell r="B251" t="str">
            <v>1015</v>
          </cell>
          <cell r="C251">
            <v>-9278.39</v>
          </cell>
          <cell r="D251" t="str">
            <v>200</v>
          </cell>
          <cell r="F251">
            <v>-1681.87</v>
          </cell>
          <cell r="G251">
            <v>3</v>
          </cell>
          <cell r="H251" t="str">
            <v>2010-03-31</v>
          </cell>
        </row>
        <row r="252">
          <cell r="A252" t="str">
            <v>481003</v>
          </cell>
          <cell r="B252" t="str">
            <v>1015</v>
          </cell>
          <cell r="C252">
            <v>-5351.29</v>
          </cell>
          <cell r="D252" t="str">
            <v>200</v>
          </cell>
          <cell r="F252">
            <v>-970.01</v>
          </cell>
          <cell r="G252">
            <v>3</v>
          </cell>
          <cell r="H252" t="str">
            <v>2010-03-31</v>
          </cell>
        </row>
        <row r="253">
          <cell r="A253" t="str">
            <v>481003</v>
          </cell>
          <cell r="B253" t="str">
            <v>1015</v>
          </cell>
          <cell r="C253">
            <v>-1791.01</v>
          </cell>
          <cell r="D253" t="str">
            <v>200</v>
          </cell>
          <cell r="F253">
            <v>-317.48</v>
          </cell>
          <cell r="G253">
            <v>4</v>
          </cell>
          <cell r="H253" t="str">
            <v>2010-04-30</v>
          </cell>
        </row>
        <row r="254">
          <cell r="A254" t="str">
            <v>481003</v>
          </cell>
          <cell r="B254" t="str">
            <v>1015</v>
          </cell>
          <cell r="C254">
            <v>-22155.279999999999</v>
          </cell>
          <cell r="D254" t="str">
            <v>200</v>
          </cell>
          <cell r="F254">
            <v>-2655.42</v>
          </cell>
          <cell r="G254">
            <v>5</v>
          </cell>
          <cell r="H254" t="str">
            <v>2010-05-31</v>
          </cell>
        </row>
        <row r="255">
          <cell r="A255" t="str">
            <v>481003</v>
          </cell>
          <cell r="B255" t="str">
            <v>1015</v>
          </cell>
          <cell r="C255">
            <v>-7648.13</v>
          </cell>
          <cell r="D255" t="str">
            <v>200</v>
          </cell>
          <cell r="F255">
            <v>-1386.35</v>
          </cell>
          <cell r="G255">
            <v>5</v>
          </cell>
          <cell r="H255" t="str">
            <v>2010-05-31</v>
          </cell>
        </row>
        <row r="256">
          <cell r="A256" t="str">
            <v>481003</v>
          </cell>
          <cell r="B256" t="str">
            <v>1015</v>
          </cell>
          <cell r="C256">
            <v>-18605.38</v>
          </cell>
          <cell r="D256" t="str">
            <v>200</v>
          </cell>
          <cell r="F256">
            <v>-1862.85</v>
          </cell>
          <cell r="G256">
            <v>7</v>
          </cell>
          <cell r="H256" t="str">
            <v>2009-07-31</v>
          </cell>
        </row>
        <row r="257">
          <cell r="A257" t="str">
            <v>481003</v>
          </cell>
          <cell r="B257" t="str">
            <v>1015</v>
          </cell>
          <cell r="C257">
            <v>-4012.31</v>
          </cell>
          <cell r="D257" t="str">
            <v>200</v>
          </cell>
          <cell r="F257">
            <v>-401.76</v>
          </cell>
          <cell r="G257">
            <v>7</v>
          </cell>
          <cell r="H257" t="str">
            <v>2009-07-31</v>
          </cell>
        </row>
        <row r="258">
          <cell r="A258" t="str">
            <v>481003</v>
          </cell>
          <cell r="B258" t="str">
            <v>1015</v>
          </cell>
          <cell r="C258">
            <v>-10328.870000000001</v>
          </cell>
          <cell r="D258" t="str">
            <v>200</v>
          </cell>
          <cell r="F258">
            <v>-1034.1600000000001</v>
          </cell>
          <cell r="G258">
            <v>7</v>
          </cell>
          <cell r="H258" t="str">
            <v>2009-07-31</v>
          </cell>
        </row>
        <row r="259">
          <cell r="A259" t="str">
            <v>481003</v>
          </cell>
          <cell r="B259" t="str">
            <v>1015</v>
          </cell>
          <cell r="C259">
            <v>-377.18</v>
          </cell>
          <cell r="D259" t="str">
            <v>200</v>
          </cell>
          <cell r="F259">
            <v>-40.65</v>
          </cell>
          <cell r="G259">
            <v>8</v>
          </cell>
          <cell r="H259" t="str">
            <v>2009-08-31</v>
          </cell>
        </row>
        <row r="260">
          <cell r="A260" t="str">
            <v>481003</v>
          </cell>
          <cell r="B260" t="str">
            <v>1015</v>
          </cell>
          <cell r="C260">
            <v>-12538.94</v>
          </cell>
          <cell r="D260" t="str">
            <v>200</v>
          </cell>
          <cell r="F260">
            <v>-1255.44</v>
          </cell>
          <cell r="G260">
            <v>8</v>
          </cell>
          <cell r="H260" t="str">
            <v>2009-08-31</v>
          </cell>
        </row>
        <row r="261">
          <cell r="A261" t="str">
            <v>481003</v>
          </cell>
          <cell r="B261" t="str">
            <v>1015</v>
          </cell>
          <cell r="C261">
            <v>-4325.54</v>
          </cell>
          <cell r="D261" t="str">
            <v>200</v>
          </cell>
          <cell r="F261">
            <v>-433.1</v>
          </cell>
          <cell r="G261">
            <v>9</v>
          </cell>
          <cell r="H261" t="str">
            <v>2009-09-30</v>
          </cell>
        </row>
        <row r="262">
          <cell r="A262" t="str">
            <v>481003</v>
          </cell>
          <cell r="B262" t="str">
            <v>1015</v>
          </cell>
          <cell r="C262">
            <v>-3314.77</v>
          </cell>
          <cell r="D262" t="str">
            <v>200</v>
          </cell>
          <cell r="F262">
            <v>-331.92</v>
          </cell>
          <cell r="G262">
            <v>9</v>
          </cell>
          <cell r="H262" t="str">
            <v>2009-09-30</v>
          </cell>
        </row>
        <row r="263">
          <cell r="A263" t="str">
            <v>481003</v>
          </cell>
          <cell r="B263" t="str">
            <v>1015</v>
          </cell>
          <cell r="C263">
            <v>-386.4</v>
          </cell>
          <cell r="D263" t="str">
            <v>200</v>
          </cell>
          <cell r="F263">
            <v>-41.64</v>
          </cell>
          <cell r="G263">
            <v>10</v>
          </cell>
          <cell r="H263" t="str">
            <v>2009-10-31</v>
          </cell>
        </row>
        <row r="264">
          <cell r="A264" t="str">
            <v>481003</v>
          </cell>
          <cell r="B264" t="str">
            <v>1015</v>
          </cell>
          <cell r="C264">
            <v>-14994.72</v>
          </cell>
          <cell r="D264" t="str">
            <v>200</v>
          </cell>
          <cell r="F264">
            <v>-1501.32</v>
          </cell>
          <cell r="G264">
            <v>10</v>
          </cell>
          <cell r="H264" t="str">
            <v>2009-10-31</v>
          </cell>
        </row>
        <row r="265">
          <cell r="A265" t="str">
            <v>481003</v>
          </cell>
          <cell r="B265" t="str">
            <v>1015</v>
          </cell>
          <cell r="C265">
            <v>-13712.31</v>
          </cell>
          <cell r="D265" t="str">
            <v>200</v>
          </cell>
          <cell r="F265">
            <v>-1415.54</v>
          </cell>
          <cell r="G265">
            <v>12</v>
          </cell>
          <cell r="H265" t="str">
            <v>2009-12-31</v>
          </cell>
        </row>
        <row r="266">
          <cell r="A266" t="str">
            <v>481003</v>
          </cell>
          <cell r="B266" t="str">
            <v>1015</v>
          </cell>
          <cell r="C266">
            <v>-17168.77</v>
          </cell>
          <cell r="D266" t="str">
            <v>200</v>
          </cell>
          <cell r="F266">
            <v>-1772.52</v>
          </cell>
          <cell r="G266">
            <v>1</v>
          </cell>
          <cell r="H266" t="str">
            <v>2010-01-31</v>
          </cell>
        </row>
        <row r="267">
          <cell r="A267" t="str">
            <v>481003</v>
          </cell>
          <cell r="B267" t="str">
            <v>1015</v>
          </cell>
          <cell r="C267">
            <v>-19006.41</v>
          </cell>
          <cell r="D267" t="str">
            <v>200</v>
          </cell>
          <cell r="F267">
            <v>-1962.24</v>
          </cell>
          <cell r="G267">
            <v>2</v>
          </cell>
          <cell r="H267" t="str">
            <v>2010-02-28</v>
          </cell>
        </row>
        <row r="268">
          <cell r="A268" t="str">
            <v>481003</v>
          </cell>
          <cell r="B268" t="str">
            <v>1015</v>
          </cell>
          <cell r="C268">
            <v>-99.72</v>
          </cell>
          <cell r="D268" t="str">
            <v>200</v>
          </cell>
          <cell r="F268">
            <v>-11.17</v>
          </cell>
          <cell r="G268">
            <v>3</v>
          </cell>
          <cell r="H268" t="str">
            <v>2010-03-31</v>
          </cell>
        </row>
        <row r="269">
          <cell r="A269" t="str">
            <v>481003</v>
          </cell>
          <cell r="B269" t="str">
            <v>1015</v>
          </cell>
          <cell r="C269">
            <v>-9448.0300000000007</v>
          </cell>
          <cell r="D269" t="str">
            <v>200</v>
          </cell>
          <cell r="F269">
            <v>-975.42</v>
          </cell>
          <cell r="G269">
            <v>5</v>
          </cell>
          <cell r="H269" t="str">
            <v>2010-05-31</v>
          </cell>
        </row>
        <row r="270">
          <cell r="A270" t="str">
            <v>481003</v>
          </cell>
          <cell r="B270" t="str">
            <v>1015</v>
          </cell>
          <cell r="C270">
            <v>-33480.9</v>
          </cell>
          <cell r="D270" t="str">
            <v>200</v>
          </cell>
          <cell r="F270">
            <v>-3456.6</v>
          </cell>
          <cell r="G270">
            <v>6</v>
          </cell>
          <cell r="H270" t="str">
            <v>2010-06-30</v>
          </cell>
        </row>
        <row r="271">
          <cell r="A271" t="str">
            <v>481003</v>
          </cell>
          <cell r="B271" t="str">
            <v>1015</v>
          </cell>
          <cell r="C271">
            <v>-30.94</v>
          </cell>
          <cell r="D271" t="str">
            <v>200</v>
          </cell>
          <cell r="F271">
            <v>-8.7100000000000009</v>
          </cell>
          <cell r="G271">
            <v>8</v>
          </cell>
          <cell r="H271" t="str">
            <v>2009-08-31</v>
          </cell>
        </row>
        <row r="272">
          <cell r="A272" t="str">
            <v>481003</v>
          </cell>
          <cell r="B272" t="str">
            <v>1015</v>
          </cell>
          <cell r="C272">
            <v>-22.82</v>
          </cell>
          <cell r="D272" t="str">
            <v>200</v>
          </cell>
          <cell r="F272">
            <v>-6.43</v>
          </cell>
          <cell r="G272">
            <v>9</v>
          </cell>
          <cell r="H272" t="str">
            <v>2009-09-30</v>
          </cell>
        </row>
        <row r="273">
          <cell r="A273" t="str">
            <v>481003</v>
          </cell>
          <cell r="B273" t="str">
            <v>1015</v>
          </cell>
          <cell r="C273">
            <v>-2158.7399999999998</v>
          </cell>
          <cell r="D273" t="str">
            <v>200</v>
          </cell>
          <cell r="F273">
            <v>-452.36</v>
          </cell>
          <cell r="G273">
            <v>9</v>
          </cell>
          <cell r="H273" t="str">
            <v>2009-09-30</v>
          </cell>
        </row>
        <row r="274">
          <cell r="A274" t="str">
            <v>481003</v>
          </cell>
          <cell r="B274" t="str">
            <v>1015</v>
          </cell>
          <cell r="C274">
            <v>-16.399999999999999</v>
          </cell>
          <cell r="D274" t="str">
            <v>200</v>
          </cell>
          <cell r="F274">
            <v>-4.62</v>
          </cell>
          <cell r="G274">
            <v>10</v>
          </cell>
          <cell r="H274" t="str">
            <v>2009-10-31</v>
          </cell>
        </row>
        <row r="275">
          <cell r="A275" t="str">
            <v>481003</v>
          </cell>
          <cell r="B275" t="str">
            <v>1015</v>
          </cell>
          <cell r="C275">
            <v>-14477.1</v>
          </cell>
          <cell r="D275" t="str">
            <v>200</v>
          </cell>
          <cell r="F275">
            <v>-2616.3000000000002</v>
          </cell>
          <cell r="G275">
            <v>10</v>
          </cell>
          <cell r="H275" t="str">
            <v>2009-10-31</v>
          </cell>
        </row>
        <row r="276">
          <cell r="A276" t="str">
            <v>481003</v>
          </cell>
          <cell r="B276" t="str">
            <v>1015</v>
          </cell>
          <cell r="C276">
            <v>-26.39</v>
          </cell>
          <cell r="D276" t="str">
            <v>200</v>
          </cell>
          <cell r="F276">
            <v>-7.43</v>
          </cell>
          <cell r="G276">
            <v>11</v>
          </cell>
          <cell r="H276" t="str">
            <v>2009-11-30</v>
          </cell>
        </row>
        <row r="277">
          <cell r="A277" t="str">
            <v>481003</v>
          </cell>
          <cell r="B277" t="str">
            <v>1015</v>
          </cell>
          <cell r="C277">
            <v>-27.16</v>
          </cell>
          <cell r="D277" t="str">
            <v>200</v>
          </cell>
          <cell r="F277">
            <v>-7.65</v>
          </cell>
          <cell r="G277">
            <v>12</v>
          </cell>
          <cell r="H277" t="str">
            <v>2009-12-31</v>
          </cell>
        </row>
        <row r="278">
          <cell r="A278" t="str">
            <v>481003</v>
          </cell>
          <cell r="B278" t="str">
            <v>1015</v>
          </cell>
          <cell r="C278">
            <v>-9028.2800000000007</v>
          </cell>
          <cell r="D278" t="str">
            <v>200</v>
          </cell>
          <cell r="F278">
            <v>-1649.43</v>
          </cell>
          <cell r="G278">
            <v>3</v>
          </cell>
          <cell r="H278" t="str">
            <v>2010-03-31</v>
          </cell>
        </row>
        <row r="279">
          <cell r="A279" t="str">
            <v>481003</v>
          </cell>
          <cell r="B279" t="str">
            <v>1015</v>
          </cell>
          <cell r="C279">
            <v>10.41</v>
          </cell>
          <cell r="D279" t="str">
            <v>200</v>
          </cell>
          <cell r="F279">
            <v>2.93</v>
          </cell>
          <cell r="G279">
            <v>6</v>
          </cell>
          <cell r="H279" t="str">
            <v>2010-06-30</v>
          </cell>
        </row>
        <row r="280">
          <cell r="A280" t="str">
            <v>481003</v>
          </cell>
          <cell r="B280" t="str">
            <v>1015</v>
          </cell>
          <cell r="C280">
            <v>-30151.439999999999</v>
          </cell>
          <cell r="D280" t="str">
            <v>200</v>
          </cell>
          <cell r="F280">
            <v>-3652.52</v>
          </cell>
          <cell r="G280">
            <v>8</v>
          </cell>
          <cell r="H280" t="str">
            <v>2009-08-31</v>
          </cell>
        </row>
        <row r="281">
          <cell r="A281" t="str">
            <v>481003</v>
          </cell>
          <cell r="B281" t="str">
            <v>1015</v>
          </cell>
          <cell r="C281">
            <v>-2505.8200000000002</v>
          </cell>
          <cell r="D281" t="str">
            <v>200</v>
          </cell>
          <cell r="F281">
            <v>-398.28</v>
          </cell>
          <cell r="G281">
            <v>8</v>
          </cell>
          <cell r="H281" t="str">
            <v>2009-08-31</v>
          </cell>
        </row>
        <row r="282">
          <cell r="A282" t="str">
            <v>481003</v>
          </cell>
          <cell r="B282" t="str">
            <v>1015</v>
          </cell>
          <cell r="C282">
            <v>-14569.48</v>
          </cell>
          <cell r="D282" t="str">
            <v>200</v>
          </cell>
          <cell r="F282">
            <v>-1750.87</v>
          </cell>
          <cell r="G282">
            <v>8</v>
          </cell>
          <cell r="H282" t="str">
            <v>2009-08-31</v>
          </cell>
        </row>
        <row r="283">
          <cell r="A283" t="str">
            <v>481003</v>
          </cell>
          <cell r="B283" t="str">
            <v>1015</v>
          </cell>
          <cell r="C283">
            <v>-30603.51</v>
          </cell>
          <cell r="D283" t="str">
            <v>200</v>
          </cell>
          <cell r="F283">
            <v>-4121.24</v>
          </cell>
          <cell r="G283">
            <v>9</v>
          </cell>
          <cell r="H283" t="str">
            <v>2009-09-30</v>
          </cell>
        </row>
        <row r="284">
          <cell r="A284" t="str">
            <v>481003</v>
          </cell>
          <cell r="B284" t="str">
            <v>1015</v>
          </cell>
          <cell r="C284">
            <v>-12777.91</v>
          </cell>
          <cell r="D284" t="str">
            <v>200</v>
          </cell>
          <cell r="F284">
            <v>-2193.69</v>
          </cell>
          <cell r="G284">
            <v>9</v>
          </cell>
          <cell r="H284" t="str">
            <v>2009-09-30</v>
          </cell>
        </row>
        <row r="285">
          <cell r="A285" t="str">
            <v>481003</v>
          </cell>
          <cell r="B285" t="str">
            <v>1015</v>
          </cell>
          <cell r="C285">
            <v>-16466.490000000002</v>
          </cell>
          <cell r="D285" t="str">
            <v>200</v>
          </cell>
          <cell r="F285">
            <v>-2957.68</v>
          </cell>
          <cell r="G285">
            <v>10</v>
          </cell>
          <cell r="H285" t="str">
            <v>2009-10-31</v>
          </cell>
        </row>
        <row r="286">
          <cell r="A286" t="str">
            <v>481003</v>
          </cell>
          <cell r="B286" t="str">
            <v>1015</v>
          </cell>
          <cell r="C286">
            <v>-6168.26</v>
          </cell>
          <cell r="D286" t="str">
            <v>200</v>
          </cell>
          <cell r="F286">
            <v>-1107.45</v>
          </cell>
          <cell r="G286">
            <v>10</v>
          </cell>
          <cell r="H286" t="str">
            <v>2009-10-31</v>
          </cell>
        </row>
        <row r="287">
          <cell r="A287" t="str">
            <v>481003</v>
          </cell>
          <cell r="B287" t="str">
            <v>1015</v>
          </cell>
          <cell r="C287">
            <v>-24753.07</v>
          </cell>
          <cell r="D287" t="str">
            <v>200</v>
          </cell>
          <cell r="F287">
            <v>-3144.41</v>
          </cell>
          <cell r="G287">
            <v>11</v>
          </cell>
          <cell r="H287" t="str">
            <v>2009-11-30</v>
          </cell>
        </row>
        <row r="288">
          <cell r="A288" t="str">
            <v>481003</v>
          </cell>
          <cell r="B288" t="str">
            <v>1015</v>
          </cell>
          <cell r="C288">
            <v>-21295.59</v>
          </cell>
          <cell r="D288" t="str">
            <v>200</v>
          </cell>
          <cell r="F288">
            <v>-3859.88</v>
          </cell>
          <cell r="G288">
            <v>11</v>
          </cell>
          <cell r="H288" t="str">
            <v>2009-11-30</v>
          </cell>
        </row>
        <row r="289">
          <cell r="A289" t="str">
            <v>481003</v>
          </cell>
          <cell r="B289" t="str">
            <v>1015</v>
          </cell>
          <cell r="C289">
            <v>-17618.89</v>
          </cell>
          <cell r="D289" t="str">
            <v>200</v>
          </cell>
          <cell r="F289">
            <v>-3193.69</v>
          </cell>
          <cell r="G289">
            <v>11</v>
          </cell>
          <cell r="H289" t="str">
            <v>2009-11-30</v>
          </cell>
        </row>
        <row r="290">
          <cell r="A290" t="str">
            <v>481003</v>
          </cell>
          <cell r="B290" t="str">
            <v>1015</v>
          </cell>
          <cell r="C290">
            <v>-7909.69</v>
          </cell>
          <cell r="D290" t="str">
            <v>200</v>
          </cell>
          <cell r="F290">
            <v>-1370.4</v>
          </cell>
          <cell r="G290">
            <v>12</v>
          </cell>
          <cell r="H290" t="str">
            <v>2009-12-31</v>
          </cell>
        </row>
        <row r="291">
          <cell r="A291" t="str">
            <v>481003</v>
          </cell>
          <cell r="B291" t="str">
            <v>1015</v>
          </cell>
          <cell r="C291">
            <v>-15242.04</v>
          </cell>
          <cell r="D291" t="str">
            <v>200</v>
          </cell>
          <cell r="F291">
            <v>-2762.88</v>
          </cell>
          <cell r="G291">
            <v>1</v>
          </cell>
          <cell r="H291" t="str">
            <v>2010-01-31</v>
          </cell>
        </row>
        <row r="292">
          <cell r="A292" t="str">
            <v>481003</v>
          </cell>
          <cell r="B292" t="str">
            <v>1015</v>
          </cell>
          <cell r="C292">
            <v>-23991.52</v>
          </cell>
          <cell r="D292" t="str">
            <v>200</v>
          </cell>
          <cell r="F292">
            <v>-3884.12</v>
          </cell>
          <cell r="G292">
            <v>1</v>
          </cell>
          <cell r="H292" t="str">
            <v>2010-01-31</v>
          </cell>
        </row>
        <row r="293">
          <cell r="A293" t="str">
            <v>481003</v>
          </cell>
          <cell r="B293" t="str">
            <v>1015</v>
          </cell>
          <cell r="C293">
            <v>-1167.23</v>
          </cell>
          <cell r="D293" t="str">
            <v>200</v>
          </cell>
          <cell r="F293">
            <v>-206.9</v>
          </cell>
          <cell r="G293">
            <v>2</v>
          </cell>
          <cell r="H293" t="str">
            <v>2010-02-28</v>
          </cell>
        </row>
        <row r="294">
          <cell r="A294" t="str">
            <v>481003</v>
          </cell>
          <cell r="B294" t="str">
            <v>1015</v>
          </cell>
          <cell r="C294">
            <v>-9250.58</v>
          </cell>
          <cell r="D294" t="str">
            <v>200</v>
          </cell>
          <cell r="F294">
            <v>-1676.82</v>
          </cell>
          <cell r="G294">
            <v>2</v>
          </cell>
          <cell r="H294" t="str">
            <v>2010-02-28</v>
          </cell>
        </row>
        <row r="295">
          <cell r="A295" t="str">
            <v>481003</v>
          </cell>
          <cell r="B295" t="str">
            <v>1015</v>
          </cell>
          <cell r="C295">
            <v>-9856.49</v>
          </cell>
          <cell r="D295" t="str">
            <v>200</v>
          </cell>
          <cell r="F295">
            <v>-1786.72</v>
          </cell>
          <cell r="G295">
            <v>2</v>
          </cell>
          <cell r="H295" t="str">
            <v>2010-02-28</v>
          </cell>
        </row>
        <row r="296">
          <cell r="A296" t="str">
            <v>481003</v>
          </cell>
          <cell r="B296" t="str">
            <v>1015</v>
          </cell>
          <cell r="C296">
            <v>-17658.25</v>
          </cell>
          <cell r="D296" t="str">
            <v>200</v>
          </cell>
          <cell r="F296">
            <v>-3200.51</v>
          </cell>
          <cell r="G296">
            <v>2</v>
          </cell>
          <cell r="H296" t="str">
            <v>2010-02-28</v>
          </cell>
        </row>
        <row r="297">
          <cell r="A297" t="str">
            <v>481003</v>
          </cell>
          <cell r="B297" t="str">
            <v>1015</v>
          </cell>
          <cell r="C297">
            <v>-1609.15</v>
          </cell>
          <cell r="D297" t="str">
            <v>200</v>
          </cell>
          <cell r="F297">
            <v>-285.25</v>
          </cell>
          <cell r="G297">
            <v>3</v>
          </cell>
          <cell r="H297" t="str">
            <v>2010-03-31</v>
          </cell>
        </row>
        <row r="298">
          <cell r="A298" t="str">
            <v>481003</v>
          </cell>
          <cell r="B298" t="str">
            <v>1015</v>
          </cell>
          <cell r="C298">
            <v>-8394.91</v>
          </cell>
          <cell r="D298" t="str">
            <v>200</v>
          </cell>
          <cell r="F298">
            <v>-1521.72</v>
          </cell>
          <cell r="G298">
            <v>3</v>
          </cell>
          <cell r="H298" t="str">
            <v>2010-03-31</v>
          </cell>
        </row>
        <row r="299">
          <cell r="A299" t="str">
            <v>481003</v>
          </cell>
          <cell r="B299" t="str">
            <v>1015</v>
          </cell>
          <cell r="C299">
            <v>-20365.97</v>
          </cell>
          <cell r="D299" t="str">
            <v>200</v>
          </cell>
          <cell r="F299">
            <v>-3691.31</v>
          </cell>
          <cell r="G299">
            <v>5</v>
          </cell>
          <cell r="H299" t="str">
            <v>2010-05-31</v>
          </cell>
        </row>
        <row r="300">
          <cell r="A300" t="str">
            <v>481003</v>
          </cell>
          <cell r="B300" t="str">
            <v>1015</v>
          </cell>
          <cell r="C300">
            <v>-11102.15</v>
          </cell>
          <cell r="D300" t="str">
            <v>200</v>
          </cell>
          <cell r="F300">
            <v>-1951.38</v>
          </cell>
          <cell r="G300">
            <v>6</v>
          </cell>
          <cell r="H300" t="str">
            <v>2010-06-30</v>
          </cell>
        </row>
        <row r="301">
          <cell r="A301" t="str">
            <v>481003</v>
          </cell>
          <cell r="B301" t="str">
            <v>1015</v>
          </cell>
          <cell r="C301">
            <v>-13748.87</v>
          </cell>
          <cell r="D301" t="str">
            <v>200</v>
          </cell>
          <cell r="F301">
            <v>-2408.12</v>
          </cell>
          <cell r="G301">
            <v>6</v>
          </cell>
          <cell r="H301" t="str">
            <v>2010-06-30</v>
          </cell>
        </row>
        <row r="302">
          <cell r="A302" t="str">
            <v>481003</v>
          </cell>
          <cell r="B302" t="str">
            <v>1015</v>
          </cell>
          <cell r="C302">
            <v>-14240.85</v>
          </cell>
          <cell r="D302" t="str">
            <v>200</v>
          </cell>
          <cell r="F302">
            <v>-1425.84</v>
          </cell>
          <cell r="G302">
            <v>7</v>
          </cell>
          <cell r="H302" t="str">
            <v>2009-07-31</v>
          </cell>
        </row>
        <row r="303">
          <cell r="A303" t="str">
            <v>481003</v>
          </cell>
          <cell r="B303" t="str">
            <v>1015</v>
          </cell>
          <cell r="C303">
            <v>-30149.57</v>
          </cell>
          <cell r="D303" t="str">
            <v>200</v>
          </cell>
          <cell r="F303">
            <v>-3018.67</v>
          </cell>
          <cell r="G303">
            <v>8</v>
          </cell>
          <cell r="H303" t="str">
            <v>2009-08-31</v>
          </cell>
        </row>
        <row r="304">
          <cell r="A304" t="str">
            <v>481003</v>
          </cell>
          <cell r="B304" t="str">
            <v>1015</v>
          </cell>
          <cell r="C304">
            <v>-3869.22</v>
          </cell>
          <cell r="D304" t="str">
            <v>200</v>
          </cell>
          <cell r="F304">
            <v>-387.42</v>
          </cell>
          <cell r="G304">
            <v>10</v>
          </cell>
          <cell r="H304" t="str">
            <v>2009-10-31</v>
          </cell>
        </row>
        <row r="305">
          <cell r="A305" t="str">
            <v>481003</v>
          </cell>
          <cell r="B305" t="str">
            <v>1015</v>
          </cell>
          <cell r="C305">
            <v>-9294.5499999999993</v>
          </cell>
          <cell r="D305" t="str">
            <v>200</v>
          </cell>
          <cell r="F305">
            <v>-930.6</v>
          </cell>
          <cell r="G305">
            <v>10</v>
          </cell>
          <cell r="H305" t="str">
            <v>2009-10-31</v>
          </cell>
        </row>
        <row r="306">
          <cell r="A306" t="str">
            <v>481003</v>
          </cell>
          <cell r="B306" t="str">
            <v>1015</v>
          </cell>
          <cell r="C306">
            <v>-415.36</v>
          </cell>
          <cell r="D306" t="str">
            <v>200</v>
          </cell>
          <cell r="F306">
            <v>-46.54</v>
          </cell>
          <cell r="G306">
            <v>11</v>
          </cell>
          <cell r="H306" t="str">
            <v>2009-11-30</v>
          </cell>
        </row>
        <row r="307">
          <cell r="A307" t="str">
            <v>481003</v>
          </cell>
          <cell r="B307" t="str">
            <v>1015</v>
          </cell>
          <cell r="C307">
            <v>-15242.79</v>
          </cell>
          <cell r="D307" t="str">
            <v>200</v>
          </cell>
          <cell r="F307">
            <v>-1573.68</v>
          </cell>
          <cell r="G307">
            <v>11</v>
          </cell>
          <cell r="H307" t="str">
            <v>2009-11-30</v>
          </cell>
        </row>
        <row r="308">
          <cell r="A308" t="str">
            <v>481003</v>
          </cell>
          <cell r="B308" t="str">
            <v>1015</v>
          </cell>
          <cell r="C308">
            <v>-131.22</v>
          </cell>
          <cell r="D308" t="str">
            <v>200</v>
          </cell>
          <cell r="F308">
            <v>-14.62</v>
          </cell>
          <cell r="G308">
            <v>1</v>
          </cell>
          <cell r="H308" t="str">
            <v>2010-01-31</v>
          </cell>
        </row>
        <row r="309">
          <cell r="A309" t="str">
            <v>481003</v>
          </cell>
          <cell r="B309" t="str">
            <v>1015</v>
          </cell>
          <cell r="C309">
            <v>-17758.07</v>
          </cell>
          <cell r="D309" t="str">
            <v>200</v>
          </cell>
          <cell r="F309">
            <v>-1833.36</v>
          </cell>
          <cell r="G309">
            <v>1</v>
          </cell>
          <cell r="H309" t="str">
            <v>2010-01-31</v>
          </cell>
        </row>
        <row r="310">
          <cell r="A310" t="str">
            <v>481003</v>
          </cell>
          <cell r="B310" t="str">
            <v>1015</v>
          </cell>
          <cell r="C310">
            <v>-14964.14</v>
          </cell>
          <cell r="D310" t="str">
            <v>200</v>
          </cell>
          <cell r="F310">
            <v>-1544.88</v>
          </cell>
          <cell r="G310">
            <v>2</v>
          </cell>
          <cell r="H310" t="str">
            <v>2010-02-28</v>
          </cell>
        </row>
        <row r="311">
          <cell r="A311" t="str">
            <v>481003</v>
          </cell>
          <cell r="B311" t="str">
            <v>1015</v>
          </cell>
          <cell r="C311">
            <v>6093.15</v>
          </cell>
          <cell r="D311" t="str">
            <v>200</v>
          </cell>
          <cell r="F311">
            <v>629.08000000000004</v>
          </cell>
          <cell r="G311">
            <v>3</v>
          </cell>
          <cell r="H311" t="str">
            <v>2010-03-31</v>
          </cell>
        </row>
        <row r="312">
          <cell r="A312" t="str">
            <v>481003</v>
          </cell>
          <cell r="B312" t="str">
            <v>1015</v>
          </cell>
          <cell r="C312">
            <v>-15513.61</v>
          </cell>
          <cell r="D312" t="str">
            <v>200</v>
          </cell>
          <cell r="F312">
            <v>-1601.64</v>
          </cell>
          <cell r="G312">
            <v>3</v>
          </cell>
          <cell r="H312" t="str">
            <v>2010-03-31</v>
          </cell>
        </row>
        <row r="313">
          <cell r="A313" t="str">
            <v>481003</v>
          </cell>
          <cell r="B313" t="str">
            <v>1015</v>
          </cell>
          <cell r="C313">
            <v>-39397.160000000003</v>
          </cell>
          <cell r="D313" t="str">
            <v>200</v>
          </cell>
          <cell r="F313">
            <v>-4067.4</v>
          </cell>
          <cell r="G313">
            <v>4</v>
          </cell>
          <cell r="H313" t="str">
            <v>2010-04-30</v>
          </cell>
        </row>
        <row r="314">
          <cell r="A314" t="str">
            <v>481003</v>
          </cell>
          <cell r="B314" t="str">
            <v>1015</v>
          </cell>
          <cell r="C314">
            <v>-18244.89</v>
          </cell>
          <cell r="D314" t="str">
            <v>200</v>
          </cell>
          <cell r="F314">
            <v>-1883.52</v>
          </cell>
          <cell r="G314">
            <v>4</v>
          </cell>
          <cell r="H314" t="str">
            <v>2010-04-30</v>
          </cell>
        </row>
        <row r="315">
          <cell r="A315" t="str">
            <v>481003</v>
          </cell>
          <cell r="B315" t="str">
            <v>1015</v>
          </cell>
          <cell r="C315">
            <v>-4281.68</v>
          </cell>
          <cell r="D315" t="str">
            <v>200</v>
          </cell>
          <cell r="F315">
            <v>-442.08</v>
          </cell>
          <cell r="G315">
            <v>4</v>
          </cell>
          <cell r="H315" t="str">
            <v>2010-04-30</v>
          </cell>
        </row>
        <row r="316">
          <cell r="A316" t="str">
            <v>481003</v>
          </cell>
          <cell r="B316" t="str">
            <v>1015</v>
          </cell>
          <cell r="C316">
            <v>-11974.57</v>
          </cell>
          <cell r="D316" t="str">
            <v>200</v>
          </cell>
          <cell r="F316">
            <v>-1236.24</v>
          </cell>
          <cell r="G316">
            <v>6</v>
          </cell>
          <cell r="H316" t="str">
            <v>2010-06-30</v>
          </cell>
        </row>
        <row r="317">
          <cell r="A317" t="str">
            <v>481004</v>
          </cell>
          <cell r="B317" t="str">
            <v>1015</v>
          </cell>
          <cell r="C317">
            <v>-247223</v>
          </cell>
          <cell r="D317" t="str">
            <v>202</v>
          </cell>
          <cell r="E317" t="str">
            <v>402</v>
          </cell>
          <cell r="F317">
            <v>-374183</v>
          </cell>
          <cell r="G317">
            <v>7</v>
          </cell>
          <cell r="H317" t="str">
            <v>2009-07-31</v>
          </cell>
        </row>
        <row r="318">
          <cell r="A318" t="str">
            <v>481000</v>
          </cell>
          <cell r="B318" t="str">
            <v>1015</v>
          </cell>
          <cell r="C318">
            <v>-177046.08</v>
          </cell>
          <cell r="D318" t="str">
            <v>202</v>
          </cell>
          <cell r="E318" t="str">
            <v>402</v>
          </cell>
          <cell r="F318">
            <v>-277508.94</v>
          </cell>
          <cell r="G318">
            <v>1</v>
          </cell>
          <cell r="H318" t="str">
            <v>2010-01-31</v>
          </cell>
        </row>
        <row r="319">
          <cell r="A319" t="str">
            <v>481004</v>
          </cell>
          <cell r="B319" t="str">
            <v>1015</v>
          </cell>
          <cell r="C319">
            <v>-188324.63</v>
          </cell>
          <cell r="D319" t="str">
            <v>202</v>
          </cell>
          <cell r="E319" t="str">
            <v>402</v>
          </cell>
          <cell r="F319">
            <v>-278099.09000000003</v>
          </cell>
          <cell r="G319">
            <v>6</v>
          </cell>
          <cell r="H319" t="str">
            <v>2010-06-30</v>
          </cell>
        </row>
        <row r="320">
          <cell r="A320" t="str">
            <v>481004</v>
          </cell>
          <cell r="B320" t="str">
            <v>1015</v>
          </cell>
          <cell r="C320">
            <v>-299</v>
          </cell>
          <cell r="D320" t="str">
            <v>202</v>
          </cell>
          <cell r="E320" t="str">
            <v>402</v>
          </cell>
          <cell r="F320">
            <v>-419</v>
          </cell>
          <cell r="G320">
            <v>10</v>
          </cell>
          <cell r="H320" t="str">
            <v>2009-10-31</v>
          </cell>
        </row>
        <row r="321">
          <cell r="A321" t="str">
            <v>481000</v>
          </cell>
          <cell r="B321" t="str">
            <v>1015</v>
          </cell>
          <cell r="C321">
            <v>-26005</v>
          </cell>
          <cell r="D321" t="str">
            <v>202</v>
          </cell>
          <cell r="E321" t="str">
            <v>402</v>
          </cell>
          <cell r="F321">
            <v>-43192</v>
          </cell>
          <cell r="G321">
            <v>11</v>
          </cell>
          <cell r="H321" t="str">
            <v>2009-11-30</v>
          </cell>
        </row>
        <row r="322">
          <cell r="A322" t="str">
            <v>481000</v>
          </cell>
          <cell r="B322" t="str">
            <v>1015</v>
          </cell>
          <cell r="C322">
            <v>-144084.79999999999</v>
          </cell>
          <cell r="D322" t="str">
            <v>202</v>
          </cell>
          <cell r="E322" t="str">
            <v>402</v>
          </cell>
          <cell r="F322">
            <v>-232594.67</v>
          </cell>
          <cell r="G322">
            <v>4</v>
          </cell>
          <cell r="H322" t="str">
            <v>2010-04-30</v>
          </cell>
        </row>
        <row r="323">
          <cell r="A323" t="str">
            <v>481000</v>
          </cell>
          <cell r="B323" t="str">
            <v>1015</v>
          </cell>
          <cell r="C323">
            <v>-16548</v>
          </cell>
          <cell r="D323" t="str">
            <v>202</v>
          </cell>
          <cell r="E323" t="str">
            <v>402</v>
          </cell>
          <cell r="F323">
            <v>-30070</v>
          </cell>
          <cell r="G323">
            <v>9</v>
          </cell>
          <cell r="H323" t="str">
            <v>2009-09-30</v>
          </cell>
        </row>
        <row r="324">
          <cell r="A324" t="str">
            <v>481004</v>
          </cell>
          <cell r="B324" t="str">
            <v>1015</v>
          </cell>
          <cell r="C324">
            <v>-524629</v>
          </cell>
          <cell r="D324" t="str">
            <v>202</v>
          </cell>
          <cell r="E324" t="str">
            <v>402</v>
          </cell>
          <cell r="F324">
            <v>-822193</v>
          </cell>
          <cell r="G324">
            <v>12</v>
          </cell>
          <cell r="H324" t="str">
            <v>2009-12-31</v>
          </cell>
        </row>
        <row r="325">
          <cell r="A325" t="str">
            <v>481004</v>
          </cell>
          <cell r="B325" t="str">
            <v>1015</v>
          </cell>
          <cell r="C325">
            <v>-322086.23</v>
          </cell>
          <cell r="D325" t="str">
            <v>202</v>
          </cell>
          <cell r="E325" t="str">
            <v>402</v>
          </cell>
          <cell r="F325">
            <v>-414209.2</v>
          </cell>
          <cell r="G325">
            <v>1</v>
          </cell>
          <cell r="H325" t="str">
            <v>2010-01-31</v>
          </cell>
        </row>
        <row r="326">
          <cell r="A326" t="str">
            <v>481004</v>
          </cell>
          <cell r="B326" t="str">
            <v>1015</v>
          </cell>
          <cell r="C326">
            <v>-310456.89</v>
          </cell>
          <cell r="D326" t="str">
            <v>202</v>
          </cell>
          <cell r="E326" t="str">
            <v>402</v>
          </cell>
          <cell r="F326">
            <v>-445211.58</v>
          </cell>
          <cell r="G326">
            <v>2</v>
          </cell>
          <cell r="H326" t="str">
            <v>2010-02-28</v>
          </cell>
        </row>
        <row r="327">
          <cell r="A327" t="str">
            <v>481000</v>
          </cell>
          <cell r="B327" t="str">
            <v>1015</v>
          </cell>
          <cell r="C327">
            <v>-147954.22</v>
          </cell>
          <cell r="D327" t="str">
            <v>202</v>
          </cell>
          <cell r="E327" t="str">
            <v>402</v>
          </cell>
          <cell r="F327">
            <v>-225378.32</v>
          </cell>
          <cell r="G327">
            <v>2</v>
          </cell>
          <cell r="H327" t="str">
            <v>2010-02-28</v>
          </cell>
        </row>
        <row r="328">
          <cell r="A328" t="str">
            <v>481004</v>
          </cell>
          <cell r="B328" t="str">
            <v>1015</v>
          </cell>
          <cell r="C328">
            <v>-321148.95</v>
          </cell>
          <cell r="D328" t="str">
            <v>202</v>
          </cell>
          <cell r="E328" t="str">
            <v>402</v>
          </cell>
          <cell r="F328">
            <v>-474833.2</v>
          </cell>
          <cell r="G328">
            <v>3</v>
          </cell>
          <cell r="H328" t="str">
            <v>2010-03-31</v>
          </cell>
        </row>
        <row r="329">
          <cell r="A329" t="str">
            <v>481004</v>
          </cell>
          <cell r="B329" t="str">
            <v>1015</v>
          </cell>
          <cell r="C329">
            <v>-183.16</v>
          </cell>
          <cell r="D329" t="str">
            <v>202</v>
          </cell>
          <cell r="E329" t="str">
            <v>402</v>
          </cell>
          <cell r="F329">
            <v>-207.42</v>
          </cell>
          <cell r="G329">
            <v>6</v>
          </cell>
          <cell r="H329" t="str">
            <v>2010-06-30</v>
          </cell>
        </row>
        <row r="330">
          <cell r="A330" t="str">
            <v>481000</v>
          </cell>
          <cell r="B330" t="str">
            <v>1015</v>
          </cell>
          <cell r="C330">
            <v>-118779.57</v>
          </cell>
          <cell r="D330" t="str">
            <v>202</v>
          </cell>
          <cell r="E330" t="str">
            <v>402</v>
          </cell>
          <cell r="F330">
            <v>-200917.67</v>
          </cell>
          <cell r="G330">
            <v>6</v>
          </cell>
          <cell r="H330" t="str">
            <v>2010-06-30</v>
          </cell>
        </row>
        <row r="331">
          <cell r="A331" t="str">
            <v>481004</v>
          </cell>
          <cell r="B331" t="str">
            <v>1015</v>
          </cell>
          <cell r="C331">
            <v>-291363</v>
          </cell>
          <cell r="D331" t="str">
            <v>202</v>
          </cell>
          <cell r="E331" t="str">
            <v>402</v>
          </cell>
          <cell r="F331">
            <v>-468752</v>
          </cell>
          <cell r="G331">
            <v>8</v>
          </cell>
          <cell r="H331" t="str">
            <v>2009-08-31</v>
          </cell>
        </row>
        <row r="332">
          <cell r="A332" t="str">
            <v>481004</v>
          </cell>
          <cell r="B332" t="str">
            <v>1015</v>
          </cell>
          <cell r="C332">
            <v>-381609</v>
          </cell>
          <cell r="D332" t="str">
            <v>202</v>
          </cell>
          <cell r="E332" t="str">
            <v>402</v>
          </cell>
          <cell r="F332">
            <v>-655581</v>
          </cell>
          <cell r="G332">
            <v>10</v>
          </cell>
          <cell r="H332" t="str">
            <v>2009-10-31</v>
          </cell>
        </row>
        <row r="333">
          <cell r="A333" t="str">
            <v>481000</v>
          </cell>
          <cell r="B333" t="str">
            <v>1015</v>
          </cell>
          <cell r="C333">
            <v>-118422.55</v>
          </cell>
          <cell r="D333" t="str">
            <v>202</v>
          </cell>
          <cell r="E333" t="str">
            <v>402</v>
          </cell>
          <cell r="F333">
            <v>-198808.56</v>
          </cell>
          <cell r="G333">
            <v>5</v>
          </cell>
          <cell r="H333" t="str">
            <v>2010-05-31</v>
          </cell>
        </row>
        <row r="334">
          <cell r="A334" t="str">
            <v>481000</v>
          </cell>
          <cell r="B334" t="str">
            <v>1015</v>
          </cell>
          <cell r="C334">
            <v>-21937</v>
          </cell>
          <cell r="D334" t="str">
            <v>202</v>
          </cell>
          <cell r="E334" t="str">
            <v>402</v>
          </cell>
          <cell r="F334">
            <v>-41551</v>
          </cell>
          <cell r="G334">
            <v>10</v>
          </cell>
          <cell r="H334" t="str">
            <v>2009-10-31</v>
          </cell>
        </row>
        <row r="335">
          <cell r="A335" t="str">
            <v>481004</v>
          </cell>
          <cell r="B335" t="str">
            <v>1015</v>
          </cell>
          <cell r="C335">
            <v>-415050</v>
          </cell>
          <cell r="D335" t="str">
            <v>202</v>
          </cell>
          <cell r="E335" t="str">
            <v>402</v>
          </cell>
          <cell r="F335">
            <v>-624193</v>
          </cell>
          <cell r="G335">
            <v>11</v>
          </cell>
          <cell r="H335" t="str">
            <v>2009-11-30</v>
          </cell>
        </row>
        <row r="336">
          <cell r="A336" t="str">
            <v>481000</v>
          </cell>
          <cell r="B336" t="str">
            <v>1015</v>
          </cell>
          <cell r="C336">
            <v>-148230.79</v>
          </cell>
          <cell r="D336" t="str">
            <v>202</v>
          </cell>
          <cell r="E336" t="str">
            <v>402</v>
          </cell>
          <cell r="F336">
            <v>-226066.72</v>
          </cell>
          <cell r="G336">
            <v>3</v>
          </cell>
          <cell r="H336" t="str">
            <v>2010-03-31</v>
          </cell>
        </row>
        <row r="337">
          <cell r="A337" t="str">
            <v>481004</v>
          </cell>
          <cell r="B337" t="str">
            <v>1015</v>
          </cell>
          <cell r="C337">
            <v>-410</v>
          </cell>
          <cell r="D337" t="str">
            <v>202</v>
          </cell>
          <cell r="E337" t="str">
            <v>402</v>
          </cell>
          <cell r="F337">
            <v>-553</v>
          </cell>
          <cell r="G337">
            <v>12</v>
          </cell>
          <cell r="H337" t="str">
            <v>2009-12-31</v>
          </cell>
        </row>
        <row r="338">
          <cell r="A338" t="str">
            <v>481004</v>
          </cell>
          <cell r="B338" t="str">
            <v>1015</v>
          </cell>
          <cell r="C338">
            <v>-357.38</v>
          </cell>
          <cell r="D338" t="str">
            <v>202</v>
          </cell>
          <cell r="E338" t="str">
            <v>402</v>
          </cell>
          <cell r="F338">
            <v>-701.12</v>
          </cell>
          <cell r="G338">
            <v>1</v>
          </cell>
          <cell r="H338" t="str">
            <v>2010-01-31</v>
          </cell>
        </row>
        <row r="339">
          <cell r="A339" t="str">
            <v>481004</v>
          </cell>
          <cell r="B339" t="str">
            <v>1015</v>
          </cell>
          <cell r="C339">
            <v>-330.5</v>
          </cell>
          <cell r="D339" t="str">
            <v>202</v>
          </cell>
          <cell r="E339" t="str">
            <v>402</v>
          </cell>
          <cell r="F339">
            <v>-498.42</v>
          </cell>
          <cell r="G339">
            <v>4</v>
          </cell>
          <cell r="H339" t="str">
            <v>2010-04-30</v>
          </cell>
        </row>
        <row r="340">
          <cell r="A340" t="str">
            <v>481000</v>
          </cell>
          <cell r="B340" t="str">
            <v>1015</v>
          </cell>
          <cell r="C340">
            <v>-15964</v>
          </cell>
          <cell r="D340" t="str">
            <v>202</v>
          </cell>
          <cell r="E340" t="str">
            <v>402</v>
          </cell>
          <cell r="F340">
            <v>-28763</v>
          </cell>
          <cell r="G340">
            <v>8</v>
          </cell>
          <cell r="H340" t="str">
            <v>2009-08-31</v>
          </cell>
        </row>
        <row r="341">
          <cell r="A341" t="str">
            <v>481004</v>
          </cell>
          <cell r="B341" t="str">
            <v>1015</v>
          </cell>
          <cell r="C341">
            <v>-212</v>
          </cell>
          <cell r="D341" t="str">
            <v>202</v>
          </cell>
          <cell r="E341" t="str">
            <v>402</v>
          </cell>
          <cell r="F341">
            <v>-250</v>
          </cell>
          <cell r="G341">
            <v>8</v>
          </cell>
          <cell r="H341" t="str">
            <v>2009-08-31</v>
          </cell>
        </row>
        <row r="342">
          <cell r="A342" t="str">
            <v>481004</v>
          </cell>
          <cell r="B342" t="str">
            <v>1015</v>
          </cell>
          <cell r="C342">
            <v>-274393</v>
          </cell>
          <cell r="D342" t="str">
            <v>202</v>
          </cell>
          <cell r="E342" t="str">
            <v>402</v>
          </cell>
          <cell r="F342">
            <v>-434822</v>
          </cell>
          <cell r="G342">
            <v>9</v>
          </cell>
          <cell r="H342" t="str">
            <v>2009-09-30</v>
          </cell>
        </row>
        <row r="343">
          <cell r="A343" t="str">
            <v>481004</v>
          </cell>
          <cell r="B343" t="str">
            <v>1015</v>
          </cell>
          <cell r="C343">
            <v>-214</v>
          </cell>
          <cell r="D343" t="str">
            <v>202</v>
          </cell>
          <cell r="E343" t="str">
            <v>402</v>
          </cell>
          <cell r="F343">
            <v>-253</v>
          </cell>
          <cell r="G343">
            <v>9</v>
          </cell>
          <cell r="H343" t="str">
            <v>2009-09-30</v>
          </cell>
        </row>
        <row r="344">
          <cell r="A344" t="str">
            <v>481004</v>
          </cell>
          <cell r="B344" t="str">
            <v>1015</v>
          </cell>
          <cell r="C344">
            <v>-334.45</v>
          </cell>
          <cell r="D344" t="str">
            <v>202</v>
          </cell>
          <cell r="E344" t="str">
            <v>402</v>
          </cell>
          <cell r="F344">
            <v>-424.47</v>
          </cell>
          <cell r="G344">
            <v>2</v>
          </cell>
          <cell r="H344" t="str">
            <v>2010-02-28</v>
          </cell>
        </row>
        <row r="345">
          <cell r="A345" t="str">
            <v>481004</v>
          </cell>
          <cell r="B345" t="str">
            <v>1015</v>
          </cell>
          <cell r="C345">
            <v>-270597.67</v>
          </cell>
          <cell r="D345" t="str">
            <v>202</v>
          </cell>
          <cell r="E345" t="str">
            <v>402</v>
          </cell>
          <cell r="F345">
            <v>-465855.44</v>
          </cell>
          <cell r="G345">
            <v>4</v>
          </cell>
          <cell r="H345" t="str">
            <v>2010-04-30</v>
          </cell>
        </row>
        <row r="346">
          <cell r="A346" t="str">
            <v>481004</v>
          </cell>
          <cell r="B346" t="str">
            <v>1015</v>
          </cell>
          <cell r="C346">
            <v>329365.43</v>
          </cell>
          <cell r="D346" t="str">
            <v>202</v>
          </cell>
          <cell r="E346" t="str">
            <v>402</v>
          </cell>
          <cell r="F346">
            <v>-372410.62</v>
          </cell>
          <cell r="G346">
            <v>5</v>
          </cell>
          <cell r="H346" t="str">
            <v>2010-05-31</v>
          </cell>
        </row>
        <row r="347">
          <cell r="A347" t="str">
            <v>481000</v>
          </cell>
          <cell r="B347" t="str">
            <v>1015</v>
          </cell>
          <cell r="C347">
            <v>-15086</v>
          </cell>
          <cell r="D347" t="str">
            <v>202</v>
          </cell>
          <cell r="E347" t="str">
            <v>402</v>
          </cell>
          <cell r="F347">
            <v>-26868</v>
          </cell>
          <cell r="G347">
            <v>7</v>
          </cell>
          <cell r="H347" t="str">
            <v>2009-07-31</v>
          </cell>
        </row>
        <row r="348">
          <cell r="A348" t="str">
            <v>481004</v>
          </cell>
          <cell r="B348" t="str">
            <v>1015</v>
          </cell>
          <cell r="C348">
            <v>-229</v>
          </cell>
          <cell r="D348" t="str">
            <v>202</v>
          </cell>
          <cell r="E348" t="str">
            <v>402</v>
          </cell>
          <cell r="F348">
            <v>-282</v>
          </cell>
          <cell r="G348">
            <v>7</v>
          </cell>
          <cell r="H348" t="str">
            <v>2009-07-31</v>
          </cell>
        </row>
        <row r="349">
          <cell r="A349" t="str">
            <v>481004</v>
          </cell>
          <cell r="B349" t="str">
            <v>1015</v>
          </cell>
          <cell r="C349">
            <v>-412</v>
          </cell>
          <cell r="D349" t="str">
            <v>202</v>
          </cell>
          <cell r="E349" t="str">
            <v>402</v>
          </cell>
          <cell r="F349">
            <v>-557</v>
          </cell>
          <cell r="G349">
            <v>11</v>
          </cell>
          <cell r="H349" t="str">
            <v>2009-11-30</v>
          </cell>
        </row>
        <row r="350">
          <cell r="A350" t="str">
            <v>481000</v>
          </cell>
          <cell r="B350" t="str">
            <v>1015</v>
          </cell>
          <cell r="C350">
            <v>-35016</v>
          </cell>
          <cell r="D350" t="str">
            <v>202</v>
          </cell>
          <cell r="E350" t="str">
            <v>402</v>
          </cell>
          <cell r="F350">
            <v>-58875</v>
          </cell>
          <cell r="G350">
            <v>12</v>
          </cell>
          <cell r="H350" t="str">
            <v>2009-12-31</v>
          </cell>
        </row>
        <row r="351">
          <cell r="A351" t="str">
            <v>481004</v>
          </cell>
          <cell r="B351" t="str">
            <v>1015</v>
          </cell>
          <cell r="C351">
            <v>-356.68</v>
          </cell>
          <cell r="D351" t="str">
            <v>202</v>
          </cell>
          <cell r="E351" t="str">
            <v>402</v>
          </cell>
          <cell r="F351">
            <v>-464.24</v>
          </cell>
          <cell r="G351">
            <v>3</v>
          </cell>
          <cell r="H351" t="str">
            <v>2010-03-31</v>
          </cell>
        </row>
        <row r="352">
          <cell r="A352" t="str">
            <v>481004</v>
          </cell>
          <cell r="B352" t="str">
            <v>1015</v>
          </cell>
          <cell r="C352">
            <v>-154.97999999999999</v>
          </cell>
          <cell r="D352" t="str">
            <v>202</v>
          </cell>
          <cell r="E352" t="str">
            <v>402</v>
          </cell>
          <cell r="F352">
            <v>-457.96</v>
          </cell>
          <cell r="G352">
            <v>5</v>
          </cell>
          <cell r="H352" t="str">
            <v>2010-05-31</v>
          </cell>
        </row>
        <row r="353">
          <cell r="A353" t="str">
            <v>481006</v>
          </cell>
          <cell r="B353" t="str">
            <v>1015</v>
          </cell>
          <cell r="C353">
            <v>-727.13</v>
          </cell>
          <cell r="D353" t="str">
            <v>202</v>
          </cell>
          <cell r="E353" t="str">
            <v>407</v>
          </cell>
          <cell r="F353">
            <v>-405.12</v>
          </cell>
          <cell r="G353">
            <v>8</v>
          </cell>
          <cell r="H353" t="str">
            <v>2009-08-31</v>
          </cell>
        </row>
        <row r="354">
          <cell r="A354" t="str">
            <v>480001</v>
          </cell>
          <cell r="B354" t="str">
            <v>1015</v>
          </cell>
          <cell r="C354">
            <v>447.82</v>
          </cell>
          <cell r="D354" t="str">
            <v>202</v>
          </cell>
          <cell r="E354" t="str">
            <v>407</v>
          </cell>
          <cell r="F354">
            <v>307.57</v>
          </cell>
          <cell r="G354">
            <v>9</v>
          </cell>
          <cell r="H354" t="str">
            <v>2009-09-30</v>
          </cell>
        </row>
        <row r="355">
          <cell r="A355" t="str">
            <v>481006</v>
          </cell>
          <cell r="B355" t="str">
            <v>1015</v>
          </cell>
          <cell r="C355">
            <v>-1060085.42</v>
          </cell>
          <cell r="D355" t="str">
            <v>202</v>
          </cell>
          <cell r="E355" t="str">
            <v>407</v>
          </cell>
          <cell r="F355">
            <v>-645222.81000000006</v>
          </cell>
          <cell r="G355">
            <v>11</v>
          </cell>
          <cell r="H355" t="str">
            <v>2009-11-30</v>
          </cell>
        </row>
        <row r="356">
          <cell r="A356" t="str">
            <v>481006</v>
          </cell>
          <cell r="B356" t="str">
            <v>1015</v>
          </cell>
          <cell r="C356">
            <v>-951.2</v>
          </cell>
          <cell r="D356" t="str">
            <v>202</v>
          </cell>
          <cell r="E356" t="str">
            <v>407</v>
          </cell>
          <cell r="F356">
            <v>-2010.71</v>
          </cell>
          <cell r="G356">
            <v>12</v>
          </cell>
          <cell r="H356" t="str">
            <v>2009-12-31</v>
          </cell>
        </row>
        <row r="357">
          <cell r="A357" t="str">
            <v>481006</v>
          </cell>
          <cell r="B357" t="str">
            <v>1015</v>
          </cell>
          <cell r="C357">
            <v>3313.08</v>
          </cell>
          <cell r="D357" t="str">
            <v>202</v>
          </cell>
          <cell r="E357" t="str">
            <v>407</v>
          </cell>
          <cell r="F357">
            <v>737</v>
          </cell>
          <cell r="G357">
            <v>1</v>
          </cell>
          <cell r="H357" t="str">
            <v>2010-01-31</v>
          </cell>
        </row>
        <row r="358">
          <cell r="A358" t="str">
            <v>481006</v>
          </cell>
          <cell r="B358" t="str">
            <v>1015</v>
          </cell>
          <cell r="C358">
            <v>1683</v>
          </cell>
          <cell r="D358" t="str">
            <v>202</v>
          </cell>
          <cell r="E358" t="str">
            <v>407</v>
          </cell>
          <cell r="F358">
            <v>-16</v>
          </cell>
          <cell r="G358">
            <v>2</v>
          </cell>
          <cell r="H358" t="str">
            <v>2010-02-28</v>
          </cell>
        </row>
        <row r="359">
          <cell r="A359" t="str">
            <v>481004</v>
          </cell>
          <cell r="B359" t="str">
            <v>1015</v>
          </cell>
          <cell r="C359">
            <v>-5041.38</v>
          </cell>
          <cell r="D359" t="str">
            <v>202</v>
          </cell>
          <cell r="E359" t="str">
            <v>407</v>
          </cell>
          <cell r="F359">
            <v>-1542.93</v>
          </cell>
          <cell r="G359">
            <v>7</v>
          </cell>
          <cell r="H359" t="str">
            <v>2009-07-31</v>
          </cell>
        </row>
        <row r="360">
          <cell r="A360" t="str">
            <v>480000</v>
          </cell>
          <cell r="B360" t="str">
            <v>1015</v>
          </cell>
          <cell r="C360">
            <v>-14305339.52</v>
          </cell>
          <cell r="D360" t="str">
            <v>202</v>
          </cell>
          <cell r="E360" t="str">
            <v>407</v>
          </cell>
          <cell r="F360">
            <v>-4971351.18</v>
          </cell>
          <cell r="G360">
            <v>11</v>
          </cell>
          <cell r="H360" t="str">
            <v>2009-11-30</v>
          </cell>
        </row>
        <row r="361">
          <cell r="A361" t="str">
            <v>481004</v>
          </cell>
          <cell r="B361" t="str">
            <v>1015</v>
          </cell>
          <cell r="C361">
            <v>-4920672.3499999996</v>
          </cell>
          <cell r="D361" t="str">
            <v>202</v>
          </cell>
          <cell r="E361" t="str">
            <v>407</v>
          </cell>
          <cell r="F361">
            <v>-3112864.98</v>
          </cell>
          <cell r="G361">
            <v>4</v>
          </cell>
          <cell r="H361" t="str">
            <v>2010-04-30</v>
          </cell>
        </row>
        <row r="362">
          <cell r="A362" t="str">
            <v>480001</v>
          </cell>
          <cell r="B362" t="str">
            <v>1015</v>
          </cell>
          <cell r="C362">
            <v>65314.239999999998</v>
          </cell>
          <cell r="D362" t="str">
            <v>202</v>
          </cell>
          <cell r="E362" t="str">
            <v>407</v>
          </cell>
          <cell r="F362">
            <v>126668.32</v>
          </cell>
          <cell r="G362">
            <v>8</v>
          </cell>
          <cell r="H362" t="str">
            <v>2009-08-31</v>
          </cell>
        </row>
        <row r="363">
          <cell r="A363" t="str">
            <v>481006</v>
          </cell>
          <cell r="B363" t="str">
            <v>1015</v>
          </cell>
          <cell r="C363">
            <v>-561070.77</v>
          </cell>
          <cell r="D363" t="str">
            <v>202</v>
          </cell>
          <cell r="E363" t="str">
            <v>407</v>
          </cell>
          <cell r="F363">
            <v>-578244.94999999995</v>
          </cell>
          <cell r="G363">
            <v>10</v>
          </cell>
          <cell r="H363" t="str">
            <v>2009-10-31</v>
          </cell>
        </row>
        <row r="364">
          <cell r="A364" t="str">
            <v>480001</v>
          </cell>
          <cell r="B364" t="str">
            <v>1015</v>
          </cell>
          <cell r="C364">
            <v>-4647730.4800000004</v>
          </cell>
          <cell r="D364" t="str">
            <v>202</v>
          </cell>
          <cell r="E364" t="str">
            <v>407</v>
          </cell>
          <cell r="F364">
            <v>-1638778.82</v>
          </cell>
          <cell r="G364">
            <v>11</v>
          </cell>
          <cell r="H364" t="str">
            <v>2009-11-30</v>
          </cell>
        </row>
        <row r="365">
          <cell r="A365" t="str">
            <v>480001</v>
          </cell>
          <cell r="B365" t="str">
            <v>1015</v>
          </cell>
          <cell r="C365">
            <v>-5878106.8600000003</v>
          </cell>
          <cell r="D365" t="str">
            <v>202</v>
          </cell>
          <cell r="E365" t="str">
            <v>407</v>
          </cell>
          <cell r="F365">
            <v>-2787751.06</v>
          </cell>
          <cell r="G365">
            <v>12</v>
          </cell>
          <cell r="H365" t="str">
            <v>2009-12-31</v>
          </cell>
        </row>
        <row r="366">
          <cell r="A366" t="str">
            <v>480001</v>
          </cell>
          <cell r="B366" t="str">
            <v>1015</v>
          </cell>
          <cell r="C366">
            <v>6966.98</v>
          </cell>
          <cell r="D366" t="str">
            <v>202</v>
          </cell>
          <cell r="E366" t="str">
            <v>407</v>
          </cell>
          <cell r="F366">
            <v>1785</v>
          </cell>
          <cell r="G366">
            <v>1</v>
          </cell>
          <cell r="H366" t="str">
            <v>2010-01-31</v>
          </cell>
        </row>
        <row r="367">
          <cell r="A367" t="str">
            <v>480001</v>
          </cell>
          <cell r="B367" t="str">
            <v>1015</v>
          </cell>
          <cell r="C367">
            <v>1986186</v>
          </cell>
          <cell r="D367" t="str">
            <v>202</v>
          </cell>
          <cell r="E367" t="str">
            <v>407</v>
          </cell>
          <cell r="F367">
            <v>903482</v>
          </cell>
          <cell r="G367">
            <v>2</v>
          </cell>
          <cell r="H367" t="str">
            <v>2010-02-28</v>
          </cell>
        </row>
        <row r="368">
          <cell r="A368" t="str">
            <v>480001</v>
          </cell>
          <cell r="B368" t="str">
            <v>1015</v>
          </cell>
          <cell r="C368">
            <v>4038417</v>
          </cell>
          <cell r="D368" t="str">
            <v>202</v>
          </cell>
          <cell r="E368" t="str">
            <v>407</v>
          </cell>
          <cell r="F368">
            <v>1349323</v>
          </cell>
          <cell r="G368">
            <v>4</v>
          </cell>
          <cell r="H368" t="str">
            <v>2010-04-30</v>
          </cell>
        </row>
        <row r="369">
          <cell r="A369" t="str">
            <v>480001</v>
          </cell>
          <cell r="B369" t="str">
            <v>1015</v>
          </cell>
          <cell r="C369">
            <v>5560</v>
          </cell>
          <cell r="D369" t="str">
            <v>202</v>
          </cell>
          <cell r="E369" t="str">
            <v>407</v>
          </cell>
          <cell r="F369">
            <v>2880</v>
          </cell>
          <cell r="G369">
            <v>4</v>
          </cell>
          <cell r="H369" t="str">
            <v>2010-04-30</v>
          </cell>
        </row>
        <row r="370">
          <cell r="A370" t="str">
            <v>481006</v>
          </cell>
          <cell r="B370" t="str">
            <v>1015</v>
          </cell>
          <cell r="C370">
            <v>-6698</v>
          </cell>
          <cell r="D370" t="str">
            <v>202</v>
          </cell>
          <cell r="E370" t="str">
            <v>407</v>
          </cell>
          <cell r="F370">
            <v>95</v>
          </cell>
          <cell r="G370">
            <v>5</v>
          </cell>
          <cell r="H370" t="str">
            <v>2010-05-31</v>
          </cell>
        </row>
        <row r="371">
          <cell r="A371" t="str">
            <v>480000</v>
          </cell>
          <cell r="B371" t="str">
            <v>1015</v>
          </cell>
          <cell r="C371">
            <v>-7910567.0899999999</v>
          </cell>
          <cell r="D371" t="str">
            <v>202</v>
          </cell>
          <cell r="E371" t="str">
            <v>407</v>
          </cell>
          <cell r="F371">
            <v>-1976356.72</v>
          </cell>
          <cell r="G371">
            <v>7</v>
          </cell>
          <cell r="H371" t="str">
            <v>2009-07-31</v>
          </cell>
        </row>
        <row r="372">
          <cell r="A372" t="str">
            <v>481004</v>
          </cell>
          <cell r="B372" t="str">
            <v>1015</v>
          </cell>
          <cell r="C372">
            <v>-1732324.46</v>
          </cell>
          <cell r="D372" t="str">
            <v>202</v>
          </cell>
          <cell r="E372" t="str">
            <v>407</v>
          </cell>
          <cell r="F372">
            <v>-720508.16</v>
          </cell>
          <cell r="G372">
            <v>7</v>
          </cell>
          <cell r="H372" t="str">
            <v>2009-07-31</v>
          </cell>
        </row>
        <row r="373">
          <cell r="A373" t="str">
            <v>480000</v>
          </cell>
          <cell r="B373" t="str">
            <v>1015</v>
          </cell>
          <cell r="C373">
            <v>-33620.97</v>
          </cell>
          <cell r="D373" t="str">
            <v>202</v>
          </cell>
          <cell r="E373" t="str">
            <v>407</v>
          </cell>
          <cell r="F373">
            <v>-11847.36</v>
          </cell>
          <cell r="G373">
            <v>11</v>
          </cell>
          <cell r="H373" t="str">
            <v>2009-11-30</v>
          </cell>
        </row>
        <row r="374">
          <cell r="A374" t="str">
            <v>481004</v>
          </cell>
          <cell r="B374" t="str">
            <v>1015</v>
          </cell>
          <cell r="C374">
            <v>-8649772.0500000007</v>
          </cell>
          <cell r="D374" t="str">
            <v>202</v>
          </cell>
          <cell r="E374" t="str">
            <v>407</v>
          </cell>
          <cell r="F374">
            <v>-5970051.79</v>
          </cell>
          <cell r="G374">
            <v>1</v>
          </cell>
          <cell r="H374" t="str">
            <v>2010-01-31</v>
          </cell>
        </row>
        <row r="375">
          <cell r="A375" t="str">
            <v>481004</v>
          </cell>
          <cell r="B375" t="str">
            <v>1015</v>
          </cell>
          <cell r="C375">
            <v>-6076737.2000000002</v>
          </cell>
          <cell r="D375" t="str">
            <v>202</v>
          </cell>
          <cell r="E375" t="str">
            <v>407</v>
          </cell>
          <cell r="F375">
            <v>-3747519.09</v>
          </cell>
          <cell r="G375">
            <v>3</v>
          </cell>
          <cell r="H375" t="str">
            <v>2010-03-31</v>
          </cell>
        </row>
        <row r="376">
          <cell r="A376" t="str">
            <v>481004</v>
          </cell>
          <cell r="B376" t="str">
            <v>1015</v>
          </cell>
          <cell r="C376">
            <v>-17079.330000000002</v>
          </cell>
          <cell r="D376" t="str">
            <v>202</v>
          </cell>
          <cell r="E376" t="str">
            <v>407</v>
          </cell>
          <cell r="F376">
            <v>-8800.82</v>
          </cell>
          <cell r="G376">
            <v>3</v>
          </cell>
          <cell r="H376" t="str">
            <v>2010-03-31</v>
          </cell>
        </row>
        <row r="377">
          <cell r="A377" t="str">
            <v>480000</v>
          </cell>
          <cell r="B377" t="str">
            <v>1015</v>
          </cell>
          <cell r="C377">
            <v>-19538953.550000001</v>
          </cell>
          <cell r="D377" t="str">
            <v>202</v>
          </cell>
          <cell r="E377" t="str">
            <v>407</v>
          </cell>
          <cell r="F377">
            <v>-7336102.0499999998</v>
          </cell>
          <cell r="G377">
            <v>4</v>
          </cell>
          <cell r="H377" t="str">
            <v>2010-04-30</v>
          </cell>
        </row>
        <row r="378">
          <cell r="A378" t="str">
            <v>480000</v>
          </cell>
          <cell r="B378" t="str">
            <v>1015</v>
          </cell>
          <cell r="C378">
            <v>-9931893.0500000007</v>
          </cell>
          <cell r="D378" t="str">
            <v>202</v>
          </cell>
          <cell r="E378" t="str">
            <v>407</v>
          </cell>
          <cell r="F378">
            <v>-3025158.77</v>
          </cell>
          <cell r="G378">
            <v>6</v>
          </cell>
          <cell r="H378" t="str">
            <v>2010-06-30</v>
          </cell>
        </row>
        <row r="379">
          <cell r="A379" t="str">
            <v>480000</v>
          </cell>
          <cell r="B379" t="str">
            <v>1015</v>
          </cell>
          <cell r="C379">
            <v>-19611.91</v>
          </cell>
          <cell r="D379" t="str">
            <v>202</v>
          </cell>
          <cell r="E379" t="str">
            <v>407</v>
          </cell>
          <cell r="F379">
            <v>-5733.53</v>
          </cell>
          <cell r="G379">
            <v>6</v>
          </cell>
          <cell r="H379" t="str">
            <v>2010-06-30</v>
          </cell>
        </row>
        <row r="380">
          <cell r="A380" t="str">
            <v>481004</v>
          </cell>
          <cell r="B380" t="str">
            <v>1015</v>
          </cell>
          <cell r="C380">
            <v>-2325955.75</v>
          </cell>
          <cell r="D380" t="str">
            <v>202</v>
          </cell>
          <cell r="E380" t="str">
            <v>407</v>
          </cell>
          <cell r="F380">
            <v>-1181157.51</v>
          </cell>
          <cell r="G380">
            <v>6</v>
          </cell>
          <cell r="H380" t="str">
            <v>2010-06-30</v>
          </cell>
        </row>
        <row r="381">
          <cell r="A381" t="str">
            <v>481006</v>
          </cell>
          <cell r="B381" t="str">
            <v>1015</v>
          </cell>
          <cell r="C381">
            <v>-236.43</v>
          </cell>
          <cell r="D381" t="str">
            <v>202</v>
          </cell>
          <cell r="E381" t="str">
            <v>407</v>
          </cell>
          <cell r="F381">
            <v>94.82</v>
          </cell>
          <cell r="G381">
            <v>9</v>
          </cell>
          <cell r="H381" t="str">
            <v>2009-09-30</v>
          </cell>
        </row>
        <row r="382">
          <cell r="A382" t="str">
            <v>480001</v>
          </cell>
          <cell r="B382" t="str">
            <v>1015</v>
          </cell>
          <cell r="C382">
            <v>-8114.03</v>
          </cell>
          <cell r="D382" t="str">
            <v>202</v>
          </cell>
          <cell r="E382" t="str">
            <v>407</v>
          </cell>
          <cell r="F382">
            <v>-2897.64</v>
          </cell>
          <cell r="G382">
            <v>11</v>
          </cell>
          <cell r="H382" t="str">
            <v>2009-11-30</v>
          </cell>
        </row>
        <row r="383">
          <cell r="A383" t="str">
            <v>480001</v>
          </cell>
          <cell r="B383" t="str">
            <v>1015</v>
          </cell>
          <cell r="C383">
            <v>3205981.85</v>
          </cell>
          <cell r="D383" t="str">
            <v>202</v>
          </cell>
          <cell r="E383" t="str">
            <v>407</v>
          </cell>
          <cell r="F383">
            <v>1379234</v>
          </cell>
          <cell r="G383">
            <v>1</v>
          </cell>
          <cell r="H383" t="str">
            <v>2010-01-31</v>
          </cell>
        </row>
        <row r="384">
          <cell r="A384" t="str">
            <v>480001</v>
          </cell>
          <cell r="B384" t="str">
            <v>1015</v>
          </cell>
          <cell r="C384">
            <v>268</v>
          </cell>
          <cell r="D384" t="str">
            <v>202</v>
          </cell>
          <cell r="E384" t="str">
            <v>407</v>
          </cell>
          <cell r="F384">
            <v>81</v>
          </cell>
          <cell r="G384">
            <v>2</v>
          </cell>
          <cell r="H384" t="str">
            <v>2010-02-28</v>
          </cell>
        </row>
        <row r="385">
          <cell r="A385" t="str">
            <v>481006</v>
          </cell>
          <cell r="B385" t="str">
            <v>1015</v>
          </cell>
          <cell r="C385">
            <v>835209</v>
          </cell>
          <cell r="D385" t="str">
            <v>202</v>
          </cell>
          <cell r="E385" t="str">
            <v>407</v>
          </cell>
          <cell r="F385">
            <v>773589</v>
          </cell>
          <cell r="G385">
            <v>6</v>
          </cell>
          <cell r="H385" t="str">
            <v>2010-06-30</v>
          </cell>
        </row>
        <row r="386">
          <cell r="A386" t="str">
            <v>481006</v>
          </cell>
          <cell r="B386" t="str">
            <v>1015</v>
          </cell>
          <cell r="C386">
            <v>3264</v>
          </cell>
          <cell r="D386" t="str">
            <v>202</v>
          </cell>
          <cell r="E386" t="str">
            <v>407</v>
          </cell>
          <cell r="F386">
            <v>2704</v>
          </cell>
          <cell r="G386">
            <v>6</v>
          </cell>
          <cell r="H386" t="str">
            <v>2010-06-30</v>
          </cell>
        </row>
        <row r="387">
          <cell r="A387" t="str">
            <v>481004</v>
          </cell>
          <cell r="B387" t="str">
            <v>1015</v>
          </cell>
          <cell r="C387">
            <v>-19402.8</v>
          </cell>
          <cell r="D387" t="str">
            <v>202</v>
          </cell>
          <cell r="E387" t="str">
            <v>407</v>
          </cell>
          <cell r="F387">
            <v>-10521.29</v>
          </cell>
          <cell r="G387">
            <v>12</v>
          </cell>
          <cell r="H387" t="str">
            <v>2009-12-31</v>
          </cell>
        </row>
        <row r="388">
          <cell r="A388" t="str">
            <v>481004</v>
          </cell>
          <cell r="B388" t="str">
            <v>1015</v>
          </cell>
          <cell r="C388">
            <v>-6770957.7599999998</v>
          </cell>
          <cell r="D388" t="str">
            <v>202</v>
          </cell>
          <cell r="E388" t="str">
            <v>407</v>
          </cell>
          <cell r="F388">
            <v>-4365686.46</v>
          </cell>
          <cell r="G388">
            <v>12</v>
          </cell>
          <cell r="H388" t="str">
            <v>2009-12-31</v>
          </cell>
        </row>
        <row r="389">
          <cell r="A389" t="str">
            <v>480000</v>
          </cell>
          <cell r="B389" t="str">
            <v>1015</v>
          </cell>
          <cell r="C389">
            <v>-33968092.25</v>
          </cell>
          <cell r="D389" t="str">
            <v>202</v>
          </cell>
          <cell r="E389" t="str">
            <v>407</v>
          </cell>
          <cell r="F389">
            <v>-13452995.470000001</v>
          </cell>
          <cell r="G389">
            <v>1</v>
          </cell>
          <cell r="H389" t="str">
            <v>2010-01-31</v>
          </cell>
        </row>
        <row r="390">
          <cell r="A390" t="str">
            <v>481004</v>
          </cell>
          <cell r="B390" t="str">
            <v>1015</v>
          </cell>
          <cell r="C390">
            <v>-6587895.0899999999</v>
          </cell>
          <cell r="D390" t="str">
            <v>202</v>
          </cell>
          <cell r="E390" t="str">
            <v>407</v>
          </cell>
          <cell r="F390">
            <v>-4155525.34</v>
          </cell>
          <cell r="G390">
            <v>2</v>
          </cell>
          <cell r="H390" t="str">
            <v>2010-02-28</v>
          </cell>
        </row>
        <row r="391">
          <cell r="A391" t="str">
            <v>480000</v>
          </cell>
          <cell r="B391" t="str">
            <v>1015</v>
          </cell>
          <cell r="C391">
            <v>-24973233.670000002</v>
          </cell>
          <cell r="D391" t="str">
            <v>202</v>
          </cell>
          <cell r="E391" t="str">
            <v>407</v>
          </cell>
          <cell r="F391">
            <v>-9341137.5600000005</v>
          </cell>
          <cell r="G391">
            <v>2</v>
          </cell>
          <cell r="H391" t="str">
            <v>2010-02-28</v>
          </cell>
        </row>
        <row r="392">
          <cell r="A392" t="str">
            <v>480000</v>
          </cell>
          <cell r="B392" t="str">
            <v>1015</v>
          </cell>
          <cell r="C392">
            <v>-25233.41</v>
          </cell>
          <cell r="D392" t="str">
            <v>202</v>
          </cell>
          <cell r="E392" t="str">
            <v>407</v>
          </cell>
          <cell r="F392">
            <v>-8696.85</v>
          </cell>
          <cell r="G392">
            <v>5</v>
          </cell>
          <cell r="H392" t="str">
            <v>2010-05-31</v>
          </cell>
        </row>
        <row r="393">
          <cell r="A393" t="str">
            <v>481004</v>
          </cell>
          <cell r="B393" t="str">
            <v>1015</v>
          </cell>
          <cell r="C393">
            <v>-6550.43</v>
          </cell>
          <cell r="D393" t="str">
            <v>202</v>
          </cell>
          <cell r="E393" t="str">
            <v>407</v>
          </cell>
          <cell r="F393">
            <v>-2472.3000000000002</v>
          </cell>
          <cell r="G393">
            <v>6</v>
          </cell>
          <cell r="H393" t="str">
            <v>2010-06-30</v>
          </cell>
        </row>
        <row r="394">
          <cell r="A394" t="str">
            <v>481006</v>
          </cell>
          <cell r="B394" t="str">
            <v>1015</v>
          </cell>
          <cell r="C394">
            <v>-88803.96</v>
          </cell>
          <cell r="D394" t="str">
            <v>202</v>
          </cell>
          <cell r="E394" t="str">
            <v>407</v>
          </cell>
          <cell r="F394">
            <v>-56800</v>
          </cell>
          <cell r="G394">
            <v>8</v>
          </cell>
          <cell r="H394" t="str">
            <v>2009-08-31</v>
          </cell>
        </row>
        <row r="395">
          <cell r="A395" t="str">
            <v>481006</v>
          </cell>
          <cell r="B395" t="str">
            <v>1015</v>
          </cell>
          <cell r="C395">
            <v>601734</v>
          </cell>
          <cell r="D395" t="str">
            <v>202</v>
          </cell>
          <cell r="E395" t="str">
            <v>407</v>
          </cell>
          <cell r="F395">
            <v>402962</v>
          </cell>
          <cell r="G395">
            <v>2</v>
          </cell>
          <cell r="H395" t="str">
            <v>2010-02-28</v>
          </cell>
        </row>
        <row r="396">
          <cell r="A396" t="str">
            <v>480001</v>
          </cell>
          <cell r="B396" t="str">
            <v>1015</v>
          </cell>
          <cell r="C396">
            <v>4411</v>
          </cell>
          <cell r="D396" t="str">
            <v>202</v>
          </cell>
          <cell r="E396" t="str">
            <v>407</v>
          </cell>
          <cell r="F396">
            <v>2027</v>
          </cell>
          <cell r="G396">
            <v>3</v>
          </cell>
          <cell r="H396" t="str">
            <v>2010-03-31</v>
          </cell>
        </row>
        <row r="397">
          <cell r="A397" t="str">
            <v>481006</v>
          </cell>
          <cell r="B397" t="str">
            <v>1015</v>
          </cell>
          <cell r="C397">
            <v>1190122</v>
          </cell>
          <cell r="D397" t="str">
            <v>202</v>
          </cell>
          <cell r="E397" t="str">
            <v>407</v>
          </cell>
          <cell r="F397">
            <v>542558</v>
          </cell>
          <cell r="G397">
            <v>4</v>
          </cell>
          <cell r="H397" t="str">
            <v>2010-04-30</v>
          </cell>
        </row>
        <row r="398">
          <cell r="A398" t="str">
            <v>480001</v>
          </cell>
          <cell r="B398" t="str">
            <v>1015</v>
          </cell>
          <cell r="C398">
            <v>3052871</v>
          </cell>
          <cell r="D398" t="str">
            <v>202</v>
          </cell>
          <cell r="E398" t="str">
            <v>407</v>
          </cell>
          <cell r="F398">
            <v>1616086</v>
          </cell>
          <cell r="G398">
            <v>6</v>
          </cell>
          <cell r="H398" t="str">
            <v>2010-06-30</v>
          </cell>
        </row>
        <row r="399">
          <cell r="A399" t="str">
            <v>480000</v>
          </cell>
          <cell r="B399" t="str">
            <v>1015</v>
          </cell>
          <cell r="C399">
            <v>-9806106.8000000007</v>
          </cell>
          <cell r="D399" t="str">
            <v>202</v>
          </cell>
          <cell r="E399" t="str">
            <v>407</v>
          </cell>
          <cell r="F399">
            <v>-2983187.24</v>
          </cell>
          <cell r="G399">
            <v>10</v>
          </cell>
          <cell r="H399" t="str">
            <v>2009-10-31</v>
          </cell>
        </row>
        <row r="400">
          <cell r="A400" t="str">
            <v>480000</v>
          </cell>
          <cell r="B400" t="str">
            <v>1015</v>
          </cell>
          <cell r="C400">
            <v>-13779.82</v>
          </cell>
          <cell r="D400" t="str">
            <v>202</v>
          </cell>
          <cell r="E400" t="str">
            <v>407</v>
          </cell>
          <cell r="F400">
            <v>-2794.57</v>
          </cell>
          <cell r="G400">
            <v>9</v>
          </cell>
          <cell r="H400" t="str">
            <v>2009-09-30</v>
          </cell>
        </row>
        <row r="401">
          <cell r="A401" t="str">
            <v>481004</v>
          </cell>
          <cell r="B401" t="str">
            <v>1015</v>
          </cell>
          <cell r="C401">
            <v>-4876.57</v>
          </cell>
          <cell r="D401" t="str">
            <v>202</v>
          </cell>
          <cell r="E401" t="str">
            <v>407</v>
          </cell>
          <cell r="F401">
            <v>-1411.82</v>
          </cell>
          <cell r="G401">
            <v>9</v>
          </cell>
          <cell r="H401" t="str">
            <v>2009-09-30</v>
          </cell>
        </row>
        <row r="402">
          <cell r="A402" t="str">
            <v>480000</v>
          </cell>
          <cell r="B402" t="str">
            <v>1015</v>
          </cell>
          <cell r="C402">
            <v>-21095.56</v>
          </cell>
          <cell r="D402" t="str">
            <v>202</v>
          </cell>
          <cell r="E402" t="str">
            <v>407</v>
          </cell>
          <cell r="F402">
            <v>-6600.38</v>
          </cell>
          <cell r="G402">
            <v>10</v>
          </cell>
          <cell r="H402" t="str">
            <v>2009-10-31</v>
          </cell>
        </row>
        <row r="403">
          <cell r="A403" t="str">
            <v>481004</v>
          </cell>
          <cell r="B403" t="str">
            <v>1015</v>
          </cell>
          <cell r="C403">
            <v>-3489813.58</v>
          </cell>
          <cell r="D403" t="str">
            <v>202</v>
          </cell>
          <cell r="E403" t="str">
            <v>407</v>
          </cell>
          <cell r="F403">
            <v>-2018656.19</v>
          </cell>
          <cell r="G403">
            <v>11</v>
          </cell>
          <cell r="H403" t="str">
            <v>2009-11-30</v>
          </cell>
        </row>
        <row r="404">
          <cell r="A404" t="str">
            <v>480000</v>
          </cell>
          <cell r="B404" t="str">
            <v>1015</v>
          </cell>
          <cell r="C404">
            <v>-63885.88</v>
          </cell>
          <cell r="D404" t="str">
            <v>202</v>
          </cell>
          <cell r="E404" t="str">
            <v>407</v>
          </cell>
          <cell r="F404">
            <v>-24658.79</v>
          </cell>
          <cell r="G404">
            <v>1</v>
          </cell>
          <cell r="H404" t="str">
            <v>2010-01-31</v>
          </cell>
        </row>
        <row r="405">
          <cell r="A405" t="str">
            <v>481004</v>
          </cell>
          <cell r="B405" t="str">
            <v>1015</v>
          </cell>
          <cell r="C405">
            <v>-18715.849999999999</v>
          </cell>
          <cell r="D405" t="str">
            <v>202</v>
          </cell>
          <cell r="E405" t="str">
            <v>407</v>
          </cell>
          <cell r="F405">
            <v>-9948.73</v>
          </cell>
          <cell r="G405">
            <v>2</v>
          </cell>
          <cell r="H405" t="str">
            <v>2010-02-28</v>
          </cell>
        </row>
        <row r="406">
          <cell r="A406" t="str">
            <v>480000</v>
          </cell>
          <cell r="B406" t="str">
            <v>1015</v>
          </cell>
          <cell r="C406">
            <v>-44341.87</v>
          </cell>
          <cell r="D406" t="str">
            <v>202</v>
          </cell>
          <cell r="E406" t="str">
            <v>407</v>
          </cell>
          <cell r="F406">
            <v>-15868.3</v>
          </cell>
          <cell r="G406">
            <v>3</v>
          </cell>
          <cell r="H406" t="str">
            <v>2010-03-31</v>
          </cell>
        </row>
        <row r="407">
          <cell r="A407" t="str">
            <v>480001</v>
          </cell>
          <cell r="B407" t="str">
            <v>1015</v>
          </cell>
          <cell r="C407">
            <v>-2866158.2</v>
          </cell>
          <cell r="D407" t="str">
            <v>202</v>
          </cell>
          <cell r="E407" t="str">
            <v>407</v>
          </cell>
          <cell r="F407">
            <v>-1525845.76</v>
          </cell>
          <cell r="G407">
            <v>10</v>
          </cell>
          <cell r="H407" t="str">
            <v>2009-10-31</v>
          </cell>
        </row>
        <row r="408">
          <cell r="A408" t="str">
            <v>480001</v>
          </cell>
          <cell r="B408" t="str">
            <v>1015</v>
          </cell>
          <cell r="C408">
            <v>-5833.44</v>
          </cell>
          <cell r="D408" t="str">
            <v>202</v>
          </cell>
          <cell r="E408" t="str">
            <v>407</v>
          </cell>
          <cell r="F408">
            <v>-2991.62</v>
          </cell>
          <cell r="G408">
            <v>10</v>
          </cell>
          <cell r="H408" t="str">
            <v>2009-10-31</v>
          </cell>
        </row>
        <row r="409">
          <cell r="A409" t="str">
            <v>481006</v>
          </cell>
          <cell r="B409" t="str">
            <v>1015</v>
          </cell>
          <cell r="C409">
            <v>-919.01</v>
          </cell>
          <cell r="D409" t="str">
            <v>202</v>
          </cell>
          <cell r="E409" t="str">
            <v>407</v>
          </cell>
          <cell r="F409">
            <v>-1221.32</v>
          </cell>
          <cell r="G409">
            <v>10</v>
          </cell>
          <cell r="H409" t="str">
            <v>2009-10-31</v>
          </cell>
        </row>
        <row r="410">
          <cell r="A410" t="str">
            <v>481006</v>
          </cell>
          <cell r="B410" t="str">
            <v>1015</v>
          </cell>
          <cell r="C410">
            <v>660948.47999999998</v>
          </cell>
          <cell r="D410" t="str">
            <v>202</v>
          </cell>
          <cell r="E410" t="str">
            <v>407</v>
          </cell>
          <cell r="F410">
            <v>613613</v>
          </cell>
          <cell r="G410">
            <v>1</v>
          </cell>
          <cell r="H410" t="str">
            <v>2010-01-31</v>
          </cell>
        </row>
        <row r="411">
          <cell r="A411" t="str">
            <v>481006</v>
          </cell>
          <cell r="B411" t="str">
            <v>1015</v>
          </cell>
          <cell r="C411">
            <v>-52118</v>
          </cell>
          <cell r="D411" t="str">
            <v>202</v>
          </cell>
          <cell r="E411" t="str">
            <v>407</v>
          </cell>
          <cell r="F411">
            <v>125510</v>
          </cell>
          <cell r="G411">
            <v>5</v>
          </cell>
          <cell r="H411" t="str">
            <v>2010-05-31</v>
          </cell>
        </row>
        <row r="412">
          <cell r="A412" t="str">
            <v>480001</v>
          </cell>
          <cell r="B412" t="str">
            <v>1015</v>
          </cell>
          <cell r="C412">
            <v>7646</v>
          </cell>
          <cell r="D412" t="str">
            <v>202</v>
          </cell>
          <cell r="E412" t="str">
            <v>407</v>
          </cell>
          <cell r="F412">
            <v>4063</v>
          </cell>
          <cell r="G412">
            <v>6</v>
          </cell>
          <cell r="H412" t="str">
            <v>2010-06-30</v>
          </cell>
        </row>
        <row r="413">
          <cell r="A413" t="str">
            <v>480000</v>
          </cell>
          <cell r="B413" t="str">
            <v>1015</v>
          </cell>
          <cell r="C413">
            <v>-7253536.6299999999</v>
          </cell>
          <cell r="D413" t="str">
            <v>202</v>
          </cell>
          <cell r="E413" t="str">
            <v>407</v>
          </cell>
          <cell r="F413">
            <v>-1615968.32</v>
          </cell>
          <cell r="G413">
            <v>8</v>
          </cell>
          <cell r="H413" t="str">
            <v>2009-08-31</v>
          </cell>
        </row>
        <row r="414">
          <cell r="A414" t="str">
            <v>480000</v>
          </cell>
          <cell r="B414" t="str">
            <v>1015</v>
          </cell>
          <cell r="C414">
            <v>-7343840.79</v>
          </cell>
          <cell r="D414" t="str">
            <v>202</v>
          </cell>
          <cell r="E414" t="str">
            <v>407</v>
          </cell>
          <cell r="F414">
            <v>-1674017.3</v>
          </cell>
          <cell r="G414">
            <v>9</v>
          </cell>
          <cell r="H414" t="str">
            <v>2009-09-30</v>
          </cell>
        </row>
        <row r="415">
          <cell r="A415" t="str">
            <v>480001</v>
          </cell>
          <cell r="B415" t="str">
            <v>1015</v>
          </cell>
          <cell r="C415">
            <v>85305.79</v>
          </cell>
          <cell r="D415" t="str">
            <v>202</v>
          </cell>
          <cell r="E415" t="str">
            <v>407</v>
          </cell>
          <cell r="F415">
            <v>23848.3</v>
          </cell>
          <cell r="G415">
            <v>9</v>
          </cell>
          <cell r="H415" t="str">
            <v>2009-09-30</v>
          </cell>
        </row>
        <row r="416">
          <cell r="A416" t="str">
            <v>480001</v>
          </cell>
          <cell r="B416" t="str">
            <v>1015</v>
          </cell>
          <cell r="C416">
            <v>1025595</v>
          </cell>
          <cell r="D416" t="str">
            <v>202</v>
          </cell>
          <cell r="E416" t="str">
            <v>407</v>
          </cell>
          <cell r="F416">
            <v>472559</v>
          </cell>
          <cell r="G416">
            <v>3</v>
          </cell>
          <cell r="H416" t="str">
            <v>2010-03-31</v>
          </cell>
        </row>
        <row r="417">
          <cell r="A417" t="str">
            <v>481006</v>
          </cell>
          <cell r="B417" t="str">
            <v>1015</v>
          </cell>
          <cell r="C417">
            <v>321155</v>
          </cell>
          <cell r="D417" t="str">
            <v>202</v>
          </cell>
          <cell r="E417" t="str">
            <v>407</v>
          </cell>
          <cell r="F417">
            <v>173655</v>
          </cell>
          <cell r="G417">
            <v>3</v>
          </cell>
          <cell r="H417" t="str">
            <v>2010-03-31</v>
          </cell>
        </row>
        <row r="418">
          <cell r="A418" t="str">
            <v>481004</v>
          </cell>
          <cell r="B418" t="str">
            <v>1015</v>
          </cell>
          <cell r="C418">
            <v>-2190683.23</v>
          </cell>
          <cell r="D418" t="str">
            <v>202</v>
          </cell>
          <cell r="E418" t="str">
            <v>407</v>
          </cell>
          <cell r="F418">
            <v>-1079995.05</v>
          </cell>
          <cell r="G418">
            <v>10</v>
          </cell>
          <cell r="H418" t="str">
            <v>2009-10-31</v>
          </cell>
        </row>
        <row r="419">
          <cell r="A419" t="str">
            <v>481004</v>
          </cell>
          <cell r="B419" t="str">
            <v>1015</v>
          </cell>
          <cell r="C419">
            <v>-7163.99</v>
          </cell>
          <cell r="D419" t="str">
            <v>202</v>
          </cell>
          <cell r="E419" t="str">
            <v>407</v>
          </cell>
          <cell r="F419">
            <v>-2873.68</v>
          </cell>
          <cell r="G419">
            <v>10</v>
          </cell>
          <cell r="H419" t="str">
            <v>2009-10-31</v>
          </cell>
        </row>
        <row r="420">
          <cell r="A420" t="str">
            <v>480000</v>
          </cell>
          <cell r="B420" t="str">
            <v>1015</v>
          </cell>
          <cell r="C420">
            <v>-52508.76</v>
          </cell>
          <cell r="D420" t="str">
            <v>202</v>
          </cell>
          <cell r="E420" t="str">
            <v>407</v>
          </cell>
          <cell r="F420">
            <v>-19566.759999999998</v>
          </cell>
          <cell r="G420">
            <v>12</v>
          </cell>
          <cell r="H420" t="str">
            <v>2009-12-31</v>
          </cell>
        </row>
        <row r="421">
          <cell r="A421" t="str">
            <v>480000</v>
          </cell>
          <cell r="B421" t="str">
            <v>1015</v>
          </cell>
          <cell r="C421">
            <v>-23318693.710000001</v>
          </cell>
          <cell r="D421" t="str">
            <v>202</v>
          </cell>
          <cell r="E421" t="str">
            <v>407</v>
          </cell>
          <cell r="F421">
            <v>-8580239.7699999996</v>
          </cell>
          <cell r="G421">
            <v>3</v>
          </cell>
          <cell r="H421" t="str">
            <v>2010-03-31</v>
          </cell>
        </row>
        <row r="422">
          <cell r="A422" t="str">
            <v>481004</v>
          </cell>
          <cell r="B422" t="str">
            <v>1015</v>
          </cell>
          <cell r="C422">
            <v>-12812.32</v>
          </cell>
          <cell r="D422" t="str">
            <v>202</v>
          </cell>
          <cell r="E422" t="str">
            <v>407</v>
          </cell>
          <cell r="F422">
            <v>-6641.23</v>
          </cell>
          <cell r="G422">
            <v>4</v>
          </cell>
          <cell r="H422" t="str">
            <v>2010-04-30</v>
          </cell>
        </row>
        <row r="423">
          <cell r="A423" t="str">
            <v>481000</v>
          </cell>
          <cell r="B423" t="str">
            <v>1015</v>
          </cell>
          <cell r="C423">
            <v>-2079.89</v>
          </cell>
          <cell r="D423" t="str">
            <v>202</v>
          </cell>
          <cell r="E423" t="str">
            <v>407</v>
          </cell>
          <cell r="F423">
            <v>-2101</v>
          </cell>
          <cell r="G423">
            <v>4</v>
          </cell>
          <cell r="H423" t="str">
            <v>2010-04-30</v>
          </cell>
        </row>
        <row r="424">
          <cell r="A424" t="str">
            <v>480000</v>
          </cell>
          <cell r="B424" t="str">
            <v>1015</v>
          </cell>
          <cell r="C424">
            <v>-12946718.710000001</v>
          </cell>
          <cell r="D424" t="str">
            <v>202</v>
          </cell>
          <cell r="E424" t="str">
            <v>407</v>
          </cell>
          <cell r="F424">
            <v>-4633060.8099999996</v>
          </cell>
          <cell r="G424">
            <v>5</v>
          </cell>
          <cell r="H424" t="str">
            <v>2010-05-31</v>
          </cell>
        </row>
        <row r="425">
          <cell r="A425" t="str">
            <v>481000</v>
          </cell>
          <cell r="B425" t="str">
            <v>1015</v>
          </cell>
          <cell r="C425">
            <v>-1176.8</v>
          </cell>
          <cell r="D425" t="str">
            <v>202</v>
          </cell>
          <cell r="E425" t="str">
            <v>407</v>
          </cell>
          <cell r="F425">
            <v>-1516</v>
          </cell>
          <cell r="G425">
            <v>5</v>
          </cell>
          <cell r="H425" t="str">
            <v>2010-05-31</v>
          </cell>
        </row>
        <row r="426">
          <cell r="A426" t="str">
            <v>481004</v>
          </cell>
          <cell r="B426" t="str">
            <v>1015</v>
          </cell>
          <cell r="C426">
            <v>-8563.7099999999991</v>
          </cell>
          <cell r="D426" t="str">
            <v>202</v>
          </cell>
          <cell r="E426" t="str">
            <v>407</v>
          </cell>
          <cell r="F426">
            <v>-3877.92</v>
          </cell>
          <cell r="G426">
            <v>5</v>
          </cell>
          <cell r="H426" t="str">
            <v>2010-05-31</v>
          </cell>
        </row>
        <row r="427">
          <cell r="A427" t="str">
            <v>480001</v>
          </cell>
          <cell r="B427" t="str">
            <v>1015</v>
          </cell>
          <cell r="C427">
            <v>388224.09</v>
          </cell>
          <cell r="D427" t="str">
            <v>202</v>
          </cell>
          <cell r="E427" t="str">
            <v>407</v>
          </cell>
          <cell r="F427">
            <v>189031.72</v>
          </cell>
          <cell r="G427">
            <v>7</v>
          </cell>
          <cell r="H427" t="str">
            <v>2009-07-31</v>
          </cell>
        </row>
        <row r="428">
          <cell r="A428" t="str">
            <v>481006</v>
          </cell>
          <cell r="B428" t="str">
            <v>1015</v>
          </cell>
          <cell r="C428">
            <v>3584.97</v>
          </cell>
          <cell r="D428" t="str">
            <v>202</v>
          </cell>
          <cell r="E428" t="str">
            <v>407</v>
          </cell>
          <cell r="F428">
            <v>19777.099999999999</v>
          </cell>
          <cell r="G428">
            <v>9</v>
          </cell>
          <cell r="H428" t="str">
            <v>2009-09-30</v>
          </cell>
        </row>
        <row r="429">
          <cell r="A429" t="str">
            <v>481006</v>
          </cell>
          <cell r="B429" t="str">
            <v>1015</v>
          </cell>
          <cell r="C429">
            <v>-1345.85</v>
          </cell>
          <cell r="D429" t="str">
            <v>202</v>
          </cell>
          <cell r="E429" t="str">
            <v>407</v>
          </cell>
          <cell r="F429">
            <v>-1482.68</v>
          </cell>
          <cell r="G429">
            <v>11</v>
          </cell>
          <cell r="H429" t="str">
            <v>2009-11-30</v>
          </cell>
        </row>
        <row r="430">
          <cell r="A430" t="str">
            <v>481006</v>
          </cell>
          <cell r="B430" t="str">
            <v>1015</v>
          </cell>
          <cell r="C430">
            <v>-1522831.24</v>
          </cell>
          <cell r="D430" t="str">
            <v>202</v>
          </cell>
          <cell r="E430" t="str">
            <v>407</v>
          </cell>
          <cell r="F430">
            <v>-1275392.54</v>
          </cell>
          <cell r="G430">
            <v>12</v>
          </cell>
          <cell r="H430" t="str">
            <v>2009-12-31</v>
          </cell>
        </row>
        <row r="431">
          <cell r="A431" t="str">
            <v>480001</v>
          </cell>
          <cell r="B431" t="str">
            <v>1015</v>
          </cell>
          <cell r="C431">
            <v>-6468.24</v>
          </cell>
          <cell r="D431" t="str">
            <v>202</v>
          </cell>
          <cell r="E431" t="str">
            <v>407</v>
          </cell>
          <cell r="F431">
            <v>-3026.24</v>
          </cell>
          <cell r="G431">
            <v>12</v>
          </cell>
          <cell r="H431" t="str">
            <v>2009-12-31</v>
          </cell>
        </row>
        <row r="432">
          <cell r="A432" t="str">
            <v>481006</v>
          </cell>
          <cell r="B432" t="str">
            <v>1015</v>
          </cell>
          <cell r="C432">
            <v>2925</v>
          </cell>
          <cell r="D432" t="str">
            <v>202</v>
          </cell>
          <cell r="E432" t="str">
            <v>407</v>
          </cell>
          <cell r="F432">
            <v>1060</v>
          </cell>
          <cell r="G432">
            <v>3</v>
          </cell>
          <cell r="H432" t="str">
            <v>2010-03-31</v>
          </cell>
        </row>
        <row r="433">
          <cell r="A433" t="str">
            <v>481006</v>
          </cell>
          <cell r="B433" t="str">
            <v>1015</v>
          </cell>
          <cell r="C433">
            <v>2890</v>
          </cell>
          <cell r="D433" t="str">
            <v>202</v>
          </cell>
          <cell r="E433" t="str">
            <v>407</v>
          </cell>
          <cell r="F433">
            <v>1590</v>
          </cell>
          <cell r="G433">
            <v>4</v>
          </cell>
          <cell r="H433" t="str">
            <v>2010-04-30</v>
          </cell>
        </row>
        <row r="434">
          <cell r="A434" t="str">
            <v>480001</v>
          </cell>
          <cell r="B434" t="str">
            <v>1015</v>
          </cell>
          <cell r="C434">
            <v>1400109</v>
          </cell>
          <cell r="D434" t="str">
            <v>202</v>
          </cell>
          <cell r="E434" t="str">
            <v>407</v>
          </cell>
          <cell r="F434">
            <v>363339</v>
          </cell>
          <cell r="G434">
            <v>5</v>
          </cell>
          <cell r="H434" t="str">
            <v>2010-05-31</v>
          </cell>
        </row>
        <row r="435">
          <cell r="A435" t="str">
            <v>480001</v>
          </cell>
          <cell r="B435" t="str">
            <v>1015</v>
          </cell>
          <cell r="C435">
            <v>2695</v>
          </cell>
          <cell r="D435" t="str">
            <v>202</v>
          </cell>
          <cell r="E435" t="str">
            <v>407</v>
          </cell>
          <cell r="F435">
            <v>168</v>
          </cell>
          <cell r="G435">
            <v>5</v>
          </cell>
          <cell r="H435" t="str">
            <v>2010-05-31</v>
          </cell>
        </row>
        <row r="436">
          <cell r="A436" t="str">
            <v>480000</v>
          </cell>
          <cell r="B436" t="str">
            <v>1015</v>
          </cell>
          <cell r="C436">
            <v>-14209.81</v>
          </cell>
          <cell r="D436" t="str">
            <v>202</v>
          </cell>
          <cell r="E436" t="str">
            <v>407</v>
          </cell>
          <cell r="F436">
            <v>-3000.92</v>
          </cell>
          <cell r="G436">
            <v>7</v>
          </cell>
          <cell r="H436" t="str">
            <v>2009-07-31</v>
          </cell>
        </row>
        <row r="437">
          <cell r="A437" t="str">
            <v>480000</v>
          </cell>
          <cell r="B437" t="str">
            <v>1015</v>
          </cell>
          <cell r="C437">
            <v>-13416.28</v>
          </cell>
          <cell r="D437" t="str">
            <v>202</v>
          </cell>
          <cell r="E437" t="str">
            <v>407</v>
          </cell>
          <cell r="F437">
            <v>-2570.83</v>
          </cell>
          <cell r="G437">
            <v>8</v>
          </cell>
          <cell r="H437" t="str">
            <v>2009-08-31</v>
          </cell>
        </row>
        <row r="438">
          <cell r="A438" t="str">
            <v>481004</v>
          </cell>
          <cell r="B438" t="str">
            <v>1015</v>
          </cell>
          <cell r="C438">
            <v>-12209.15</v>
          </cell>
          <cell r="D438" t="str">
            <v>202</v>
          </cell>
          <cell r="E438" t="str">
            <v>407</v>
          </cell>
          <cell r="F438">
            <v>-5842.32</v>
          </cell>
          <cell r="G438">
            <v>11</v>
          </cell>
          <cell r="H438" t="str">
            <v>2009-11-30</v>
          </cell>
        </row>
        <row r="439">
          <cell r="A439" t="str">
            <v>480000</v>
          </cell>
          <cell r="B439" t="str">
            <v>1015</v>
          </cell>
          <cell r="C439">
            <v>-36410.83</v>
          </cell>
          <cell r="D439" t="str">
            <v>202</v>
          </cell>
          <cell r="E439" t="str">
            <v>407</v>
          </cell>
          <cell r="F439">
            <v>-13588.98</v>
          </cell>
          <cell r="G439">
            <v>4</v>
          </cell>
          <cell r="H439" t="str">
            <v>2010-04-30</v>
          </cell>
        </row>
        <row r="440">
          <cell r="A440" t="str">
            <v>481006</v>
          </cell>
          <cell r="B440" t="str">
            <v>1015</v>
          </cell>
          <cell r="C440">
            <v>76394.460000000006</v>
          </cell>
          <cell r="D440" t="str">
            <v>202</v>
          </cell>
          <cell r="E440" t="str">
            <v>407</v>
          </cell>
          <cell r="F440">
            <v>90478.16</v>
          </cell>
          <cell r="G440">
            <v>7</v>
          </cell>
          <cell r="H440" t="str">
            <v>2009-07-31</v>
          </cell>
        </row>
        <row r="441">
          <cell r="A441" t="str">
            <v>480001</v>
          </cell>
          <cell r="B441" t="str">
            <v>1015</v>
          </cell>
          <cell r="C441">
            <v>345.81</v>
          </cell>
          <cell r="D441" t="str">
            <v>202</v>
          </cell>
          <cell r="E441" t="str">
            <v>407</v>
          </cell>
          <cell r="F441">
            <v>240.92</v>
          </cell>
          <cell r="G441">
            <v>7</v>
          </cell>
          <cell r="H441" t="str">
            <v>2009-07-31</v>
          </cell>
        </row>
        <row r="442">
          <cell r="A442" t="str">
            <v>481006</v>
          </cell>
          <cell r="B442" t="str">
            <v>1015</v>
          </cell>
          <cell r="C442">
            <v>-259.62</v>
          </cell>
          <cell r="D442" t="str">
            <v>202</v>
          </cell>
          <cell r="E442" t="str">
            <v>407</v>
          </cell>
          <cell r="F442">
            <v>51.93</v>
          </cell>
          <cell r="G442">
            <v>7</v>
          </cell>
          <cell r="H442" t="str">
            <v>2009-07-31</v>
          </cell>
        </row>
        <row r="443">
          <cell r="A443" t="str">
            <v>480001</v>
          </cell>
          <cell r="B443" t="str">
            <v>1015</v>
          </cell>
          <cell r="C443">
            <v>-2155.7199999999998</v>
          </cell>
          <cell r="D443" t="str">
            <v>202</v>
          </cell>
          <cell r="E443" t="str">
            <v>407</v>
          </cell>
          <cell r="F443">
            <v>-1081.17</v>
          </cell>
          <cell r="G443">
            <v>8</v>
          </cell>
          <cell r="H443" t="str">
            <v>2009-08-31</v>
          </cell>
        </row>
        <row r="444">
          <cell r="A444" t="str">
            <v>481004</v>
          </cell>
          <cell r="B444" t="str">
            <v>1015</v>
          </cell>
          <cell r="C444">
            <v>-1567882.43</v>
          </cell>
          <cell r="D444" t="str">
            <v>202</v>
          </cell>
          <cell r="E444" t="str">
            <v>407</v>
          </cell>
          <cell r="F444">
            <v>-563216</v>
          </cell>
          <cell r="G444">
            <v>8</v>
          </cell>
          <cell r="H444" t="str">
            <v>2009-08-31</v>
          </cell>
        </row>
        <row r="445">
          <cell r="A445" t="str">
            <v>481004</v>
          </cell>
          <cell r="B445" t="str">
            <v>1015</v>
          </cell>
          <cell r="C445">
            <v>-4800.87</v>
          </cell>
          <cell r="D445" t="str">
            <v>202</v>
          </cell>
          <cell r="E445" t="str">
            <v>407</v>
          </cell>
          <cell r="F445">
            <v>-1296.8800000000001</v>
          </cell>
          <cell r="G445">
            <v>8</v>
          </cell>
          <cell r="H445" t="str">
            <v>2009-08-31</v>
          </cell>
        </row>
        <row r="446">
          <cell r="A446" t="str">
            <v>481004</v>
          </cell>
          <cell r="B446" t="str">
            <v>1015</v>
          </cell>
          <cell r="C446">
            <v>-1596009.97</v>
          </cell>
          <cell r="D446" t="str">
            <v>202</v>
          </cell>
          <cell r="E446" t="str">
            <v>407</v>
          </cell>
          <cell r="F446">
            <v>-595741.1</v>
          </cell>
          <cell r="G446">
            <v>9</v>
          </cell>
          <cell r="H446" t="str">
            <v>2009-09-30</v>
          </cell>
        </row>
        <row r="447">
          <cell r="A447" t="str">
            <v>480000</v>
          </cell>
          <cell r="B447" t="str">
            <v>1015</v>
          </cell>
          <cell r="C447">
            <v>-27598018.140000001</v>
          </cell>
          <cell r="D447" t="str">
            <v>202</v>
          </cell>
          <cell r="E447" t="str">
            <v>407</v>
          </cell>
          <cell r="F447">
            <v>-10539674.939999999</v>
          </cell>
          <cell r="G447">
            <v>12</v>
          </cell>
          <cell r="H447" t="str">
            <v>2009-12-31</v>
          </cell>
        </row>
        <row r="448">
          <cell r="A448" t="str">
            <v>481004</v>
          </cell>
          <cell r="B448" t="str">
            <v>1015</v>
          </cell>
          <cell r="C448">
            <v>-23183.599999999999</v>
          </cell>
          <cell r="D448" t="str">
            <v>202</v>
          </cell>
          <cell r="E448" t="str">
            <v>407</v>
          </cell>
          <cell r="F448">
            <v>-13429.85</v>
          </cell>
          <cell r="G448">
            <v>1</v>
          </cell>
          <cell r="H448" t="str">
            <v>2010-01-31</v>
          </cell>
        </row>
        <row r="449">
          <cell r="A449" t="str">
            <v>480000</v>
          </cell>
          <cell r="B449" t="str">
            <v>1015</v>
          </cell>
          <cell r="C449">
            <v>-49090.38</v>
          </cell>
          <cell r="D449" t="str">
            <v>202</v>
          </cell>
          <cell r="E449" t="str">
            <v>407</v>
          </cell>
          <cell r="F449">
            <v>-18010.22</v>
          </cell>
          <cell r="G449">
            <v>2</v>
          </cell>
          <cell r="H449" t="str">
            <v>2010-02-28</v>
          </cell>
        </row>
        <row r="450">
          <cell r="A450" t="str">
            <v>481004</v>
          </cell>
          <cell r="B450" t="str">
            <v>1015</v>
          </cell>
          <cell r="C450">
            <v>-3127441.74</v>
          </cell>
          <cell r="D450" t="str">
            <v>202</v>
          </cell>
          <cell r="E450" t="str">
            <v>407</v>
          </cell>
          <cell r="F450">
            <v>-1881943.25</v>
          </cell>
          <cell r="G450">
            <v>5</v>
          </cell>
          <cell r="H450" t="str">
            <v>2010-05-31</v>
          </cell>
        </row>
        <row r="451">
          <cell r="A451" t="str">
            <v>480000</v>
          </cell>
          <cell r="B451" t="str">
            <v>1015</v>
          </cell>
          <cell r="C451">
            <v>0</v>
          </cell>
          <cell r="D451" t="str">
            <v>202</v>
          </cell>
          <cell r="E451" t="str">
            <v>408</v>
          </cell>
          <cell r="F451">
            <v>0</v>
          </cell>
          <cell r="G451">
            <v>9</v>
          </cell>
          <cell r="H451" t="str">
            <v>2009-09-30</v>
          </cell>
        </row>
        <row r="452">
          <cell r="A452" t="str">
            <v>481005</v>
          </cell>
          <cell r="B452" t="str">
            <v>1015</v>
          </cell>
          <cell r="C452">
            <v>-39154</v>
          </cell>
          <cell r="D452" t="str">
            <v>202</v>
          </cell>
          <cell r="E452" t="str">
            <v>411</v>
          </cell>
          <cell r="F452">
            <v>-132515</v>
          </cell>
          <cell r="G452">
            <v>10</v>
          </cell>
          <cell r="H452" t="str">
            <v>2009-10-31</v>
          </cell>
        </row>
        <row r="453">
          <cell r="A453" t="str">
            <v>481005</v>
          </cell>
          <cell r="B453" t="str">
            <v>1015</v>
          </cell>
          <cell r="C453">
            <v>-557.32000000000005</v>
          </cell>
          <cell r="D453" t="str">
            <v>202</v>
          </cell>
          <cell r="E453" t="str">
            <v>411</v>
          </cell>
          <cell r="F453">
            <v>-3513.42</v>
          </cell>
          <cell r="G453">
            <v>1</v>
          </cell>
          <cell r="H453" t="str">
            <v>2010-01-31</v>
          </cell>
        </row>
        <row r="454">
          <cell r="A454" t="str">
            <v>481005</v>
          </cell>
          <cell r="B454" t="str">
            <v>1015</v>
          </cell>
          <cell r="C454">
            <v>-436.55</v>
          </cell>
          <cell r="D454" t="str">
            <v>202</v>
          </cell>
          <cell r="E454" t="str">
            <v>411</v>
          </cell>
          <cell r="F454">
            <v>-1575.16</v>
          </cell>
          <cell r="G454">
            <v>2</v>
          </cell>
          <cell r="H454" t="str">
            <v>2010-02-28</v>
          </cell>
        </row>
        <row r="455">
          <cell r="A455" t="str">
            <v>481005</v>
          </cell>
          <cell r="B455" t="str">
            <v>1015</v>
          </cell>
          <cell r="C455">
            <v>-359.82</v>
          </cell>
          <cell r="D455" t="str">
            <v>202</v>
          </cell>
          <cell r="E455" t="str">
            <v>411</v>
          </cell>
          <cell r="F455">
            <v>-1250.97</v>
          </cell>
          <cell r="G455">
            <v>4</v>
          </cell>
          <cell r="H455" t="str">
            <v>2010-04-30</v>
          </cell>
        </row>
        <row r="456">
          <cell r="A456" t="str">
            <v>481005</v>
          </cell>
          <cell r="B456" t="str">
            <v>1015</v>
          </cell>
          <cell r="C456">
            <v>-9070.2900000000009</v>
          </cell>
          <cell r="D456" t="str">
            <v>202</v>
          </cell>
          <cell r="E456" t="str">
            <v>411</v>
          </cell>
          <cell r="F456">
            <v>-15609.19</v>
          </cell>
          <cell r="G456">
            <v>6</v>
          </cell>
          <cell r="H456" t="str">
            <v>2010-06-30</v>
          </cell>
        </row>
        <row r="457">
          <cell r="A457" t="str">
            <v>481005</v>
          </cell>
          <cell r="B457" t="str">
            <v>1015</v>
          </cell>
          <cell r="C457">
            <v>-67</v>
          </cell>
          <cell r="D457" t="str">
            <v>202</v>
          </cell>
          <cell r="E457" t="str">
            <v>411</v>
          </cell>
          <cell r="F457">
            <v>0</v>
          </cell>
          <cell r="G457">
            <v>7</v>
          </cell>
          <cell r="H457" t="str">
            <v>2009-07-31</v>
          </cell>
        </row>
        <row r="458">
          <cell r="A458" t="str">
            <v>481005</v>
          </cell>
          <cell r="B458" t="str">
            <v>1015</v>
          </cell>
          <cell r="C458">
            <v>-265.82</v>
          </cell>
          <cell r="D458" t="str">
            <v>202</v>
          </cell>
          <cell r="E458" t="str">
            <v>411</v>
          </cell>
          <cell r="F458">
            <v>-456.67</v>
          </cell>
          <cell r="G458">
            <v>5</v>
          </cell>
          <cell r="H458" t="str">
            <v>2010-05-31</v>
          </cell>
        </row>
        <row r="459">
          <cell r="A459" t="str">
            <v>481002</v>
          </cell>
          <cell r="B459" t="str">
            <v>1015</v>
          </cell>
          <cell r="C459">
            <v>-10855</v>
          </cell>
          <cell r="D459" t="str">
            <v>202</v>
          </cell>
          <cell r="E459" t="str">
            <v>411</v>
          </cell>
          <cell r="F459">
            <v>-43752</v>
          </cell>
          <cell r="G459">
            <v>9</v>
          </cell>
          <cell r="H459" t="str">
            <v>2009-09-30</v>
          </cell>
        </row>
        <row r="460">
          <cell r="A460" t="str">
            <v>481005</v>
          </cell>
          <cell r="B460" t="str">
            <v>1015</v>
          </cell>
          <cell r="C460">
            <v>-67</v>
          </cell>
          <cell r="D460" t="str">
            <v>202</v>
          </cell>
          <cell r="E460" t="str">
            <v>411</v>
          </cell>
          <cell r="F460">
            <v>0</v>
          </cell>
          <cell r="G460">
            <v>9</v>
          </cell>
          <cell r="H460" t="str">
            <v>2009-09-30</v>
          </cell>
        </row>
        <row r="461">
          <cell r="A461" t="str">
            <v>481005</v>
          </cell>
          <cell r="B461" t="str">
            <v>1015</v>
          </cell>
          <cell r="C461">
            <v>-371</v>
          </cell>
          <cell r="D461" t="str">
            <v>202</v>
          </cell>
          <cell r="E461" t="str">
            <v>411</v>
          </cell>
          <cell r="F461">
            <v>-1295</v>
          </cell>
          <cell r="G461">
            <v>11</v>
          </cell>
          <cell r="H461" t="str">
            <v>2009-11-30</v>
          </cell>
        </row>
        <row r="462">
          <cell r="A462" t="str">
            <v>481002</v>
          </cell>
          <cell r="B462" t="str">
            <v>1015</v>
          </cell>
          <cell r="C462">
            <v>-5365</v>
          </cell>
          <cell r="D462" t="str">
            <v>202</v>
          </cell>
          <cell r="E462" t="str">
            <v>411</v>
          </cell>
          <cell r="F462">
            <v>-18481</v>
          </cell>
          <cell r="G462">
            <v>12</v>
          </cell>
          <cell r="H462" t="str">
            <v>2009-12-31</v>
          </cell>
        </row>
        <row r="463">
          <cell r="A463" t="str">
            <v>481005</v>
          </cell>
          <cell r="B463" t="str">
            <v>1015</v>
          </cell>
          <cell r="C463">
            <v>-43877</v>
          </cell>
          <cell r="D463" t="str">
            <v>202</v>
          </cell>
          <cell r="E463" t="str">
            <v>411</v>
          </cell>
          <cell r="F463">
            <v>-154120</v>
          </cell>
          <cell r="G463">
            <v>12</v>
          </cell>
          <cell r="H463" t="str">
            <v>2009-12-31</v>
          </cell>
        </row>
        <row r="464">
          <cell r="A464" t="str">
            <v>481005</v>
          </cell>
          <cell r="B464" t="str">
            <v>1015</v>
          </cell>
          <cell r="C464">
            <v>-513</v>
          </cell>
          <cell r="D464" t="str">
            <v>202</v>
          </cell>
          <cell r="E464" t="str">
            <v>411</v>
          </cell>
          <cell r="F464">
            <v>-1902</v>
          </cell>
          <cell r="G464">
            <v>12</v>
          </cell>
          <cell r="H464" t="str">
            <v>2009-12-31</v>
          </cell>
        </row>
        <row r="465">
          <cell r="A465" t="str">
            <v>481005</v>
          </cell>
          <cell r="B465" t="str">
            <v>1015</v>
          </cell>
          <cell r="C465">
            <v>-22761.71</v>
          </cell>
          <cell r="D465" t="str">
            <v>202</v>
          </cell>
          <cell r="E465" t="str">
            <v>411</v>
          </cell>
          <cell r="F465">
            <v>-77646.19</v>
          </cell>
          <cell r="G465">
            <v>2</v>
          </cell>
          <cell r="H465" t="str">
            <v>2010-02-28</v>
          </cell>
        </row>
        <row r="466">
          <cell r="A466" t="str">
            <v>481005</v>
          </cell>
          <cell r="B466" t="str">
            <v>1015</v>
          </cell>
          <cell r="C466">
            <v>-437.16</v>
          </cell>
          <cell r="D466" t="str">
            <v>202</v>
          </cell>
          <cell r="E466" t="str">
            <v>411</v>
          </cell>
          <cell r="F466">
            <v>-1577.44</v>
          </cell>
          <cell r="G466">
            <v>3</v>
          </cell>
          <cell r="H466" t="str">
            <v>2010-03-31</v>
          </cell>
        </row>
        <row r="467">
          <cell r="A467" t="str">
            <v>481005</v>
          </cell>
          <cell r="B467" t="str">
            <v>1015</v>
          </cell>
          <cell r="C467">
            <v>-19003.07</v>
          </cell>
          <cell r="D467" t="str">
            <v>202</v>
          </cell>
          <cell r="E467" t="str">
            <v>411</v>
          </cell>
          <cell r="F467">
            <v>-59825.4</v>
          </cell>
          <cell r="G467">
            <v>4</v>
          </cell>
          <cell r="H467" t="str">
            <v>2010-04-30</v>
          </cell>
        </row>
        <row r="468">
          <cell r="A468" t="str">
            <v>481002</v>
          </cell>
          <cell r="B468" t="str">
            <v>1015</v>
          </cell>
          <cell r="C468">
            <v>-38439.15</v>
          </cell>
          <cell r="D468" t="str">
            <v>202</v>
          </cell>
          <cell r="E468" t="str">
            <v>411</v>
          </cell>
          <cell r="F468">
            <v>-133173.98000000001</v>
          </cell>
          <cell r="G468">
            <v>6</v>
          </cell>
          <cell r="H468" t="str">
            <v>2010-06-30</v>
          </cell>
        </row>
        <row r="469">
          <cell r="A469" t="str">
            <v>481002</v>
          </cell>
          <cell r="B469" t="str">
            <v>1015</v>
          </cell>
          <cell r="C469">
            <v>-9304</v>
          </cell>
          <cell r="D469" t="str">
            <v>202</v>
          </cell>
          <cell r="E469" t="str">
            <v>411</v>
          </cell>
          <cell r="F469">
            <v>-36799</v>
          </cell>
          <cell r="G469">
            <v>7</v>
          </cell>
          <cell r="H469" t="str">
            <v>2009-07-31</v>
          </cell>
        </row>
        <row r="470">
          <cell r="A470" t="str">
            <v>481002</v>
          </cell>
          <cell r="B470" t="str">
            <v>1015</v>
          </cell>
          <cell r="C470">
            <v>-12499</v>
          </cell>
          <cell r="D470" t="str">
            <v>202</v>
          </cell>
          <cell r="E470" t="str">
            <v>411</v>
          </cell>
          <cell r="F470">
            <v>-51779</v>
          </cell>
          <cell r="G470">
            <v>8</v>
          </cell>
          <cell r="H470" t="str">
            <v>2009-08-31</v>
          </cell>
        </row>
        <row r="471">
          <cell r="A471" t="str">
            <v>481005</v>
          </cell>
          <cell r="B471" t="str">
            <v>1015</v>
          </cell>
          <cell r="C471">
            <v>79517.98</v>
          </cell>
          <cell r="D471" t="str">
            <v>202</v>
          </cell>
          <cell r="E471" t="str">
            <v>411</v>
          </cell>
          <cell r="F471">
            <v>-60103.48</v>
          </cell>
          <cell r="G471">
            <v>5</v>
          </cell>
          <cell r="H471" t="str">
            <v>2010-05-31</v>
          </cell>
        </row>
        <row r="472">
          <cell r="A472" t="str">
            <v>481002</v>
          </cell>
          <cell r="B472" t="str">
            <v>1015</v>
          </cell>
          <cell r="C472">
            <v>-34464.75</v>
          </cell>
          <cell r="D472" t="str">
            <v>202</v>
          </cell>
          <cell r="E472" t="str">
            <v>411</v>
          </cell>
          <cell r="F472">
            <v>-116481.13</v>
          </cell>
          <cell r="G472">
            <v>5</v>
          </cell>
          <cell r="H472" t="str">
            <v>2010-05-31</v>
          </cell>
        </row>
        <row r="473">
          <cell r="A473" t="str">
            <v>481005</v>
          </cell>
          <cell r="B473" t="str">
            <v>1015</v>
          </cell>
          <cell r="C473">
            <v>264.87</v>
          </cell>
          <cell r="D473" t="str">
            <v>202</v>
          </cell>
          <cell r="E473" t="str">
            <v>411</v>
          </cell>
          <cell r="F473">
            <v>1417.38</v>
          </cell>
          <cell r="G473">
            <v>6</v>
          </cell>
          <cell r="H473" t="str">
            <v>2010-06-30</v>
          </cell>
        </row>
        <row r="474">
          <cell r="A474" t="str">
            <v>481002</v>
          </cell>
          <cell r="B474" t="str">
            <v>1015</v>
          </cell>
          <cell r="C474">
            <v>-24472.44</v>
          </cell>
          <cell r="D474" t="str">
            <v>202</v>
          </cell>
          <cell r="E474" t="str">
            <v>411</v>
          </cell>
          <cell r="F474">
            <v>-75814.39</v>
          </cell>
          <cell r="G474">
            <v>2</v>
          </cell>
          <cell r="H474" t="str">
            <v>2010-02-28</v>
          </cell>
        </row>
        <row r="475">
          <cell r="A475" t="str">
            <v>481005</v>
          </cell>
          <cell r="B475" t="str">
            <v>1015</v>
          </cell>
          <cell r="C475">
            <v>-67</v>
          </cell>
          <cell r="D475" t="str">
            <v>202</v>
          </cell>
          <cell r="E475" t="str">
            <v>411</v>
          </cell>
          <cell r="F475">
            <v>0</v>
          </cell>
          <cell r="G475">
            <v>8</v>
          </cell>
          <cell r="H475" t="str">
            <v>2009-08-31</v>
          </cell>
        </row>
        <row r="476">
          <cell r="A476" t="str">
            <v>481005</v>
          </cell>
          <cell r="B476" t="str">
            <v>1015</v>
          </cell>
          <cell r="C476">
            <v>-42444</v>
          </cell>
          <cell r="D476" t="str">
            <v>202</v>
          </cell>
          <cell r="E476" t="str">
            <v>411</v>
          </cell>
          <cell r="F476">
            <v>-147358</v>
          </cell>
          <cell r="G476">
            <v>11</v>
          </cell>
          <cell r="H476" t="str">
            <v>2009-11-30</v>
          </cell>
        </row>
        <row r="477">
          <cell r="A477" t="str">
            <v>481005</v>
          </cell>
          <cell r="B477" t="str">
            <v>1015</v>
          </cell>
          <cell r="C477">
            <v>-27629.72</v>
          </cell>
          <cell r="D477" t="str">
            <v>202</v>
          </cell>
          <cell r="E477" t="str">
            <v>411</v>
          </cell>
          <cell r="F477">
            <v>-152063.48000000001</v>
          </cell>
          <cell r="G477">
            <v>1</v>
          </cell>
          <cell r="H477" t="str">
            <v>2010-01-31</v>
          </cell>
        </row>
        <row r="478">
          <cell r="A478" t="str">
            <v>481005</v>
          </cell>
          <cell r="B478" t="str">
            <v>1015</v>
          </cell>
          <cell r="C478">
            <v>-25704.639999999999</v>
          </cell>
          <cell r="D478" t="str">
            <v>202</v>
          </cell>
          <cell r="E478" t="str">
            <v>411</v>
          </cell>
          <cell r="F478">
            <v>-88266.48</v>
          </cell>
          <cell r="G478">
            <v>3</v>
          </cell>
          <cell r="H478" t="str">
            <v>2010-03-31</v>
          </cell>
        </row>
        <row r="479">
          <cell r="A479" t="str">
            <v>481002</v>
          </cell>
          <cell r="B479" t="str">
            <v>1015</v>
          </cell>
          <cell r="C479">
            <v>-28421.16</v>
          </cell>
          <cell r="D479" t="str">
            <v>202</v>
          </cell>
          <cell r="E479" t="str">
            <v>411</v>
          </cell>
          <cell r="F479">
            <v>-92769.37</v>
          </cell>
          <cell r="G479">
            <v>3</v>
          </cell>
          <cell r="H479" t="str">
            <v>2010-03-31</v>
          </cell>
        </row>
        <row r="480">
          <cell r="A480" t="str">
            <v>481002</v>
          </cell>
          <cell r="B480" t="str">
            <v>1015</v>
          </cell>
          <cell r="C480">
            <v>-35125.06</v>
          </cell>
          <cell r="D480" t="str">
            <v>202</v>
          </cell>
          <cell r="E480" t="str">
            <v>411</v>
          </cell>
          <cell r="F480">
            <v>-119722.46</v>
          </cell>
          <cell r="G480">
            <v>4</v>
          </cell>
          <cell r="H480" t="str">
            <v>2010-04-30</v>
          </cell>
        </row>
        <row r="481">
          <cell r="A481" t="str">
            <v>481005</v>
          </cell>
          <cell r="B481" t="str">
            <v>1015</v>
          </cell>
          <cell r="C481">
            <v>-36320</v>
          </cell>
          <cell r="D481" t="str">
            <v>202</v>
          </cell>
          <cell r="E481" t="str">
            <v>411</v>
          </cell>
          <cell r="F481">
            <v>-123364</v>
          </cell>
          <cell r="G481">
            <v>7</v>
          </cell>
          <cell r="H481" t="str">
            <v>2009-07-31</v>
          </cell>
        </row>
        <row r="482">
          <cell r="A482" t="str">
            <v>481005</v>
          </cell>
          <cell r="B482" t="str">
            <v>1015</v>
          </cell>
          <cell r="C482">
            <v>-41831</v>
          </cell>
          <cell r="D482" t="str">
            <v>202</v>
          </cell>
          <cell r="E482" t="str">
            <v>411</v>
          </cell>
          <cell r="F482">
            <v>-142945</v>
          </cell>
          <cell r="G482">
            <v>8</v>
          </cell>
          <cell r="H482" t="str">
            <v>2009-08-31</v>
          </cell>
        </row>
        <row r="483">
          <cell r="A483" t="str">
            <v>481005</v>
          </cell>
          <cell r="B483" t="str">
            <v>1015</v>
          </cell>
          <cell r="C483">
            <v>-41793</v>
          </cell>
          <cell r="D483" t="str">
            <v>202</v>
          </cell>
          <cell r="E483" t="str">
            <v>411</v>
          </cell>
          <cell r="F483">
            <v>-142468</v>
          </cell>
          <cell r="G483">
            <v>9</v>
          </cell>
          <cell r="H483" t="str">
            <v>2009-09-30</v>
          </cell>
        </row>
        <row r="484">
          <cell r="A484" t="str">
            <v>481002</v>
          </cell>
          <cell r="B484" t="str">
            <v>1015</v>
          </cell>
          <cell r="C484">
            <v>-9724</v>
          </cell>
          <cell r="D484" t="str">
            <v>202</v>
          </cell>
          <cell r="E484" t="str">
            <v>411</v>
          </cell>
          <cell r="F484">
            <v>-38599</v>
          </cell>
          <cell r="G484">
            <v>10</v>
          </cell>
          <cell r="H484" t="str">
            <v>2009-10-31</v>
          </cell>
        </row>
        <row r="485">
          <cell r="A485" t="str">
            <v>481005</v>
          </cell>
          <cell r="B485" t="str">
            <v>1015</v>
          </cell>
          <cell r="C485">
            <v>-231</v>
          </cell>
          <cell r="D485" t="str">
            <v>202</v>
          </cell>
          <cell r="E485" t="str">
            <v>411</v>
          </cell>
          <cell r="F485">
            <v>-699</v>
          </cell>
          <cell r="G485">
            <v>10</v>
          </cell>
          <cell r="H485" t="str">
            <v>2009-10-31</v>
          </cell>
        </row>
        <row r="486">
          <cell r="A486" t="str">
            <v>481002</v>
          </cell>
          <cell r="B486" t="str">
            <v>1015</v>
          </cell>
          <cell r="C486">
            <v>-8219</v>
          </cell>
          <cell r="D486" t="str">
            <v>202</v>
          </cell>
          <cell r="E486" t="str">
            <v>411</v>
          </cell>
          <cell r="F486">
            <v>-31705</v>
          </cell>
          <cell r="G486">
            <v>11</v>
          </cell>
          <cell r="H486" t="str">
            <v>2009-11-30</v>
          </cell>
        </row>
        <row r="487">
          <cell r="A487" t="str">
            <v>481002</v>
          </cell>
          <cell r="B487" t="str">
            <v>1015</v>
          </cell>
          <cell r="C487">
            <v>-26045.9</v>
          </cell>
          <cell r="D487" t="str">
            <v>202</v>
          </cell>
          <cell r="E487" t="str">
            <v>411</v>
          </cell>
          <cell r="F487">
            <v>-82642.53</v>
          </cell>
          <cell r="G487">
            <v>1</v>
          </cell>
          <cell r="H487" t="str">
            <v>2010-01-31</v>
          </cell>
        </row>
        <row r="488">
          <cell r="A488" t="str">
            <v>481004</v>
          </cell>
          <cell r="B488" t="str">
            <v>1015</v>
          </cell>
          <cell r="C488">
            <v>-13510</v>
          </cell>
          <cell r="D488" t="str">
            <v>202</v>
          </cell>
          <cell r="E488" t="str">
            <v>451</v>
          </cell>
          <cell r="F488">
            <v>-14955</v>
          </cell>
          <cell r="G488">
            <v>8</v>
          </cell>
          <cell r="H488" t="str">
            <v>2009-08-31</v>
          </cell>
        </row>
        <row r="489">
          <cell r="A489" t="str">
            <v>481004</v>
          </cell>
          <cell r="B489" t="str">
            <v>1015</v>
          </cell>
          <cell r="C489">
            <v>-11268</v>
          </cell>
          <cell r="D489" t="str">
            <v>202</v>
          </cell>
          <cell r="E489" t="str">
            <v>451</v>
          </cell>
          <cell r="F489">
            <v>-11052</v>
          </cell>
          <cell r="G489">
            <v>9</v>
          </cell>
          <cell r="H489" t="str">
            <v>2009-09-30</v>
          </cell>
        </row>
        <row r="490">
          <cell r="A490" t="str">
            <v>481004</v>
          </cell>
          <cell r="B490" t="str">
            <v>1015</v>
          </cell>
          <cell r="C490">
            <v>-18719</v>
          </cell>
          <cell r="D490" t="str">
            <v>202</v>
          </cell>
          <cell r="E490" t="str">
            <v>451</v>
          </cell>
          <cell r="F490">
            <v>-24178</v>
          </cell>
          <cell r="G490">
            <v>10</v>
          </cell>
          <cell r="H490" t="str">
            <v>2009-10-31</v>
          </cell>
        </row>
        <row r="491">
          <cell r="A491" t="str">
            <v>481000</v>
          </cell>
          <cell r="B491" t="str">
            <v>1015</v>
          </cell>
          <cell r="C491">
            <v>0</v>
          </cell>
          <cell r="D491" t="str">
            <v>202</v>
          </cell>
          <cell r="E491" t="str">
            <v>451</v>
          </cell>
          <cell r="F491">
            <v>0</v>
          </cell>
          <cell r="G491">
            <v>7</v>
          </cell>
          <cell r="H491" t="str">
            <v>2009-07-31</v>
          </cell>
        </row>
        <row r="492">
          <cell r="A492" t="str">
            <v>481000</v>
          </cell>
          <cell r="B492" t="str">
            <v>1015</v>
          </cell>
          <cell r="C492">
            <v>0</v>
          </cell>
          <cell r="D492" t="str">
            <v>202</v>
          </cell>
          <cell r="E492" t="str">
            <v>451</v>
          </cell>
          <cell r="F492">
            <v>0</v>
          </cell>
          <cell r="G492">
            <v>8</v>
          </cell>
          <cell r="H492" t="str">
            <v>2009-08-31</v>
          </cell>
        </row>
        <row r="493">
          <cell r="A493" t="str">
            <v>481000</v>
          </cell>
          <cell r="B493" t="str">
            <v>1015</v>
          </cell>
          <cell r="C493">
            <v>0</v>
          </cell>
          <cell r="D493" t="str">
            <v>202</v>
          </cell>
          <cell r="E493" t="str">
            <v>451</v>
          </cell>
          <cell r="F493">
            <v>0</v>
          </cell>
          <cell r="G493">
            <v>10</v>
          </cell>
          <cell r="H493" t="str">
            <v>2009-10-31</v>
          </cell>
        </row>
        <row r="494">
          <cell r="A494" t="str">
            <v>481000</v>
          </cell>
          <cell r="B494" t="str">
            <v>1015</v>
          </cell>
          <cell r="C494">
            <v>0</v>
          </cell>
          <cell r="D494" t="str">
            <v>202</v>
          </cell>
          <cell r="E494" t="str">
            <v>451</v>
          </cell>
          <cell r="F494">
            <v>0</v>
          </cell>
          <cell r="G494">
            <v>12</v>
          </cell>
          <cell r="H494" t="str">
            <v>2009-12-31</v>
          </cell>
        </row>
        <row r="495">
          <cell r="A495" t="str">
            <v>481004</v>
          </cell>
          <cell r="B495" t="str">
            <v>1015</v>
          </cell>
          <cell r="C495">
            <v>-6662</v>
          </cell>
          <cell r="D495" t="str">
            <v>202</v>
          </cell>
          <cell r="E495" t="str">
            <v>451</v>
          </cell>
          <cell r="F495">
            <v>-9909</v>
          </cell>
          <cell r="G495">
            <v>7</v>
          </cell>
          <cell r="H495" t="str">
            <v>2009-07-31</v>
          </cell>
        </row>
        <row r="496">
          <cell r="A496" t="str">
            <v>481004</v>
          </cell>
          <cell r="B496" t="str">
            <v>1015</v>
          </cell>
          <cell r="C496">
            <v>-25031</v>
          </cell>
          <cell r="D496" t="str">
            <v>202</v>
          </cell>
          <cell r="E496" t="str">
            <v>451</v>
          </cell>
          <cell r="F496">
            <v>-35832</v>
          </cell>
          <cell r="G496">
            <v>12</v>
          </cell>
          <cell r="H496" t="str">
            <v>2009-12-31</v>
          </cell>
        </row>
        <row r="497">
          <cell r="A497" t="str">
            <v>481004</v>
          </cell>
          <cell r="B497" t="str">
            <v>1015</v>
          </cell>
          <cell r="C497">
            <v>-18875.61</v>
          </cell>
          <cell r="D497" t="str">
            <v>202</v>
          </cell>
          <cell r="E497" t="str">
            <v>451</v>
          </cell>
          <cell r="F497">
            <v>-24648.92</v>
          </cell>
          <cell r="G497">
            <v>4</v>
          </cell>
          <cell r="H497" t="str">
            <v>2010-04-30</v>
          </cell>
        </row>
        <row r="498">
          <cell r="A498" t="str">
            <v>481000</v>
          </cell>
          <cell r="B498" t="str">
            <v>1015</v>
          </cell>
          <cell r="C498">
            <v>0</v>
          </cell>
          <cell r="D498" t="str">
            <v>202</v>
          </cell>
          <cell r="E498" t="str">
            <v>451</v>
          </cell>
          <cell r="F498">
            <v>0</v>
          </cell>
          <cell r="G498">
            <v>9</v>
          </cell>
          <cell r="H498" t="str">
            <v>2009-09-30</v>
          </cell>
        </row>
        <row r="499">
          <cell r="A499" t="str">
            <v>481004</v>
          </cell>
          <cell r="B499" t="str">
            <v>1015</v>
          </cell>
          <cell r="C499">
            <v>-11892.75</v>
          </cell>
          <cell r="D499" t="str">
            <v>202</v>
          </cell>
          <cell r="E499" t="str">
            <v>451</v>
          </cell>
          <cell r="F499">
            <v>-9684.92</v>
          </cell>
          <cell r="G499">
            <v>6</v>
          </cell>
          <cell r="H499" t="str">
            <v>2010-06-30</v>
          </cell>
        </row>
        <row r="500">
          <cell r="A500" t="str">
            <v>481004</v>
          </cell>
          <cell r="B500" t="str">
            <v>1015</v>
          </cell>
          <cell r="C500">
            <v>-23683.040000000001</v>
          </cell>
          <cell r="D500" t="str">
            <v>202</v>
          </cell>
          <cell r="E500" t="str">
            <v>451</v>
          </cell>
          <cell r="F500">
            <v>-34524.31</v>
          </cell>
          <cell r="G500">
            <v>1</v>
          </cell>
          <cell r="H500" t="str">
            <v>2010-01-31</v>
          </cell>
        </row>
        <row r="501">
          <cell r="A501" t="str">
            <v>481004</v>
          </cell>
          <cell r="B501" t="str">
            <v>1015</v>
          </cell>
          <cell r="C501">
            <v>-18564.47</v>
          </cell>
          <cell r="D501" t="str">
            <v>202</v>
          </cell>
          <cell r="E501" t="str">
            <v>451</v>
          </cell>
          <cell r="F501">
            <v>-23882.3</v>
          </cell>
          <cell r="G501">
            <v>3</v>
          </cell>
          <cell r="H501" t="str">
            <v>2010-03-31</v>
          </cell>
        </row>
        <row r="502">
          <cell r="A502" t="str">
            <v>481000</v>
          </cell>
          <cell r="B502" t="str">
            <v>1015</v>
          </cell>
          <cell r="C502">
            <v>0</v>
          </cell>
          <cell r="D502" t="str">
            <v>202</v>
          </cell>
          <cell r="E502" t="str">
            <v>451</v>
          </cell>
          <cell r="F502">
            <v>0</v>
          </cell>
          <cell r="G502">
            <v>11</v>
          </cell>
          <cell r="H502" t="str">
            <v>2009-11-30</v>
          </cell>
        </row>
        <row r="503">
          <cell r="A503" t="str">
            <v>481004</v>
          </cell>
          <cell r="B503" t="str">
            <v>1015</v>
          </cell>
          <cell r="C503">
            <v>-19075</v>
          </cell>
          <cell r="D503" t="str">
            <v>202</v>
          </cell>
          <cell r="E503" t="str">
            <v>451</v>
          </cell>
          <cell r="F503">
            <v>-24994</v>
          </cell>
          <cell r="G503">
            <v>11</v>
          </cell>
          <cell r="H503" t="str">
            <v>2009-11-30</v>
          </cell>
        </row>
        <row r="504">
          <cell r="A504" t="str">
            <v>481004</v>
          </cell>
          <cell r="B504" t="str">
            <v>1015</v>
          </cell>
          <cell r="C504">
            <v>-19751.580000000002</v>
          </cell>
          <cell r="D504" t="str">
            <v>202</v>
          </cell>
          <cell r="E504" t="str">
            <v>451</v>
          </cell>
          <cell r="F504">
            <v>-26035.99</v>
          </cell>
          <cell r="G504">
            <v>2</v>
          </cell>
          <cell r="H504" t="str">
            <v>2010-02-28</v>
          </cell>
        </row>
        <row r="505">
          <cell r="A505" t="str">
            <v>481004</v>
          </cell>
          <cell r="B505" t="str">
            <v>1015</v>
          </cell>
          <cell r="C505">
            <v>6737.1</v>
          </cell>
          <cell r="D505" t="str">
            <v>202</v>
          </cell>
          <cell r="E505" t="str">
            <v>451</v>
          </cell>
          <cell r="F505">
            <v>-19178.75</v>
          </cell>
          <cell r="G505">
            <v>5</v>
          </cell>
          <cell r="H505" t="str">
            <v>2010-05-31</v>
          </cell>
        </row>
        <row r="506">
          <cell r="A506" t="str">
            <v>480001</v>
          </cell>
          <cell r="B506" t="str">
            <v>1015</v>
          </cell>
          <cell r="C506">
            <v>-136884.76999999999</v>
          </cell>
          <cell r="D506" t="str">
            <v>202</v>
          </cell>
          <cell r="E506" t="str">
            <v>453</v>
          </cell>
          <cell r="F506">
            <v>-67242.39</v>
          </cell>
          <cell r="G506">
            <v>10</v>
          </cell>
          <cell r="H506" t="str">
            <v>2009-10-31</v>
          </cell>
        </row>
        <row r="507">
          <cell r="A507" t="str">
            <v>480001</v>
          </cell>
          <cell r="B507" t="str">
            <v>1015</v>
          </cell>
          <cell r="C507">
            <v>35045.360000000001</v>
          </cell>
          <cell r="D507" t="str">
            <v>202</v>
          </cell>
          <cell r="E507" t="str">
            <v>453</v>
          </cell>
          <cell r="F507">
            <v>30056</v>
          </cell>
          <cell r="G507">
            <v>1</v>
          </cell>
          <cell r="H507" t="str">
            <v>2010-01-31</v>
          </cell>
        </row>
        <row r="508">
          <cell r="A508" t="str">
            <v>480001</v>
          </cell>
          <cell r="B508" t="str">
            <v>1015</v>
          </cell>
          <cell r="C508">
            <v>65570</v>
          </cell>
          <cell r="D508" t="str">
            <v>202</v>
          </cell>
          <cell r="E508" t="str">
            <v>453</v>
          </cell>
          <cell r="F508">
            <v>34154</v>
          </cell>
          <cell r="G508">
            <v>4</v>
          </cell>
          <cell r="H508" t="str">
            <v>2010-04-30</v>
          </cell>
        </row>
        <row r="509">
          <cell r="A509" t="str">
            <v>481006</v>
          </cell>
          <cell r="B509" t="str">
            <v>1015</v>
          </cell>
          <cell r="C509">
            <v>15213</v>
          </cell>
          <cell r="D509" t="str">
            <v>202</v>
          </cell>
          <cell r="E509" t="str">
            <v>453</v>
          </cell>
          <cell r="F509">
            <v>1187</v>
          </cell>
          <cell r="G509">
            <v>5</v>
          </cell>
          <cell r="H509" t="str">
            <v>2010-05-31</v>
          </cell>
        </row>
        <row r="510">
          <cell r="A510" t="str">
            <v>481004</v>
          </cell>
          <cell r="B510" t="str">
            <v>1015</v>
          </cell>
          <cell r="C510">
            <v>-354082.17</v>
          </cell>
          <cell r="D510" t="str">
            <v>202</v>
          </cell>
          <cell r="E510" t="str">
            <v>453</v>
          </cell>
          <cell r="F510">
            <v>-179158.87</v>
          </cell>
          <cell r="G510">
            <v>3</v>
          </cell>
          <cell r="H510" t="str">
            <v>2010-03-31</v>
          </cell>
        </row>
        <row r="511">
          <cell r="A511" t="str">
            <v>480000</v>
          </cell>
          <cell r="B511" t="str">
            <v>1015</v>
          </cell>
          <cell r="C511">
            <v>-574219.76</v>
          </cell>
          <cell r="D511" t="str">
            <v>202</v>
          </cell>
          <cell r="E511" t="str">
            <v>453</v>
          </cell>
          <cell r="F511">
            <v>-167204.07</v>
          </cell>
          <cell r="G511">
            <v>5</v>
          </cell>
          <cell r="H511" t="str">
            <v>2010-05-31</v>
          </cell>
        </row>
        <row r="512">
          <cell r="A512" t="str">
            <v>480001</v>
          </cell>
          <cell r="B512" t="str">
            <v>1015</v>
          </cell>
          <cell r="C512">
            <v>13453.86</v>
          </cell>
          <cell r="D512" t="str">
            <v>202</v>
          </cell>
          <cell r="E512" t="str">
            <v>453</v>
          </cell>
          <cell r="F512">
            <v>7002.58</v>
          </cell>
          <cell r="G512">
            <v>9</v>
          </cell>
          <cell r="H512" t="str">
            <v>2009-09-30</v>
          </cell>
        </row>
        <row r="513">
          <cell r="A513" t="str">
            <v>480001</v>
          </cell>
          <cell r="B513" t="str">
            <v>1015</v>
          </cell>
          <cell r="C513">
            <v>-61773.4</v>
          </cell>
          <cell r="D513" t="str">
            <v>202</v>
          </cell>
          <cell r="E513" t="str">
            <v>453</v>
          </cell>
          <cell r="F513">
            <v>-29720.47</v>
          </cell>
          <cell r="G513">
            <v>11</v>
          </cell>
          <cell r="H513" t="str">
            <v>2009-11-30</v>
          </cell>
        </row>
        <row r="514">
          <cell r="A514" t="str">
            <v>481004</v>
          </cell>
          <cell r="B514" t="str">
            <v>1015</v>
          </cell>
          <cell r="C514">
            <v>-257822.34</v>
          </cell>
          <cell r="D514" t="str">
            <v>202</v>
          </cell>
          <cell r="E514" t="str">
            <v>453</v>
          </cell>
          <cell r="F514">
            <v>-115172.23</v>
          </cell>
          <cell r="G514">
            <v>11</v>
          </cell>
          <cell r="H514" t="str">
            <v>2009-11-30</v>
          </cell>
        </row>
        <row r="515">
          <cell r="A515" t="str">
            <v>480000</v>
          </cell>
          <cell r="B515" t="str">
            <v>1015</v>
          </cell>
          <cell r="C515">
            <v>-996301.4</v>
          </cell>
          <cell r="D515" t="str">
            <v>202</v>
          </cell>
          <cell r="E515" t="str">
            <v>453</v>
          </cell>
          <cell r="F515">
            <v>-380657.35</v>
          </cell>
          <cell r="G515">
            <v>1</v>
          </cell>
          <cell r="H515" t="str">
            <v>2010-01-31</v>
          </cell>
        </row>
        <row r="516">
          <cell r="A516" t="str">
            <v>481006</v>
          </cell>
          <cell r="B516" t="str">
            <v>1015</v>
          </cell>
          <cell r="C516">
            <v>-85715.78</v>
          </cell>
          <cell r="D516" t="str">
            <v>202</v>
          </cell>
          <cell r="E516" t="str">
            <v>453</v>
          </cell>
          <cell r="F516">
            <v>-59466.45</v>
          </cell>
          <cell r="G516">
            <v>12</v>
          </cell>
          <cell r="H516" t="str">
            <v>2009-12-31</v>
          </cell>
        </row>
        <row r="517">
          <cell r="A517" t="str">
            <v>480000</v>
          </cell>
          <cell r="B517" t="str">
            <v>1015</v>
          </cell>
          <cell r="C517">
            <v>-335632.26</v>
          </cell>
          <cell r="D517" t="str">
            <v>202</v>
          </cell>
          <cell r="E517" t="str">
            <v>453</v>
          </cell>
          <cell r="F517">
            <v>-59264.09</v>
          </cell>
          <cell r="G517">
            <v>7</v>
          </cell>
          <cell r="H517" t="str">
            <v>2009-07-31</v>
          </cell>
        </row>
        <row r="518">
          <cell r="A518" t="str">
            <v>481004</v>
          </cell>
          <cell r="B518" t="str">
            <v>1015</v>
          </cell>
          <cell r="C518">
            <v>-98146.18</v>
          </cell>
          <cell r="D518" t="str">
            <v>202</v>
          </cell>
          <cell r="E518" t="str">
            <v>453</v>
          </cell>
          <cell r="F518">
            <v>-32456.17</v>
          </cell>
          <cell r="G518">
            <v>7</v>
          </cell>
          <cell r="H518" t="str">
            <v>2009-07-31</v>
          </cell>
        </row>
        <row r="519">
          <cell r="A519" t="str">
            <v>481006</v>
          </cell>
          <cell r="B519" t="str">
            <v>1015</v>
          </cell>
          <cell r="C519">
            <v>-61816.2</v>
          </cell>
          <cell r="D519" t="str">
            <v>202</v>
          </cell>
          <cell r="E519" t="str">
            <v>453</v>
          </cell>
          <cell r="F519">
            <v>-40956.07</v>
          </cell>
          <cell r="G519">
            <v>10</v>
          </cell>
          <cell r="H519" t="str">
            <v>2009-10-31</v>
          </cell>
        </row>
        <row r="520">
          <cell r="A520" t="str">
            <v>481006</v>
          </cell>
          <cell r="B520" t="str">
            <v>1015</v>
          </cell>
          <cell r="C520">
            <v>-24742.66</v>
          </cell>
          <cell r="D520" t="str">
            <v>202</v>
          </cell>
          <cell r="E520" t="str">
            <v>453</v>
          </cell>
          <cell r="F520">
            <v>-18012.77</v>
          </cell>
          <cell r="G520">
            <v>11</v>
          </cell>
          <cell r="H520" t="str">
            <v>2009-11-30</v>
          </cell>
        </row>
        <row r="521">
          <cell r="A521" t="str">
            <v>481006</v>
          </cell>
          <cell r="B521" t="str">
            <v>1015</v>
          </cell>
          <cell r="C521">
            <v>7581.63</v>
          </cell>
          <cell r="D521" t="str">
            <v>202</v>
          </cell>
          <cell r="E521" t="str">
            <v>453</v>
          </cell>
          <cell r="F521">
            <v>9043</v>
          </cell>
          <cell r="G521">
            <v>1</v>
          </cell>
          <cell r="H521" t="str">
            <v>2010-01-31</v>
          </cell>
        </row>
        <row r="522">
          <cell r="A522" t="str">
            <v>481004</v>
          </cell>
          <cell r="B522" t="str">
            <v>1015</v>
          </cell>
          <cell r="C522">
            <v>-182736.8</v>
          </cell>
          <cell r="D522" t="str">
            <v>202</v>
          </cell>
          <cell r="E522" t="str">
            <v>453</v>
          </cell>
          <cell r="F522">
            <v>-67884.929999999993</v>
          </cell>
          <cell r="G522">
            <v>10</v>
          </cell>
          <cell r="H522" t="str">
            <v>2009-10-31</v>
          </cell>
        </row>
        <row r="523">
          <cell r="A523" t="str">
            <v>481004</v>
          </cell>
          <cell r="B523" t="str">
            <v>1015</v>
          </cell>
          <cell r="C523">
            <v>-377396.98</v>
          </cell>
          <cell r="D523" t="str">
            <v>202</v>
          </cell>
          <cell r="E523" t="str">
            <v>453</v>
          </cell>
          <cell r="F523">
            <v>-194835.72</v>
          </cell>
          <cell r="G523">
            <v>2</v>
          </cell>
          <cell r="H523" t="str">
            <v>2010-02-28</v>
          </cell>
        </row>
        <row r="524">
          <cell r="A524" t="str">
            <v>480000</v>
          </cell>
          <cell r="B524" t="str">
            <v>1015</v>
          </cell>
          <cell r="C524">
            <v>-801798.07</v>
          </cell>
          <cell r="D524" t="str">
            <v>202</v>
          </cell>
          <cell r="E524" t="str">
            <v>453</v>
          </cell>
          <cell r="F524">
            <v>-281763.58</v>
          </cell>
          <cell r="G524">
            <v>3</v>
          </cell>
          <cell r="H524" t="str">
            <v>2010-03-31</v>
          </cell>
        </row>
        <row r="525">
          <cell r="A525" t="str">
            <v>481004</v>
          </cell>
          <cell r="B525" t="str">
            <v>1015</v>
          </cell>
          <cell r="C525">
            <v>-324025.64</v>
          </cell>
          <cell r="D525" t="str">
            <v>202</v>
          </cell>
          <cell r="E525" t="str">
            <v>453</v>
          </cell>
          <cell r="F525">
            <v>-159150.17000000001</v>
          </cell>
          <cell r="G525">
            <v>4</v>
          </cell>
          <cell r="H525" t="str">
            <v>2010-04-30</v>
          </cell>
        </row>
        <row r="526">
          <cell r="A526" t="str">
            <v>480000</v>
          </cell>
          <cell r="B526" t="str">
            <v>1015</v>
          </cell>
          <cell r="C526">
            <v>-730175.54</v>
          </cell>
          <cell r="D526" t="str">
            <v>202</v>
          </cell>
          <cell r="E526" t="str">
            <v>453</v>
          </cell>
          <cell r="F526">
            <v>-246130.62</v>
          </cell>
          <cell r="G526">
            <v>4</v>
          </cell>
          <cell r="H526" t="str">
            <v>2010-04-30</v>
          </cell>
        </row>
        <row r="527">
          <cell r="A527" t="str">
            <v>481004</v>
          </cell>
          <cell r="B527" t="str">
            <v>1015</v>
          </cell>
          <cell r="C527">
            <v>-238022.39999999999</v>
          </cell>
          <cell r="D527" t="str">
            <v>202</v>
          </cell>
          <cell r="E527" t="str">
            <v>453</v>
          </cell>
          <cell r="F527">
            <v>-101468.39</v>
          </cell>
          <cell r="G527">
            <v>5</v>
          </cell>
          <cell r="H527" t="str">
            <v>2010-05-31</v>
          </cell>
        </row>
        <row r="528">
          <cell r="A528" t="str">
            <v>481006</v>
          </cell>
          <cell r="B528" t="str">
            <v>1015</v>
          </cell>
          <cell r="C528">
            <v>23517</v>
          </cell>
          <cell r="D528" t="str">
            <v>202</v>
          </cell>
          <cell r="E528" t="str">
            <v>453</v>
          </cell>
          <cell r="F528">
            <v>14775</v>
          </cell>
          <cell r="G528">
            <v>2</v>
          </cell>
          <cell r="H528" t="str">
            <v>2010-02-28</v>
          </cell>
        </row>
        <row r="529">
          <cell r="A529" t="str">
            <v>480000</v>
          </cell>
          <cell r="B529" t="str">
            <v>1015</v>
          </cell>
          <cell r="C529">
            <v>-320228.09999999998</v>
          </cell>
          <cell r="D529" t="str">
            <v>202</v>
          </cell>
          <cell r="E529" t="str">
            <v>453</v>
          </cell>
          <cell r="F529">
            <v>-42154.21</v>
          </cell>
          <cell r="G529">
            <v>8</v>
          </cell>
          <cell r="H529" t="str">
            <v>2009-08-31</v>
          </cell>
        </row>
        <row r="530">
          <cell r="A530" t="str">
            <v>480000</v>
          </cell>
          <cell r="B530" t="str">
            <v>1015</v>
          </cell>
          <cell r="C530">
            <v>-325806.86</v>
          </cell>
          <cell r="D530" t="str">
            <v>202</v>
          </cell>
          <cell r="E530" t="str">
            <v>453</v>
          </cell>
          <cell r="F530">
            <v>-45040.58</v>
          </cell>
          <cell r="G530">
            <v>9</v>
          </cell>
          <cell r="H530" t="str">
            <v>2009-09-30</v>
          </cell>
        </row>
        <row r="531">
          <cell r="A531" t="str">
            <v>480000</v>
          </cell>
          <cell r="B531" t="str">
            <v>1015</v>
          </cell>
          <cell r="C531">
            <v>-596548.6</v>
          </cell>
          <cell r="D531" t="str">
            <v>202</v>
          </cell>
          <cell r="E531" t="str">
            <v>453</v>
          </cell>
          <cell r="F531">
            <v>-180023.53</v>
          </cell>
          <cell r="G531">
            <v>11</v>
          </cell>
          <cell r="H531" t="str">
            <v>2009-11-30</v>
          </cell>
        </row>
        <row r="532">
          <cell r="A532" t="str">
            <v>480000</v>
          </cell>
          <cell r="B532" t="str">
            <v>1015</v>
          </cell>
          <cell r="C532">
            <v>-845888.3</v>
          </cell>
          <cell r="D532" t="str">
            <v>202</v>
          </cell>
          <cell r="E532" t="str">
            <v>453</v>
          </cell>
          <cell r="F532">
            <v>-305233.82</v>
          </cell>
          <cell r="G532">
            <v>12</v>
          </cell>
          <cell r="H532" t="str">
            <v>2009-12-31</v>
          </cell>
        </row>
        <row r="533">
          <cell r="A533" t="str">
            <v>481006</v>
          </cell>
          <cell r="B533" t="str">
            <v>1015</v>
          </cell>
          <cell r="C533">
            <v>-7543.18</v>
          </cell>
          <cell r="D533" t="str">
            <v>202</v>
          </cell>
          <cell r="E533" t="str">
            <v>453</v>
          </cell>
          <cell r="F533">
            <v>-7415.32</v>
          </cell>
          <cell r="G533">
            <v>8</v>
          </cell>
          <cell r="H533" t="str">
            <v>2009-08-31</v>
          </cell>
        </row>
        <row r="534">
          <cell r="A534" t="str">
            <v>480001</v>
          </cell>
          <cell r="B534" t="str">
            <v>1015</v>
          </cell>
          <cell r="C534">
            <v>63528</v>
          </cell>
          <cell r="D534" t="str">
            <v>202</v>
          </cell>
          <cell r="E534" t="str">
            <v>453</v>
          </cell>
          <cell r="F534">
            <v>32624</v>
          </cell>
          <cell r="G534">
            <v>3</v>
          </cell>
          <cell r="H534" t="str">
            <v>2010-03-31</v>
          </cell>
        </row>
        <row r="535">
          <cell r="A535" t="str">
            <v>481006</v>
          </cell>
          <cell r="B535" t="str">
            <v>1015</v>
          </cell>
          <cell r="C535">
            <v>41990</v>
          </cell>
          <cell r="D535" t="str">
            <v>202</v>
          </cell>
          <cell r="E535" t="str">
            <v>453</v>
          </cell>
          <cell r="F535">
            <v>26437</v>
          </cell>
          <cell r="G535">
            <v>4</v>
          </cell>
          <cell r="H535" t="str">
            <v>2010-04-30</v>
          </cell>
        </row>
        <row r="536">
          <cell r="A536" t="str">
            <v>480001</v>
          </cell>
          <cell r="B536" t="str">
            <v>1015</v>
          </cell>
          <cell r="C536">
            <v>85385</v>
          </cell>
          <cell r="D536" t="str">
            <v>202</v>
          </cell>
          <cell r="E536" t="str">
            <v>453</v>
          </cell>
          <cell r="F536">
            <v>7624</v>
          </cell>
          <cell r="G536">
            <v>5</v>
          </cell>
          <cell r="H536" t="str">
            <v>2010-05-31</v>
          </cell>
        </row>
        <row r="537">
          <cell r="A537" t="str">
            <v>481006</v>
          </cell>
          <cell r="B537" t="str">
            <v>1015</v>
          </cell>
          <cell r="C537">
            <v>64782</v>
          </cell>
          <cell r="D537" t="str">
            <v>202</v>
          </cell>
          <cell r="E537" t="str">
            <v>453</v>
          </cell>
          <cell r="F537">
            <v>40771</v>
          </cell>
          <cell r="G537">
            <v>6</v>
          </cell>
          <cell r="H537" t="str">
            <v>2010-06-30</v>
          </cell>
        </row>
        <row r="538">
          <cell r="A538" t="str">
            <v>481004</v>
          </cell>
          <cell r="B538" t="str">
            <v>1015</v>
          </cell>
          <cell r="C538">
            <v>-452230.65</v>
          </cell>
          <cell r="D538" t="str">
            <v>202</v>
          </cell>
          <cell r="E538" t="str">
            <v>453</v>
          </cell>
          <cell r="F538">
            <v>-248440.95999999999</v>
          </cell>
          <cell r="G538">
            <v>1</v>
          </cell>
          <cell r="H538" t="str">
            <v>2010-01-31</v>
          </cell>
        </row>
        <row r="539">
          <cell r="A539" t="str">
            <v>480001</v>
          </cell>
          <cell r="B539" t="str">
            <v>1015</v>
          </cell>
          <cell r="C539">
            <v>9213.67</v>
          </cell>
          <cell r="D539" t="str">
            <v>202</v>
          </cell>
          <cell r="E539" t="str">
            <v>453</v>
          </cell>
          <cell r="F539">
            <v>14221.38</v>
          </cell>
          <cell r="G539">
            <v>7</v>
          </cell>
          <cell r="H539" t="str">
            <v>2009-07-31</v>
          </cell>
        </row>
        <row r="540">
          <cell r="A540" t="str">
            <v>480001</v>
          </cell>
          <cell r="B540" t="str">
            <v>1015</v>
          </cell>
          <cell r="C540">
            <v>-3796.99</v>
          </cell>
          <cell r="D540" t="str">
            <v>202</v>
          </cell>
          <cell r="E540" t="str">
            <v>453</v>
          </cell>
          <cell r="F540">
            <v>-275.79000000000002</v>
          </cell>
          <cell r="G540">
            <v>8</v>
          </cell>
          <cell r="H540" t="str">
            <v>2009-08-31</v>
          </cell>
        </row>
        <row r="541">
          <cell r="A541" t="str">
            <v>481006</v>
          </cell>
          <cell r="B541" t="str">
            <v>1015</v>
          </cell>
          <cell r="C541">
            <v>10896.59</v>
          </cell>
          <cell r="D541" t="str">
            <v>202</v>
          </cell>
          <cell r="E541" t="str">
            <v>453</v>
          </cell>
          <cell r="F541">
            <v>7683.18</v>
          </cell>
          <cell r="G541">
            <v>9</v>
          </cell>
          <cell r="H541" t="str">
            <v>2009-09-30</v>
          </cell>
        </row>
        <row r="542">
          <cell r="A542" t="str">
            <v>480001</v>
          </cell>
          <cell r="B542" t="str">
            <v>1015</v>
          </cell>
          <cell r="C542">
            <v>-174161.7</v>
          </cell>
          <cell r="D542" t="str">
            <v>202</v>
          </cell>
          <cell r="E542" t="str">
            <v>453</v>
          </cell>
          <cell r="F542">
            <v>-88691.18</v>
          </cell>
          <cell r="G542">
            <v>12</v>
          </cell>
          <cell r="H542" t="str">
            <v>2009-12-31</v>
          </cell>
        </row>
        <row r="543">
          <cell r="A543" t="str">
            <v>480001</v>
          </cell>
          <cell r="B543" t="str">
            <v>1015</v>
          </cell>
          <cell r="C543">
            <v>43700</v>
          </cell>
          <cell r="D543" t="str">
            <v>202</v>
          </cell>
          <cell r="E543" t="str">
            <v>453</v>
          </cell>
          <cell r="F543">
            <v>22513</v>
          </cell>
          <cell r="G543">
            <v>2</v>
          </cell>
          <cell r="H543" t="str">
            <v>2010-02-28</v>
          </cell>
        </row>
        <row r="544">
          <cell r="A544" t="str">
            <v>481006</v>
          </cell>
          <cell r="B544" t="str">
            <v>1015</v>
          </cell>
          <cell r="C544">
            <v>33149</v>
          </cell>
          <cell r="D544" t="str">
            <v>202</v>
          </cell>
          <cell r="E544" t="str">
            <v>453</v>
          </cell>
          <cell r="F544">
            <v>21009</v>
          </cell>
          <cell r="G544">
            <v>3</v>
          </cell>
          <cell r="H544" t="str">
            <v>2010-03-31</v>
          </cell>
        </row>
        <row r="545">
          <cell r="A545" t="str">
            <v>481004</v>
          </cell>
          <cell r="B545" t="str">
            <v>1015</v>
          </cell>
          <cell r="C545">
            <v>-379588.22</v>
          </cell>
          <cell r="D545" t="str">
            <v>202</v>
          </cell>
          <cell r="E545" t="str">
            <v>453</v>
          </cell>
          <cell r="F545">
            <v>-197379.55</v>
          </cell>
          <cell r="G545">
            <v>12</v>
          </cell>
          <cell r="H545" t="str">
            <v>2009-12-31</v>
          </cell>
        </row>
        <row r="546">
          <cell r="A546" t="str">
            <v>480000</v>
          </cell>
          <cell r="B546" t="str">
            <v>1015</v>
          </cell>
          <cell r="C546">
            <v>-843995.43</v>
          </cell>
          <cell r="D546" t="str">
            <v>202</v>
          </cell>
          <cell r="E546" t="str">
            <v>453</v>
          </cell>
          <cell r="F546">
            <v>-303399.26</v>
          </cell>
          <cell r="G546">
            <v>2</v>
          </cell>
          <cell r="H546" t="str">
            <v>2010-02-28</v>
          </cell>
        </row>
        <row r="547">
          <cell r="A547" t="str">
            <v>480000</v>
          </cell>
          <cell r="B547" t="str">
            <v>1015</v>
          </cell>
          <cell r="C547">
            <v>-476109.4</v>
          </cell>
          <cell r="D547" t="str">
            <v>202</v>
          </cell>
          <cell r="E547" t="str">
            <v>453</v>
          </cell>
          <cell r="F547">
            <v>-117942.69</v>
          </cell>
          <cell r="G547">
            <v>6</v>
          </cell>
          <cell r="H547" t="str">
            <v>2010-06-30</v>
          </cell>
        </row>
        <row r="548">
          <cell r="A548" t="str">
            <v>481004</v>
          </cell>
          <cell r="B548" t="str">
            <v>1015</v>
          </cell>
          <cell r="C548">
            <v>-188307.71</v>
          </cell>
          <cell r="D548" t="str">
            <v>202</v>
          </cell>
          <cell r="E548" t="str">
            <v>453</v>
          </cell>
          <cell r="F548">
            <v>-70747.86</v>
          </cell>
          <cell r="G548">
            <v>6</v>
          </cell>
          <cell r="H548" t="str">
            <v>2010-06-30</v>
          </cell>
        </row>
        <row r="549">
          <cell r="A549" t="str">
            <v>481006</v>
          </cell>
          <cell r="B549" t="str">
            <v>1015</v>
          </cell>
          <cell r="C549">
            <v>-5287.25</v>
          </cell>
          <cell r="D549" t="str">
            <v>202</v>
          </cell>
          <cell r="E549" t="str">
            <v>453</v>
          </cell>
          <cell r="F549">
            <v>12816.22</v>
          </cell>
          <cell r="G549">
            <v>7</v>
          </cell>
          <cell r="H549" t="str">
            <v>2009-07-31</v>
          </cell>
        </row>
        <row r="550">
          <cell r="A550" t="str">
            <v>480001</v>
          </cell>
          <cell r="B550" t="str">
            <v>1015</v>
          </cell>
          <cell r="C550">
            <v>104029</v>
          </cell>
          <cell r="D550" t="str">
            <v>202</v>
          </cell>
          <cell r="E550" t="str">
            <v>453</v>
          </cell>
          <cell r="F550">
            <v>51862</v>
          </cell>
          <cell r="G550">
            <v>6</v>
          </cell>
          <cell r="H550" t="str">
            <v>2010-06-30</v>
          </cell>
        </row>
        <row r="551">
          <cell r="A551" t="str">
            <v>481004</v>
          </cell>
          <cell r="B551" t="str">
            <v>1015</v>
          </cell>
          <cell r="C551">
            <v>-104177.97</v>
          </cell>
          <cell r="D551" t="str">
            <v>202</v>
          </cell>
          <cell r="E551" t="str">
            <v>453</v>
          </cell>
          <cell r="F551">
            <v>-20951.68</v>
          </cell>
          <cell r="G551">
            <v>8</v>
          </cell>
          <cell r="H551" t="str">
            <v>2009-08-31</v>
          </cell>
        </row>
        <row r="552">
          <cell r="A552" t="str">
            <v>481004</v>
          </cell>
          <cell r="B552" t="str">
            <v>1015</v>
          </cell>
          <cell r="C552">
            <v>-108232.59</v>
          </cell>
          <cell r="D552" t="str">
            <v>202</v>
          </cell>
          <cell r="E552" t="str">
            <v>453</v>
          </cell>
          <cell r="F552">
            <v>-23640.18</v>
          </cell>
          <cell r="G552">
            <v>9</v>
          </cell>
          <cell r="H552" t="str">
            <v>2009-09-30</v>
          </cell>
        </row>
        <row r="553">
          <cell r="A553" t="str">
            <v>480000</v>
          </cell>
          <cell r="B553" t="str">
            <v>1015</v>
          </cell>
          <cell r="C553">
            <v>-458439.23</v>
          </cell>
          <cell r="D553" t="str">
            <v>202</v>
          </cell>
          <cell r="E553" t="str">
            <v>453</v>
          </cell>
          <cell r="F553">
            <v>-111410.61</v>
          </cell>
          <cell r="G553">
            <v>10</v>
          </cell>
          <cell r="H553" t="str">
            <v>2009-10-31</v>
          </cell>
        </row>
        <row r="554">
          <cell r="A554" t="str">
            <v>480000</v>
          </cell>
          <cell r="B554" t="str">
            <v>1015</v>
          </cell>
          <cell r="C554">
            <v>-11.41</v>
          </cell>
          <cell r="D554" t="str">
            <v>202</v>
          </cell>
          <cell r="E554" t="str">
            <v>455</v>
          </cell>
          <cell r="F554">
            <v>0.71</v>
          </cell>
          <cell r="G554">
            <v>7</v>
          </cell>
          <cell r="H554" t="str">
            <v>2009-07-31</v>
          </cell>
        </row>
        <row r="555">
          <cell r="A555" t="str">
            <v>481004</v>
          </cell>
          <cell r="B555" t="str">
            <v>1015</v>
          </cell>
          <cell r="C555">
            <v>259.43</v>
          </cell>
          <cell r="D555" t="str">
            <v>202</v>
          </cell>
          <cell r="E555" t="str">
            <v>455</v>
          </cell>
          <cell r="F555">
            <v>116.95</v>
          </cell>
          <cell r="G555">
            <v>7</v>
          </cell>
          <cell r="H555" t="str">
            <v>2009-07-31</v>
          </cell>
        </row>
        <row r="556">
          <cell r="A556" t="str">
            <v>481005</v>
          </cell>
          <cell r="B556" t="str">
            <v>1015</v>
          </cell>
          <cell r="C556">
            <v>-933</v>
          </cell>
          <cell r="D556" t="str">
            <v>202</v>
          </cell>
          <cell r="E556" t="str">
            <v>457</v>
          </cell>
          <cell r="F556">
            <v>-7207</v>
          </cell>
          <cell r="G556">
            <v>7</v>
          </cell>
          <cell r="H556" t="str">
            <v>2009-07-31</v>
          </cell>
        </row>
        <row r="557">
          <cell r="A557" t="str">
            <v>481002</v>
          </cell>
          <cell r="B557" t="str">
            <v>1015</v>
          </cell>
          <cell r="C557">
            <v>-354</v>
          </cell>
          <cell r="D557" t="str">
            <v>202</v>
          </cell>
          <cell r="E557" t="str">
            <v>457</v>
          </cell>
          <cell r="F557">
            <v>-2049</v>
          </cell>
          <cell r="G557">
            <v>12</v>
          </cell>
          <cell r="H557" t="str">
            <v>2009-12-31</v>
          </cell>
        </row>
        <row r="558">
          <cell r="A558" t="str">
            <v>481005</v>
          </cell>
          <cell r="B558" t="str">
            <v>1015</v>
          </cell>
          <cell r="C558">
            <v>-2492.23</v>
          </cell>
          <cell r="D558" t="str">
            <v>202</v>
          </cell>
          <cell r="E558" t="str">
            <v>457</v>
          </cell>
          <cell r="F558">
            <v>-19696.66</v>
          </cell>
          <cell r="G558">
            <v>1</v>
          </cell>
          <cell r="H558" t="str">
            <v>2010-01-31</v>
          </cell>
        </row>
        <row r="559">
          <cell r="A559" t="str">
            <v>481005</v>
          </cell>
          <cell r="B559" t="str">
            <v>1015</v>
          </cell>
          <cell r="C559">
            <v>-2404.39</v>
          </cell>
          <cell r="D559" t="str">
            <v>202</v>
          </cell>
          <cell r="E559" t="str">
            <v>457</v>
          </cell>
          <cell r="F559">
            <v>-13448.54</v>
          </cell>
          <cell r="G559">
            <v>2</v>
          </cell>
          <cell r="H559" t="str">
            <v>2010-02-28</v>
          </cell>
        </row>
        <row r="560">
          <cell r="A560" t="str">
            <v>481002</v>
          </cell>
          <cell r="B560" t="str">
            <v>1015</v>
          </cell>
          <cell r="C560">
            <v>-970.25</v>
          </cell>
          <cell r="D560" t="str">
            <v>202</v>
          </cell>
          <cell r="E560" t="str">
            <v>457</v>
          </cell>
          <cell r="F560">
            <v>-2513.2199999999998</v>
          </cell>
          <cell r="G560">
            <v>5</v>
          </cell>
          <cell r="H560" t="str">
            <v>2010-05-31</v>
          </cell>
        </row>
        <row r="561">
          <cell r="A561" t="str">
            <v>481002</v>
          </cell>
          <cell r="B561" t="str">
            <v>1015</v>
          </cell>
          <cell r="C561">
            <v>-316</v>
          </cell>
          <cell r="D561" t="str">
            <v>202</v>
          </cell>
          <cell r="E561" t="str">
            <v>457</v>
          </cell>
          <cell r="F561">
            <v>-1759</v>
          </cell>
          <cell r="G561">
            <v>8</v>
          </cell>
          <cell r="H561" t="str">
            <v>2009-08-31</v>
          </cell>
        </row>
        <row r="562">
          <cell r="A562" t="str">
            <v>481005</v>
          </cell>
          <cell r="B562" t="str">
            <v>1015</v>
          </cell>
          <cell r="C562">
            <v>-2322.4</v>
          </cell>
          <cell r="D562" t="str">
            <v>202</v>
          </cell>
          <cell r="E562" t="str">
            <v>457</v>
          </cell>
          <cell r="F562">
            <v>-12793.85</v>
          </cell>
          <cell r="G562">
            <v>4</v>
          </cell>
          <cell r="H562" t="str">
            <v>2010-04-30</v>
          </cell>
        </row>
        <row r="563">
          <cell r="A563" t="str">
            <v>481002</v>
          </cell>
          <cell r="B563" t="str">
            <v>1015</v>
          </cell>
          <cell r="C563">
            <v>-945.29</v>
          </cell>
          <cell r="D563" t="str">
            <v>202</v>
          </cell>
          <cell r="E563" t="str">
            <v>457</v>
          </cell>
          <cell r="F563">
            <v>-2316.65</v>
          </cell>
          <cell r="G563">
            <v>1</v>
          </cell>
          <cell r="H563" t="str">
            <v>2010-01-31</v>
          </cell>
        </row>
        <row r="564">
          <cell r="A564" t="str">
            <v>481002</v>
          </cell>
          <cell r="B564" t="str">
            <v>1015</v>
          </cell>
          <cell r="C564">
            <v>-887.33</v>
          </cell>
          <cell r="D564" t="str">
            <v>202</v>
          </cell>
          <cell r="E564" t="str">
            <v>457</v>
          </cell>
          <cell r="F564">
            <v>-1884.47</v>
          </cell>
          <cell r="G564">
            <v>4</v>
          </cell>
          <cell r="H564" t="str">
            <v>2010-04-30</v>
          </cell>
        </row>
        <row r="565">
          <cell r="A565" t="str">
            <v>481005</v>
          </cell>
          <cell r="B565" t="str">
            <v>1015</v>
          </cell>
          <cell r="C565">
            <v>3683.25</v>
          </cell>
          <cell r="D565" t="str">
            <v>202</v>
          </cell>
          <cell r="E565" t="str">
            <v>457</v>
          </cell>
          <cell r="F565">
            <v>-11545.05</v>
          </cell>
          <cell r="G565">
            <v>5</v>
          </cell>
          <cell r="H565" t="str">
            <v>2010-05-31</v>
          </cell>
        </row>
        <row r="566">
          <cell r="A566" t="str">
            <v>481005</v>
          </cell>
          <cell r="B566" t="str">
            <v>1015</v>
          </cell>
          <cell r="C566">
            <v>-1979</v>
          </cell>
          <cell r="D566" t="str">
            <v>202</v>
          </cell>
          <cell r="E566" t="str">
            <v>457</v>
          </cell>
          <cell r="F566">
            <v>-6037</v>
          </cell>
          <cell r="G566">
            <v>8</v>
          </cell>
          <cell r="H566" t="str">
            <v>2009-08-31</v>
          </cell>
        </row>
        <row r="567">
          <cell r="A567" t="str">
            <v>481005</v>
          </cell>
          <cell r="B567" t="str">
            <v>1015</v>
          </cell>
          <cell r="C567">
            <v>-2041</v>
          </cell>
          <cell r="D567" t="str">
            <v>202</v>
          </cell>
          <cell r="E567" t="str">
            <v>457</v>
          </cell>
          <cell r="F567">
            <v>-6494</v>
          </cell>
          <cell r="G567">
            <v>10</v>
          </cell>
          <cell r="H567" t="str">
            <v>2009-10-31</v>
          </cell>
        </row>
        <row r="568">
          <cell r="A568" t="str">
            <v>481005</v>
          </cell>
          <cell r="B568" t="str">
            <v>1015</v>
          </cell>
          <cell r="C568">
            <v>-1832</v>
          </cell>
          <cell r="D568" t="str">
            <v>202</v>
          </cell>
          <cell r="E568" t="str">
            <v>457</v>
          </cell>
          <cell r="F568">
            <v>-4866</v>
          </cell>
          <cell r="G568">
            <v>9</v>
          </cell>
          <cell r="H568" t="str">
            <v>2009-09-30</v>
          </cell>
        </row>
        <row r="569">
          <cell r="A569" t="str">
            <v>481005</v>
          </cell>
          <cell r="B569" t="str">
            <v>1015</v>
          </cell>
          <cell r="C569">
            <v>-944.52</v>
          </cell>
          <cell r="D569" t="str">
            <v>202</v>
          </cell>
          <cell r="E569" t="str">
            <v>457</v>
          </cell>
          <cell r="F569">
            <v>-2229.14</v>
          </cell>
          <cell r="G569">
            <v>6</v>
          </cell>
          <cell r="H569" t="str">
            <v>2010-06-30</v>
          </cell>
        </row>
        <row r="570">
          <cell r="A570" t="str">
            <v>481002</v>
          </cell>
          <cell r="B570" t="str">
            <v>1015</v>
          </cell>
          <cell r="C570">
            <v>-1161.46</v>
          </cell>
          <cell r="D570" t="str">
            <v>202</v>
          </cell>
          <cell r="E570" t="str">
            <v>457</v>
          </cell>
          <cell r="F570">
            <v>-3970.9</v>
          </cell>
          <cell r="G570">
            <v>6</v>
          </cell>
          <cell r="H570" t="str">
            <v>2010-06-30</v>
          </cell>
        </row>
        <row r="571">
          <cell r="A571" t="str">
            <v>481002</v>
          </cell>
          <cell r="B571" t="str">
            <v>1015</v>
          </cell>
          <cell r="C571">
            <v>-329</v>
          </cell>
          <cell r="D571" t="str">
            <v>202</v>
          </cell>
          <cell r="E571" t="str">
            <v>457</v>
          </cell>
          <cell r="F571">
            <v>-1853</v>
          </cell>
          <cell r="G571">
            <v>7</v>
          </cell>
          <cell r="H571" t="str">
            <v>2009-07-31</v>
          </cell>
        </row>
        <row r="572">
          <cell r="A572" t="str">
            <v>481002</v>
          </cell>
          <cell r="B572" t="str">
            <v>1015</v>
          </cell>
          <cell r="C572">
            <v>-239</v>
          </cell>
          <cell r="D572" t="str">
            <v>202</v>
          </cell>
          <cell r="E572" t="str">
            <v>457</v>
          </cell>
          <cell r="F572">
            <v>-1168</v>
          </cell>
          <cell r="G572">
            <v>9</v>
          </cell>
          <cell r="H572" t="str">
            <v>2009-09-30</v>
          </cell>
        </row>
        <row r="573">
          <cell r="A573" t="str">
            <v>481002</v>
          </cell>
          <cell r="B573" t="str">
            <v>1015</v>
          </cell>
          <cell r="C573">
            <v>-336</v>
          </cell>
          <cell r="D573" t="str">
            <v>202</v>
          </cell>
          <cell r="E573" t="str">
            <v>457</v>
          </cell>
          <cell r="F573">
            <v>-1909</v>
          </cell>
          <cell r="G573">
            <v>11</v>
          </cell>
          <cell r="H573" t="str">
            <v>2009-11-30</v>
          </cell>
        </row>
        <row r="574">
          <cell r="A574" t="str">
            <v>481005</v>
          </cell>
          <cell r="B574" t="str">
            <v>1015</v>
          </cell>
          <cell r="C574">
            <v>-3021</v>
          </cell>
          <cell r="D574" t="str">
            <v>202</v>
          </cell>
          <cell r="E574" t="str">
            <v>457</v>
          </cell>
          <cell r="F574">
            <v>-14170</v>
          </cell>
          <cell r="G574">
            <v>12</v>
          </cell>
          <cell r="H574" t="str">
            <v>2009-12-31</v>
          </cell>
        </row>
        <row r="575">
          <cell r="A575" t="str">
            <v>481002</v>
          </cell>
          <cell r="B575" t="str">
            <v>1015</v>
          </cell>
          <cell r="C575">
            <v>-306</v>
          </cell>
          <cell r="D575" t="str">
            <v>202</v>
          </cell>
          <cell r="E575" t="str">
            <v>457</v>
          </cell>
          <cell r="F575">
            <v>-1682</v>
          </cell>
          <cell r="G575">
            <v>10</v>
          </cell>
          <cell r="H575" t="str">
            <v>2009-10-31</v>
          </cell>
        </row>
        <row r="576">
          <cell r="A576" t="str">
            <v>481005</v>
          </cell>
          <cell r="B576" t="str">
            <v>1015</v>
          </cell>
          <cell r="C576">
            <v>-3084</v>
          </cell>
          <cell r="D576" t="str">
            <v>202</v>
          </cell>
          <cell r="E576" t="str">
            <v>457</v>
          </cell>
          <cell r="F576">
            <v>-14665</v>
          </cell>
          <cell r="G576">
            <v>11</v>
          </cell>
          <cell r="H576" t="str">
            <v>2009-11-30</v>
          </cell>
        </row>
        <row r="577">
          <cell r="A577" t="str">
            <v>481002</v>
          </cell>
          <cell r="B577" t="str">
            <v>1015</v>
          </cell>
          <cell r="C577">
            <v>-834.7</v>
          </cell>
          <cell r="D577" t="str">
            <v>202</v>
          </cell>
          <cell r="E577" t="str">
            <v>457</v>
          </cell>
          <cell r="F577">
            <v>-1477</v>
          </cell>
          <cell r="G577">
            <v>2</v>
          </cell>
          <cell r="H577" t="str">
            <v>2010-02-28</v>
          </cell>
        </row>
        <row r="578">
          <cell r="A578" t="str">
            <v>481005</v>
          </cell>
          <cell r="B578" t="str">
            <v>1015</v>
          </cell>
          <cell r="C578">
            <v>-2380.1799999999998</v>
          </cell>
          <cell r="D578" t="str">
            <v>202</v>
          </cell>
          <cell r="E578" t="str">
            <v>457</v>
          </cell>
          <cell r="F578">
            <v>-13304.69</v>
          </cell>
          <cell r="G578">
            <v>3</v>
          </cell>
          <cell r="H578" t="str">
            <v>2010-03-31</v>
          </cell>
        </row>
        <row r="579">
          <cell r="A579" t="str">
            <v>481002</v>
          </cell>
          <cell r="B579" t="str">
            <v>1015</v>
          </cell>
          <cell r="C579">
            <v>-810.52</v>
          </cell>
          <cell r="D579" t="str">
            <v>202</v>
          </cell>
          <cell r="E579" t="str">
            <v>457</v>
          </cell>
          <cell r="F579">
            <v>-1296</v>
          </cell>
          <cell r="G579">
            <v>3</v>
          </cell>
          <cell r="H579" t="str">
            <v>2010-03-31</v>
          </cell>
        </row>
        <row r="580">
          <cell r="A580" t="str">
            <v>481004</v>
          </cell>
          <cell r="B580" t="str">
            <v>1015</v>
          </cell>
          <cell r="C580">
            <v>-203200</v>
          </cell>
          <cell r="D580" t="str">
            <v>203</v>
          </cell>
          <cell r="E580" t="str">
            <v>402</v>
          </cell>
          <cell r="F580">
            <v>0</v>
          </cell>
          <cell r="G580">
            <v>7</v>
          </cell>
          <cell r="H580" t="str">
            <v>2009-07-31</v>
          </cell>
        </row>
        <row r="581">
          <cell r="A581" t="str">
            <v>481004</v>
          </cell>
          <cell r="B581" t="str">
            <v>1015</v>
          </cell>
          <cell r="C581">
            <v>-137</v>
          </cell>
          <cell r="D581" t="str">
            <v>203</v>
          </cell>
          <cell r="E581" t="str">
            <v>402</v>
          </cell>
          <cell r="F581">
            <v>0</v>
          </cell>
          <cell r="G581">
            <v>9</v>
          </cell>
          <cell r="H581" t="str">
            <v>2009-09-30</v>
          </cell>
        </row>
        <row r="582">
          <cell r="A582" t="str">
            <v>481004</v>
          </cell>
          <cell r="B582" t="str">
            <v>1015</v>
          </cell>
          <cell r="C582">
            <v>-152025.20000000001</v>
          </cell>
          <cell r="D582" t="str">
            <v>203</v>
          </cell>
          <cell r="E582" t="str">
            <v>402</v>
          </cell>
          <cell r="F582">
            <v>0</v>
          </cell>
          <cell r="G582">
            <v>6</v>
          </cell>
          <cell r="H582" t="str">
            <v>2010-06-30</v>
          </cell>
        </row>
        <row r="583">
          <cell r="A583" t="str">
            <v>481000</v>
          </cell>
          <cell r="B583" t="str">
            <v>1015</v>
          </cell>
          <cell r="C583">
            <v>-15619</v>
          </cell>
          <cell r="D583" t="str">
            <v>203</v>
          </cell>
          <cell r="E583" t="str">
            <v>402</v>
          </cell>
          <cell r="F583">
            <v>0</v>
          </cell>
          <cell r="G583">
            <v>8</v>
          </cell>
          <cell r="H583" t="str">
            <v>2009-08-31</v>
          </cell>
        </row>
        <row r="584">
          <cell r="A584" t="str">
            <v>481004</v>
          </cell>
          <cell r="B584" t="str">
            <v>1015</v>
          </cell>
          <cell r="C584">
            <v>-446892.21</v>
          </cell>
          <cell r="D584" t="str">
            <v>203</v>
          </cell>
          <cell r="E584" t="str">
            <v>402</v>
          </cell>
          <cell r="F584">
            <v>0</v>
          </cell>
          <cell r="G584">
            <v>1</v>
          </cell>
          <cell r="H584" t="str">
            <v>2010-01-31</v>
          </cell>
        </row>
        <row r="585">
          <cell r="A585" t="str">
            <v>481004</v>
          </cell>
          <cell r="B585" t="str">
            <v>1015</v>
          </cell>
          <cell r="C585">
            <v>-458.53</v>
          </cell>
          <cell r="D585" t="str">
            <v>203</v>
          </cell>
          <cell r="E585" t="str">
            <v>402</v>
          </cell>
          <cell r="F585">
            <v>0</v>
          </cell>
          <cell r="G585">
            <v>2</v>
          </cell>
          <cell r="H585" t="str">
            <v>2010-02-28</v>
          </cell>
        </row>
        <row r="586">
          <cell r="A586" t="str">
            <v>481004</v>
          </cell>
          <cell r="B586" t="str">
            <v>1015</v>
          </cell>
          <cell r="C586">
            <v>-499.94</v>
          </cell>
          <cell r="D586" t="str">
            <v>203</v>
          </cell>
          <cell r="E586" t="str">
            <v>402</v>
          </cell>
          <cell r="F586">
            <v>0</v>
          </cell>
          <cell r="G586">
            <v>3</v>
          </cell>
          <cell r="H586" t="str">
            <v>2010-03-31</v>
          </cell>
        </row>
        <row r="587">
          <cell r="A587" t="str">
            <v>481004</v>
          </cell>
          <cell r="B587" t="str">
            <v>1015</v>
          </cell>
          <cell r="C587">
            <v>-236128</v>
          </cell>
          <cell r="D587" t="str">
            <v>203</v>
          </cell>
          <cell r="E587" t="str">
            <v>402</v>
          </cell>
          <cell r="F587">
            <v>0</v>
          </cell>
          <cell r="G587">
            <v>9</v>
          </cell>
          <cell r="H587" t="str">
            <v>2009-09-30</v>
          </cell>
        </row>
        <row r="588">
          <cell r="A588" t="str">
            <v>481004</v>
          </cell>
          <cell r="B588" t="str">
            <v>1015</v>
          </cell>
          <cell r="C588">
            <v>-340714</v>
          </cell>
          <cell r="D588" t="str">
            <v>203</v>
          </cell>
          <cell r="E588" t="str">
            <v>402</v>
          </cell>
          <cell r="F588">
            <v>0</v>
          </cell>
          <cell r="G588">
            <v>10</v>
          </cell>
          <cell r="H588" t="str">
            <v>2009-10-31</v>
          </cell>
        </row>
        <row r="589">
          <cell r="A589" t="str">
            <v>481000</v>
          </cell>
          <cell r="B589" t="str">
            <v>1015</v>
          </cell>
          <cell r="C589">
            <v>-46567</v>
          </cell>
          <cell r="D589" t="str">
            <v>203</v>
          </cell>
          <cell r="E589" t="str">
            <v>402</v>
          </cell>
          <cell r="F589">
            <v>0</v>
          </cell>
          <cell r="G589">
            <v>11</v>
          </cell>
          <cell r="H589" t="str">
            <v>2009-11-30</v>
          </cell>
        </row>
        <row r="590">
          <cell r="A590" t="str">
            <v>481004</v>
          </cell>
          <cell r="B590" t="str">
            <v>1015</v>
          </cell>
          <cell r="C590">
            <v>-672961</v>
          </cell>
          <cell r="D590" t="str">
            <v>203</v>
          </cell>
          <cell r="E590" t="str">
            <v>402</v>
          </cell>
          <cell r="F590">
            <v>0</v>
          </cell>
          <cell r="G590">
            <v>11</v>
          </cell>
          <cell r="H590" t="str">
            <v>2009-11-30</v>
          </cell>
        </row>
        <row r="591">
          <cell r="A591" t="str">
            <v>481004</v>
          </cell>
          <cell r="B591" t="str">
            <v>1015</v>
          </cell>
          <cell r="C591">
            <v>-886431</v>
          </cell>
          <cell r="D591" t="str">
            <v>203</v>
          </cell>
          <cell r="E591" t="str">
            <v>402</v>
          </cell>
          <cell r="F591">
            <v>0</v>
          </cell>
          <cell r="G591">
            <v>12</v>
          </cell>
          <cell r="H591" t="str">
            <v>2009-12-31</v>
          </cell>
        </row>
        <row r="592">
          <cell r="A592" t="str">
            <v>481004</v>
          </cell>
          <cell r="B592" t="str">
            <v>1015</v>
          </cell>
          <cell r="C592">
            <v>-755.56</v>
          </cell>
          <cell r="D592" t="str">
            <v>203</v>
          </cell>
          <cell r="E592" t="str">
            <v>402</v>
          </cell>
          <cell r="F592">
            <v>0</v>
          </cell>
          <cell r="G592">
            <v>1</v>
          </cell>
          <cell r="H592" t="str">
            <v>2010-01-31</v>
          </cell>
        </row>
        <row r="593">
          <cell r="A593" t="str">
            <v>481000</v>
          </cell>
          <cell r="B593" t="str">
            <v>1015</v>
          </cell>
          <cell r="C593">
            <v>-242987.41</v>
          </cell>
          <cell r="D593" t="str">
            <v>203</v>
          </cell>
          <cell r="E593" t="str">
            <v>402</v>
          </cell>
          <cell r="F593">
            <v>0</v>
          </cell>
          <cell r="G593">
            <v>2</v>
          </cell>
          <cell r="H593" t="str">
            <v>2010-02-28</v>
          </cell>
        </row>
        <row r="594">
          <cell r="A594" t="str">
            <v>481000</v>
          </cell>
          <cell r="B594" t="str">
            <v>1015</v>
          </cell>
          <cell r="C594">
            <v>-243729.98</v>
          </cell>
          <cell r="D594" t="str">
            <v>203</v>
          </cell>
          <cell r="E594" t="str">
            <v>402</v>
          </cell>
          <cell r="F594">
            <v>0</v>
          </cell>
          <cell r="G594">
            <v>3</v>
          </cell>
          <cell r="H594" t="str">
            <v>2010-03-31</v>
          </cell>
        </row>
        <row r="595">
          <cell r="A595" t="str">
            <v>481000</v>
          </cell>
          <cell r="B595" t="str">
            <v>1015</v>
          </cell>
          <cell r="C595">
            <v>-103523.3</v>
          </cell>
          <cell r="D595" t="str">
            <v>203</v>
          </cell>
          <cell r="E595" t="str">
            <v>402</v>
          </cell>
          <cell r="F595">
            <v>0</v>
          </cell>
          <cell r="G595">
            <v>5</v>
          </cell>
          <cell r="H595" t="str">
            <v>2010-05-31</v>
          </cell>
        </row>
        <row r="596">
          <cell r="A596" t="str">
            <v>481004</v>
          </cell>
          <cell r="B596" t="str">
            <v>1015</v>
          </cell>
          <cell r="C596">
            <v>-153</v>
          </cell>
          <cell r="D596" t="str">
            <v>203</v>
          </cell>
          <cell r="E596" t="str">
            <v>402</v>
          </cell>
          <cell r="F596">
            <v>0</v>
          </cell>
          <cell r="G596">
            <v>7</v>
          </cell>
          <cell r="H596" t="str">
            <v>2009-07-31</v>
          </cell>
        </row>
        <row r="597">
          <cell r="A597" t="str">
            <v>481004</v>
          </cell>
          <cell r="B597" t="str">
            <v>1015</v>
          </cell>
          <cell r="C597">
            <v>-596</v>
          </cell>
          <cell r="D597" t="str">
            <v>203</v>
          </cell>
          <cell r="E597" t="str">
            <v>402</v>
          </cell>
          <cell r="F597">
            <v>0</v>
          </cell>
          <cell r="G597">
            <v>12</v>
          </cell>
          <cell r="H597" t="str">
            <v>2009-12-31</v>
          </cell>
        </row>
        <row r="598">
          <cell r="A598" t="str">
            <v>481000</v>
          </cell>
          <cell r="B598" t="str">
            <v>1015</v>
          </cell>
          <cell r="C598">
            <v>-104419.28</v>
          </cell>
          <cell r="D598" t="str">
            <v>203</v>
          </cell>
          <cell r="E598" t="str">
            <v>402</v>
          </cell>
          <cell r="F598">
            <v>0</v>
          </cell>
          <cell r="G598">
            <v>6</v>
          </cell>
          <cell r="H598" t="str">
            <v>2010-06-30</v>
          </cell>
        </row>
        <row r="599">
          <cell r="A599" t="str">
            <v>481004</v>
          </cell>
          <cell r="B599" t="str">
            <v>1015</v>
          </cell>
          <cell r="C599">
            <v>-136</v>
          </cell>
          <cell r="D599" t="str">
            <v>203</v>
          </cell>
          <cell r="E599" t="str">
            <v>402</v>
          </cell>
          <cell r="F599">
            <v>0</v>
          </cell>
          <cell r="G599">
            <v>8</v>
          </cell>
          <cell r="H599" t="str">
            <v>2009-08-31</v>
          </cell>
        </row>
        <row r="600">
          <cell r="A600" t="str">
            <v>481000</v>
          </cell>
          <cell r="B600" t="str">
            <v>1015</v>
          </cell>
          <cell r="C600">
            <v>-21597</v>
          </cell>
          <cell r="D600" t="str">
            <v>203</v>
          </cell>
          <cell r="E600" t="str">
            <v>402</v>
          </cell>
          <cell r="F600">
            <v>0</v>
          </cell>
          <cell r="G600">
            <v>10</v>
          </cell>
          <cell r="H600" t="str">
            <v>2009-10-31</v>
          </cell>
        </row>
        <row r="601">
          <cell r="A601" t="str">
            <v>481004</v>
          </cell>
          <cell r="B601" t="str">
            <v>1015</v>
          </cell>
          <cell r="C601">
            <v>-285.26</v>
          </cell>
          <cell r="D601" t="str">
            <v>203</v>
          </cell>
          <cell r="E601" t="str">
            <v>402</v>
          </cell>
          <cell r="F601">
            <v>0</v>
          </cell>
          <cell r="G601">
            <v>4</v>
          </cell>
          <cell r="H601" t="str">
            <v>2010-04-30</v>
          </cell>
        </row>
        <row r="602">
          <cell r="A602" t="str">
            <v>481004</v>
          </cell>
          <cell r="B602" t="str">
            <v>1015</v>
          </cell>
          <cell r="C602">
            <v>-108.4</v>
          </cell>
          <cell r="D602" t="str">
            <v>203</v>
          </cell>
          <cell r="E602" t="str">
            <v>402</v>
          </cell>
          <cell r="F602">
            <v>0</v>
          </cell>
          <cell r="G602">
            <v>6</v>
          </cell>
          <cell r="H602" t="str">
            <v>2010-06-30</v>
          </cell>
        </row>
        <row r="603">
          <cell r="A603" t="str">
            <v>481004</v>
          </cell>
          <cell r="B603" t="str">
            <v>1015</v>
          </cell>
          <cell r="C603">
            <v>-512149.85</v>
          </cell>
          <cell r="D603" t="str">
            <v>203</v>
          </cell>
          <cell r="E603" t="str">
            <v>402</v>
          </cell>
          <cell r="F603">
            <v>0</v>
          </cell>
          <cell r="G603">
            <v>3</v>
          </cell>
          <cell r="H603" t="str">
            <v>2010-03-31</v>
          </cell>
        </row>
        <row r="604">
          <cell r="A604" t="str">
            <v>481004</v>
          </cell>
          <cell r="B604" t="str">
            <v>1015</v>
          </cell>
          <cell r="C604">
            <v>-166904.07999999999</v>
          </cell>
          <cell r="D604" t="str">
            <v>203</v>
          </cell>
          <cell r="E604" t="str">
            <v>402</v>
          </cell>
          <cell r="F604">
            <v>0</v>
          </cell>
          <cell r="G604">
            <v>4</v>
          </cell>
          <cell r="H604" t="str">
            <v>2010-04-30</v>
          </cell>
        </row>
        <row r="605">
          <cell r="A605" t="str">
            <v>481000</v>
          </cell>
          <cell r="B605" t="str">
            <v>1015</v>
          </cell>
          <cell r="C605">
            <v>-189992.87</v>
          </cell>
          <cell r="D605" t="str">
            <v>203</v>
          </cell>
          <cell r="E605" t="str">
            <v>402</v>
          </cell>
          <cell r="F605">
            <v>0</v>
          </cell>
          <cell r="G605">
            <v>4</v>
          </cell>
          <cell r="H605" t="str">
            <v>2010-04-30</v>
          </cell>
        </row>
        <row r="606">
          <cell r="A606" t="str">
            <v>481004</v>
          </cell>
          <cell r="B606" t="str">
            <v>1015</v>
          </cell>
          <cell r="C606">
            <v>-237.43</v>
          </cell>
          <cell r="D606" t="str">
            <v>203</v>
          </cell>
          <cell r="E606" t="str">
            <v>402</v>
          </cell>
          <cell r="F606">
            <v>0</v>
          </cell>
          <cell r="G606">
            <v>5</v>
          </cell>
          <cell r="H606" t="str">
            <v>2010-05-31</v>
          </cell>
        </row>
        <row r="607">
          <cell r="A607" t="str">
            <v>481004</v>
          </cell>
          <cell r="B607" t="str">
            <v>1015</v>
          </cell>
          <cell r="C607">
            <v>-193620.59</v>
          </cell>
          <cell r="D607" t="str">
            <v>203</v>
          </cell>
          <cell r="E607" t="str">
            <v>402</v>
          </cell>
          <cell r="F607">
            <v>0</v>
          </cell>
          <cell r="G607">
            <v>5</v>
          </cell>
          <cell r="H607" t="str">
            <v>2010-05-31</v>
          </cell>
        </row>
        <row r="608">
          <cell r="A608" t="str">
            <v>481000</v>
          </cell>
          <cell r="B608" t="str">
            <v>1015</v>
          </cell>
          <cell r="C608">
            <v>-16330</v>
          </cell>
          <cell r="D608" t="str">
            <v>203</v>
          </cell>
          <cell r="E608" t="str">
            <v>402</v>
          </cell>
          <cell r="F608">
            <v>0</v>
          </cell>
          <cell r="G608">
            <v>9</v>
          </cell>
          <cell r="H608" t="str">
            <v>2009-09-30</v>
          </cell>
        </row>
        <row r="609">
          <cell r="A609" t="str">
            <v>481004</v>
          </cell>
          <cell r="B609" t="str">
            <v>1015</v>
          </cell>
          <cell r="C609">
            <v>-218</v>
          </cell>
          <cell r="D609" t="str">
            <v>203</v>
          </cell>
          <cell r="E609" t="str">
            <v>402</v>
          </cell>
          <cell r="F609">
            <v>0</v>
          </cell>
          <cell r="G609">
            <v>10</v>
          </cell>
          <cell r="H609" t="str">
            <v>2009-10-31</v>
          </cell>
        </row>
        <row r="610">
          <cell r="A610" t="str">
            <v>481004</v>
          </cell>
          <cell r="B610" t="str">
            <v>1015</v>
          </cell>
          <cell r="C610">
            <v>-601</v>
          </cell>
          <cell r="D610" t="str">
            <v>203</v>
          </cell>
          <cell r="E610" t="str">
            <v>402</v>
          </cell>
          <cell r="F610">
            <v>0</v>
          </cell>
          <cell r="G610">
            <v>11</v>
          </cell>
          <cell r="H610" t="str">
            <v>2009-11-30</v>
          </cell>
        </row>
        <row r="611">
          <cell r="A611" t="str">
            <v>481000</v>
          </cell>
          <cell r="B611" t="str">
            <v>1015</v>
          </cell>
          <cell r="C611">
            <v>-63475</v>
          </cell>
          <cell r="D611" t="str">
            <v>203</v>
          </cell>
          <cell r="E611" t="str">
            <v>402</v>
          </cell>
          <cell r="F611">
            <v>0</v>
          </cell>
          <cell r="G611">
            <v>12</v>
          </cell>
          <cell r="H611" t="str">
            <v>2009-12-31</v>
          </cell>
        </row>
        <row r="612">
          <cell r="A612" t="str">
            <v>481000</v>
          </cell>
          <cell r="B612" t="str">
            <v>1015</v>
          </cell>
          <cell r="C612">
            <v>-14590</v>
          </cell>
          <cell r="D612" t="str">
            <v>203</v>
          </cell>
          <cell r="E612" t="str">
            <v>402</v>
          </cell>
          <cell r="F612">
            <v>0</v>
          </cell>
          <cell r="G612">
            <v>7</v>
          </cell>
          <cell r="H612" t="str">
            <v>2009-07-31</v>
          </cell>
        </row>
        <row r="613">
          <cell r="A613" t="str">
            <v>481004</v>
          </cell>
          <cell r="B613" t="str">
            <v>1015</v>
          </cell>
          <cell r="C613">
            <v>-254556</v>
          </cell>
          <cell r="D613" t="str">
            <v>203</v>
          </cell>
          <cell r="E613" t="str">
            <v>402</v>
          </cell>
          <cell r="F613">
            <v>0</v>
          </cell>
          <cell r="G613">
            <v>8</v>
          </cell>
          <cell r="H613" t="str">
            <v>2009-08-31</v>
          </cell>
        </row>
        <row r="614">
          <cell r="A614" t="str">
            <v>481000</v>
          </cell>
          <cell r="B614" t="str">
            <v>1015</v>
          </cell>
          <cell r="C614">
            <v>-299236.86</v>
          </cell>
          <cell r="D614" t="str">
            <v>203</v>
          </cell>
          <cell r="E614" t="str">
            <v>402</v>
          </cell>
          <cell r="F614">
            <v>0</v>
          </cell>
          <cell r="G614">
            <v>1</v>
          </cell>
          <cell r="H614" t="str">
            <v>2010-01-31</v>
          </cell>
        </row>
        <row r="615">
          <cell r="A615" t="str">
            <v>481004</v>
          </cell>
          <cell r="B615" t="str">
            <v>1015</v>
          </cell>
          <cell r="C615">
            <v>-476106.69</v>
          </cell>
          <cell r="D615" t="str">
            <v>203</v>
          </cell>
          <cell r="E615" t="str">
            <v>402</v>
          </cell>
          <cell r="F615">
            <v>0</v>
          </cell>
          <cell r="G615">
            <v>2</v>
          </cell>
          <cell r="H615" t="str">
            <v>2010-02-28</v>
          </cell>
        </row>
        <row r="616">
          <cell r="A616" t="str">
            <v>481006</v>
          </cell>
          <cell r="B616" t="str">
            <v>1015</v>
          </cell>
          <cell r="C616">
            <v>-60483.56</v>
          </cell>
          <cell r="D616" t="str">
            <v>203</v>
          </cell>
          <cell r="E616" t="str">
            <v>407</v>
          </cell>
          <cell r="F616">
            <v>0</v>
          </cell>
          <cell r="G616">
            <v>8</v>
          </cell>
          <cell r="H616" t="str">
            <v>2009-08-31</v>
          </cell>
        </row>
        <row r="617">
          <cell r="A617" t="str">
            <v>480001</v>
          </cell>
          <cell r="B617" t="str">
            <v>1015</v>
          </cell>
          <cell r="C617">
            <v>174.39</v>
          </cell>
          <cell r="D617" t="str">
            <v>203</v>
          </cell>
          <cell r="E617" t="str">
            <v>407</v>
          </cell>
          <cell r="F617">
            <v>0</v>
          </cell>
          <cell r="G617">
            <v>9</v>
          </cell>
          <cell r="H617" t="str">
            <v>2009-09-30</v>
          </cell>
        </row>
        <row r="618">
          <cell r="A618" t="str">
            <v>481006</v>
          </cell>
          <cell r="B618" t="str">
            <v>1015</v>
          </cell>
          <cell r="C618">
            <v>-2974.29</v>
          </cell>
          <cell r="D618" t="str">
            <v>203</v>
          </cell>
          <cell r="E618" t="str">
            <v>407</v>
          </cell>
          <cell r="F618">
            <v>0</v>
          </cell>
          <cell r="G618">
            <v>11</v>
          </cell>
          <cell r="H618" t="str">
            <v>2009-11-30</v>
          </cell>
        </row>
        <row r="619">
          <cell r="A619" t="str">
            <v>480001</v>
          </cell>
          <cell r="B619" t="str">
            <v>1015</v>
          </cell>
          <cell r="C619">
            <v>-3088613.34</v>
          </cell>
          <cell r="D619" t="str">
            <v>203</v>
          </cell>
          <cell r="E619" t="str">
            <v>407</v>
          </cell>
          <cell r="F619">
            <v>0</v>
          </cell>
          <cell r="G619">
            <v>12</v>
          </cell>
          <cell r="H619" t="str">
            <v>2009-12-31</v>
          </cell>
        </row>
        <row r="620">
          <cell r="A620" t="str">
            <v>481006</v>
          </cell>
          <cell r="B620" t="str">
            <v>1015</v>
          </cell>
          <cell r="C620">
            <v>-1418403.32</v>
          </cell>
          <cell r="D620" t="str">
            <v>203</v>
          </cell>
          <cell r="E620" t="str">
            <v>407</v>
          </cell>
          <cell r="F620">
            <v>0</v>
          </cell>
          <cell r="G620">
            <v>12</v>
          </cell>
          <cell r="H620" t="str">
            <v>2009-12-31</v>
          </cell>
        </row>
        <row r="621">
          <cell r="A621" t="str">
            <v>481006</v>
          </cell>
          <cell r="B621" t="str">
            <v>1015</v>
          </cell>
          <cell r="C621">
            <v>679244.81</v>
          </cell>
          <cell r="D621" t="str">
            <v>203</v>
          </cell>
          <cell r="E621" t="str">
            <v>407</v>
          </cell>
          <cell r="F621">
            <v>0</v>
          </cell>
          <cell r="G621">
            <v>1</v>
          </cell>
          <cell r="H621" t="str">
            <v>2010-01-31</v>
          </cell>
        </row>
        <row r="622">
          <cell r="A622" t="str">
            <v>480001</v>
          </cell>
          <cell r="B622" t="str">
            <v>1015</v>
          </cell>
          <cell r="C622">
            <v>1976</v>
          </cell>
          <cell r="D622" t="str">
            <v>203</v>
          </cell>
          <cell r="E622" t="str">
            <v>407</v>
          </cell>
          <cell r="F622">
            <v>0</v>
          </cell>
          <cell r="G622">
            <v>1</v>
          </cell>
          <cell r="H622" t="str">
            <v>2010-01-31</v>
          </cell>
        </row>
        <row r="623">
          <cell r="A623" t="str">
            <v>481006</v>
          </cell>
          <cell r="B623" t="str">
            <v>1015</v>
          </cell>
          <cell r="C623">
            <v>815.24</v>
          </cell>
          <cell r="D623" t="str">
            <v>203</v>
          </cell>
          <cell r="E623" t="str">
            <v>407</v>
          </cell>
          <cell r="F623">
            <v>0</v>
          </cell>
          <cell r="G623">
            <v>1</v>
          </cell>
          <cell r="H623" t="str">
            <v>2010-01-31</v>
          </cell>
        </row>
        <row r="624">
          <cell r="A624" t="str">
            <v>481006</v>
          </cell>
          <cell r="B624" t="str">
            <v>1015</v>
          </cell>
          <cell r="C624">
            <v>-18</v>
          </cell>
          <cell r="D624" t="str">
            <v>203</v>
          </cell>
          <cell r="E624" t="str">
            <v>407</v>
          </cell>
          <cell r="F624">
            <v>0</v>
          </cell>
          <cell r="G624">
            <v>2</v>
          </cell>
          <cell r="H624" t="str">
            <v>2010-02-28</v>
          </cell>
        </row>
        <row r="625">
          <cell r="A625" t="str">
            <v>480001</v>
          </cell>
          <cell r="B625" t="str">
            <v>1015</v>
          </cell>
          <cell r="C625">
            <v>523104</v>
          </cell>
          <cell r="D625" t="str">
            <v>203</v>
          </cell>
          <cell r="E625" t="str">
            <v>407</v>
          </cell>
          <cell r="F625">
            <v>0</v>
          </cell>
          <cell r="G625">
            <v>3</v>
          </cell>
          <cell r="H625" t="str">
            <v>2010-03-31</v>
          </cell>
        </row>
        <row r="626">
          <cell r="A626" t="str">
            <v>481004</v>
          </cell>
          <cell r="B626" t="str">
            <v>1015</v>
          </cell>
          <cell r="C626">
            <v>-392411.56</v>
          </cell>
          <cell r="D626" t="str">
            <v>203</v>
          </cell>
          <cell r="E626" t="str">
            <v>407</v>
          </cell>
          <cell r="F626">
            <v>0</v>
          </cell>
          <cell r="G626">
            <v>7</v>
          </cell>
          <cell r="H626" t="str">
            <v>2009-07-31</v>
          </cell>
        </row>
        <row r="627">
          <cell r="A627" t="str">
            <v>481004</v>
          </cell>
          <cell r="B627" t="str">
            <v>1015</v>
          </cell>
          <cell r="C627">
            <v>-11013.98</v>
          </cell>
          <cell r="D627" t="str">
            <v>203</v>
          </cell>
          <cell r="E627" t="str">
            <v>407</v>
          </cell>
          <cell r="F627">
            <v>0</v>
          </cell>
          <cell r="G627">
            <v>2</v>
          </cell>
          <cell r="H627" t="str">
            <v>2010-02-28</v>
          </cell>
        </row>
        <row r="628">
          <cell r="A628" t="str">
            <v>481004</v>
          </cell>
          <cell r="B628" t="str">
            <v>1015</v>
          </cell>
          <cell r="C628">
            <v>-9743.33</v>
          </cell>
          <cell r="D628" t="str">
            <v>203</v>
          </cell>
          <cell r="E628" t="str">
            <v>407</v>
          </cell>
          <cell r="F628">
            <v>0</v>
          </cell>
          <cell r="G628">
            <v>3</v>
          </cell>
          <cell r="H628" t="str">
            <v>2010-03-31</v>
          </cell>
        </row>
        <row r="629">
          <cell r="A629" t="str">
            <v>481006</v>
          </cell>
          <cell r="B629" t="str">
            <v>1015</v>
          </cell>
          <cell r="C629">
            <v>446063</v>
          </cell>
          <cell r="D629" t="str">
            <v>203</v>
          </cell>
          <cell r="E629" t="str">
            <v>407</v>
          </cell>
          <cell r="F629">
            <v>0</v>
          </cell>
          <cell r="G629">
            <v>2</v>
          </cell>
          <cell r="H629" t="str">
            <v>2010-02-28</v>
          </cell>
        </row>
        <row r="630">
          <cell r="A630" t="str">
            <v>481006</v>
          </cell>
          <cell r="B630" t="str">
            <v>1015</v>
          </cell>
          <cell r="C630">
            <v>192229</v>
          </cell>
          <cell r="D630" t="str">
            <v>203</v>
          </cell>
          <cell r="E630" t="str">
            <v>407</v>
          </cell>
          <cell r="F630">
            <v>0</v>
          </cell>
          <cell r="G630">
            <v>3</v>
          </cell>
          <cell r="H630" t="str">
            <v>2010-03-31</v>
          </cell>
        </row>
        <row r="631">
          <cell r="A631" t="str">
            <v>481006</v>
          </cell>
          <cell r="B631" t="str">
            <v>1015</v>
          </cell>
          <cell r="C631">
            <v>1404</v>
          </cell>
          <cell r="D631" t="str">
            <v>203</v>
          </cell>
          <cell r="E631" t="str">
            <v>407</v>
          </cell>
          <cell r="F631">
            <v>0</v>
          </cell>
          <cell r="G631">
            <v>6</v>
          </cell>
          <cell r="H631" t="str">
            <v>2010-06-30</v>
          </cell>
        </row>
        <row r="632">
          <cell r="A632" t="str">
            <v>480001</v>
          </cell>
          <cell r="B632" t="str">
            <v>1015</v>
          </cell>
          <cell r="C632">
            <v>839944</v>
          </cell>
          <cell r="D632" t="str">
            <v>203</v>
          </cell>
          <cell r="E632" t="str">
            <v>407</v>
          </cell>
          <cell r="F632">
            <v>0</v>
          </cell>
          <cell r="G632">
            <v>6</v>
          </cell>
          <cell r="H632" t="str">
            <v>2010-06-30</v>
          </cell>
        </row>
        <row r="633">
          <cell r="A633" t="str">
            <v>480000</v>
          </cell>
          <cell r="B633" t="str">
            <v>1015</v>
          </cell>
          <cell r="C633">
            <v>-879941.79</v>
          </cell>
          <cell r="D633" t="str">
            <v>203</v>
          </cell>
          <cell r="E633" t="str">
            <v>407</v>
          </cell>
          <cell r="F633">
            <v>0</v>
          </cell>
          <cell r="G633">
            <v>8</v>
          </cell>
          <cell r="H633" t="str">
            <v>2009-08-31</v>
          </cell>
        </row>
        <row r="634">
          <cell r="A634" t="str">
            <v>481004</v>
          </cell>
          <cell r="B634" t="str">
            <v>1015</v>
          </cell>
          <cell r="C634">
            <v>-767.32</v>
          </cell>
          <cell r="D634" t="str">
            <v>203</v>
          </cell>
          <cell r="E634" t="str">
            <v>407</v>
          </cell>
          <cell r="F634">
            <v>0</v>
          </cell>
          <cell r="G634">
            <v>9</v>
          </cell>
          <cell r="H634" t="str">
            <v>2009-09-30</v>
          </cell>
        </row>
        <row r="635">
          <cell r="A635" t="str">
            <v>481004</v>
          </cell>
          <cell r="B635" t="str">
            <v>1015</v>
          </cell>
          <cell r="C635">
            <v>-11647.98</v>
          </cell>
          <cell r="D635" t="str">
            <v>203</v>
          </cell>
          <cell r="E635" t="str">
            <v>407</v>
          </cell>
          <cell r="F635">
            <v>0</v>
          </cell>
          <cell r="G635">
            <v>12</v>
          </cell>
          <cell r="H635" t="str">
            <v>2009-12-31</v>
          </cell>
        </row>
        <row r="636">
          <cell r="A636" t="str">
            <v>480000</v>
          </cell>
          <cell r="B636" t="str">
            <v>1015</v>
          </cell>
          <cell r="C636">
            <v>-14896182.619999999</v>
          </cell>
          <cell r="D636" t="str">
            <v>203</v>
          </cell>
          <cell r="E636" t="str">
            <v>407</v>
          </cell>
          <cell r="F636">
            <v>0</v>
          </cell>
          <cell r="G636">
            <v>1</v>
          </cell>
          <cell r="H636" t="str">
            <v>2010-01-31</v>
          </cell>
        </row>
        <row r="637">
          <cell r="A637" t="str">
            <v>480000</v>
          </cell>
          <cell r="B637" t="str">
            <v>1015</v>
          </cell>
          <cell r="C637">
            <v>-19946</v>
          </cell>
          <cell r="D637" t="str">
            <v>203</v>
          </cell>
          <cell r="E637" t="str">
            <v>407</v>
          </cell>
          <cell r="F637">
            <v>0</v>
          </cell>
          <cell r="G637">
            <v>2</v>
          </cell>
          <cell r="H637" t="str">
            <v>2010-02-28</v>
          </cell>
        </row>
        <row r="638">
          <cell r="A638" t="str">
            <v>481004</v>
          </cell>
          <cell r="B638" t="str">
            <v>1015</v>
          </cell>
          <cell r="C638">
            <v>-4997.53</v>
          </cell>
          <cell r="D638" t="str">
            <v>203</v>
          </cell>
          <cell r="E638" t="str">
            <v>407</v>
          </cell>
          <cell r="F638">
            <v>0</v>
          </cell>
          <cell r="G638">
            <v>4</v>
          </cell>
          <cell r="H638" t="str">
            <v>2010-04-30</v>
          </cell>
        </row>
        <row r="639">
          <cell r="A639" t="str">
            <v>480000</v>
          </cell>
          <cell r="B639" t="str">
            <v>1015</v>
          </cell>
          <cell r="C639">
            <v>-1574711.01</v>
          </cell>
          <cell r="D639" t="str">
            <v>203</v>
          </cell>
          <cell r="E639" t="str">
            <v>407</v>
          </cell>
          <cell r="F639">
            <v>0</v>
          </cell>
          <cell r="G639">
            <v>6</v>
          </cell>
          <cell r="H639" t="str">
            <v>2010-06-30</v>
          </cell>
        </row>
        <row r="640">
          <cell r="A640" t="str">
            <v>481004</v>
          </cell>
          <cell r="B640" t="str">
            <v>1015</v>
          </cell>
          <cell r="C640">
            <v>-1285.49</v>
          </cell>
          <cell r="D640" t="str">
            <v>203</v>
          </cell>
          <cell r="E640" t="str">
            <v>407</v>
          </cell>
          <cell r="F640">
            <v>0</v>
          </cell>
          <cell r="G640">
            <v>6</v>
          </cell>
          <cell r="H640" t="str">
            <v>2010-06-30</v>
          </cell>
        </row>
        <row r="641">
          <cell r="A641" t="str">
            <v>481006</v>
          </cell>
          <cell r="B641" t="str">
            <v>1015</v>
          </cell>
          <cell r="C641">
            <v>50254.559999999998</v>
          </cell>
          <cell r="D641" t="str">
            <v>203</v>
          </cell>
          <cell r="E641" t="str">
            <v>407</v>
          </cell>
          <cell r="F641">
            <v>0</v>
          </cell>
          <cell r="G641">
            <v>7</v>
          </cell>
          <cell r="H641" t="str">
            <v>2009-07-31</v>
          </cell>
        </row>
        <row r="642">
          <cell r="A642" t="str">
            <v>481006</v>
          </cell>
          <cell r="B642" t="str">
            <v>1015</v>
          </cell>
          <cell r="C642">
            <v>51.32</v>
          </cell>
          <cell r="D642" t="str">
            <v>203</v>
          </cell>
          <cell r="E642" t="str">
            <v>407</v>
          </cell>
          <cell r="F642">
            <v>0</v>
          </cell>
          <cell r="G642">
            <v>9</v>
          </cell>
          <cell r="H642" t="str">
            <v>2009-09-30</v>
          </cell>
        </row>
        <row r="643">
          <cell r="A643" t="str">
            <v>481006</v>
          </cell>
          <cell r="B643" t="str">
            <v>1015</v>
          </cell>
          <cell r="C643">
            <v>3737</v>
          </cell>
          <cell r="D643" t="str">
            <v>203</v>
          </cell>
          <cell r="E643" t="str">
            <v>407</v>
          </cell>
          <cell r="F643">
            <v>0</v>
          </cell>
          <cell r="G643">
            <v>4</v>
          </cell>
          <cell r="H643" t="str">
            <v>2010-04-30</v>
          </cell>
        </row>
        <row r="644">
          <cell r="A644" t="str">
            <v>480001</v>
          </cell>
          <cell r="B644" t="str">
            <v>1015</v>
          </cell>
          <cell r="C644">
            <v>2112</v>
          </cell>
          <cell r="D644" t="str">
            <v>203</v>
          </cell>
          <cell r="E644" t="str">
            <v>407</v>
          </cell>
          <cell r="F644">
            <v>0</v>
          </cell>
          <cell r="G644">
            <v>6</v>
          </cell>
          <cell r="H644" t="str">
            <v>2010-06-30</v>
          </cell>
        </row>
        <row r="645">
          <cell r="A645" t="str">
            <v>481004</v>
          </cell>
          <cell r="B645" t="str">
            <v>1015</v>
          </cell>
          <cell r="C645">
            <v>-838.38</v>
          </cell>
          <cell r="D645" t="str">
            <v>203</v>
          </cell>
          <cell r="E645" t="str">
            <v>407</v>
          </cell>
          <cell r="F645">
            <v>0</v>
          </cell>
          <cell r="G645">
            <v>7</v>
          </cell>
          <cell r="H645" t="str">
            <v>2009-07-31</v>
          </cell>
        </row>
        <row r="646">
          <cell r="A646" t="str">
            <v>481004</v>
          </cell>
          <cell r="B646" t="str">
            <v>1015</v>
          </cell>
          <cell r="C646">
            <v>-6607388.3499999996</v>
          </cell>
          <cell r="D646" t="str">
            <v>203</v>
          </cell>
          <cell r="E646" t="str">
            <v>407</v>
          </cell>
          <cell r="F646">
            <v>0</v>
          </cell>
          <cell r="G646">
            <v>1</v>
          </cell>
          <cell r="H646" t="str">
            <v>2010-01-31</v>
          </cell>
        </row>
        <row r="647">
          <cell r="A647" t="str">
            <v>480000</v>
          </cell>
          <cell r="B647" t="str">
            <v>1015</v>
          </cell>
          <cell r="C647">
            <v>-6403711.8200000003</v>
          </cell>
          <cell r="D647" t="str">
            <v>203</v>
          </cell>
          <cell r="E647" t="str">
            <v>407</v>
          </cell>
          <cell r="F647">
            <v>0</v>
          </cell>
          <cell r="G647">
            <v>4</v>
          </cell>
          <cell r="H647" t="str">
            <v>2010-04-30</v>
          </cell>
        </row>
        <row r="648">
          <cell r="A648" t="str">
            <v>481004</v>
          </cell>
          <cell r="B648" t="str">
            <v>1015</v>
          </cell>
          <cell r="C648">
            <v>-616349.82999999996</v>
          </cell>
          <cell r="D648" t="str">
            <v>203</v>
          </cell>
          <cell r="E648" t="str">
            <v>407</v>
          </cell>
          <cell r="F648">
            <v>0</v>
          </cell>
          <cell r="G648">
            <v>6</v>
          </cell>
          <cell r="H648" t="str">
            <v>2010-06-30</v>
          </cell>
        </row>
        <row r="649">
          <cell r="A649" t="str">
            <v>480001</v>
          </cell>
          <cell r="B649" t="str">
            <v>1015</v>
          </cell>
          <cell r="C649">
            <v>135.03</v>
          </cell>
          <cell r="D649" t="str">
            <v>203</v>
          </cell>
          <cell r="E649" t="str">
            <v>407</v>
          </cell>
          <cell r="F649">
            <v>0</v>
          </cell>
          <cell r="G649">
            <v>7</v>
          </cell>
          <cell r="H649" t="str">
            <v>2009-07-31</v>
          </cell>
        </row>
        <row r="650">
          <cell r="A650" t="str">
            <v>481006</v>
          </cell>
          <cell r="B650" t="str">
            <v>1015</v>
          </cell>
          <cell r="C650">
            <v>10767.2</v>
          </cell>
          <cell r="D650" t="str">
            <v>203</v>
          </cell>
          <cell r="E650" t="str">
            <v>407</v>
          </cell>
          <cell r="F650">
            <v>0</v>
          </cell>
          <cell r="G650">
            <v>9</v>
          </cell>
          <cell r="H650" t="str">
            <v>2009-09-30</v>
          </cell>
        </row>
        <row r="651">
          <cell r="A651" t="str">
            <v>481006</v>
          </cell>
          <cell r="B651" t="str">
            <v>1015</v>
          </cell>
          <cell r="C651">
            <v>-613</v>
          </cell>
          <cell r="D651" t="str">
            <v>203</v>
          </cell>
          <cell r="E651" t="str">
            <v>407</v>
          </cell>
          <cell r="F651">
            <v>0</v>
          </cell>
          <cell r="G651">
            <v>10</v>
          </cell>
          <cell r="H651" t="str">
            <v>2009-10-31</v>
          </cell>
        </row>
        <row r="652">
          <cell r="A652" t="str">
            <v>480001</v>
          </cell>
          <cell r="B652" t="str">
            <v>1015</v>
          </cell>
          <cell r="C652">
            <v>1000118</v>
          </cell>
          <cell r="D652" t="str">
            <v>203</v>
          </cell>
          <cell r="E652" t="str">
            <v>407</v>
          </cell>
          <cell r="F652">
            <v>0</v>
          </cell>
          <cell r="G652">
            <v>2</v>
          </cell>
          <cell r="H652" t="str">
            <v>2010-02-28</v>
          </cell>
        </row>
        <row r="653">
          <cell r="A653" t="str">
            <v>480001</v>
          </cell>
          <cell r="B653" t="str">
            <v>1015</v>
          </cell>
          <cell r="C653">
            <v>2244</v>
          </cell>
          <cell r="D653" t="str">
            <v>203</v>
          </cell>
          <cell r="E653" t="str">
            <v>407</v>
          </cell>
          <cell r="F653">
            <v>0</v>
          </cell>
          <cell r="G653">
            <v>3</v>
          </cell>
          <cell r="H653" t="str">
            <v>2010-03-31</v>
          </cell>
        </row>
        <row r="654">
          <cell r="A654" t="str">
            <v>480001</v>
          </cell>
          <cell r="B654" t="str">
            <v>1015</v>
          </cell>
          <cell r="C654">
            <v>188843</v>
          </cell>
          <cell r="D654" t="str">
            <v>203</v>
          </cell>
          <cell r="E654" t="str">
            <v>407</v>
          </cell>
          <cell r="F654">
            <v>0</v>
          </cell>
          <cell r="G654">
            <v>5</v>
          </cell>
          <cell r="H654" t="str">
            <v>2010-05-31</v>
          </cell>
        </row>
        <row r="655">
          <cell r="A655" t="str">
            <v>481006</v>
          </cell>
          <cell r="B655" t="str">
            <v>1015</v>
          </cell>
          <cell r="C655">
            <v>65233</v>
          </cell>
          <cell r="D655" t="str">
            <v>203</v>
          </cell>
          <cell r="E655" t="str">
            <v>407</v>
          </cell>
          <cell r="F655">
            <v>0</v>
          </cell>
          <cell r="G655">
            <v>5</v>
          </cell>
          <cell r="H655" t="str">
            <v>2010-05-31</v>
          </cell>
        </row>
        <row r="656">
          <cell r="A656" t="str">
            <v>481004</v>
          </cell>
          <cell r="B656" t="str">
            <v>1015</v>
          </cell>
          <cell r="C656">
            <v>-304914.75</v>
          </cell>
          <cell r="D656" t="str">
            <v>203</v>
          </cell>
          <cell r="E656" t="str">
            <v>407</v>
          </cell>
          <cell r="F656">
            <v>0</v>
          </cell>
          <cell r="G656">
            <v>8</v>
          </cell>
          <cell r="H656" t="str">
            <v>2009-08-31</v>
          </cell>
        </row>
        <row r="657">
          <cell r="A657" t="str">
            <v>480000</v>
          </cell>
          <cell r="B657" t="str">
            <v>1015</v>
          </cell>
          <cell r="C657">
            <v>-911628.49</v>
          </cell>
          <cell r="D657" t="str">
            <v>203</v>
          </cell>
          <cell r="E657" t="str">
            <v>407</v>
          </cell>
          <cell r="F657">
            <v>0</v>
          </cell>
          <cell r="G657">
            <v>9</v>
          </cell>
          <cell r="H657" t="str">
            <v>2009-09-30</v>
          </cell>
        </row>
        <row r="658">
          <cell r="A658" t="str">
            <v>480000</v>
          </cell>
          <cell r="B658" t="str">
            <v>1015</v>
          </cell>
          <cell r="C658">
            <v>-17575.009999999998</v>
          </cell>
          <cell r="D658" t="str">
            <v>203</v>
          </cell>
          <cell r="E658" t="str">
            <v>407</v>
          </cell>
          <cell r="F658">
            <v>0</v>
          </cell>
          <cell r="G658">
            <v>3</v>
          </cell>
          <cell r="H658" t="str">
            <v>2010-03-31</v>
          </cell>
        </row>
        <row r="659">
          <cell r="A659" t="str">
            <v>480000</v>
          </cell>
          <cell r="B659" t="str">
            <v>1015</v>
          </cell>
          <cell r="C659">
            <v>-9502123.5899999999</v>
          </cell>
          <cell r="D659" t="str">
            <v>203</v>
          </cell>
          <cell r="E659" t="str">
            <v>407</v>
          </cell>
          <cell r="F659">
            <v>0</v>
          </cell>
          <cell r="G659">
            <v>3</v>
          </cell>
          <cell r="H659" t="str">
            <v>2010-03-31</v>
          </cell>
        </row>
        <row r="660">
          <cell r="A660" t="str">
            <v>481000</v>
          </cell>
          <cell r="B660" t="str">
            <v>1015</v>
          </cell>
          <cell r="C660">
            <v>-2325.7199999999998</v>
          </cell>
          <cell r="D660" t="str">
            <v>203</v>
          </cell>
          <cell r="E660" t="str">
            <v>407</v>
          </cell>
          <cell r="F660">
            <v>0</v>
          </cell>
          <cell r="G660">
            <v>4</v>
          </cell>
          <cell r="H660" t="str">
            <v>2010-04-30</v>
          </cell>
        </row>
        <row r="661">
          <cell r="A661" t="str">
            <v>480001</v>
          </cell>
          <cell r="B661" t="str">
            <v>1015</v>
          </cell>
          <cell r="C661">
            <v>5705.2</v>
          </cell>
          <cell r="D661" t="str">
            <v>203</v>
          </cell>
          <cell r="E661" t="str">
            <v>407</v>
          </cell>
          <cell r="F661">
            <v>0</v>
          </cell>
          <cell r="G661">
            <v>8</v>
          </cell>
          <cell r="H661" t="str">
            <v>2009-08-31</v>
          </cell>
        </row>
        <row r="662">
          <cell r="A662" t="str">
            <v>481006</v>
          </cell>
          <cell r="B662" t="str">
            <v>1015</v>
          </cell>
          <cell r="C662">
            <v>-219.25</v>
          </cell>
          <cell r="D662" t="str">
            <v>203</v>
          </cell>
          <cell r="E662" t="str">
            <v>407</v>
          </cell>
          <cell r="F662">
            <v>0</v>
          </cell>
          <cell r="G662">
            <v>8</v>
          </cell>
          <cell r="H662" t="str">
            <v>2009-08-31</v>
          </cell>
        </row>
        <row r="663">
          <cell r="A663" t="str">
            <v>481006</v>
          </cell>
          <cell r="B663" t="str">
            <v>1015</v>
          </cell>
          <cell r="C663">
            <v>-288061.25</v>
          </cell>
          <cell r="D663" t="str">
            <v>203</v>
          </cell>
          <cell r="E663" t="str">
            <v>407</v>
          </cell>
          <cell r="F663">
            <v>0</v>
          </cell>
          <cell r="G663">
            <v>10</v>
          </cell>
          <cell r="H663" t="str">
            <v>2009-10-31</v>
          </cell>
        </row>
        <row r="664">
          <cell r="A664" t="str">
            <v>480001</v>
          </cell>
          <cell r="B664" t="str">
            <v>1015</v>
          </cell>
          <cell r="C664">
            <v>-1500.87</v>
          </cell>
          <cell r="D664" t="str">
            <v>203</v>
          </cell>
          <cell r="E664" t="str">
            <v>407</v>
          </cell>
          <cell r="F664">
            <v>0</v>
          </cell>
          <cell r="G664">
            <v>10</v>
          </cell>
          <cell r="H664" t="str">
            <v>2009-10-31</v>
          </cell>
        </row>
        <row r="665">
          <cell r="A665" t="str">
            <v>480001</v>
          </cell>
          <cell r="B665" t="str">
            <v>1015</v>
          </cell>
          <cell r="C665">
            <v>90</v>
          </cell>
          <cell r="D665" t="str">
            <v>203</v>
          </cell>
          <cell r="E665" t="str">
            <v>407</v>
          </cell>
          <cell r="F665">
            <v>0</v>
          </cell>
          <cell r="G665">
            <v>2</v>
          </cell>
          <cell r="H665" t="str">
            <v>2010-02-28</v>
          </cell>
        </row>
        <row r="666">
          <cell r="A666" t="str">
            <v>481006</v>
          </cell>
          <cell r="B666" t="str">
            <v>1015</v>
          </cell>
          <cell r="C666">
            <v>1174</v>
          </cell>
          <cell r="D666" t="str">
            <v>203</v>
          </cell>
          <cell r="E666" t="str">
            <v>407</v>
          </cell>
          <cell r="F666">
            <v>0</v>
          </cell>
          <cell r="G666">
            <v>3</v>
          </cell>
          <cell r="H666" t="str">
            <v>2010-03-31</v>
          </cell>
        </row>
        <row r="667">
          <cell r="A667" t="str">
            <v>480001</v>
          </cell>
          <cell r="B667" t="str">
            <v>1015</v>
          </cell>
          <cell r="C667">
            <v>6432</v>
          </cell>
          <cell r="D667" t="str">
            <v>203</v>
          </cell>
          <cell r="E667" t="str">
            <v>407</v>
          </cell>
          <cell r="F667">
            <v>0</v>
          </cell>
          <cell r="G667">
            <v>4</v>
          </cell>
          <cell r="H667" t="str">
            <v>2010-04-30</v>
          </cell>
        </row>
        <row r="668">
          <cell r="A668" t="str">
            <v>480000</v>
          </cell>
          <cell r="B668" t="str">
            <v>1015</v>
          </cell>
          <cell r="C668">
            <v>-1634.03</v>
          </cell>
          <cell r="D668" t="str">
            <v>203</v>
          </cell>
          <cell r="E668" t="str">
            <v>407</v>
          </cell>
          <cell r="F668">
            <v>0</v>
          </cell>
          <cell r="G668">
            <v>7</v>
          </cell>
          <cell r="H668" t="str">
            <v>2009-07-31</v>
          </cell>
        </row>
        <row r="669">
          <cell r="A669" t="str">
            <v>480000</v>
          </cell>
          <cell r="B669" t="str">
            <v>1015</v>
          </cell>
          <cell r="C669">
            <v>-1525.39</v>
          </cell>
          <cell r="D669" t="str">
            <v>203</v>
          </cell>
          <cell r="E669" t="str">
            <v>407</v>
          </cell>
          <cell r="F669">
            <v>0</v>
          </cell>
          <cell r="G669">
            <v>9</v>
          </cell>
          <cell r="H669" t="str">
            <v>2009-09-30</v>
          </cell>
        </row>
        <row r="670">
          <cell r="A670" t="str">
            <v>480000</v>
          </cell>
          <cell r="B670" t="str">
            <v>1015</v>
          </cell>
          <cell r="C670">
            <v>-3484.13</v>
          </cell>
          <cell r="D670" t="str">
            <v>203</v>
          </cell>
          <cell r="E670" t="str">
            <v>407</v>
          </cell>
          <cell r="F670">
            <v>0</v>
          </cell>
          <cell r="G670">
            <v>10</v>
          </cell>
          <cell r="H670" t="str">
            <v>2009-10-31</v>
          </cell>
        </row>
        <row r="671">
          <cell r="A671" t="str">
            <v>481004</v>
          </cell>
          <cell r="B671" t="str">
            <v>1015</v>
          </cell>
          <cell r="C671">
            <v>-2738241.03</v>
          </cell>
          <cell r="D671" t="str">
            <v>203</v>
          </cell>
          <cell r="E671" t="str">
            <v>407</v>
          </cell>
          <cell r="F671">
            <v>0</v>
          </cell>
          <cell r="G671">
            <v>4</v>
          </cell>
          <cell r="H671" t="str">
            <v>2010-04-30</v>
          </cell>
        </row>
        <row r="672">
          <cell r="A672" t="str">
            <v>481004</v>
          </cell>
          <cell r="B672" t="str">
            <v>1015</v>
          </cell>
          <cell r="C672">
            <v>-978763.72</v>
          </cell>
          <cell r="D672" t="str">
            <v>203</v>
          </cell>
          <cell r="E672" t="str">
            <v>407</v>
          </cell>
          <cell r="F672">
            <v>0</v>
          </cell>
          <cell r="G672">
            <v>5</v>
          </cell>
          <cell r="H672" t="str">
            <v>2010-05-31</v>
          </cell>
        </row>
        <row r="673">
          <cell r="A673" t="str">
            <v>480001</v>
          </cell>
          <cell r="B673" t="str">
            <v>1015</v>
          </cell>
          <cell r="C673">
            <v>111028.79</v>
          </cell>
          <cell r="D673" t="str">
            <v>203</v>
          </cell>
          <cell r="E673" t="str">
            <v>407</v>
          </cell>
          <cell r="F673">
            <v>0</v>
          </cell>
          <cell r="G673">
            <v>7</v>
          </cell>
          <cell r="H673" t="str">
            <v>2009-07-31</v>
          </cell>
        </row>
        <row r="674">
          <cell r="A674" t="str">
            <v>480001</v>
          </cell>
          <cell r="B674" t="str">
            <v>1015</v>
          </cell>
          <cell r="C674">
            <v>-757748.28</v>
          </cell>
          <cell r="D674" t="str">
            <v>203</v>
          </cell>
          <cell r="E674" t="str">
            <v>407</v>
          </cell>
          <cell r="F674">
            <v>0</v>
          </cell>
          <cell r="G674">
            <v>10</v>
          </cell>
          <cell r="H674" t="str">
            <v>2009-10-31</v>
          </cell>
        </row>
        <row r="675">
          <cell r="A675" t="str">
            <v>480001</v>
          </cell>
          <cell r="B675" t="str">
            <v>1015</v>
          </cell>
          <cell r="C675">
            <v>-5830.5</v>
          </cell>
          <cell r="D675" t="str">
            <v>203</v>
          </cell>
          <cell r="E675" t="str">
            <v>407</v>
          </cell>
          <cell r="F675">
            <v>0</v>
          </cell>
          <cell r="G675">
            <v>11</v>
          </cell>
          <cell r="H675" t="str">
            <v>2009-11-30</v>
          </cell>
        </row>
        <row r="676">
          <cell r="A676" t="str">
            <v>480001</v>
          </cell>
          <cell r="B676" t="str">
            <v>1015</v>
          </cell>
          <cell r="C676">
            <v>1526756.88</v>
          </cell>
          <cell r="D676" t="str">
            <v>203</v>
          </cell>
          <cell r="E676" t="str">
            <v>407</v>
          </cell>
          <cell r="F676">
            <v>0</v>
          </cell>
          <cell r="G676">
            <v>1</v>
          </cell>
          <cell r="H676" t="str">
            <v>2010-01-31</v>
          </cell>
        </row>
        <row r="677">
          <cell r="A677" t="str">
            <v>481006</v>
          </cell>
          <cell r="B677" t="str">
            <v>1015</v>
          </cell>
          <cell r="C677">
            <v>50</v>
          </cell>
          <cell r="D677" t="str">
            <v>203</v>
          </cell>
          <cell r="E677" t="str">
            <v>407</v>
          </cell>
          <cell r="F677">
            <v>0</v>
          </cell>
          <cell r="G677">
            <v>5</v>
          </cell>
          <cell r="H677" t="str">
            <v>2010-05-31</v>
          </cell>
        </row>
        <row r="678">
          <cell r="A678" t="str">
            <v>480000</v>
          </cell>
          <cell r="B678" t="str">
            <v>1015</v>
          </cell>
          <cell r="C678">
            <v>-1399.81</v>
          </cell>
          <cell r="D678" t="str">
            <v>203</v>
          </cell>
          <cell r="E678" t="str">
            <v>407</v>
          </cell>
          <cell r="F678">
            <v>0</v>
          </cell>
          <cell r="G678">
            <v>8</v>
          </cell>
          <cell r="H678" t="str">
            <v>2009-08-31</v>
          </cell>
        </row>
        <row r="679">
          <cell r="A679" t="str">
            <v>481004</v>
          </cell>
          <cell r="B679" t="str">
            <v>1015</v>
          </cell>
          <cell r="C679">
            <v>-4826045.68</v>
          </cell>
          <cell r="D679" t="str">
            <v>203</v>
          </cell>
          <cell r="E679" t="str">
            <v>407</v>
          </cell>
          <cell r="F679">
            <v>0</v>
          </cell>
          <cell r="G679">
            <v>12</v>
          </cell>
          <cell r="H679" t="str">
            <v>2009-12-31</v>
          </cell>
        </row>
        <row r="680">
          <cell r="A680" t="str">
            <v>480000</v>
          </cell>
          <cell r="B680" t="str">
            <v>1015</v>
          </cell>
          <cell r="C680">
            <v>-27305.66</v>
          </cell>
          <cell r="D680" t="str">
            <v>203</v>
          </cell>
          <cell r="E680" t="str">
            <v>407</v>
          </cell>
          <cell r="F680">
            <v>0</v>
          </cell>
          <cell r="G680">
            <v>1</v>
          </cell>
          <cell r="H680" t="str">
            <v>2010-01-31</v>
          </cell>
        </row>
        <row r="681">
          <cell r="A681" t="str">
            <v>481004</v>
          </cell>
          <cell r="B681" t="str">
            <v>1015</v>
          </cell>
          <cell r="C681">
            <v>-14867.53</v>
          </cell>
          <cell r="D681" t="str">
            <v>203</v>
          </cell>
          <cell r="E681" t="str">
            <v>407</v>
          </cell>
          <cell r="F681">
            <v>0</v>
          </cell>
          <cell r="G681">
            <v>1</v>
          </cell>
          <cell r="H681" t="str">
            <v>2010-01-31</v>
          </cell>
        </row>
        <row r="682">
          <cell r="A682" t="str">
            <v>480000</v>
          </cell>
          <cell r="B682" t="str">
            <v>1015</v>
          </cell>
          <cell r="C682">
            <v>-10344825.92</v>
          </cell>
          <cell r="D682" t="str">
            <v>203</v>
          </cell>
          <cell r="E682" t="str">
            <v>407</v>
          </cell>
          <cell r="F682">
            <v>0</v>
          </cell>
          <cell r="G682">
            <v>2</v>
          </cell>
          <cell r="H682" t="str">
            <v>2010-02-28</v>
          </cell>
        </row>
        <row r="683">
          <cell r="A683" t="str">
            <v>480000</v>
          </cell>
          <cell r="B683" t="str">
            <v>1015</v>
          </cell>
          <cell r="C683">
            <v>-10220.76</v>
          </cell>
          <cell r="D683" t="str">
            <v>203</v>
          </cell>
          <cell r="E683" t="str">
            <v>407</v>
          </cell>
          <cell r="F683">
            <v>0</v>
          </cell>
          <cell r="G683">
            <v>4</v>
          </cell>
          <cell r="H683" t="str">
            <v>2010-04-30</v>
          </cell>
        </row>
        <row r="684">
          <cell r="A684" t="str">
            <v>480000</v>
          </cell>
          <cell r="B684" t="str">
            <v>1015</v>
          </cell>
          <cell r="C684">
            <v>-4525.74</v>
          </cell>
          <cell r="D684" t="str">
            <v>203</v>
          </cell>
          <cell r="E684" t="str">
            <v>407</v>
          </cell>
          <cell r="F684">
            <v>0</v>
          </cell>
          <cell r="G684">
            <v>5</v>
          </cell>
          <cell r="H684" t="str">
            <v>2010-05-31</v>
          </cell>
        </row>
        <row r="685">
          <cell r="A685" t="str">
            <v>480001</v>
          </cell>
          <cell r="B685" t="str">
            <v>1015</v>
          </cell>
          <cell r="C685">
            <v>-583.19000000000005</v>
          </cell>
          <cell r="D685" t="str">
            <v>203</v>
          </cell>
          <cell r="E685" t="str">
            <v>407</v>
          </cell>
          <cell r="F685">
            <v>0</v>
          </cell>
          <cell r="G685">
            <v>8</v>
          </cell>
          <cell r="H685" t="str">
            <v>2009-08-31</v>
          </cell>
        </row>
        <row r="686">
          <cell r="A686" t="str">
            <v>480001</v>
          </cell>
          <cell r="B686" t="str">
            <v>1015</v>
          </cell>
          <cell r="C686">
            <v>-3469799.54</v>
          </cell>
          <cell r="D686" t="str">
            <v>203</v>
          </cell>
          <cell r="E686" t="str">
            <v>407</v>
          </cell>
          <cell r="F686">
            <v>0</v>
          </cell>
          <cell r="G686">
            <v>11</v>
          </cell>
          <cell r="H686" t="str">
            <v>2009-11-30</v>
          </cell>
        </row>
        <row r="687">
          <cell r="A687" t="str">
            <v>480001</v>
          </cell>
          <cell r="B687" t="str">
            <v>1015</v>
          </cell>
          <cell r="C687">
            <v>-3343.15</v>
          </cell>
          <cell r="D687" t="str">
            <v>203</v>
          </cell>
          <cell r="E687" t="str">
            <v>407</v>
          </cell>
          <cell r="F687">
            <v>0</v>
          </cell>
          <cell r="G687">
            <v>12</v>
          </cell>
          <cell r="H687" t="str">
            <v>2009-12-31</v>
          </cell>
        </row>
        <row r="688">
          <cell r="A688" t="str">
            <v>480001</v>
          </cell>
          <cell r="B688" t="str">
            <v>1015</v>
          </cell>
          <cell r="C688">
            <v>3343126</v>
          </cell>
          <cell r="D688" t="str">
            <v>203</v>
          </cell>
          <cell r="E688" t="str">
            <v>407</v>
          </cell>
          <cell r="F688">
            <v>0</v>
          </cell>
          <cell r="G688">
            <v>4</v>
          </cell>
          <cell r="H688" t="str">
            <v>2010-04-30</v>
          </cell>
        </row>
        <row r="689">
          <cell r="A689" t="str">
            <v>480001</v>
          </cell>
          <cell r="B689" t="str">
            <v>1015</v>
          </cell>
          <cell r="C689">
            <v>87</v>
          </cell>
          <cell r="D689" t="str">
            <v>203</v>
          </cell>
          <cell r="E689" t="str">
            <v>407</v>
          </cell>
          <cell r="F689">
            <v>0</v>
          </cell>
          <cell r="G689">
            <v>5</v>
          </cell>
          <cell r="H689" t="str">
            <v>2010-05-31</v>
          </cell>
        </row>
        <row r="690">
          <cell r="A690" t="str">
            <v>480000</v>
          </cell>
          <cell r="B690" t="str">
            <v>1015</v>
          </cell>
          <cell r="C690">
            <v>-1081688.79</v>
          </cell>
          <cell r="D690" t="str">
            <v>203</v>
          </cell>
          <cell r="E690" t="str">
            <v>407</v>
          </cell>
          <cell r="F690">
            <v>0</v>
          </cell>
          <cell r="G690">
            <v>7</v>
          </cell>
          <cell r="H690" t="str">
            <v>2009-07-31</v>
          </cell>
        </row>
        <row r="691">
          <cell r="A691" t="str">
            <v>481004</v>
          </cell>
          <cell r="B691" t="str">
            <v>1015</v>
          </cell>
          <cell r="C691">
            <v>-704.75</v>
          </cell>
          <cell r="D691" t="str">
            <v>203</v>
          </cell>
          <cell r="E691" t="str">
            <v>407</v>
          </cell>
          <cell r="F691">
            <v>0</v>
          </cell>
          <cell r="G691">
            <v>8</v>
          </cell>
          <cell r="H691" t="str">
            <v>2009-08-31</v>
          </cell>
        </row>
        <row r="692">
          <cell r="A692" t="str">
            <v>481004</v>
          </cell>
          <cell r="B692" t="str">
            <v>1015</v>
          </cell>
          <cell r="C692">
            <v>-323562.2</v>
          </cell>
          <cell r="D692" t="str">
            <v>203</v>
          </cell>
          <cell r="E692" t="str">
            <v>407</v>
          </cell>
          <cell r="F692">
            <v>0</v>
          </cell>
          <cell r="G692">
            <v>9</v>
          </cell>
          <cell r="H692" t="str">
            <v>2009-09-30</v>
          </cell>
        </row>
        <row r="693">
          <cell r="A693" t="str">
            <v>481004</v>
          </cell>
          <cell r="B693" t="str">
            <v>1015</v>
          </cell>
          <cell r="C693">
            <v>-573792.75</v>
          </cell>
          <cell r="D693" t="str">
            <v>203</v>
          </cell>
          <cell r="E693" t="str">
            <v>407</v>
          </cell>
          <cell r="F693">
            <v>0</v>
          </cell>
          <cell r="G693">
            <v>10</v>
          </cell>
          <cell r="H693" t="str">
            <v>2009-10-31</v>
          </cell>
        </row>
        <row r="694">
          <cell r="A694" t="str">
            <v>480000</v>
          </cell>
          <cell r="B694" t="str">
            <v>1015</v>
          </cell>
          <cell r="C694">
            <v>-1585776.72</v>
          </cell>
          <cell r="D694" t="str">
            <v>203</v>
          </cell>
          <cell r="E694" t="str">
            <v>407</v>
          </cell>
          <cell r="F694">
            <v>0</v>
          </cell>
          <cell r="G694">
            <v>10</v>
          </cell>
          <cell r="H694" t="str">
            <v>2009-10-31</v>
          </cell>
        </row>
        <row r="695">
          <cell r="A695" t="str">
            <v>481004</v>
          </cell>
          <cell r="B695" t="str">
            <v>1015</v>
          </cell>
          <cell r="C695">
            <v>-1532042.17</v>
          </cell>
          <cell r="D695" t="str">
            <v>203</v>
          </cell>
          <cell r="E695" t="str">
            <v>407</v>
          </cell>
          <cell r="F695">
            <v>0</v>
          </cell>
          <cell r="G695">
            <v>11</v>
          </cell>
          <cell r="H695" t="str">
            <v>2009-11-30</v>
          </cell>
        </row>
        <row r="696">
          <cell r="A696" t="str">
            <v>481004</v>
          </cell>
          <cell r="B696" t="str">
            <v>1015</v>
          </cell>
          <cell r="C696">
            <v>-5133.71</v>
          </cell>
          <cell r="D696" t="str">
            <v>203</v>
          </cell>
          <cell r="E696" t="str">
            <v>407</v>
          </cell>
          <cell r="F696">
            <v>0</v>
          </cell>
          <cell r="G696">
            <v>11</v>
          </cell>
          <cell r="H696" t="str">
            <v>2009-11-30</v>
          </cell>
        </row>
        <row r="697">
          <cell r="A697" t="str">
            <v>480000</v>
          </cell>
          <cell r="B697" t="str">
            <v>1015</v>
          </cell>
          <cell r="C697">
            <v>-21666.85</v>
          </cell>
          <cell r="D697" t="str">
            <v>203</v>
          </cell>
          <cell r="E697" t="str">
            <v>407</v>
          </cell>
          <cell r="F697">
            <v>0</v>
          </cell>
          <cell r="G697">
            <v>12</v>
          </cell>
          <cell r="H697" t="str">
            <v>2009-12-31</v>
          </cell>
        </row>
        <row r="698">
          <cell r="A698" t="str">
            <v>481004</v>
          </cell>
          <cell r="B698" t="str">
            <v>1015</v>
          </cell>
          <cell r="C698">
            <v>-4604506.1900000004</v>
          </cell>
          <cell r="D698" t="str">
            <v>203</v>
          </cell>
          <cell r="E698" t="str">
            <v>407</v>
          </cell>
          <cell r="F698">
            <v>0</v>
          </cell>
          <cell r="G698">
            <v>2</v>
          </cell>
          <cell r="H698" t="str">
            <v>2010-02-28</v>
          </cell>
        </row>
        <row r="699">
          <cell r="A699" t="str">
            <v>481000</v>
          </cell>
          <cell r="B699" t="str">
            <v>1015</v>
          </cell>
          <cell r="C699">
            <v>-787.93</v>
          </cell>
          <cell r="D699" t="str">
            <v>203</v>
          </cell>
          <cell r="E699" t="str">
            <v>407</v>
          </cell>
          <cell r="F699">
            <v>0</v>
          </cell>
          <cell r="G699">
            <v>5</v>
          </cell>
          <cell r="H699" t="str">
            <v>2010-05-31</v>
          </cell>
        </row>
        <row r="700">
          <cell r="A700" t="str">
            <v>480000</v>
          </cell>
          <cell r="B700" t="str">
            <v>1015</v>
          </cell>
          <cell r="C700">
            <v>-2984.2</v>
          </cell>
          <cell r="D700" t="str">
            <v>203</v>
          </cell>
          <cell r="E700" t="str">
            <v>407</v>
          </cell>
          <cell r="F700">
            <v>0</v>
          </cell>
          <cell r="G700">
            <v>6</v>
          </cell>
          <cell r="H700" t="str">
            <v>2010-06-30</v>
          </cell>
        </row>
        <row r="701">
          <cell r="A701" t="str">
            <v>481006</v>
          </cell>
          <cell r="B701" t="str">
            <v>1015</v>
          </cell>
          <cell r="C701">
            <v>28.38</v>
          </cell>
          <cell r="D701" t="str">
            <v>203</v>
          </cell>
          <cell r="E701" t="str">
            <v>407</v>
          </cell>
          <cell r="F701">
            <v>0</v>
          </cell>
          <cell r="G701">
            <v>7</v>
          </cell>
          <cell r="H701" t="str">
            <v>2009-07-31</v>
          </cell>
        </row>
        <row r="702">
          <cell r="A702" t="str">
            <v>480001</v>
          </cell>
          <cell r="B702" t="str">
            <v>1015</v>
          </cell>
          <cell r="C702">
            <v>15455.49</v>
          </cell>
          <cell r="D702" t="str">
            <v>203</v>
          </cell>
          <cell r="E702" t="str">
            <v>407</v>
          </cell>
          <cell r="F702">
            <v>0</v>
          </cell>
          <cell r="G702">
            <v>9</v>
          </cell>
          <cell r="H702" t="str">
            <v>2009-09-30</v>
          </cell>
        </row>
        <row r="703">
          <cell r="A703" t="str">
            <v>481006</v>
          </cell>
          <cell r="B703" t="str">
            <v>1015</v>
          </cell>
          <cell r="C703">
            <v>-1416764.83</v>
          </cell>
          <cell r="D703" t="str">
            <v>203</v>
          </cell>
          <cell r="E703" t="str">
            <v>407</v>
          </cell>
          <cell r="F703">
            <v>0</v>
          </cell>
          <cell r="G703">
            <v>11</v>
          </cell>
          <cell r="H703" t="str">
            <v>2009-11-30</v>
          </cell>
        </row>
        <row r="704">
          <cell r="A704" t="str">
            <v>481006</v>
          </cell>
          <cell r="B704" t="str">
            <v>1015</v>
          </cell>
          <cell r="C704">
            <v>-2224.02</v>
          </cell>
          <cell r="D704" t="str">
            <v>203</v>
          </cell>
          <cell r="E704" t="str">
            <v>407</v>
          </cell>
          <cell r="F704">
            <v>0</v>
          </cell>
          <cell r="G704">
            <v>12</v>
          </cell>
          <cell r="H704" t="str">
            <v>2009-12-31</v>
          </cell>
        </row>
        <row r="705">
          <cell r="A705" t="str">
            <v>481006</v>
          </cell>
          <cell r="B705" t="str">
            <v>1015</v>
          </cell>
          <cell r="C705">
            <v>1364048</v>
          </cell>
          <cell r="D705" t="str">
            <v>203</v>
          </cell>
          <cell r="E705" t="str">
            <v>407</v>
          </cell>
          <cell r="F705">
            <v>0</v>
          </cell>
          <cell r="G705">
            <v>4</v>
          </cell>
          <cell r="H705" t="str">
            <v>2010-04-30</v>
          </cell>
        </row>
        <row r="706">
          <cell r="A706" t="str">
            <v>481006</v>
          </cell>
          <cell r="B706" t="str">
            <v>1015</v>
          </cell>
          <cell r="C706">
            <v>402064</v>
          </cell>
          <cell r="D706" t="str">
            <v>203</v>
          </cell>
          <cell r="E706" t="str">
            <v>407</v>
          </cell>
          <cell r="F706">
            <v>0</v>
          </cell>
          <cell r="G706">
            <v>6</v>
          </cell>
          <cell r="H706" t="str">
            <v>2010-06-30</v>
          </cell>
        </row>
        <row r="707">
          <cell r="A707" t="str">
            <v>481004</v>
          </cell>
          <cell r="B707" t="str">
            <v>1015</v>
          </cell>
          <cell r="C707">
            <v>-1515</v>
          </cell>
          <cell r="D707" t="str">
            <v>203</v>
          </cell>
          <cell r="E707" t="str">
            <v>407</v>
          </cell>
          <cell r="F707">
            <v>0</v>
          </cell>
          <cell r="G707">
            <v>10</v>
          </cell>
          <cell r="H707" t="str">
            <v>2009-10-31</v>
          </cell>
        </row>
        <row r="708">
          <cell r="A708" t="str">
            <v>480000</v>
          </cell>
          <cell r="B708" t="str">
            <v>1015</v>
          </cell>
          <cell r="C708">
            <v>-3847350.46</v>
          </cell>
          <cell r="D708" t="str">
            <v>203</v>
          </cell>
          <cell r="E708" t="str">
            <v>407</v>
          </cell>
          <cell r="F708">
            <v>0</v>
          </cell>
          <cell r="G708">
            <v>11</v>
          </cell>
          <cell r="H708" t="str">
            <v>2009-11-30</v>
          </cell>
        </row>
        <row r="709">
          <cell r="A709" t="str">
            <v>480000</v>
          </cell>
          <cell r="B709" t="str">
            <v>1015</v>
          </cell>
          <cell r="C709">
            <v>-10491.5</v>
          </cell>
          <cell r="D709" t="str">
            <v>203</v>
          </cell>
          <cell r="E709" t="str">
            <v>407</v>
          </cell>
          <cell r="F709">
            <v>0</v>
          </cell>
          <cell r="G709">
            <v>11</v>
          </cell>
          <cell r="H709" t="str">
            <v>2009-11-30</v>
          </cell>
        </row>
        <row r="710">
          <cell r="A710" t="str">
            <v>480000</v>
          </cell>
          <cell r="B710" t="str">
            <v>1015</v>
          </cell>
          <cell r="C710">
            <v>-11664313.66</v>
          </cell>
          <cell r="D710" t="str">
            <v>203</v>
          </cell>
          <cell r="E710" t="str">
            <v>407</v>
          </cell>
          <cell r="F710">
            <v>0</v>
          </cell>
          <cell r="G710">
            <v>12</v>
          </cell>
          <cell r="H710" t="str">
            <v>2009-12-31</v>
          </cell>
        </row>
        <row r="711">
          <cell r="A711" t="str">
            <v>481004</v>
          </cell>
          <cell r="B711" t="str">
            <v>1015</v>
          </cell>
          <cell r="C711">
            <v>-4148603.02</v>
          </cell>
          <cell r="D711" t="str">
            <v>203</v>
          </cell>
          <cell r="E711" t="str">
            <v>407</v>
          </cell>
          <cell r="F711">
            <v>0</v>
          </cell>
          <cell r="G711">
            <v>3</v>
          </cell>
          <cell r="H711" t="str">
            <v>2010-03-31</v>
          </cell>
        </row>
        <row r="712">
          <cell r="A712" t="str">
            <v>480000</v>
          </cell>
          <cell r="B712" t="str">
            <v>1015</v>
          </cell>
          <cell r="C712">
            <v>-2421567.9700000002</v>
          </cell>
          <cell r="D712" t="str">
            <v>203</v>
          </cell>
          <cell r="E712" t="str">
            <v>407</v>
          </cell>
          <cell r="F712">
            <v>0</v>
          </cell>
          <cell r="G712">
            <v>5</v>
          </cell>
          <cell r="H712" t="str">
            <v>2010-05-31</v>
          </cell>
        </row>
        <row r="713">
          <cell r="A713" t="str">
            <v>481004</v>
          </cell>
          <cell r="B713" t="str">
            <v>1015</v>
          </cell>
          <cell r="C713">
            <v>-2016.18</v>
          </cell>
          <cell r="D713" t="str">
            <v>203</v>
          </cell>
          <cell r="E713" t="str">
            <v>407</v>
          </cell>
          <cell r="F713">
            <v>0</v>
          </cell>
          <cell r="G713">
            <v>5</v>
          </cell>
          <cell r="H713" t="str">
            <v>2010-05-31</v>
          </cell>
        </row>
        <row r="714">
          <cell r="A714" t="str">
            <v>480000</v>
          </cell>
          <cell r="B714" t="str">
            <v>1015</v>
          </cell>
          <cell r="C714">
            <v>0</v>
          </cell>
          <cell r="D714" t="str">
            <v>203</v>
          </cell>
          <cell r="E714" t="str">
            <v>408</v>
          </cell>
          <cell r="F714">
            <v>0</v>
          </cell>
          <cell r="G714">
            <v>9</v>
          </cell>
          <cell r="H714" t="str">
            <v>2009-09-30</v>
          </cell>
        </row>
        <row r="715">
          <cell r="A715" t="str">
            <v>481005</v>
          </cell>
          <cell r="B715" t="str">
            <v>1015</v>
          </cell>
          <cell r="C715">
            <v>-22546</v>
          </cell>
          <cell r="D715" t="str">
            <v>203</v>
          </cell>
          <cell r="E715" t="str">
            <v>411</v>
          </cell>
          <cell r="F715">
            <v>0</v>
          </cell>
          <cell r="G715">
            <v>7</v>
          </cell>
          <cell r="H715" t="str">
            <v>2009-07-31</v>
          </cell>
        </row>
        <row r="716">
          <cell r="A716" t="str">
            <v>481005</v>
          </cell>
          <cell r="B716" t="str">
            <v>1015</v>
          </cell>
          <cell r="C716">
            <v>-24246</v>
          </cell>
          <cell r="D716" t="str">
            <v>203</v>
          </cell>
          <cell r="E716" t="str">
            <v>411</v>
          </cell>
          <cell r="F716">
            <v>0</v>
          </cell>
          <cell r="G716">
            <v>10</v>
          </cell>
          <cell r="H716" t="str">
            <v>2009-10-31</v>
          </cell>
        </row>
        <row r="717">
          <cell r="A717" t="str">
            <v>481005</v>
          </cell>
          <cell r="B717" t="str">
            <v>1015</v>
          </cell>
          <cell r="C717">
            <v>-26963</v>
          </cell>
          <cell r="D717" t="str">
            <v>203</v>
          </cell>
          <cell r="E717" t="str">
            <v>411</v>
          </cell>
          <cell r="F717">
            <v>0</v>
          </cell>
          <cell r="G717">
            <v>11</v>
          </cell>
          <cell r="H717" t="str">
            <v>2009-11-30</v>
          </cell>
        </row>
        <row r="718">
          <cell r="A718" t="str">
            <v>481002</v>
          </cell>
          <cell r="B718" t="str">
            <v>1015</v>
          </cell>
          <cell r="C718">
            <v>-9463</v>
          </cell>
          <cell r="D718" t="str">
            <v>203</v>
          </cell>
          <cell r="E718" t="str">
            <v>411</v>
          </cell>
          <cell r="F718">
            <v>0</v>
          </cell>
          <cell r="G718">
            <v>8</v>
          </cell>
          <cell r="H718" t="str">
            <v>2009-08-31</v>
          </cell>
        </row>
        <row r="719">
          <cell r="A719" t="str">
            <v>481002</v>
          </cell>
          <cell r="B719" t="str">
            <v>1015</v>
          </cell>
          <cell r="C719">
            <v>-7996</v>
          </cell>
          <cell r="D719" t="str">
            <v>203</v>
          </cell>
          <cell r="E719" t="str">
            <v>411</v>
          </cell>
          <cell r="F719">
            <v>0</v>
          </cell>
          <cell r="G719">
            <v>9</v>
          </cell>
          <cell r="H719" t="str">
            <v>2009-09-30</v>
          </cell>
        </row>
        <row r="720">
          <cell r="A720" t="str">
            <v>481002</v>
          </cell>
          <cell r="B720" t="str">
            <v>1015</v>
          </cell>
          <cell r="C720">
            <v>-5800</v>
          </cell>
          <cell r="D720" t="str">
            <v>203</v>
          </cell>
          <cell r="E720" t="str">
            <v>411</v>
          </cell>
          <cell r="F720">
            <v>0</v>
          </cell>
          <cell r="G720">
            <v>11</v>
          </cell>
          <cell r="H720" t="str">
            <v>2009-11-30</v>
          </cell>
        </row>
        <row r="721">
          <cell r="A721" t="str">
            <v>481005</v>
          </cell>
          <cell r="B721" t="str">
            <v>1015</v>
          </cell>
          <cell r="C721">
            <v>-16151.13</v>
          </cell>
          <cell r="D721" t="str">
            <v>203</v>
          </cell>
          <cell r="E721" t="str">
            <v>411</v>
          </cell>
          <cell r="F721">
            <v>0</v>
          </cell>
          <cell r="G721">
            <v>3</v>
          </cell>
          <cell r="H721" t="str">
            <v>2010-03-31</v>
          </cell>
        </row>
        <row r="722">
          <cell r="A722" t="str">
            <v>481005</v>
          </cell>
          <cell r="B722" t="str">
            <v>1015</v>
          </cell>
          <cell r="C722">
            <v>-28199</v>
          </cell>
          <cell r="D722" t="str">
            <v>203</v>
          </cell>
          <cell r="E722" t="str">
            <v>411</v>
          </cell>
          <cell r="F722">
            <v>0</v>
          </cell>
          <cell r="G722">
            <v>12</v>
          </cell>
          <cell r="H722" t="str">
            <v>2009-12-31</v>
          </cell>
        </row>
        <row r="723">
          <cell r="A723" t="str">
            <v>481005</v>
          </cell>
          <cell r="B723" t="str">
            <v>1015</v>
          </cell>
          <cell r="C723">
            <v>-2856.16</v>
          </cell>
          <cell r="D723" t="str">
            <v>203</v>
          </cell>
          <cell r="E723" t="str">
            <v>411</v>
          </cell>
          <cell r="F723">
            <v>0</v>
          </cell>
          <cell r="G723">
            <v>6</v>
          </cell>
          <cell r="H723" t="str">
            <v>2010-06-30</v>
          </cell>
        </row>
        <row r="724">
          <cell r="A724" t="str">
            <v>481002</v>
          </cell>
          <cell r="B724" t="str">
            <v>1015</v>
          </cell>
          <cell r="C724">
            <v>-6725</v>
          </cell>
          <cell r="D724" t="str">
            <v>203</v>
          </cell>
          <cell r="E724" t="str">
            <v>411</v>
          </cell>
          <cell r="F724">
            <v>0</v>
          </cell>
          <cell r="G724">
            <v>7</v>
          </cell>
          <cell r="H724" t="str">
            <v>2009-07-31</v>
          </cell>
        </row>
        <row r="725">
          <cell r="A725" t="str">
            <v>481005</v>
          </cell>
          <cell r="B725" t="str">
            <v>1015</v>
          </cell>
          <cell r="C725">
            <v>-237</v>
          </cell>
          <cell r="D725" t="str">
            <v>203</v>
          </cell>
          <cell r="E725" t="str">
            <v>411</v>
          </cell>
          <cell r="F725">
            <v>0</v>
          </cell>
          <cell r="G725">
            <v>11</v>
          </cell>
          <cell r="H725" t="str">
            <v>2009-11-30</v>
          </cell>
        </row>
        <row r="726">
          <cell r="A726" t="str">
            <v>481005</v>
          </cell>
          <cell r="B726" t="str">
            <v>1015</v>
          </cell>
          <cell r="C726">
            <v>-288.95999999999998</v>
          </cell>
          <cell r="D726" t="str">
            <v>203</v>
          </cell>
          <cell r="E726" t="str">
            <v>411</v>
          </cell>
          <cell r="F726">
            <v>0</v>
          </cell>
          <cell r="G726">
            <v>3</v>
          </cell>
          <cell r="H726" t="str">
            <v>2010-03-31</v>
          </cell>
        </row>
        <row r="727">
          <cell r="A727" t="str">
            <v>481002</v>
          </cell>
          <cell r="B727" t="str">
            <v>1015</v>
          </cell>
          <cell r="C727">
            <v>-21312.959999999999</v>
          </cell>
          <cell r="D727" t="str">
            <v>203</v>
          </cell>
          <cell r="E727" t="str">
            <v>411</v>
          </cell>
          <cell r="F727">
            <v>0</v>
          </cell>
          <cell r="G727">
            <v>5</v>
          </cell>
          <cell r="H727" t="str">
            <v>2010-05-31</v>
          </cell>
        </row>
        <row r="728">
          <cell r="A728" t="str">
            <v>481005</v>
          </cell>
          <cell r="B728" t="str">
            <v>1015</v>
          </cell>
          <cell r="C728">
            <v>-26124</v>
          </cell>
          <cell r="D728" t="str">
            <v>203</v>
          </cell>
          <cell r="E728" t="str">
            <v>411</v>
          </cell>
          <cell r="F728">
            <v>0</v>
          </cell>
          <cell r="G728">
            <v>8</v>
          </cell>
          <cell r="H728" t="str">
            <v>2009-08-31</v>
          </cell>
        </row>
        <row r="729">
          <cell r="A729" t="str">
            <v>481002</v>
          </cell>
          <cell r="B729" t="str">
            <v>1015</v>
          </cell>
          <cell r="C729">
            <v>-3382</v>
          </cell>
          <cell r="D729" t="str">
            <v>203</v>
          </cell>
          <cell r="E729" t="str">
            <v>411</v>
          </cell>
          <cell r="F729">
            <v>0</v>
          </cell>
          <cell r="G729">
            <v>12</v>
          </cell>
          <cell r="H729" t="str">
            <v>2009-12-31</v>
          </cell>
        </row>
        <row r="730">
          <cell r="A730" t="str">
            <v>481002</v>
          </cell>
          <cell r="B730" t="str">
            <v>1015</v>
          </cell>
          <cell r="C730">
            <v>-15120.59</v>
          </cell>
          <cell r="D730" t="str">
            <v>203</v>
          </cell>
          <cell r="E730" t="str">
            <v>411</v>
          </cell>
          <cell r="F730">
            <v>0</v>
          </cell>
          <cell r="G730">
            <v>1</v>
          </cell>
          <cell r="H730" t="str">
            <v>2010-01-31</v>
          </cell>
        </row>
        <row r="731">
          <cell r="A731" t="str">
            <v>481005</v>
          </cell>
          <cell r="B731" t="str">
            <v>1015</v>
          </cell>
          <cell r="C731">
            <v>-228.76</v>
          </cell>
          <cell r="D731" t="str">
            <v>203</v>
          </cell>
          <cell r="E731" t="str">
            <v>411</v>
          </cell>
          <cell r="F731">
            <v>0</v>
          </cell>
          <cell r="G731">
            <v>4</v>
          </cell>
          <cell r="H731" t="str">
            <v>2010-04-30</v>
          </cell>
        </row>
        <row r="732">
          <cell r="A732" t="str">
            <v>481002</v>
          </cell>
          <cell r="B732" t="str">
            <v>1015</v>
          </cell>
          <cell r="C732">
            <v>-21906.17</v>
          </cell>
          <cell r="D732" t="str">
            <v>203</v>
          </cell>
          <cell r="E732" t="str">
            <v>411</v>
          </cell>
          <cell r="F732">
            <v>0</v>
          </cell>
          <cell r="G732">
            <v>4</v>
          </cell>
          <cell r="H732" t="str">
            <v>2010-04-30</v>
          </cell>
        </row>
        <row r="733">
          <cell r="A733" t="str">
            <v>481005</v>
          </cell>
          <cell r="B733" t="str">
            <v>1015</v>
          </cell>
          <cell r="C733">
            <v>-10998.25</v>
          </cell>
          <cell r="D733" t="str">
            <v>203</v>
          </cell>
          <cell r="E733" t="str">
            <v>411</v>
          </cell>
          <cell r="F733">
            <v>0</v>
          </cell>
          <cell r="G733">
            <v>5</v>
          </cell>
          <cell r="H733" t="str">
            <v>2010-05-31</v>
          </cell>
        </row>
        <row r="734">
          <cell r="A734" t="str">
            <v>481005</v>
          </cell>
          <cell r="B734" t="str">
            <v>1015</v>
          </cell>
          <cell r="C734">
            <v>260.77999999999997</v>
          </cell>
          <cell r="D734" t="str">
            <v>203</v>
          </cell>
          <cell r="E734" t="str">
            <v>411</v>
          </cell>
          <cell r="F734">
            <v>0</v>
          </cell>
          <cell r="G734">
            <v>6</v>
          </cell>
          <cell r="H734" t="str">
            <v>2010-06-30</v>
          </cell>
        </row>
        <row r="735">
          <cell r="A735" t="str">
            <v>481005</v>
          </cell>
          <cell r="B735" t="str">
            <v>1015</v>
          </cell>
          <cell r="C735">
            <v>-26038</v>
          </cell>
          <cell r="D735" t="str">
            <v>203</v>
          </cell>
          <cell r="E735" t="str">
            <v>411</v>
          </cell>
          <cell r="F735">
            <v>0</v>
          </cell>
          <cell r="G735">
            <v>9</v>
          </cell>
          <cell r="H735" t="str">
            <v>2009-09-30</v>
          </cell>
        </row>
        <row r="736">
          <cell r="A736" t="str">
            <v>481005</v>
          </cell>
          <cell r="B736" t="str">
            <v>1015</v>
          </cell>
          <cell r="C736">
            <v>0</v>
          </cell>
          <cell r="D736" t="str">
            <v>203</v>
          </cell>
          <cell r="E736" t="str">
            <v>411</v>
          </cell>
          <cell r="F736">
            <v>0</v>
          </cell>
          <cell r="G736">
            <v>9</v>
          </cell>
          <cell r="H736" t="str">
            <v>2009-09-30</v>
          </cell>
        </row>
        <row r="737">
          <cell r="A737" t="str">
            <v>481002</v>
          </cell>
          <cell r="B737" t="str">
            <v>1015</v>
          </cell>
          <cell r="C737">
            <v>-7063</v>
          </cell>
          <cell r="D737" t="str">
            <v>203</v>
          </cell>
          <cell r="E737" t="str">
            <v>411</v>
          </cell>
          <cell r="F737">
            <v>0</v>
          </cell>
          <cell r="G737">
            <v>10</v>
          </cell>
          <cell r="H737" t="str">
            <v>2009-10-31</v>
          </cell>
        </row>
        <row r="738">
          <cell r="A738" t="str">
            <v>481005</v>
          </cell>
          <cell r="B738" t="str">
            <v>1015</v>
          </cell>
          <cell r="C738">
            <v>-348</v>
          </cell>
          <cell r="D738" t="str">
            <v>203</v>
          </cell>
          <cell r="E738" t="str">
            <v>411</v>
          </cell>
          <cell r="F738">
            <v>0</v>
          </cell>
          <cell r="G738">
            <v>12</v>
          </cell>
          <cell r="H738" t="str">
            <v>2009-12-31</v>
          </cell>
        </row>
        <row r="739">
          <cell r="A739" t="str">
            <v>481005</v>
          </cell>
          <cell r="B739" t="str">
            <v>1015</v>
          </cell>
          <cell r="C739">
            <v>-14205.13</v>
          </cell>
          <cell r="D739" t="str">
            <v>203</v>
          </cell>
          <cell r="E739" t="str">
            <v>411</v>
          </cell>
          <cell r="F739">
            <v>0</v>
          </cell>
          <cell r="G739">
            <v>2</v>
          </cell>
          <cell r="H739" t="str">
            <v>2010-02-28</v>
          </cell>
        </row>
        <row r="740">
          <cell r="A740" t="str">
            <v>481002</v>
          </cell>
          <cell r="B740" t="str">
            <v>1015</v>
          </cell>
          <cell r="C740">
            <v>-16973.39</v>
          </cell>
          <cell r="D740" t="str">
            <v>203</v>
          </cell>
          <cell r="E740" t="str">
            <v>411</v>
          </cell>
          <cell r="F740">
            <v>0</v>
          </cell>
          <cell r="G740">
            <v>3</v>
          </cell>
          <cell r="H740" t="str">
            <v>2010-03-31</v>
          </cell>
        </row>
        <row r="741">
          <cell r="A741" t="str">
            <v>481005</v>
          </cell>
          <cell r="B741" t="str">
            <v>1015</v>
          </cell>
          <cell r="C741">
            <v>-84.51</v>
          </cell>
          <cell r="D741" t="str">
            <v>203</v>
          </cell>
          <cell r="E741" t="str">
            <v>411</v>
          </cell>
          <cell r="F741">
            <v>0</v>
          </cell>
          <cell r="G741">
            <v>5</v>
          </cell>
          <cell r="H741" t="str">
            <v>2010-05-31</v>
          </cell>
        </row>
        <row r="742">
          <cell r="A742" t="str">
            <v>481005</v>
          </cell>
          <cell r="B742" t="str">
            <v>1015</v>
          </cell>
          <cell r="C742">
            <v>0</v>
          </cell>
          <cell r="D742" t="str">
            <v>203</v>
          </cell>
          <cell r="E742" t="str">
            <v>411</v>
          </cell>
          <cell r="F742">
            <v>0</v>
          </cell>
          <cell r="G742">
            <v>8</v>
          </cell>
          <cell r="H742" t="str">
            <v>2009-08-31</v>
          </cell>
        </row>
        <row r="743">
          <cell r="A743" t="str">
            <v>481005</v>
          </cell>
          <cell r="B743" t="str">
            <v>1015</v>
          </cell>
          <cell r="C743">
            <v>-642.82000000000005</v>
          </cell>
          <cell r="D743" t="str">
            <v>203</v>
          </cell>
          <cell r="E743" t="str">
            <v>411</v>
          </cell>
          <cell r="F743">
            <v>0</v>
          </cell>
          <cell r="G743">
            <v>1</v>
          </cell>
          <cell r="H743" t="str">
            <v>2010-01-31</v>
          </cell>
        </row>
        <row r="744">
          <cell r="A744" t="str">
            <v>481005</v>
          </cell>
          <cell r="B744" t="str">
            <v>1015</v>
          </cell>
          <cell r="C744">
            <v>-288.20999999999998</v>
          </cell>
          <cell r="D744" t="str">
            <v>203</v>
          </cell>
          <cell r="E744" t="str">
            <v>411</v>
          </cell>
          <cell r="F744">
            <v>0</v>
          </cell>
          <cell r="G744">
            <v>2</v>
          </cell>
          <cell r="H744" t="str">
            <v>2010-02-28</v>
          </cell>
        </row>
        <row r="745">
          <cell r="A745" t="str">
            <v>481002</v>
          </cell>
          <cell r="B745" t="str">
            <v>1015</v>
          </cell>
          <cell r="C745">
            <v>-13871.73</v>
          </cell>
          <cell r="D745" t="str">
            <v>203</v>
          </cell>
          <cell r="E745" t="str">
            <v>411</v>
          </cell>
          <cell r="F745">
            <v>0</v>
          </cell>
          <cell r="G745">
            <v>2</v>
          </cell>
          <cell r="H745" t="str">
            <v>2010-02-28</v>
          </cell>
        </row>
        <row r="746">
          <cell r="A746" t="str">
            <v>481005</v>
          </cell>
          <cell r="B746" t="str">
            <v>1015</v>
          </cell>
          <cell r="C746">
            <v>0</v>
          </cell>
          <cell r="D746" t="str">
            <v>203</v>
          </cell>
          <cell r="E746" t="str">
            <v>411</v>
          </cell>
          <cell r="F746">
            <v>0</v>
          </cell>
          <cell r="G746">
            <v>7</v>
          </cell>
          <cell r="H746" t="str">
            <v>2009-07-31</v>
          </cell>
        </row>
        <row r="747">
          <cell r="A747" t="str">
            <v>481005</v>
          </cell>
          <cell r="B747" t="str">
            <v>1015</v>
          </cell>
          <cell r="C747">
            <v>-128</v>
          </cell>
          <cell r="D747" t="str">
            <v>203</v>
          </cell>
          <cell r="E747" t="str">
            <v>411</v>
          </cell>
          <cell r="F747">
            <v>0</v>
          </cell>
          <cell r="G747">
            <v>10</v>
          </cell>
          <cell r="H747" t="str">
            <v>2009-10-31</v>
          </cell>
        </row>
        <row r="748">
          <cell r="A748" t="str">
            <v>481005</v>
          </cell>
          <cell r="B748" t="str">
            <v>1015</v>
          </cell>
          <cell r="C748">
            <v>-27824.21</v>
          </cell>
          <cell r="D748" t="str">
            <v>203</v>
          </cell>
          <cell r="E748" t="str">
            <v>411</v>
          </cell>
          <cell r="F748">
            <v>0</v>
          </cell>
          <cell r="G748">
            <v>1</v>
          </cell>
          <cell r="H748" t="str">
            <v>2010-01-31</v>
          </cell>
        </row>
        <row r="749">
          <cell r="A749" t="str">
            <v>481005</v>
          </cell>
          <cell r="B749" t="str">
            <v>1015</v>
          </cell>
          <cell r="C749">
            <v>-10945.6</v>
          </cell>
          <cell r="D749" t="str">
            <v>203</v>
          </cell>
          <cell r="E749" t="str">
            <v>411</v>
          </cell>
          <cell r="F749">
            <v>0</v>
          </cell>
          <cell r="G749">
            <v>4</v>
          </cell>
          <cell r="H749" t="str">
            <v>2010-04-30</v>
          </cell>
        </row>
        <row r="750">
          <cell r="A750" t="str">
            <v>481002</v>
          </cell>
          <cell r="B750" t="str">
            <v>1015</v>
          </cell>
          <cell r="C750">
            <v>-24366.65</v>
          </cell>
          <cell r="D750" t="str">
            <v>203</v>
          </cell>
          <cell r="E750" t="str">
            <v>411</v>
          </cell>
          <cell r="F750">
            <v>0</v>
          </cell>
          <cell r="G750">
            <v>6</v>
          </cell>
          <cell r="H750" t="str">
            <v>2010-06-30</v>
          </cell>
        </row>
        <row r="751">
          <cell r="A751" t="str">
            <v>489304</v>
          </cell>
          <cell r="B751" t="str">
            <v>1015</v>
          </cell>
          <cell r="C751">
            <v>-54.82</v>
          </cell>
          <cell r="D751" t="str">
            <v>203</v>
          </cell>
          <cell r="E751" t="str">
            <v>416</v>
          </cell>
          <cell r="F751">
            <v>0</v>
          </cell>
          <cell r="G751">
            <v>9</v>
          </cell>
          <cell r="H751" t="str">
            <v>2009-09-30</v>
          </cell>
        </row>
        <row r="752">
          <cell r="A752" t="str">
            <v>489304</v>
          </cell>
          <cell r="B752" t="str">
            <v>1015</v>
          </cell>
          <cell r="C752">
            <v>-126.24</v>
          </cell>
          <cell r="D752" t="str">
            <v>203</v>
          </cell>
          <cell r="E752" t="str">
            <v>416</v>
          </cell>
          <cell r="F752">
            <v>0</v>
          </cell>
          <cell r="G752">
            <v>4</v>
          </cell>
          <cell r="H752" t="str">
            <v>2010-04-30</v>
          </cell>
        </row>
        <row r="753">
          <cell r="A753" t="str">
            <v>489304</v>
          </cell>
          <cell r="B753" t="str">
            <v>1015</v>
          </cell>
          <cell r="C753">
            <v>-49.54</v>
          </cell>
          <cell r="D753" t="str">
            <v>203</v>
          </cell>
          <cell r="E753" t="str">
            <v>416</v>
          </cell>
          <cell r="F753">
            <v>0</v>
          </cell>
          <cell r="G753">
            <v>7</v>
          </cell>
          <cell r="H753" t="str">
            <v>2009-07-31</v>
          </cell>
        </row>
        <row r="754">
          <cell r="A754" t="str">
            <v>489304</v>
          </cell>
          <cell r="B754" t="str">
            <v>1015</v>
          </cell>
          <cell r="C754">
            <v>-130.13999999999999</v>
          </cell>
          <cell r="D754" t="str">
            <v>203</v>
          </cell>
          <cell r="E754" t="str">
            <v>416</v>
          </cell>
          <cell r="F754">
            <v>0</v>
          </cell>
          <cell r="G754">
            <v>11</v>
          </cell>
          <cell r="H754" t="str">
            <v>2009-11-30</v>
          </cell>
        </row>
        <row r="755">
          <cell r="A755" t="str">
            <v>489304</v>
          </cell>
          <cell r="B755" t="str">
            <v>1015</v>
          </cell>
          <cell r="C755">
            <v>-84.76</v>
          </cell>
          <cell r="D755" t="str">
            <v>203</v>
          </cell>
          <cell r="E755" t="str">
            <v>416</v>
          </cell>
          <cell r="F755">
            <v>0</v>
          </cell>
          <cell r="G755">
            <v>5</v>
          </cell>
          <cell r="H755" t="str">
            <v>2010-05-31</v>
          </cell>
        </row>
        <row r="756">
          <cell r="A756" t="str">
            <v>489304</v>
          </cell>
          <cell r="B756" t="str">
            <v>1015</v>
          </cell>
          <cell r="C756">
            <v>-290.83999999999997</v>
          </cell>
          <cell r="D756" t="str">
            <v>203</v>
          </cell>
          <cell r="E756" t="str">
            <v>416</v>
          </cell>
          <cell r="F756">
            <v>0</v>
          </cell>
          <cell r="G756">
            <v>12</v>
          </cell>
          <cell r="H756" t="str">
            <v>2009-12-31</v>
          </cell>
        </row>
        <row r="757">
          <cell r="A757" t="str">
            <v>489304</v>
          </cell>
          <cell r="B757" t="str">
            <v>1015</v>
          </cell>
          <cell r="C757">
            <v>-276.76</v>
          </cell>
          <cell r="D757" t="str">
            <v>203</v>
          </cell>
          <cell r="E757" t="str">
            <v>416</v>
          </cell>
          <cell r="F757">
            <v>0</v>
          </cell>
          <cell r="G757">
            <v>1</v>
          </cell>
          <cell r="H757" t="str">
            <v>2010-01-31</v>
          </cell>
        </row>
        <row r="758">
          <cell r="A758" t="str">
            <v>489304</v>
          </cell>
          <cell r="B758" t="str">
            <v>1015</v>
          </cell>
          <cell r="C758">
            <v>-230.32</v>
          </cell>
          <cell r="D758" t="str">
            <v>203</v>
          </cell>
          <cell r="E758" t="str">
            <v>416</v>
          </cell>
          <cell r="F758">
            <v>0</v>
          </cell>
          <cell r="G758">
            <v>2</v>
          </cell>
          <cell r="H758" t="str">
            <v>2010-02-28</v>
          </cell>
        </row>
        <row r="759">
          <cell r="A759" t="str">
            <v>489304</v>
          </cell>
          <cell r="B759" t="str">
            <v>1015</v>
          </cell>
          <cell r="C759">
            <v>-195.16</v>
          </cell>
          <cell r="D759" t="str">
            <v>203</v>
          </cell>
          <cell r="E759" t="str">
            <v>416</v>
          </cell>
          <cell r="F759">
            <v>0</v>
          </cell>
          <cell r="G759">
            <v>3</v>
          </cell>
          <cell r="H759" t="str">
            <v>2010-03-31</v>
          </cell>
        </row>
        <row r="760">
          <cell r="A760" t="str">
            <v>489304</v>
          </cell>
          <cell r="B760" t="str">
            <v>1015</v>
          </cell>
          <cell r="C760">
            <v>-93.66</v>
          </cell>
          <cell r="D760" t="str">
            <v>203</v>
          </cell>
          <cell r="E760" t="str">
            <v>416</v>
          </cell>
          <cell r="F760">
            <v>0</v>
          </cell>
          <cell r="G760">
            <v>10</v>
          </cell>
          <cell r="H760" t="str">
            <v>2009-10-31</v>
          </cell>
        </row>
        <row r="761">
          <cell r="A761" t="str">
            <v>489304</v>
          </cell>
          <cell r="B761" t="str">
            <v>1015</v>
          </cell>
          <cell r="C761">
            <v>-51.28</v>
          </cell>
          <cell r="D761" t="str">
            <v>203</v>
          </cell>
          <cell r="E761" t="str">
            <v>416</v>
          </cell>
          <cell r="F761">
            <v>0</v>
          </cell>
          <cell r="G761">
            <v>8</v>
          </cell>
          <cell r="H761" t="str">
            <v>2009-08-31</v>
          </cell>
        </row>
        <row r="762">
          <cell r="A762" t="str">
            <v>489304</v>
          </cell>
          <cell r="B762" t="str">
            <v>1015</v>
          </cell>
          <cell r="C762">
            <v>-64.599999999999994</v>
          </cell>
          <cell r="D762" t="str">
            <v>203</v>
          </cell>
          <cell r="E762" t="str">
            <v>416</v>
          </cell>
          <cell r="F762">
            <v>0</v>
          </cell>
          <cell r="G762">
            <v>6</v>
          </cell>
          <cell r="H762" t="str">
            <v>2010-06-30</v>
          </cell>
        </row>
        <row r="763">
          <cell r="A763" t="str">
            <v>481005</v>
          </cell>
          <cell r="B763" t="str">
            <v>1015</v>
          </cell>
          <cell r="C763">
            <v>-880</v>
          </cell>
          <cell r="D763" t="str">
            <v>203</v>
          </cell>
          <cell r="E763" t="str">
            <v>457</v>
          </cell>
          <cell r="F763">
            <v>0</v>
          </cell>
          <cell r="G763">
            <v>9</v>
          </cell>
          <cell r="H763" t="str">
            <v>2009-09-30</v>
          </cell>
        </row>
        <row r="764">
          <cell r="A764" t="str">
            <v>481005</v>
          </cell>
          <cell r="B764" t="str">
            <v>1015</v>
          </cell>
          <cell r="C764">
            <v>-1176</v>
          </cell>
          <cell r="D764" t="str">
            <v>203</v>
          </cell>
          <cell r="E764" t="str">
            <v>457</v>
          </cell>
          <cell r="F764">
            <v>0</v>
          </cell>
          <cell r="G764">
            <v>10</v>
          </cell>
          <cell r="H764" t="str">
            <v>2009-10-31</v>
          </cell>
        </row>
        <row r="765">
          <cell r="A765" t="str">
            <v>481002</v>
          </cell>
          <cell r="B765" t="str">
            <v>1015</v>
          </cell>
          <cell r="C765">
            <v>2</v>
          </cell>
          <cell r="D765" t="str">
            <v>203</v>
          </cell>
          <cell r="E765" t="str">
            <v>457</v>
          </cell>
          <cell r="F765">
            <v>0</v>
          </cell>
          <cell r="G765">
            <v>5</v>
          </cell>
          <cell r="H765" t="str">
            <v>2010-05-31</v>
          </cell>
        </row>
        <row r="766">
          <cell r="A766" t="str">
            <v>481005</v>
          </cell>
          <cell r="B766" t="str">
            <v>1015</v>
          </cell>
          <cell r="C766">
            <v>-1304</v>
          </cell>
          <cell r="D766" t="str">
            <v>203</v>
          </cell>
          <cell r="E766" t="str">
            <v>457</v>
          </cell>
          <cell r="F766">
            <v>0</v>
          </cell>
          <cell r="G766">
            <v>7</v>
          </cell>
          <cell r="H766" t="str">
            <v>2009-07-31</v>
          </cell>
        </row>
        <row r="767">
          <cell r="A767" t="str">
            <v>481005</v>
          </cell>
          <cell r="B767" t="str">
            <v>1015</v>
          </cell>
          <cell r="C767">
            <v>-2656</v>
          </cell>
          <cell r="D767" t="str">
            <v>203</v>
          </cell>
          <cell r="E767" t="str">
            <v>457</v>
          </cell>
          <cell r="F767">
            <v>0</v>
          </cell>
          <cell r="G767">
            <v>11</v>
          </cell>
          <cell r="H767" t="str">
            <v>2009-11-30</v>
          </cell>
        </row>
        <row r="768">
          <cell r="A768" t="str">
            <v>481005</v>
          </cell>
          <cell r="B768" t="str">
            <v>1015</v>
          </cell>
          <cell r="C768">
            <v>-230</v>
          </cell>
          <cell r="D768" t="str">
            <v>203</v>
          </cell>
          <cell r="E768" t="str">
            <v>457</v>
          </cell>
          <cell r="F768">
            <v>0</v>
          </cell>
          <cell r="G768">
            <v>3</v>
          </cell>
          <cell r="H768" t="str">
            <v>2010-03-31</v>
          </cell>
        </row>
        <row r="769">
          <cell r="A769" t="str">
            <v>481005</v>
          </cell>
          <cell r="B769" t="str">
            <v>1015</v>
          </cell>
          <cell r="C769">
            <v>837</v>
          </cell>
          <cell r="D769" t="str">
            <v>203</v>
          </cell>
          <cell r="E769" t="str">
            <v>457</v>
          </cell>
          <cell r="F769">
            <v>0</v>
          </cell>
          <cell r="G769">
            <v>6</v>
          </cell>
          <cell r="H769" t="str">
            <v>2010-06-30</v>
          </cell>
        </row>
        <row r="770">
          <cell r="A770" t="str">
            <v>481002</v>
          </cell>
          <cell r="B770" t="str">
            <v>1015</v>
          </cell>
          <cell r="C770">
            <v>20</v>
          </cell>
          <cell r="D770" t="str">
            <v>203</v>
          </cell>
          <cell r="E770" t="str">
            <v>457</v>
          </cell>
          <cell r="F770">
            <v>0</v>
          </cell>
          <cell r="G770">
            <v>6</v>
          </cell>
          <cell r="H770" t="str">
            <v>2010-06-30</v>
          </cell>
        </row>
        <row r="771">
          <cell r="A771" t="str">
            <v>481002</v>
          </cell>
          <cell r="B771" t="str">
            <v>1015</v>
          </cell>
          <cell r="C771">
            <v>-346</v>
          </cell>
          <cell r="D771" t="str">
            <v>203</v>
          </cell>
          <cell r="E771" t="str">
            <v>457</v>
          </cell>
          <cell r="F771">
            <v>0</v>
          </cell>
          <cell r="G771">
            <v>11</v>
          </cell>
          <cell r="H771" t="str">
            <v>2009-11-30</v>
          </cell>
        </row>
        <row r="772">
          <cell r="A772" t="str">
            <v>481005</v>
          </cell>
          <cell r="B772" t="str">
            <v>1015</v>
          </cell>
          <cell r="C772">
            <v>-857.14</v>
          </cell>
          <cell r="D772" t="str">
            <v>203</v>
          </cell>
          <cell r="E772" t="str">
            <v>457</v>
          </cell>
          <cell r="F772">
            <v>0</v>
          </cell>
          <cell r="G772">
            <v>1</v>
          </cell>
          <cell r="H772" t="str">
            <v>2010-01-31</v>
          </cell>
        </row>
        <row r="773">
          <cell r="A773" t="str">
            <v>481002</v>
          </cell>
          <cell r="B773" t="str">
            <v>1015</v>
          </cell>
          <cell r="C773">
            <v>-7</v>
          </cell>
          <cell r="D773" t="str">
            <v>203</v>
          </cell>
          <cell r="E773" t="str">
            <v>457</v>
          </cell>
          <cell r="F773">
            <v>0</v>
          </cell>
          <cell r="G773">
            <v>1</v>
          </cell>
          <cell r="H773" t="str">
            <v>2010-01-31</v>
          </cell>
        </row>
        <row r="774">
          <cell r="A774" t="str">
            <v>481002</v>
          </cell>
          <cell r="B774" t="str">
            <v>1015</v>
          </cell>
          <cell r="C774">
            <v>-318</v>
          </cell>
          <cell r="D774" t="str">
            <v>203</v>
          </cell>
          <cell r="E774" t="str">
            <v>457</v>
          </cell>
          <cell r="F774">
            <v>0</v>
          </cell>
          <cell r="G774">
            <v>8</v>
          </cell>
          <cell r="H774" t="str">
            <v>2009-08-31</v>
          </cell>
        </row>
        <row r="775">
          <cell r="A775" t="str">
            <v>481002</v>
          </cell>
          <cell r="B775" t="str">
            <v>1015</v>
          </cell>
          <cell r="C775">
            <v>-211</v>
          </cell>
          <cell r="D775" t="str">
            <v>203</v>
          </cell>
          <cell r="E775" t="str">
            <v>457</v>
          </cell>
          <cell r="F775">
            <v>0</v>
          </cell>
          <cell r="G775">
            <v>9</v>
          </cell>
          <cell r="H775" t="str">
            <v>2009-09-30</v>
          </cell>
        </row>
        <row r="776">
          <cell r="A776" t="str">
            <v>481005</v>
          </cell>
          <cell r="B776" t="str">
            <v>1015</v>
          </cell>
          <cell r="C776">
            <v>83</v>
          </cell>
          <cell r="D776" t="str">
            <v>203</v>
          </cell>
          <cell r="E776" t="str">
            <v>457</v>
          </cell>
          <cell r="F776">
            <v>0</v>
          </cell>
          <cell r="G776">
            <v>2</v>
          </cell>
          <cell r="H776" t="str">
            <v>2010-02-28</v>
          </cell>
        </row>
        <row r="777">
          <cell r="A777" t="str">
            <v>481002</v>
          </cell>
          <cell r="B777" t="str">
            <v>1015</v>
          </cell>
          <cell r="C777">
            <v>33</v>
          </cell>
          <cell r="D777" t="str">
            <v>203</v>
          </cell>
          <cell r="E777" t="str">
            <v>457</v>
          </cell>
          <cell r="F777">
            <v>0</v>
          </cell>
          <cell r="G777">
            <v>3</v>
          </cell>
          <cell r="H777" t="str">
            <v>2010-03-31</v>
          </cell>
        </row>
        <row r="778">
          <cell r="A778" t="str">
            <v>481002</v>
          </cell>
          <cell r="B778" t="str">
            <v>1015</v>
          </cell>
          <cell r="C778">
            <v>-335</v>
          </cell>
          <cell r="D778" t="str">
            <v>203</v>
          </cell>
          <cell r="E778" t="str">
            <v>457</v>
          </cell>
          <cell r="F778">
            <v>0</v>
          </cell>
          <cell r="G778">
            <v>7</v>
          </cell>
          <cell r="H778" t="str">
            <v>2009-07-31</v>
          </cell>
        </row>
        <row r="779">
          <cell r="A779" t="str">
            <v>481005</v>
          </cell>
          <cell r="B779" t="str">
            <v>1015</v>
          </cell>
          <cell r="C779">
            <v>-2567</v>
          </cell>
          <cell r="D779" t="str">
            <v>203</v>
          </cell>
          <cell r="E779" t="str">
            <v>457</v>
          </cell>
          <cell r="F779">
            <v>0</v>
          </cell>
          <cell r="G779">
            <v>12</v>
          </cell>
          <cell r="H779" t="str">
            <v>2009-12-31</v>
          </cell>
        </row>
        <row r="780">
          <cell r="A780" t="str">
            <v>481002</v>
          </cell>
          <cell r="B780" t="str">
            <v>1015</v>
          </cell>
          <cell r="C780">
            <v>110</v>
          </cell>
          <cell r="D780" t="str">
            <v>203</v>
          </cell>
          <cell r="E780" t="str">
            <v>457</v>
          </cell>
          <cell r="F780">
            <v>0</v>
          </cell>
          <cell r="G780">
            <v>2</v>
          </cell>
          <cell r="H780" t="str">
            <v>2010-02-28</v>
          </cell>
        </row>
        <row r="781">
          <cell r="A781" t="str">
            <v>481005</v>
          </cell>
          <cell r="B781" t="str">
            <v>1015</v>
          </cell>
          <cell r="C781">
            <v>328</v>
          </cell>
          <cell r="D781" t="str">
            <v>203</v>
          </cell>
          <cell r="E781" t="str">
            <v>457</v>
          </cell>
          <cell r="F781">
            <v>0</v>
          </cell>
          <cell r="G781">
            <v>4</v>
          </cell>
          <cell r="H781" t="str">
            <v>2010-04-30</v>
          </cell>
        </row>
        <row r="782">
          <cell r="A782" t="str">
            <v>481005</v>
          </cell>
          <cell r="B782" t="str">
            <v>1015</v>
          </cell>
          <cell r="C782">
            <v>-1092</v>
          </cell>
          <cell r="D782" t="str">
            <v>203</v>
          </cell>
          <cell r="E782" t="str">
            <v>457</v>
          </cell>
          <cell r="F782">
            <v>0</v>
          </cell>
          <cell r="G782">
            <v>8</v>
          </cell>
          <cell r="H782" t="str">
            <v>2009-08-31</v>
          </cell>
        </row>
        <row r="783">
          <cell r="A783" t="str">
            <v>481002</v>
          </cell>
          <cell r="B783" t="str">
            <v>1015</v>
          </cell>
          <cell r="C783">
            <v>-305</v>
          </cell>
          <cell r="D783" t="str">
            <v>203</v>
          </cell>
          <cell r="E783" t="str">
            <v>457</v>
          </cell>
          <cell r="F783">
            <v>0</v>
          </cell>
          <cell r="G783">
            <v>10</v>
          </cell>
          <cell r="H783" t="str">
            <v>2009-10-31</v>
          </cell>
        </row>
        <row r="784">
          <cell r="A784" t="str">
            <v>481002</v>
          </cell>
          <cell r="B784" t="str">
            <v>1015</v>
          </cell>
          <cell r="C784">
            <v>-371</v>
          </cell>
          <cell r="D784" t="str">
            <v>203</v>
          </cell>
          <cell r="E784" t="str">
            <v>457</v>
          </cell>
          <cell r="F784">
            <v>0</v>
          </cell>
          <cell r="G784">
            <v>12</v>
          </cell>
          <cell r="H784" t="str">
            <v>2009-12-31</v>
          </cell>
        </row>
        <row r="785">
          <cell r="A785" t="str">
            <v>481002</v>
          </cell>
          <cell r="B785" t="str">
            <v>1015</v>
          </cell>
          <cell r="C785">
            <v>-43</v>
          </cell>
          <cell r="D785" t="str">
            <v>203</v>
          </cell>
          <cell r="E785" t="str">
            <v>457</v>
          </cell>
          <cell r="F785">
            <v>0</v>
          </cell>
          <cell r="G785">
            <v>4</v>
          </cell>
          <cell r="H785" t="str">
            <v>2010-04-30</v>
          </cell>
        </row>
        <row r="786">
          <cell r="A786" t="str">
            <v>481005</v>
          </cell>
          <cell r="B786" t="str">
            <v>1015</v>
          </cell>
          <cell r="C786">
            <v>-260</v>
          </cell>
          <cell r="D786" t="str">
            <v>203</v>
          </cell>
          <cell r="E786" t="str">
            <v>457</v>
          </cell>
          <cell r="F786">
            <v>0</v>
          </cell>
          <cell r="G786">
            <v>5</v>
          </cell>
          <cell r="H786" t="str">
            <v>2010-05-31</v>
          </cell>
        </row>
        <row r="787">
          <cell r="A787" t="str">
            <v>481004</v>
          </cell>
          <cell r="B787" t="str">
            <v>1015</v>
          </cell>
          <cell r="C787">
            <v>-1798.24</v>
          </cell>
          <cell r="D787" t="str">
            <v>204</v>
          </cell>
          <cell r="E787" t="str">
            <v>402</v>
          </cell>
          <cell r="F787">
            <v>0</v>
          </cell>
          <cell r="G787">
            <v>5</v>
          </cell>
          <cell r="H787" t="str">
            <v>2010-05-31</v>
          </cell>
        </row>
        <row r="788">
          <cell r="A788" t="str">
            <v>481004</v>
          </cell>
          <cell r="B788" t="str">
            <v>1015</v>
          </cell>
          <cell r="C788">
            <v>-1061</v>
          </cell>
          <cell r="D788" t="str">
            <v>204</v>
          </cell>
          <cell r="E788" t="str">
            <v>402</v>
          </cell>
          <cell r="F788">
            <v>0</v>
          </cell>
          <cell r="G788">
            <v>9</v>
          </cell>
          <cell r="H788" t="str">
            <v>2009-09-30</v>
          </cell>
        </row>
        <row r="789">
          <cell r="A789" t="str">
            <v>481004</v>
          </cell>
          <cell r="B789" t="str">
            <v>1015</v>
          </cell>
          <cell r="C789">
            <v>-1865446.38</v>
          </cell>
          <cell r="D789" t="str">
            <v>204</v>
          </cell>
          <cell r="E789" t="str">
            <v>402</v>
          </cell>
          <cell r="F789">
            <v>0</v>
          </cell>
          <cell r="G789">
            <v>3</v>
          </cell>
          <cell r="H789" t="str">
            <v>2010-03-31</v>
          </cell>
        </row>
        <row r="790">
          <cell r="A790" t="str">
            <v>481004</v>
          </cell>
          <cell r="B790" t="str">
            <v>1015</v>
          </cell>
          <cell r="C790">
            <v>-1957.81</v>
          </cell>
          <cell r="D790" t="str">
            <v>204</v>
          </cell>
          <cell r="E790" t="str">
            <v>402</v>
          </cell>
          <cell r="F790">
            <v>0</v>
          </cell>
          <cell r="G790">
            <v>4</v>
          </cell>
          <cell r="H790" t="str">
            <v>2010-04-30</v>
          </cell>
        </row>
        <row r="791">
          <cell r="A791" t="str">
            <v>481000</v>
          </cell>
          <cell r="B791" t="str">
            <v>1015</v>
          </cell>
          <cell r="C791">
            <v>-112648</v>
          </cell>
          <cell r="D791" t="str">
            <v>204</v>
          </cell>
          <cell r="E791" t="str">
            <v>402</v>
          </cell>
          <cell r="F791">
            <v>0</v>
          </cell>
          <cell r="G791">
            <v>7</v>
          </cell>
          <cell r="H791" t="str">
            <v>2009-07-31</v>
          </cell>
        </row>
        <row r="792">
          <cell r="A792" t="str">
            <v>481004</v>
          </cell>
          <cell r="B792" t="str">
            <v>1015</v>
          </cell>
          <cell r="C792">
            <v>-1965336</v>
          </cell>
          <cell r="D792" t="str">
            <v>204</v>
          </cell>
          <cell r="E792" t="str">
            <v>402</v>
          </cell>
          <cell r="F792">
            <v>0</v>
          </cell>
          <cell r="G792">
            <v>8</v>
          </cell>
          <cell r="H792" t="str">
            <v>2009-08-31</v>
          </cell>
        </row>
        <row r="793">
          <cell r="A793" t="str">
            <v>481000</v>
          </cell>
          <cell r="B793" t="str">
            <v>1015</v>
          </cell>
          <cell r="C793">
            <v>-885056.37</v>
          </cell>
          <cell r="D793" t="str">
            <v>204</v>
          </cell>
          <cell r="E793" t="str">
            <v>402</v>
          </cell>
          <cell r="F793">
            <v>0</v>
          </cell>
          <cell r="G793">
            <v>2</v>
          </cell>
          <cell r="H793" t="str">
            <v>2010-02-28</v>
          </cell>
        </row>
        <row r="794">
          <cell r="A794" t="str">
            <v>481000</v>
          </cell>
          <cell r="B794" t="str">
            <v>1015</v>
          </cell>
          <cell r="C794">
            <v>-887756.13</v>
          </cell>
          <cell r="D794" t="str">
            <v>204</v>
          </cell>
          <cell r="E794" t="str">
            <v>402</v>
          </cell>
          <cell r="F794">
            <v>0</v>
          </cell>
          <cell r="G794">
            <v>3</v>
          </cell>
          <cell r="H794" t="str">
            <v>2010-03-31</v>
          </cell>
        </row>
        <row r="795">
          <cell r="A795" t="str">
            <v>481000</v>
          </cell>
          <cell r="B795" t="str">
            <v>1015</v>
          </cell>
          <cell r="C795">
            <v>-169613</v>
          </cell>
          <cell r="D795" t="str">
            <v>204</v>
          </cell>
          <cell r="E795" t="str">
            <v>402</v>
          </cell>
          <cell r="F795">
            <v>0</v>
          </cell>
          <cell r="G795">
            <v>11</v>
          </cell>
          <cell r="H795" t="str">
            <v>2009-11-30</v>
          </cell>
        </row>
        <row r="796">
          <cell r="A796" t="str">
            <v>481000</v>
          </cell>
          <cell r="B796" t="str">
            <v>1015</v>
          </cell>
          <cell r="C796">
            <v>-1089935.71</v>
          </cell>
          <cell r="D796" t="str">
            <v>204</v>
          </cell>
          <cell r="E796" t="str">
            <v>402</v>
          </cell>
          <cell r="F796">
            <v>0</v>
          </cell>
          <cell r="G796">
            <v>1</v>
          </cell>
          <cell r="H796" t="str">
            <v>2010-01-31</v>
          </cell>
        </row>
        <row r="797">
          <cell r="A797" t="str">
            <v>481000</v>
          </cell>
          <cell r="B797" t="str">
            <v>1015</v>
          </cell>
          <cell r="C797">
            <v>-780716.44</v>
          </cell>
          <cell r="D797" t="str">
            <v>204</v>
          </cell>
          <cell r="E797" t="str">
            <v>402</v>
          </cell>
          <cell r="F797">
            <v>0</v>
          </cell>
          <cell r="G797">
            <v>5</v>
          </cell>
          <cell r="H797" t="str">
            <v>2010-05-31</v>
          </cell>
        </row>
        <row r="798">
          <cell r="A798" t="str">
            <v>481000</v>
          </cell>
          <cell r="B798" t="str">
            <v>1015</v>
          </cell>
          <cell r="C798">
            <v>-163171</v>
          </cell>
          <cell r="D798" t="str">
            <v>204</v>
          </cell>
          <cell r="E798" t="str">
            <v>402</v>
          </cell>
          <cell r="F798">
            <v>0</v>
          </cell>
          <cell r="G798">
            <v>10</v>
          </cell>
          <cell r="H798" t="str">
            <v>2009-10-31</v>
          </cell>
        </row>
        <row r="799">
          <cell r="A799" t="str">
            <v>481000</v>
          </cell>
          <cell r="B799" t="str">
            <v>1015</v>
          </cell>
          <cell r="C799">
            <v>-231199</v>
          </cell>
          <cell r="D799" t="str">
            <v>204</v>
          </cell>
          <cell r="E799" t="str">
            <v>402</v>
          </cell>
          <cell r="F799">
            <v>0</v>
          </cell>
          <cell r="G799">
            <v>12</v>
          </cell>
          <cell r="H799" t="str">
            <v>2009-12-31</v>
          </cell>
        </row>
        <row r="800">
          <cell r="A800" t="str">
            <v>481004</v>
          </cell>
          <cell r="B800" t="str">
            <v>1015</v>
          </cell>
          <cell r="C800">
            <v>-3228718</v>
          </cell>
          <cell r="D800" t="str">
            <v>204</v>
          </cell>
          <cell r="E800" t="str">
            <v>402</v>
          </cell>
          <cell r="F800">
            <v>0</v>
          </cell>
          <cell r="G800">
            <v>12</v>
          </cell>
          <cell r="H800" t="str">
            <v>2009-12-31</v>
          </cell>
        </row>
        <row r="801">
          <cell r="A801" t="str">
            <v>481004</v>
          </cell>
          <cell r="B801" t="str">
            <v>1015</v>
          </cell>
          <cell r="C801">
            <v>-1462450.73</v>
          </cell>
          <cell r="D801" t="str">
            <v>204</v>
          </cell>
          <cell r="E801" t="str">
            <v>402</v>
          </cell>
          <cell r="F801">
            <v>0</v>
          </cell>
          <cell r="G801">
            <v>5</v>
          </cell>
          <cell r="H801" t="str">
            <v>2010-05-31</v>
          </cell>
        </row>
        <row r="802">
          <cell r="A802" t="str">
            <v>481004</v>
          </cell>
          <cell r="B802" t="str">
            <v>1015</v>
          </cell>
          <cell r="C802">
            <v>-886.41</v>
          </cell>
          <cell r="D802" t="str">
            <v>204</v>
          </cell>
          <cell r="E802" t="str">
            <v>402</v>
          </cell>
          <cell r="F802">
            <v>0</v>
          </cell>
          <cell r="G802">
            <v>6</v>
          </cell>
          <cell r="H802" t="str">
            <v>2010-06-30</v>
          </cell>
        </row>
        <row r="803">
          <cell r="A803" t="str">
            <v>481004</v>
          </cell>
          <cell r="B803" t="str">
            <v>1015</v>
          </cell>
          <cell r="C803">
            <v>-1192840.7</v>
          </cell>
          <cell r="D803" t="str">
            <v>204</v>
          </cell>
          <cell r="E803" t="str">
            <v>402</v>
          </cell>
          <cell r="F803">
            <v>0</v>
          </cell>
          <cell r="G803">
            <v>6</v>
          </cell>
          <cell r="H803" t="str">
            <v>2010-06-30</v>
          </cell>
        </row>
        <row r="804">
          <cell r="A804" t="str">
            <v>481000</v>
          </cell>
          <cell r="B804" t="str">
            <v>1015</v>
          </cell>
          <cell r="C804">
            <v>-813242.87</v>
          </cell>
          <cell r="D804" t="str">
            <v>204</v>
          </cell>
          <cell r="E804" t="str">
            <v>402</v>
          </cell>
          <cell r="F804">
            <v>0</v>
          </cell>
          <cell r="G804">
            <v>6</v>
          </cell>
          <cell r="H804" t="str">
            <v>2010-06-30</v>
          </cell>
        </row>
        <row r="805">
          <cell r="A805" t="str">
            <v>481004</v>
          </cell>
          <cell r="B805" t="str">
            <v>1015</v>
          </cell>
          <cell r="C805">
            <v>-1568837</v>
          </cell>
          <cell r="D805" t="str">
            <v>204</v>
          </cell>
          <cell r="E805" t="str">
            <v>402</v>
          </cell>
          <cell r="F805">
            <v>0</v>
          </cell>
          <cell r="G805">
            <v>7</v>
          </cell>
          <cell r="H805" t="str">
            <v>2009-07-31</v>
          </cell>
        </row>
        <row r="806">
          <cell r="A806" t="str">
            <v>481004</v>
          </cell>
          <cell r="B806" t="str">
            <v>1015</v>
          </cell>
          <cell r="C806">
            <v>-1182</v>
          </cell>
          <cell r="D806" t="str">
            <v>204</v>
          </cell>
          <cell r="E806" t="str">
            <v>402</v>
          </cell>
          <cell r="F806">
            <v>0</v>
          </cell>
          <cell r="G806">
            <v>7</v>
          </cell>
          <cell r="H806" t="str">
            <v>2009-07-31</v>
          </cell>
        </row>
        <row r="807">
          <cell r="A807" t="str">
            <v>481004</v>
          </cell>
          <cell r="B807" t="str">
            <v>1015</v>
          </cell>
          <cell r="C807">
            <v>-2574440</v>
          </cell>
          <cell r="D807" t="str">
            <v>204</v>
          </cell>
          <cell r="E807" t="str">
            <v>402</v>
          </cell>
          <cell r="F807">
            <v>0</v>
          </cell>
          <cell r="G807">
            <v>10</v>
          </cell>
          <cell r="H807" t="str">
            <v>2009-10-31</v>
          </cell>
        </row>
        <row r="808">
          <cell r="A808" t="str">
            <v>481004</v>
          </cell>
          <cell r="B808" t="str">
            <v>1015</v>
          </cell>
          <cell r="C808">
            <v>-2753.11</v>
          </cell>
          <cell r="D808" t="str">
            <v>204</v>
          </cell>
          <cell r="E808" t="str">
            <v>402</v>
          </cell>
          <cell r="F808">
            <v>0</v>
          </cell>
          <cell r="G808">
            <v>1</v>
          </cell>
          <cell r="H808" t="str">
            <v>2010-01-31</v>
          </cell>
        </row>
        <row r="809">
          <cell r="A809" t="str">
            <v>481004</v>
          </cell>
          <cell r="B809" t="str">
            <v>1015</v>
          </cell>
          <cell r="C809">
            <v>-1627377.6</v>
          </cell>
          <cell r="D809" t="str">
            <v>204</v>
          </cell>
          <cell r="E809" t="str">
            <v>402</v>
          </cell>
          <cell r="F809">
            <v>0</v>
          </cell>
          <cell r="G809">
            <v>1</v>
          </cell>
          <cell r="H809" t="str">
            <v>2010-01-31</v>
          </cell>
        </row>
        <row r="810">
          <cell r="A810" t="str">
            <v>481004</v>
          </cell>
          <cell r="B810" t="str">
            <v>1015</v>
          </cell>
          <cell r="C810">
            <v>-1667.5</v>
          </cell>
          <cell r="D810" t="str">
            <v>204</v>
          </cell>
          <cell r="E810" t="str">
            <v>402</v>
          </cell>
          <cell r="F810">
            <v>0</v>
          </cell>
          <cell r="G810">
            <v>2</v>
          </cell>
          <cell r="H810" t="str">
            <v>2010-02-28</v>
          </cell>
        </row>
        <row r="811">
          <cell r="A811" t="str">
            <v>481000</v>
          </cell>
          <cell r="B811" t="str">
            <v>1015</v>
          </cell>
          <cell r="C811">
            <v>-120596</v>
          </cell>
          <cell r="D811" t="str">
            <v>204</v>
          </cell>
          <cell r="E811" t="str">
            <v>402</v>
          </cell>
          <cell r="F811">
            <v>0</v>
          </cell>
          <cell r="G811">
            <v>8</v>
          </cell>
          <cell r="H811" t="str">
            <v>2009-08-31</v>
          </cell>
        </row>
        <row r="812">
          <cell r="A812" t="str">
            <v>481004</v>
          </cell>
          <cell r="B812" t="str">
            <v>1015</v>
          </cell>
          <cell r="C812">
            <v>-1048</v>
          </cell>
          <cell r="D812" t="str">
            <v>204</v>
          </cell>
          <cell r="E812" t="str">
            <v>402</v>
          </cell>
          <cell r="F812">
            <v>0</v>
          </cell>
          <cell r="G812">
            <v>8</v>
          </cell>
          <cell r="H812" t="str">
            <v>2009-08-31</v>
          </cell>
        </row>
        <row r="813">
          <cell r="A813" t="str">
            <v>481004</v>
          </cell>
          <cell r="B813" t="str">
            <v>1015</v>
          </cell>
          <cell r="C813">
            <v>-1823077</v>
          </cell>
          <cell r="D813" t="str">
            <v>204</v>
          </cell>
          <cell r="E813" t="str">
            <v>402</v>
          </cell>
          <cell r="F813">
            <v>0</v>
          </cell>
          <cell r="G813">
            <v>9</v>
          </cell>
          <cell r="H813" t="str">
            <v>2009-09-30</v>
          </cell>
        </row>
        <row r="814">
          <cell r="A814" t="str">
            <v>481004</v>
          </cell>
          <cell r="B814" t="str">
            <v>1015</v>
          </cell>
          <cell r="C814">
            <v>-1645</v>
          </cell>
          <cell r="D814" t="str">
            <v>204</v>
          </cell>
          <cell r="E814" t="str">
            <v>402</v>
          </cell>
          <cell r="F814">
            <v>0</v>
          </cell>
          <cell r="G814">
            <v>10</v>
          </cell>
          <cell r="H814" t="str">
            <v>2009-10-31</v>
          </cell>
        </row>
        <row r="815">
          <cell r="A815" t="str">
            <v>481004</v>
          </cell>
          <cell r="B815" t="str">
            <v>1015</v>
          </cell>
          <cell r="C815">
            <v>-2451181</v>
          </cell>
          <cell r="D815" t="str">
            <v>204</v>
          </cell>
          <cell r="E815" t="str">
            <v>402</v>
          </cell>
          <cell r="F815">
            <v>0</v>
          </cell>
          <cell r="G815">
            <v>11</v>
          </cell>
          <cell r="H815" t="str">
            <v>2009-11-30</v>
          </cell>
        </row>
        <row r="816">
          <cell r="A816" t="str">
            <v>481004</v>
          </cell>
          <cell r="B816" t="str">
            <v>1015</v>
          </cell>
          <cell r="C816">
            <v>-2172</v>
          </cell>
          <cell r="D816" t="str">
            <v>204</v>
          </cell>
          <cell r="E816" t="str">
            <v>402</v>
          </cell>
          <cell r="F816">
            <v>0</v>
          </cell>
          <cell r="G816">
            <v>12</v>
          </cell>
          <cell r="H816" t="str">
            <v>2009-12-31</v>
          </cell>
        </row>
        <row r="817">
          <cell r="A817" t="str">
            <v>481004</v>
          </cell>
          <cell r="B817" t="str">
            <v>1015</v>
          </cell>
          <cell r="C817">
            <v>-1761707.19</v>
          </cell>
          <cell r="D817" t="str">
            <v>204</v>
          </cell>
          <cell r="E817" t="str">
            <v>402</v>
          </cell>
          <cell r="F817">
            <v>0</v>
          </cell>
          <cell r="G817">
            <v>2</v>
          </cell>
          <cell r="H817" t="str">
            <v>2010-02-28</v>
          </cell>
        </row>
        <row r="818">
          <cell r="A818" t="str">
            <v>481004</v>
          </cell>
          <cell r="B818" t="str">
            <v>1015</v>
          </cell>
          <cell r="C818">
            <v>-1822.82</v>
          </cell>
          <cell r="D818" t="str">
            <v>204</v>
          </cell>
          <cell r="E818" t="str">
            <v>402</v>
          </cell>
          <cell r="F818">
            <v>0</v>
          </cell>
          <cell r="G818">
            <v>3</v>
          </cell>
          <cell r="H818" t="str">
            <v>2010-03-31</v>
          </cell>
        </row>
        <row r="819">
          <cell r="A819" t="str">
            <v>481004</v>
          </cell>
          <cell r="B819" t="str">
            <v>1015</v>
          </cell>
          <cell r="C819">
            <v>-1830919.42</v>
          </cell>
          <cell r="D819" t="str">
            <v>204</v>
          </cell>
          <cell r="E819" t="str">
            <v>402</v>
          </cell>
          <cell r="F819">
            <v>0</v>
          </cell>
          <cell r="G819">
            <v>4</v>
          </cell>
          <cell r="H819" t="str">
            <v>2010-04-30</v>
          </cell>
        </row>
        <row r="820">
          <cell r="A820" t="str">
            <v>481000</v>
          </cell>
          <cell r="B820" t="str">
            <v>1015</v>
          </cell>
          <cell r="C820">
            <v>-126074</v>
          </cell>
          <cell r="D820" t="str">
            <v>204</v>
          </cell>
          <cell r="E820" t="str">
            <v>402</v>
          </cell>
          <cell r="F820">
            <v>0</v>
          </cell>
          <cell r="G820">
            <v>9</v>
          </cell>
          <cell r="H820" t="str">
            <v>2009-09-30</v>
          </cell>
        </row>
        <row r="821">
          <cell r="A821" t="str">
            <v>481004</v>
          </cell>
          <cell r="B821" t="str">
            <v>1015</v>
          </cell>
          <cell r="C821">
            <v>-2187</v>
          </cell>
          <cell r="D821" t="str">
            <v>204</v>
          </cell>
          <cell r="E821" t="str">
            <v>402</v>
          </cell>
          <cell r="F821">
            <v>0</v>
          </cell>
          <cell r="G821">
            <v>11</v>
          </cell>
          <cell r="H821" t="str">
            <v>2009-11-30</v>
          </cell>
        </row>
        <row r="822">
          <cell r="A822" t="str">
            <v>481000</v>
          </cell>
          <cell r="B822" t="str">
            <v>1015</v>
          </cell>
          <cell r="C822">
            <v>-913402.99</v>
          </cell>
          <cell r="D822" t="str">
            <v>204</v>
          </cell>
          <cell r="E822" t="str">
            <v>402</v>
          </cell>
          <cell r="F822">
            <v>0</v>
          </cell>
          <cell r="G822">
            <v>4</v>
          </cell>
          <cell r="H822" t="str">
            <v>2010-04-30</v>
          </cell>
        </row>
        <row r="823">
          <cell r="A823" t="str">
            <v>480001</v>
          </cell>
          <cell r="B823" t="str">
            <v>1015</v>
          </cell>
          <cell r="C823">
            <v>-5597770.2999999998</v>
          </cell>
          <cell r="D823" t="str">
            <v>204</v>
          </cell>
          <cell r="E823" t="str">
            <v>407</v>
          </cell>
          <cell r="F823">
            <v>0</v>
          </cell>
          <cell r="G823">
            <v>10</v>
          </cell>
          <cell r="H823" t="str">
            <v>2009-10-31</v>
          </cell>
        </row>
        <row r="824">
          <cell r="A824" t="str">
            <v>481006</v>
          </cell>
          <cell r="B824" t="str">
            <v>1015</v>
          </cell>
          <cell r="C824">
            <v>-2533161.29</v>
          </cell>
          <cell r="D824" t="str">
            <v>204</v>
          </cell>
          <cell r="E824" t="str">
            <v>407</v>
          </cell>
          <cell r="F824">
            <v>0</v>
          </cell>
          <cell r="G824">
            <v>11</v>
          </cell>
          <cell r="H824" t="str">
            <v>2009-11-30</v>
          </cell>
        </row>
        <row r="825">
          <cell r="A825" t="str">
            <v>481006</v>
          </cell>
          <cell r="B825" t="str">
            <v>1015</v>
          </cell>
          <cell r="C825">
            <v>-5004829.76</v>
          </cell>
          <cell r="D825" t="str">
            <v>204</v>
          </cell>
          <cell r="E825" t="str">
            <v>407</v>
          </cell>
          <cell r="F825">
            <v>0</v>
          </cell>
          <cell r="G825">
            <v>12</v>
          </cell>
          <cell r="H825" t="str">
            <v>2009-12-31</v>
          </cell>
        </row>
        <row r="826">
          <cell r="A826" t="str">
            <v>481006</v>
          </cell>
          <cell r="B826" t="str">
            <v>1015</v>
          </cell>
          <cell r="C826">
            <v>2130604</v>
          </cell>
          <cell r="D826" t="str">
            <v>204</v>
          </cell>
          <cell r="E826" t="str">
            <v>407</v>
          </cell>
          <cell r="F826">
            <v>0</v>
          </cell>
          <cell r="G826">
            <v>4</v>
          </cell>
          <cell r="H826" t="str">
            <v>2010-04-30</v>
          </cell>
        </row>
        <row r="827">
          <cell r="A827" t="str">
            <v>481004</v>
          </cell>
          <cell r="B827" t="str">
            <v>1015</v>
          </cell>
          <cell r="C827">
            <v>-3022838.19</v>
          </cell>
          <cell r="D827" t="str">
            <v>204</v>
          </cell>
          <cell r="E827" t="str">
            <v>407</v>
          </cell>
          <cell r="F827">
            <v>0</v>
          </cell>
          <cell r="G827">
            <v>7</v>
          </cell>
          <cell r="H827" t="str">
            <v>2009-07-31</v>
          </cell>
        </row>
        <row r="828">
          <cell r="A828" t="str">
            <v>481004</v>
          </cell>
          <cell r="B828" t="str">
            <v>1015</v>
          </cell>
          <cell r="C828">
            <v>-5440.36</v>
          </cell>
          <cell r="D828" t="str">
            <v>204</v>
          </cell>
          <cell r="E828" t="str">
            <v>407</v>
          </cell>
          <cell r="F828">
            <v>0</v>
          </cell>
          <cell r="G828">
            <v>8</v>
          </cell>
          <cell r="H828" t="str">
            <v>2009-08-31</v>
          </cell>
        </row>
        <row r="829">
          <cell r="A829" t="str">
            <v>481004</v>
          </cell>
          <cell r="B829" t="str">
            <v>1015</v>
          </cell>
          <cell r="C829">
            <v>-22952.59</v>
          </cell>
          <cell r="D829" t="str">
            <v>204</v>
          </cell>
          <cell r="E829" t="str">
            <v>407</v>
          </cell>
          <cell r="F829">
            <v>0</v>
          </cell>
          <cell r="G829">
            <v>11</v>
          </cell>
          <cell r="H829" t="str">
            <v>2009-11-30</v>
          </cell>
        </row>
        <row r="830">
          <cell r="A830" t="str">
            <v>481004</v>
          </cell>
          <cell r="B830" t="str">
            <v>1015</v>
          </cell>
          <cell r="C830">
            <v>-7391395.5499999998</v>
          </cell>
          <cell r="D830" t="str">
            <v>204</v>
          </cell>
          <cell r="E830" t="str">
            <v>407</v>
          </cell>
          <cell r="F830">
            <v>0</v>
          </cell>
          <cell r="G830">
            <v>5</v>
          </cell>
          <cell r="H830" t="str">
            <v>2010-05-31</v>
          </cell>
        </row>
        <row r="831">
          <cell r="A831" t="str">
            <v>481006</v>
          </cell>
          <cell r="B831" t="str">
            <v>1015</v>
          </cell>
          <cell r="C831">
            <v>221.2</v>
          </cell>
          <cell r="D831" t="str">
            <v>204</v>
          </cell>
          <cell r="E831" t="str">
            <v>407</v>
          </cell>
          <cell r="F831">
            <v>0</v>
          </cell>
          <cell r="G831">
            <v>7</v>
          </cell>
          <cell r="H831" t="str">
            <v>2009-07-31</v>
          </cell>
        </row>
        <row r="832">
          <cell r="A832" t="str">
            <v>480001</v>
          </cell>
          <cell r="B832" t="str">
            <v>1015</v>
          </cell>
          <cell r="C832">
            <v>42430.81</v>
          </cell>
          <cell r="D832" t="str">
            <v>204</v>
          </cell>
          <cell r="E832" t="str">
            <v>407</v>
          </cell>
          <cell r="F832">
            <v>0</v>
          </cell>
          <cell r="G832">
            <v>8</v>
          </cell>
          <cell r="H832" t="str">
            <v>2009-08-31</v>
          </cell>
        </row>
        <row r="833">
          <cell r="A833" t="str">
            <v>481006</v>
          </cell>
          <cell r="B833" t="str">
            <v>1015</v>
          </cell>
          <cell r="C833">
            <v>401.92</v>
          </cell>
          <cell r="D833" t="str">
            <v>204</v>
          </cell>
          <cell r="E833" t="str">
            <v>407</v>
          </cell>
          <cell r="F833">
            <v>0</v>
          </cell>
          <cell r="G833">
            <v>9</v>
          </cell>
          <cell r="H833" t="str">
            <v>2009-09-30</v>
          </cell>
        </row>
        <row r="834">
          <cell r="A834" t="str">
            <v>481006</v>
          </cell>
          <cell r="B834" t="str">
            <v>1015</v>
          </cell>
          <cell r="C834">
            <v>-4554.4799999999996</v>
          </cell>
          <cell r="D834" t="str">
            <v>204</v>
          </cell>
          <cell r="E834" t="str">
            <v>407</v>
          </cell>
          <cell r="F834">
            <v>0</v>
          </cell>
          <cell r="G834">
            <v>10</v>
          </cell>
          <cell r="H834" t="str">
            <v>2009-10-31</v>
          </cell>
        </row>
        <row r="835">
          <cell r="A835" t="str">
            <v>481006</v>
          </cell>
          <cell r="B835" t="str">
            <v>1015</v>
          </cell>
          <cell r="C835">
            <v>492873</v>
          </cell>
          <cell r="D835" t="str">
            <v>204</v>
          </cell>
          <cell r="E835" t="str">
            <v>407</v>
          </cell>
          <cell r="F835">
            <v>0</v>
          </cell>
          <cell r="G835">
            <v>5</v>
          </cell>
          <cell r="H835" t="str">
            <v>2010-05-31</v>
          </cell>
        </row>
        <row r="836">
          <cell r="A836" t="str">
            <v>481006</v>
          </cell>
          <cell r="B836" t="str">
            <v>1015</v>
          </cell>
          <cell r="C836">
            <v>373</v>
          </cell>
          <cell r="D836" t="str">
            <v>204</v>
          </cell>
          <cell r="E836" t="str">
            <v>407</v>
          </cell>
          <cell r="F836">
            <v>0</v>
          </cell>
          <cell r="G836">
            <v>5</v>
          </cell>
          <cell r="H836" t="str">
            <v>2010-05-31</v>
          </cell>
        </row>
        <row r="837">
          <cell r="A837" t="str">
            <v>481006</v>
          </cell>
          <cell r="B837" t="str">
            <v>1015</v>
          </cell>
          <cell r="C837">
            <v>10480</v>
          </cell>
          <cell r="D837" t="str">
            <v>204</v>
          </cell>
          <cell r="E837" t="str">
            <v>407</v>
          </cell>
          <cell r="F837">
            <v>0</v>
          </cell>
          <cell r="G837">
            <v>6</v>
          </cell>
          <cell r="H837" t="str">
            <v>2010-06-30</v>
          </cell>
        </row>
        <row r="838">
          <cell r="A838" t="str">
            <v>480000</v>
          </cell>
          <cell r="B838" t="str">
            <v>1015</v>
          </cell>
          <cell r="C838">
            <v>-8320226.0599999996</v>
          </cell>
          <cell r="D838" t="str">
            <v>204</v>
          </cell>
          <cell r="E838" t="str">
            <v>407</v>
          </cell>
          <cell r="F838">
            <v>0</v>
          </cell>
          <cell r="G838">
            <v>7</v>
          </cell>
          <cell r="H838" t="str">
            <v>2009-07-31</v>
          </cell>
        </row>
        <row r="839">
          <cell r="A839" t="str">
            <v>480000</v>
          </cell>
          <cell r="B839" t="str">
            <v>1015</v>
          </cell>
          <cell r="C839">
            <v>-10808.21</v>
          </cell>
          <cell r="D839" t="str">
            <v>204</v>
          </cell>
          <cell r="E839" t="str">
            <v>407</v>
          </cell>
          <cell r="F839">
            <v>0</v>
          </cell>
          <cell r="G839">
            <v>8</v>
          </cell>
          <cell r="H839" t="str">
            <v>2009-08-31</v>
          </cell>
        </row>
        <row r="840">
          <cell r="A840" t="str">
            <v>480000</v>
          </cell>
          <cell r="B840" t="str">
            <v>1015</v>
          </cell>
          <cell r="C840">
            <v>-11773.64</v>
          </cell>
          <cell r="D840" t="str">
            <v>204</v>
          </cell>
          <cell r="E840" t="str">
            <v>407</v>
          </cell>
          <cell r="F840">
            <v>0</v>
          </cell>
          <cell r="G840">
            <v>9</v>
          </cell>
          <cell r="H840" t="str">
            <v>2009-09-30</v>
          </cell>
        </row>
        <row r="841">
          <cell r="A841" t="str">
            <v>480000</v>
          </cell>
          <cell r="B841" t="str">
            <v>1015</v>
          </cell>
          <cell r="C841">
            <v>-41404467.909999996</v>
          </cell>
          <cell r="D841" t="str">
            <v>204</v>
          </cell>
          <cell r="E841" t="str">
            <v>407</v>
          </cell>
          <cell r="F841">
            <v>0</v>
          </cell>
          <cell r="G841">
            <v>12</v>
          </cell>
          <cell r="H841" t="str">
            <v>2009-12-31</v>
          </cell>
        </row>
        <row r="842">
          <cell r="A842" t="str">
            <v>480000</v>
          </cell>
          <cell r="B842" t="str">
            <v>1015</v>
          </cell>
          <cell r="C842">
            <v>-33711071.060000002</v>
          </cell>
          <cell r="D842" t="str">
            <v>204</v>
          </cell>
          <cell r="E842" t="str">
            <v>407</v>
          </cell>
          <cell r="F842">
            <v>0</v>
          </cell>
          <cell r="G842">
            <v>3</v>
          </cell>
          <cell r="H842" t="str">
            <v>2010-03-31</v>
          </cell>
        </row>
        <row r="843">
          <cell r="A843" t="str">
            <v>480000</v>
          </cell>
          <cell r="B843" t="str">
            <v>1015</v>
          </cell>
          <cell r="C843">
            <v>-23351.24</v>
          </cell>
          <cell r="D843" t="str">
            <v>204</v>
          </cell>
          <cell r="E843" t="str">
            <v>407</v>
          </cell>
          <cell r="F843">
            <v>0</v>
          </cell>
          <cell r="G843">
            <v>6</v>
          </cell>
          <cell r="H843" t="str">
            <v>2010-06-30</v>
          </cell>
        </row>
        <row r="844">
          <cell r="A844" t="str">
            <v>480001</v>
          </cell>
          <cell r="B844" t="str">
            <v>1015</v>
          </cell>
          <cell r="C844">
            <v>1042.1300000000001</v>
          </cell>
          <cell r="D844" t="str">
            <v>204</v>
          </cell>
          <cell r="E844" t="str">
            <v>407</v>
          </cell>
          <cell r="F844">
            <v>0</v>
          </cell>
          <cell r="G844">
            <v>7</v>
          </cell>
          <cell r="H844" t="str">
            <v>2009-07-31</v>
          </cell>
        </row>
        <row r="845">
          <cell r="A845" t="str">
            <v>481006</v>
          </cell>
          <cell r="B845" t="str">
            <v>1015</v>
          </cell>
          <cell r="C845">
            <v>-461944.82</v>
          </cell>
          <cell r="D845" t="str">
            <v>204</v>
          </cell>
          <cell r="E845" t="str">
            <v>407</v>
          </cell>
          <cell r="F845">
            <v>0</v>
          </cell>
          <cell r="G845">
            <v>8</v>
          </cell>
          <cell r="H845" t="str">
            <v>2009-08-31</v>
          </cell>
        </row>
        <row r="846">
          <cell r="A846" t="str">
            <v>481006</v>
          </cell>
          <cell r="B846" t="str">
            <v>1015</v>
          </cell>
          <cell r="C846">
            <v>-63</v>
          </cell>
          <cell r="D846" t="str">
            <v>204</v>
          </cell>
          <cell r="E846" t="str">
            <v>407</v>
          </cell>
          <cell r="F846">
            <v>0</v>
          </cell>
          <cell r="G846">
            <v>2</v>
          </cell>
          <cell r="H846" t="str">
            <v>2010-02-28</v>
          </cell>
        </row>
        <row r="847">
          <cell r="A847" t="str">
            <v>481006</v>
          </cell>
          <cell r="B847" t="str">
            <v>1015</v>
          </cell>
          <cell r="C847">
            <v>681936</v>
          </cell>
          <cell r="D847" t="str">
            <v>204</v>
          </cell>
          <cell r="E847" t="str">
            <v>407</v>
          </cell>
          <cell r="F847">
            <v>0</v>
          </cell>
          <cell r="G847">
            <v>3</v>
          </cell>
          <cell r="H847" t="str">
            <v>2010-03-31</v>
          </cell>
        </row>
        <row r="848">
          <cell r="A848" t="str">
            <v>481004</v>
          </cell>
          <cell r="B848" t="str">
            <v>1015</v>
          </cell>
          <cell r="C848">
            <v>-5923.92</v>
          </cell>
          <cell r="D848" t="str">
            <v>204</v>
          </cell>
          <cell r="E848" t="str">
            <v>407</v>
          </cell>
          <cell r="F848">
            <v>0</v>
          </cell>
          <cell r="G848">
            <v>9</v>
          </cell>
          <cell r="H848" t="str">
            <v>2009-09-30</v>
          </cell>
        </row>
        <row r="849">
          <cell r="A849" t="str">
            <v>480000</v>
          </cell>
          <cell r="B849" t="str">
            <v>1015</v>
          </cell>
          <cell r="C849">
            <v>-19555755.010000002</v>
          </cell>
          <cell r="D849" t="str">
            <v>204</v>
          </cell>
          <cell r="E849" t="str">
            <v>407</v>
          </cell>
          <cell r="F849">
            <v>0</v>
          </cell>
          <cell r="G849">
            <v>11</v>
          </cell>
          <cell r="H849" t="str">
            <v>2009-11-30</v>
          </cell>
        </row>
        <row r="850">
          <cell r="A850" t="str">
            <v>481004</v>
          </cell>
          <cell r="B850" t="str">
            <v>1015</v>
          </cell>
          <cell r="C850">
            <v>-23443158.210000001</v>
          </cell>
          <cell r="D850" t="str">
            <v>204</v>
          </cell>
          <cell r="E850" t="str">
            <v>407</v>
          </cell>
          <cell r="F850">
            <v>0</v>
          </cell>
          <cell r="G850">
            <v>1</v>
          </cell>
          <cell r="H850" t="str">
            <v>2010-01-31</v>
          </cell>
        </row>
        <row r="851">
          <cell r="A851" t="str">
            <v>481004</v>
          </cell>
          <cell r="B851" t="str">
            <v>1015</v>
          </cell>
          <cell r="C851">
            <v>-52742.8</v>
          </cell>
          <cell r="D851" t="str">
            <v>204</v>
          </cell>
          <cell r="E851" t="str">
            <v>407</v>
          </cell>
          <cell r="F851">
            <v>0</v>
          </cell>
          <cell r="G851">
            <v>1</v>
          </cell>
          <cell r="H851" t="str">
            <v>2010-01-31</v>
          </cell>
        </row>
        <row r="852">
          <cell r="A852" t="str">
            <v>481004</v>
          </cell>
          <cell r="B852" t="str">
            <v>1015</v>
          </cell>
          <cell r="C852">
            <v>-15232.88</v>
          </cell>
          <cell r="D852" t="str">
            <v>204</v>
          </cell>
          <cell r="E852" t="str">
            <v>407</v>
          </cell>
          <cell r="F852">
            <v>0</v>
          </cell>
          <cell r="G852">
            <v>5</v>
          </cell>
          <cell r="H852" t="str">
            <v>2010-05-31</v>
          </cell>
        </row>
        <row r="853">
          <cell r="A853" t="str">
            <v>480001</v>
          </cell>
          <cell r="B853" t="str">
            <v>1015</v>
          </cell>
          <cell r="C853">
            <v>-10931801.09</v>
          </cell>
          <cell r="D853" t="str">
            <v>204</v>
          </cell>
          <cell r="E853" t="str">
            <v>407</v>
          </cell>
          <cell r="F853">
            <v>0</v>
          </cell>
          <cell r="G853">
            <v>12</v>
          </cell>
          <cell r="H853" t="str">
            <v>2009-12-31</v>
          </cell>
        </row>
        <row r="854">
          <cell r="A854" t="str">
            <v>480001</v>
          </cell>
          <cell r="B854" t="str">
            <v>1015</v>
          </cell>
          <cell r="C854">
            <v>-11843.6</v>
          </cell>
          <cell r="D854" t="str">
            <v>204</v>
          </cell>
          <cell r="E854" t="str">
            <v>407</v>
          </cell>
          <cell r="F854">
            <v>0</v>
          </cell>
          <cell r="G854">
            <v>12</v>
          </cell>
          <cell r="H854" t="str">
            <v>2009-12-31</v>
          </cell>
        </row>
        <row r="855">
          <cell r="A855" t="str">
            <v>481006</v>
          </cell>
          <cell r="B855" t="str">
            <v>1015</v>
          </cell>
          <cell r="C855">
            <v>-7891.47</v>
          </cell>
          <cell r="D855" t="str">
            <v>204</v>
          </cell>
          <cell r="E855" t="str">
            <v>407</v>
          </cell>
          <cell r="F855">
            <v>0</v>
          </cell>
          <cell r="G855">
            <v>12</v>
          </cell>
          <cell r="H855" t="str">
            <v>2009-12-31</v>
          </cell>
        </row>
        <row r="856">
          <cell r="A856" t="str">
            <v>480001</v>
          </cell>
          <cell r="B856" t="str">
            <v>1015</v>
          </cell>
          <cell r="C856">
            <v>7009.6</v>
          </cell>
          <cell r="D856" t="str">
            <v>204</v>
          </cell>
          <cell r="E856" t="str">
            <v>407</v>
          </cell>
          <cell r="F856">
            <v>0</v>
          </cell>
          <cell r="G856">
            <v>1</v>
          </cell>
          <cell r="H856" t="str">
            <v>2010-01-31</v>
          </cell>
        </row>
        <row r="857">
          <cell r="A857" t="str">
            <v>481006</v>
          </cell>
          <cell r="B857" t="str">
            <v>1015</v>
          </cell>
          <cell r="C857">
            <v>2894.23</v>
          </cell>
          <cell r="D857" t="str">
            <v>204</v>
          </cell>
          <cell r="E857" t="str">
            <v>407</v>
          </cell>
          <cell r="F857">
            <v>0</v>
          </cell>
          <cell r="G857">
            <v>1</v>
          </cell>
          <cell r="H857" t="str">
            <v>2010-01-31</v>
          </cell>
        </row>
        <row r="858">
          <cell r="A858" t="str">
            <v>480001</v>
          </cell>
          <cell r="B858" t="str">
            <v>1015</v>
          </cell>
          <cell r="C858">
            <v>1855721</v>
          </cell>
          <cell r="D858" t="str">
            <v>204</v>
          </cell>
          <cell r="E858" t="str">
            <v>407</v>
          </cell>
          <cell r="F858">
            <v>0</v>
          </cell>
          <cell r="G858">
            <v>3</v>
          </cell>
          <cell r="H858" t="str">
            <v>2010-03-31</v>
          </cell>
        </row>
        <row r="859">
          <cell r="A859" t="str">
            <v>481006</v>
          </cell>
          <cell r="B859" t="str">
            <v>1015</v>
          </cell>
          <cell r="C859">
            <v>6244</v>
          </cell>
          <cell r="D859" t="str">
            <v>204</v>
          </cell>
          <cell r="E859" t="str">
            <v>407</v>
          </cell>
          <cell r="F859">
            <v>0</v>
          </cell>
          <cell r="G859">
            <v>4</v>
          </cell>
          <cell r="H859" t="str">
            <v>2010-04-30</v>
          </cell>
        </row>
        <row r="860">
          <cell r="A860" t="str">
            <v>480000</v>
          </cell>
          <cell r="B860" t="str">
            <v>1015</v>
          </cell>
          <cell r="C860">
            <v>-7035961.0099999998</v>
          </cell>
          <cell r="D860" t="str">
            <v>204</v>
          </cell>
          <cell r="E860" t="str">
            <v>407</v>
          </cell>
          <cell r="F860">
            <v>0</v>
          </cell>
          <cell r="G860">
            <v>9</v>
          </cell>
          <cell r="H860" t="str">
            <v>2009-09-30</v>
          </cell>
        </row>
        <row r="861">
          <cell r="A861" t="str">
            <v>481004</v>
          </cell>
          <cell r="B861" t="str">
            <v>1015</v>
          </cell>
          <cell r="C861">
            <v>-4385346.1399999997</v>
          </cell>
          <cell r="D861" t="str">
            <v>204</v>
          </cell>
          <cell r="E861" t="str">
            <v>407</v>
          </cell>
          <cell r="F861">
            <v>0</v>
          </cell>
          <cell r="G861">
            <v>10</v>
          </cell>
          <cell r="H861" t="str">
            <v>2009-10-31</v>
          </cell>
        </row>
        <row r="862">
          <cell r="A862" t="str">
            <v>480000</v>
          </cell>
          <cell r="B862" t="str">
            <v>1015</v>
          </cell>
          <cell r="C862">
            <v>-76878.399999999994</v>
          </cell>
          <cell r="D862" t="str">
            <v>204</v>
          </cell>
          <cell r="E862" t="str">
            <v>407</v>
          </cell>
          <cell r="F862">
            <v>0</v>
          </cell>
          <cell r="G862">
            <v>12</v>
          </cell>
          <cell r="H862" t="str">
            <v>2009-12-31</v>
          </cell>
        </row>
        <row r="863">
          <cell r="A863" t="str">
            <v>481004</v>
          </cell>
          <cell r="B863" t="str">
            <v>1015</v>
          </cell>
          <cell r="C863">
            <v>-14717481.24</v>
          </cell>
          <cell r="D863" t="str">
            <v>204</v>
          </cell>
          <cell r="E863" t="str">
            <v>407</v>
          </cell>
          <cell r="F863">
            <v>0</v>
          </cell>
          <cell r="G863">
            <v>3</v>
          </cell>
          <cell r="H863" t="str">
            <v>2010-03-31</v>
          </cell>
        </row>
        <row r="864">
          <cell r="A864" t="str">
            <v>481004</v>
          </cell>
          <cell r="B864" t="str">
            <v>1015</v>
          </cell>
          <cell r="C864">
            <v>-12226122.58</v>
          </cell>
          <cell r="D864" t="str">
            <v>204</v>
          </cell>
          <cell r="E864" t="str">
            <v>407</v>
          </cell>
          <cell r="F864">
            <v>0</v>
          </cell>
          <cell r="G864">
            <v>4</v>
          </cell>
          <cell r="H864" t="str">
            <v>2010-04-30</v>
          </cell>
        </row>
        <row r="865">
          <cell r="A865" t="str">
            <v>481006</v>
          </cell>
          <cell r="B865" t="str">
            <v>1015</v>
          </cell>
          <cell r="C865">
            <v>-2126495.86</v>
          </cell>
          <cell r="D865" t="str">
            <v>204</v>
          </cell>
          <cell r="E865" t="str">
            <v>407</v>
          </cell>
          <cell r="F865">
            <v>0</v>
          </cell>
          <cell r="G865">
            <v>10</v>
          </cell>
          <cell r="H865" t="str">
            <v>2009-10-31</v>
          </cell>
        </row>
        <row r="866">
          <cell r="A866" t="str">
            <v>480001</v>
          </cell>
          <cell r="B866" t="str">
            <v>1015</v>
          </cell>
          <cell r="C866">
            <v>-11170.29</v>
          </cell>
          <cell r="D866" t="str">
            <v>204</v>
          </cell>
          <cell r="E866" t="str">
            <v>407</v>
          </cell>
          <cell r="F866">
            <v>0</v>
          </cell>
          <cell r="G866">
            <v>10</v>
          </cell>
          <cell r="H866" t="str">
            <v>2009-10-31</v>
          </cell>
        </row>
        <row r="867">
          <cell r="A867" t="str">
            <v>480001</v>
          </cell>
          <cell r="B867" t="str">
            <v>1015</v>
          </cell>
          <cell r="C867">
            <v>3547938</v>
          </cell>
          <cell r="D867" t="str">
            <v>204</v>
          </cell>
          <cell r="E867" t="str">
            <v>407</v>
          </cell>
          <cell r="F867">
            <v>0</v>
          </cell>
          <cell r="G867">
            <v>2</v>
          </cell>
          <cell r="H867" t="str">
            <v>2010-02-28</v>
          </cell>
        </row>
        <row r="868">
          <cell r="A868" t="str">
            <v>481006</v>
          </cell>
          <cell r="B868" t="str">
            <v>1015</v>
          </cell>
          <cell r="C868">
            <v>1582416</v>
          </cell>
          <cell r="D868" t="str">
            <v>204</v>
          </cell>
          <cell r="E868" t="str">
            <v>407</v>
          </cell>
          <cell r="F868">
            <v>0</v>
          </cell>
          <cell r="G868">
            <v>2</v>
          </cell>
          <cell r="H868" t="str">
            <v>2010-02-28</v>
          </cell>
        </row>
        <row r="869">
          <cell r="A869" t="str">
            <v>480001</v>
          </cell>
          <cell r="B869" t="str">
            <v>1015</v>
          </cell>
          <cell r="C869">
            <v>318</v>
          </cell>
          <cell r="D869" t="str">
            <v>204</v>
          </cell>
          <cell r="E869" t="str">
            <v>407</v>
          </cell>
          <cell r="F869">
            <v>0</v>
          </cell>
          <cell r="G869">
            <v>2</v>
          </cell>
          <cell r="H869" t="str">
            <v>2010-02-28</v>
          </cell>
        </row>
        <row r="870">
          <cell r="A870" t="str">
            <v>480001</v>
          </cell>
          <cell r="B870" t="str">
            <v>1015</v>
          </cell>
          <cell r="C870">
            <v>1426817</v>
          </cell>
          <cell r="D870" t="str">
            <v>204</v>
          </cell>
          <cell r="E870" t="str">
            <v>407</v>
          </cell>
          <cell r="F870">
            <v>0</v>
          </cell>
          <cell r="G870">
            <v>5</v>
          </cell>
          <cell r="H870" t="str">
            <v>2010-05-31</v>
          </cell>
        </row>
        <row r="871">
          <cell r="A871" t="str">
            <v>480001</v>
          </cell>
          <cell r="B871" t="str">
            <v>1015</v>
          </cell>
          <cell r="C871">
            <v>15646</v>
          </cell>
          <cell r="D871" t="str">
            <v>204</v>
          </cell>
          <cell r="E871" t="str">
            <v>407</v>
          </cell>
          <cell r="F871">
            <v>0</v>
          </cell>
          <cell r="G871">
            <v>6</v>
          </cell>
          <cell r="H871" t="str">
            <v>2010-06-30</v>
          </cell>
        </row>
        <row r="872">
          <cell r="A872" t="str">
            <v>480001</v>
          </cell>
          <cell r="B872" t="str">
            <v>1015</v>
          </cell>
          <cell r="C872">
            <v>6064237</v>
          </cell>
          <cell r="D872" t="str">
            <v>204</v>
          </cell>
          <cell r="E872" t="str">
            <v>407</v>
          </cell>
          <cell r="F872">
            <v>0</v>
          </cell>
          <cell r="G872">
            <v>6</v>
          </cell>
          <cell r="H872" t="str">
            <v>2010-06-30</v>
          </cell>
        </row>
        <row r="873">
          <cell r="A873" t="str">
            <v>481004</v>
          </cell>
          <cell r="B873" t="str">
            <v>1015</v>
          </cell>
          <cell r="C873">
            <v>-6472.2</v>
          </cell>
          <cell r="D873" t="str">
            <v>204</v>
          </cell>
          <cell r="E873" t="str">
            <v>407</v>
          </cell>
          <cell r="F873">
            <v>0</v>
          </cell>
          <cell r="G873">
            <v>7</v>
          </cell>
          <cell r="H873" t="str">
            <v>2009-07-31</v>
          </cell>
        </row>
        <row r="874">
          <cell r="A874" t="str">
            <v>480000</v>
          </cell>
          <cell r="B874" t="str">
            <v>1015</v>
          </cell>
          <cell r="C874">
            <v>-70758.710000000006</v>
          </cell>
          <cell r="D874" t="str">
            <v>204</v>
          </cell>
          <cell r="E874" t="str">
            <v>407</v>
          </cell>
          <cell r="F874">
            <v>0</v>
          </cell>
          <cell r="G874">
            <v>2</v>
          </cell>
          <cell r="H874" t="str">
            <v>2010-02-28</v>
          </cell>
        </row>
        <row r="875">
          <cell r="A875" t="str">
            <v>480000</v>
          </cell>
          <cell r="B875" t="str">
            <v>1015</v>
          </cell>
          <cell r="C875">
            <v>-53430.95</v>
          </cell>
          <cell r="D875" t="str">
            <v>204</v>
          </cell>
          <cell r="E875" t="str">
            <v>407</v>
          </cell>
          <cell r="F875">
            <v>0</v>
          </cell>
          <cell r="G875">
            <v>4</v>
          </cell>
          <cell r="H875" t="str">
            <v>2010-04-30</v>
          </cell>
        </row>
        <row r="876">
          <cell r="A876" t="str">
            <v>481000</v>
          </cell>
          <cell r="B876" t="str">
            <v>1015</v>
          </cell>
          <cell r="C876">
            <v>-8250.5400000000009</v>
          </cell>
          <cell r="D876" t="str">
            <v>204</v>
          </cell>
          <cell r="E876" t="str">
            <v>407</v>
          </cell>
          <cell r="F876">
            <v>0</v>
          </cell>
          <cell r="G876">
            <v>4</v>
          </cell>
          <cell r="H876" t="str">
            <v>2010-04-30</v>
          </cell>
        </row>
        <row r="877">
          <cell r="A877" t="str">
            <v>480000</v>
          </cell>
          <cell r="B877" t="str">
            <v>1015</v>
          </cell>
          <cell r="C877">
            <v>-18209797.719999999</v>
          </cell>
          <cell r="D877" t="str">
            <v>204</v>
          </cell>
          <cell r="E877" t="str">
            <v>407</v>
          </cell>
          <cell r="F877">
            <v>0</v>
          </cell>
          <cell r="G877">
            <v>5</v>
          </cell>
          <cell r="H877" t="str">
            <v>2010-05-31</v>
          </cell>
        </row>
        <row r="878">
          <cell r="A878" t="str">
            <v>480000</v>
          </cell>
          <cell r="B878" t="str">
            <v>1015</v>
          </cell>
          <cell r="C878">
            <v>-34184.160000000003</v>
          </cell>
          <cell r="D878" t="str">
            <v>204</v>
          </cell>
          <cell r="E878" t="str">
            <v>407</v>
          </cell>
          <cell r="F878">
            <v>0</v>
          </cell>
          <cell r="G878">
            <v>5</v>
          </cell>
          <cell r="H878" t="str">
            <v>2010-05-31</v>
          </cell>
        </row>
        <row r="879">
          <cell r="A879" t="str">
            <v>480001</v>
          </cell>
          <cell r="B879" t="str">
            <v>1015</v>
          </cell>
          <cell r="C879">
            <v>-4503.79</v>
          </cell>
          <cell r="D879" t="str">
            <v>204</v>
          </cell>
          <cell r="E879" t="str">
            <v>407</v>
          </cell>
          <cell r="F879">
            <v>0</v>
          </cell>
          <cell r="G879">
            <v>8</v>
          </cell>
          <cell r="H879" t="str">
            <v>2009-08-31</v>
          </cell>
        </row>
        <row r="880">
          <cell r="A880" t="str">
            <v>481006</v>
          </cell>
          <cell r="B880" t="str">
            <v>1015</v>
          </cell>
          <cell r="C880">
            <v>-1695.64</v>
          </cell>
          <cell r="D880" t="str">
            <v>204</v>
          </cell>
          <cell r="E880" t="str">
            <v>407</v>
          </cell>
          <cell r="F880">
            <v>0</v>
          </cell>
          <cell r="G880">
            <v>8</v>
          </cell>
          <cell r="H880" t="str">
            <v>2009-08-31</v>
          </cell>
        </row>
        <row r="881">
          <cell r="A881" t="str">
            <v>481006</v>
          </cell>
          <cell r="B881" t="str">
            <v>1015</v>
          </cell>
          <cell r="C881">
            <v>4162</v>
          </cell>
          <cell r="D881" t="str">
            <v>204</v>
          </cell>
          <cell r="E881" t="str">
            <v>407</v>
          </cell>
          <cell r="F881">
            <v>0</v>
          </cell>
          <cell r="G881">
            <v>3</v>
          </cell>
          <cell r="H881" t="str">
            <v>2010-03-31</v>
          </cell>
        </row>
        <row r="882">
          <cell r="A882" t="str">
            <v>480001</v>
          </cell>
          <cell r="B882" t="str">
            <v>1015</v>
          </cell>
          <cell r="C882">
            <v>5298737</v>
          </cell>
          <cell r="D882" t="str">
            <v>204</v>
          </cell>
          <cell r="E882" t="str">
            <v>407</v>
          </cell>
          <cell r="F882">
            <v>0</v>
          </cell>
          <cell r="G882">
            <v>4</v>
          </cell>
          <cell r="H882" t="str">
            <v>2010-04-30</v>
          </cell>
        </row>
        <row r="883">
          <cell r="A883" t="str">
            <v>480001</v>
          </cell>
          <cell r="B883" t="str">
            <v>1015</v>
          </cell>
          <cell r="C883">
            <v>659</v>
          </cell>
          <cell r="D883" t="str">
            <v>204</v>
          </cell>
          <cell r="E883" t="str">
            <v>407</v>
          </cell>
          <cell r="F883">
            <v>0</v>
          </cell>
          <cell r="G883">
            <v>5</v>
          </cell>
          <cell r="H883" t="str">
            <v>2010-05-31</v>
          </cell>
        </row>
        <row r="884">
          <cell r="A884" t="str">
            <v>480000</v>
          </cell>
          <cell r="B884" t="str">
            <v>1015</v>
          </cell>
          <cell r="C884">
            <v>-12614.13</v>
          </cell>
          <cell r="D884" t="str">
            <v>204</v>
          </cell>
          <cell r="E884" t="str">
            <v>407</v>
          </cell>
          <cell r="F884">
            <v>0</v>
          </cell>
          <cell r="G884">
            <v>7</v>
          </cell>
          <cell r="H884" t="str">
            <v>2009-07-31</v>
          </cell>
        </row>
        <row r="885">
          <cell r="A885" t="str">
            <v>481004</v>
          </cell>
          <cell r="B885" t="str">
            <v>1015</v>
          </cell>
          <cell r="C885">
            <v>-2498819.56</v>
          </cell>
          <cell r="D885" t="str">
            <v>204</v>
          </cell>
          <cell r="E885" t="str">
            <v>407</v>
          </cell>
          <cell r="F885">
            <v>0</v>
          </cell>
          <cell r="G885">
            <v>9</v>
          </cell>
          <cell r="H885" t="str">
            <v>2009-09-30</v>
          </cell>
        </row>
        <row r="886">
          <cell r="A886" t="str">
            <v>481004</v>
          </cell>
          <cell r="B886" t="str">
            <v>1015</v>
          </cell>
          <cell r="C886">
            <v>-7927784.71</v>
          </cell>
          <cell r="D886" t="str">
            <v>204</v>
          </cell>
          <cell r="E886" t="str">
            <v>407</v>
          </cell>
          <cell r="F886">
            <v>0</v>
          </cell>
          <cell r="G886">
            <v>11</v>
          </cell>
          <cell r="H886" t="str">
            <v>2009-11-30</v>
          </cell>
        </row>
        <row r="887">
          <cell r="A887" t="str">
            <v>480000</v>
          </cell>
          <cell r="B887" t="str">
            <v>1015</v>
          </cell>
          <cell r="C887">
            <v>-96866.97</v>
          </cell>
          <cell r="D887" t="str">
            <v>204</v>
          </cell>
          <cell r="E887" t="str">
            <v>407</v>
          </cell>
          <cell r="F887">
            <v>0</v>
          </cell>
          <cell r="G887">
            <v>1</v>
          </cell>
          <cell r="H887" t="str">
            <v>2010-01-31</v>
          </cell>
        </row>
        <row r="888">
          <cell r="A888" t="str">
            <v>480000</v>
          </cell>
          <cell r="B888" t="str">
            <v>1015</v>
          </cell>
          <cell r="C888">
            <v>-62348.21</v>
          </cell>
          <cell r="D888" t="str">
            <v>204</v>
          </cell>
          <cell r="E888" t="str">
            <v>407</v>
          </cell>
          <cell r="F888">
            <v>0</v>
          </cell>
          <cell r="G888">
            <v>3</v>
          </cell>
          <cell r="H888" t="str">
            <v>2010-03-31</v>
          </cell>
        </row>
        <row r="889">
          <cell r="A889" t="str">
            <v>480000</v>
          </cell>
          <cell r="B889" t="str">
            <v>1015</v>
          </cell>
          <cell r="C889">
            <v>-28840342.890000001</v>
          </cell>
          <cell r="D889" t="str">
            <v>204</v>
          </cell>
          <cell r="E889" t="str">
            <v>407</v>
          </cell>
          <cell r="F889">
            <v>0</v>
          </cell>
          <cell r="G889">
            <v>4</v>
          </cell>
          <cell r="H889" t="str">
            <v>2010-04-30</v>
          </cell>
        </row>
        <row r="890">
          <cell r="A890" t="str">
            <v>481004</v>
          </cell>
          <cell r="B890" t="str">
            <v>1015</v>
          </cell>
          <cell r="C890">
            <v>-26090.36</v>
          </cell>
          <cell r="D890" t="str">
            <v>204</v>
          </cell>
          <cell r="E890" t="str">
            <v>407</v>
          </cell>
          <cell r="F890">
            <v>0</v>
          </cell>
          <cell r="G890">
            <v>4</v>
          </cell>
          <cell r="H890" t="str">
            <v>2010-04-30</v>
          </cell>
        </row>
        <row r="891">
          <cell r="A891" t="str">
            <v>481000</v>
          </cell>
          <cell r="B891" t="str">
            <v>1015</v>
          </cell>
          <cell r="C891">
            <v>-5953.27</v>
          </cell>
          <cell r="D891" t="str">
            <v>204</v>
          </cell>
          <cell r="E891" t="str">
            <v>407</v>
          </cell>
          <cell r="F891">
            <v>0</v>
          </cell>
          <cell r="G891">
            <v>5</v>
          </cell>
          <cell r="H891" t="str">
            <v>2010-05-31</v>
          </cell>
        </row>
        <row r="892">
          <cell r="A892" t="str">
            <v>480000</v>
          </cell>
          <cell r="B892" t="str">
            <v>1015</v>
          </cell>
          <cell r="C892">
            <v>-12173018.5</v>
          </cell>
          <cell r="D892" t="str">
            <v>204</v>
          </cell>
          <cell r="E892" t="str">
            <v>407</v>
          </cell>
          <cell r="F892">
            <v>0</v>
          </cell>
          <cell r="G892">
            <v>6</v>
          </cell>
          <cell r="H892" t="str">
            <v>2010-06-30</v>
          </cell>
        </row>
        <row r="893">
          <cell r="A893" t="str">
            <v>481006</v>
          </cell>
          <cell r="B893" t="str">
            <v>1015</v>
          </cell>
          <cell r="C893">
            <v>381311.19</v>
          </cell>
          <cell r="D893" t="str">
            <v>204</v>
          </cell>
          <cell r="E893" t="str">
            <v>407</v>
          </cell>
          <cell r="F893">
            <v>0</v>
          </cell>
          <cell r="G893">
            <v>7</v>
          </cell>
          <cell r="H893" t="str">
            <v>2009-07-31</v>
          </cell>
        </row>
        <row r="894">
          <cell r="A894" t="str">
            <v>480001</v>
          </cell>
          <cell r="B894" t="str">
            <v>1015</v>
          </cell>
          <cell r="C894">
            <v>117298.01</v>
          </cell>
          <cell r="D894" t="str">
            <v>204</v>
          </cell>
          <cell r="E894" t="str">
            <v>407</v>
          </cell>
          <cell r="F894">
            <v>0</v>
          </cell>
          <cell r="G894">
            <v>9</v>
          </cell>
          <cell r="H894" t="str">
            <v>2009-09-30</v>
          </cell>
        </row>
        <row r="895">
          <cell r="A895" t="str">
            <v>480001</v>
          </cell>
          <cell r="B895" t="str">
            <v>1015</v>
          </cell>
          <cell r="C895">
            <v>1346.64</v>
          </cell>
          <cell r="D895" t="str">
            <v>204</v>
          </cell>
          <cell r="E895" t="str">
            <v>407</v>
          </cell>
          <cell r="F895">
            <v>0</v>
          </cell>
          <cell r="G895">
            <v>9</v>
          </cell>
          <cell r="H895" t="str">
            <v>2009-09-30</v>
          </cell>
        </row>
        <row r="896">
          <cell r="A896" t="str">
            <v>480001</v>
          </cell>
          <cell r="B896" t="str">
            <v>1015</v>
          </cell>
          <cell r="C896">
            <v>-6401960.9900000002</v>
          </cell>
          <cell r="D896" t="str">
            <v>204</v>
          </cell>
          <cell r="E896" t="str">
            <v>407</v>
          </cell>
          <cell r="F896">
            <v>0</v>
          </cell>
          <cell r="G896">
            <v>11</v>
          </cell>
          <cell r="H896" t="str">
            <v>2009-11-30</v>
          </cell>
        </row>
        <row r="897">
          <cell r="A897" t="str">
            <v>480001</v>
          </cell>
          <cell r="B897" t="str">
            <v>1015</v>
          </cell>
          <cell r="C897">
            <v>-11311.67</v>
          </cell>
          <cell r="D897" t="str">
            <v>204</v>
          </cell>
          <cell r="E897" t="str">
            <v>407</v>
          </cell>
          <cell r="F897">
            <v>0</v>
          </cell>
          <cell r="G897">
            <v>11</v>
          </cell>
          <cell r="H897" t="str">
            <v>2009-11-30</v>
          </cell>
        </row>
        <row r="898">
          <cell r="A898" t="str">
            <v>480001</v>
          </cell>
          <cell r="B898" t="str">
            <v>1015</v>
          </cell>
          <cell r="C898">
            <v>5416195.9299999997</v>
          </cell>
          <cell r="D898" t="str">
            <v>204</v>
          </cell>
          <cell r="E898" t="str">
            <v>407</v>
          </cell>
          <cell r="F898">
            <v>0</v>
          </cell>
          <cell r="G898">
            <v>1</v>
          </cell>
          <cell r="H898" t="str">
            <v>2010-01-31</v>
          </cell>
        </row>
        <row r="899">
          <cell r="A899" t="str">
            <v>480001</v>
          </cell>
          <cell r="B899" t="str">
            <v>1015</v>
          </cell>
          <cell r="C899">
            <v>7960</v>
          </cell>
          <cell r="D899" t="str">
            <v>204</v>
          </cell>
          <cell r="E899" t="str">
            <v>407</v>
          </cell>
          <cell r="F899">
            <v>0</v>
          </cell>
          <cell r="G899">
            <v>3</v>
          </cell>
          <cell r="H899" t="str">
            <v>2010-03-31</v>
          </cell>
        </row>
        <row r="900">
          <cell r="A900" t="str">
            <v>481004</v>
          </cell>
          <cell r="B900" t="str">
            <v>1015</v>
          </cell>
          <cell r="C900">
            <v>-11526.52</v>
          </cell>
          <cell r="D900" t="str">
            <v>204</v>
          </cell>
          <cell r="E900" t="str">
            <v>407</v>
          </cell>
          <cell r="F900">
            <v>0</v>
          </cell>
          <cell r="G900">
            <v>10</v>
          </cell>
          <cell r="H900" t="str">
            <v>2009-10-31</v>
          </cell>
        </row>
        <row r="901">
          <cell r="A901" t="str">
            <v>480000</v>
          </cell>
          <cell r="B901" t="str">
            <v>1015</v>
          </cell>
          <cell r="C901">
            <v>-46591.33</v>
          </cell>
          <cell r="D901" t="str">
            <v>204</v>
          </cell>
          <cell r="E901" t="str">
            <v>407</v>
          </cell>
          <cell r="F901">
            <v>0</v>
          </cell>
          <cell r="G901">
            <v>11</v>
          </cell>
          <cell r="H901" t="str">
            <v>2009-11-30</v>
          </cell>
        </row>
        <row r="902">
          <cell r="A902" t="str">
            <v>481004</v>
          </cell>
          <cell r="B902" t="str">
            <v>1015</v>
          </cell>
          <cell r="C902">
            <v>-41321.53</v>
          </cell>
          <cell r="D902" t="str">
            <v>204</v>
          </cell>
          <cell r="E902" t="str">
            <v>407</v>
          </cell>
          <cell r="F902">
            <v>0</v>
          </cell>
          <cell r="G902">
            <v>12</v>
          </cell>
          <cell r="H902" t="str">
            <v>2009-12-31</v>
          </cell>
        </row>
        <row r="903">
          <cell r="A903" t="str">
            <v>481004</v>
          </cell>
          <cell r="B903" t="str">
            <v>1015</v>
          </cell>
          <cell r="C903">
            <v>-16307129.73</v>
          </cell>
          <cell r="D903" t="str">
            <v>204</v>
          </cell>
          <cell r="E903" t="str">
            <v>407</v>
          </cell>
          <cell r="F903">
            <v>0</v>
          </cell>
          <cell r="G903">
            <v>2</v>
          </cell>
          <cell r="H903" t="str">
            <v>2010-02-28</v>
          </cell>
        </row>
        <row r="904">
          <cell r="A904" t="str">
            <v>481004</v>
          </cell>
          <cell r="B904" t="str">
            <v>1015</v>
          </cell>
          <cell r="C904">
            <v>-4742252.43</v>
          </cell>
          <cell r="D904" t="str">
            <v>204</v>
          </cell>
          <cell r="E904" t="str">
            <v>407</v>
          </cell>
          <cell r="F904">
            <v>0</v>
          </cell>
          <cell r="G904">
            <v>6</v>
          </cell>
          <cell r="H904" t="str">
            <v>2010-06-30</v>
          </cell>
        </row>
        <row r="905">
          <cell r="A905" t="str">
            <v>480001</v>
          </cell>
          <cell r="B905" t="str">
            <v>1015</v>
          </cell>
          <cell r="C905">
            <v>826508.06</v>
          </cell>
          <cell r="D905" t="str">
            <v>204</v>
          </cell>
          <cell r="E905" t="str">
            <v>407</v>
          </cell>
          <cell r="F905">
            <v>0</v>
          </cell>
          <cell r="G905">
            <v>7</v>
          </cell>
          <cell r="H905" t="str">
            <v>2009-07-31</v>
          </cell>
        </row>
        <row r="906">
          <cell r="A906" t="str">
            <v>481006</v>
          </cell>
          <cell r="B906" t="str">
            <v>1015</v>
          </cell>
          <cell r="C906">
            <v>83975.56</v>
          </cell>
          <cell r="D906" t="str">
            <v>204</v>
          </cell>
          <cell r="E906" t="str">
            <v>407</v>
          </cell>
          <cell r="F906">
            <v>0</v>
          </cell>
          <cell r="G906">
            <v>9</v>
          </cell>
          <cell r="H906" t="str">
            <v>2009-09-30</v>
          </cell>
        </row>
        <row r="907">
          <cell r="A907" t="str">
            <v>481006</v>
          </cell>
          <cell r="B907" t="str">
            <v>1015</v>
          </cell>
          <cell r="C907">
            <v>-5812.41</v>
          </cell>
          <cell r="D907" t="str">
            <v>204</v>
          </cell>
          <cell r="E907" t="str">
            <v>407</v>
          </cell>
          <cell r="F907">
            <v>0</v>
          </cell>
          <cell r="G907">
            <v>11</v>
          </cell>
          <cell r="H907" t="str">
            <v>2009-11-30</v>
          </cell>
        </row>
        <row r="908">
          <cell r="A908" t="str">
            <v>481006</v>
          </cell>
          <cell r="B908" t="str">
            <v>1015</v>
          </cell>
          <cell r="C908">
            <v>2409633.2400000002</v>
          </cell>
          <cell r="D908" t="str">
            <v>204</v>
          </cell>
          <cell r="E908" t="str">
            <v>407</v>
          </cell>
          <cell r="F908">
            <v>0</v>
          </cell>
          <cell r="G908">
            <v>1</v>
          </cell>
          <cell r="H908" t="str">
            <v>2010-01-31</v>
          </cell>
        </row>
        <row r="909">
          <cell r="A909" t="str">
            <v>480001</v>
          </cell>
          <cell r="B909" t="str">
            <v>1015</v>
          </cell>
          <cell r="C909">
            <v>11310</v>
          </cell>
          <cell r="D909" t="str">
            <v>204</v>
          </cell>
          <cell r="E909" t="str">
            <v>407</v>
          </cell>
          <cell r="F909">
            <v>0</v>
          </cell>
          <cell r="G909">
            <v>4</v>
          </cell>
          <cell r="H909" t="str">
            <v>2010-04-30</v>
          </cell>
        </row>
        <row r="910">
          <cell r="A910" t="str">
            <v>481006</v>
          </cell>
          <cell r="B910" t="str">
            <v>1015</v>
          </cell>
          <cell r="C910">
            <v>2941183</v>
          </cell>
          <cell r="D910" t="str">
            <v>204</v>
          </cell>
          <cell r="E910" t="str">
            <v>407</v>
          </cell>
          <cell r="F910">
            <v>0</v>
          </cell>
          <cell r="G910">
            <v>6</v>
          </cell>
          <cell r="H910" t="str">
            <v>2010-06-30</v>
          </cell>
        </row>
        <row r="911">
          <cell r="A911" t="str">
            <v>480000</v>
          </cell>
          <cell r="B911" t="str">
            <v>1015</v>
          </cell>
          <cell r="C911">
            <v>-6791731.0499999998</v>
          </cell>
          <cell r="D911" t="str">
            <v>204</v>
          </cell>
          <cell r="E911" t="str">
            <v>407</v>
          </cell>
          <cell r="F911">
            <v>0</v>
          </cell>
          <cell r="G911">
            <v>8</v>
          </cell>
          <cell r="H911" t="str">
            <v>2009-08-31</v>
          </cell>
        </row>
        <row r="912">
          <cell r="A912" t="str">
            <v>481004</v>
          </cell>
          <cell r="B912" t="str">
            <v>1015</v>
          </cell>
          <cell r="C912">
            <v>-2359016.14</v>
          </cell>
          <cell r="D912" t="str">
            <v>204</v>
          </cell>
          <cell r="E912" t="str">
            <v>407</v>
          </cell>
          <cell r="F912">
            <v>0</v>
          </cell>
          <cell r="G912">
            <v>8</v>
          </cell>
          <cell r="H912" t="str">
            <v>2009-08-31</v>
          </cell>
        </row>
        <row r="913">
          <cell r="A913" t="str">
            <v>480000</v>
          </cell>
          <cell r="B913" t="str">
            <v>1015</v>
          </cell>
          <cell r="C913">
            <v>-26496.71</v>
          </cell>
          <cell r="D913" t="str">
            <v>204</v>
          </cell>
          <cell r="E913" t="str">
            <v>407</v>
          </cell>
          <cell r="F913">
            <v>0</v>
          </cell>
          <cell r="G913">
            <v>10</v>
          </cell>
          <cell r="H913" t="str">
            <v>2009-10-31</v>
          </cell>
        </row>
        <row r="914">
          <cell r="A914" t="str">
            <v>480000</v>
          </cell>
          <cell r="B914" t="str">
            <v>1015</v>
          </cell>
          <cell r="C914">
            <v>-12109021.699999999</v>
          </cell>
          <cell r="D914" t="str">
            <v>204</v>
          </cell>
          <cell r="E914" t="str">
            <v>407</v>
          </cell>
          <cell r="F914">
            <v>0</v>
          </cell>
          <cell r="G914">
            <v>10</v>
          </cell>
          <cell r="H914" t="str">
            <v>2009-10-31</v>
          </cell>
        </row>
        <row r="915">
          <cell r="A915" t="str">
            <v>481004</v>
          </cell>
          <cell r="B915" t="str">
            <v>1015</v>
          </cell>
          <cell r="C915">
            <v>-17147462.239999998</v>
          </cell>
          <cell r="D915" t="str">
            <v>204</v>
          </cell>
          <cell r="E915" t="str">
            <v>407</v>
          </cell>
          <cell r="F915">
            <v>0</v>
          </cell>
          <cell r="G915">
            <v>12</v>
          </cell>
          <cell r="H915" t="str">
            <v>2009-12-31</v>
          </cell>
        </row>
        <row r="916">
          <cell r="A916" t="str">
            <v>480000</v>
          </cell>
          <cell r="B916" t="str">
            <v>1015</v>
          </cell>
          <cell r="C916">
            <v>-52845105.310000002</v>
          </cell>
          <cell r="D916" t="str">
            <v>204</v>
          </cell>
          <cell r="E916" t="str">
            <v>407</v>
          </cell>
          <cell r="F916">
            <v>0</v>
          </cell>
          <cell r="G916">
            <v>1</v>
          </cell>
          <cell r="H916" t="str">
            <v>2010-01-31</v>
          </cell>
        </row>
        <row r="917">
          <cell r="A917" t="str">
            <v>480000</v>
          </cell>
          <cell r="B917" t="str">
            <v>1015</v>
          </cell>
          <cell r="C917">
            <v>-36697837.890000001</v>
          </cell>
          <cell r="D917" t="str">
            <v>204</v>
          </cell>
          <cell r="E917" t="str">
            <v>407</v>
          </cell>
          <cell r="F917">
            <v>0</v>
          </cell>
          <cell r="G917">
            <v>2</v>
          </cell>
          <cell r="H917" t="str">
            <v>2010-02-28</v>
          </cell>
        </row>
        <row r="918">
          <cell r="A918" t="str">
            <v>481004</v>
          </cell>
          <cell r="B918" t="str">
            <v>1015</v>
          </cell>
          <cell r="C918">
            <v>-39072.06</v>
          </cell>
          <cell r="D918" t="str">
            <v>204</v>
          </cell>
          <cell r="E918" t="str">
            <v>407</v>
          </cell>
          <cell r="F918">
            <v>0</v>
          </cell>
          <cell r="G918">
            <v>2</v>
          </cell>
          <cell r="H918" t="str">
            <v>2010-02-28</v>
          </cell>
        </row>
        <row r="919">
          <cell r="A919" t="str">
            <v>481004</v>
          </cell>
          <cell r="B919" t="str">
            <v>1015</v>
          </cell>
          <cell r="C919">
            <v>-34564.629999999997</v>
          </cell>
          <cell r="D919" t="str">
            <v>204</v>
          </cell>
          <cell r="E919" t="str">
            <v>407</v>
          </cell>
          <cell r="F919">
            <v>0</v>
          </cell>
          <cell r="G919">
            <v>3</v>
          </cell>
          <cell r="H919" t="str">
            <v>2010-03-31</v>
          </cell>
        </row>
        <row r="920">
          <cell r="A920" t="str">
            <v>481004</v>
          </cell>
          <cell r="B920" t="str">
            <v>1015</v>
          </cell>
          <cell r="C920">
            <v>-10058.65</v>
          </cell>
          <cell r="D920" t="str">
            <v>204</v>
          </cell>
          <cell r="E920" t="str">
            <v>407</v>
          </cell>
          <cell r="F920">
            <v>0</v>
          </cell>
          <cell r="G920">
            <v>6</v>
          </cell>
          <cell r="H920" t="str">
            <v>2010-06-30</v>
          </cell>
        </row>
        <row r="921">
          <cell r="A921" t="str">
            <v>480000</v>
          </cell>
          <cell r="B921" t="str">
            <v>1015</v>
          </cell>
          <cell r="C921">
            <v>0</v>
          </cell>
          <cell r="D921" t="str">
            <v>204</v>
          </cell>
          <cell r="E921" t="str">
            <v>408</v>
          </cell>
          <cell r="F921">
            <v>0</v>
          </cell>
          <cell r="G921">
            <v>9</v>
          </cell>
          <cell r="H921" t="str">
            <v>2009-09-30</v>
          </cell>
        </row>
        <row r="922">
          <cell r="A922" t="str">
            <v>481002</v>
          </cell>
          <cell r="B922" t="str">
            <v>1015</v>
          </cell>
          <cell r="C922">
            <v>-135712</v>
          </cell>
          <cell r="D922" t="str">
            <v>204</v>
          </cell>
          <cell r="E922" t="str">
            <v>411</v>
          </cell>
          <cell r="F922">
            <v>0</v>
          </cell>
          <cell r="G922">
            <v>10</v>
          </cell>
          <cell r="H922" t="str">
            <v>2009-10-31</v>
          </cell>
        </row>
        <row r="923">
          <cell r="A923" t="str">
            <v>481005</v>
          </cell>
          <cell r="B923" t="str">
            <v>1015</v>
          </cell>
          <cell r="C923">
            <v>-666750</v>
          </cell>
          <cell r="D923" t="str">
            <v>204</v>
          </cell>
          <cell r="E923" t="str">
            <v>411</v>
          </cell>
          <cell r="F923">
            <v>0</v>
          </cell>
          <cell r="G923">
            <v>12</v>
          </cell>
          <cell r="H923" t="str">
            <v>2009-12-31</v>
          </cell>
        </row>
        <row r="924">
          <cell r="A924" t="str">
            <v>481005</v>
          </cell>
          <cell r="B924" t="str">
            <v>1015</v>
          </cell>
          <cell r="C924">
            <v>-892482.57</v>
          </cell>
          <cell r="D924" t="str">
            <v>204</v>
          </cell>
          <cell r="E924" t="str">
            <v>411</v>
          </cell>
          <cell r="F924">
            <v>0</v>
          </cell>
          <cell r="G924">
            <v>1</v>
          </cell>
          <cell r="H924" t="str">
            <v>2010-01-31</v>
          </cell>
        </row>
        <row r="925">
          <cell r="A925" t="str">
            <v>481005</v>
          </cell>
          <cell r="B925" t="str">
            <v>1015</v>
          </cell>
          <cell r="C925">
            <v>-156294.31</v>
          </cell>
          <cell r="D925" t="str">
            <v>204</v>
          </cell>
          <cell r="E925" t="str">
            <v>411</v>
          </cell>
          <cell r="F925">
            <v>0</v>
          </cell>
          <cell r="G925">
            <v>4</v>
          </cell>
          <cell r="H925" t="str">
            <v>2010-04-30</v>
          </cell>
        </row>
        <row r="926">
          <cell r="A926" t="str">
            <v>481002</v>
          </cell>
          <cell r="B926" t="str">
            <v>1015</v>
          </cell>
          <cell r="C926">
            <v>-445669.22</v>
          </cell>
          <cell r="D926" t="str">
            <v>204</v>
          </cell>
          <cell r="E926" t="str">
            <v>411</v>
          </cell>
          <cell r="F926">
            <v>0</v>
          </cell>
          <cell r="G926">
            <v>5</v>
          </cell>
          <cell r="H926" t="str">
            <v>2010-05-31</v>
          </cell>
        </row>
        <row r="927">
          <cell r="A927" t="str">
            <v>481002</v>
          </cell>
          <cell r="B927" t="str">
            <v>1015</v>
          </cell>
          <cell r="C927">
            <v>-423219.26</v>
          </cell>
          <cell r="D927" t="str">
            <v>204</v>
          </cell>
          <cell r="E927" t="str">
            <v>411</v>
          </cell>
          <cell r="F927">
            <v>0</v>
          </cell>
          <cell r="G927">
            <v>1</v>
          </cell>
          <cell r="H927" t="str">
            <v>2010-01-31</v>
          </cell>
        </row>
        <row r="928">
          <cell r="A928" t="str">
            <v>481005</v>
          </cell>
          <cell r="B928" t="str">
            <v>1015</v>
          </cell>
          <cell r="C928">
            <v>-387440.65</v>
          </cell>
          <cell r="D928" t="str">
            <v>204</v>
          </cell>
          <cell r="E928" t="str">
            <v>411</v>
          </cell>
          <cell r="F928">
            <v>0</v>
          </cell>
          <cell r="G928">
            <v>2</v>
          </cell>
          <cell r="H928" t="str">
            <v>2010-02-28</v>
          </cell>
        </row>
        <row r="929">
          <cell r="A929" t="str">
            <v>481005</v>
          </cell>
          <cell r="B929" t="str">
            <v>1015</v>
          </cell>
          <cell r="C929">
            <v>-6896.71</v>
          </cell>
          <cell r="D929" t="str">
            <v>204</v>
          </cell>
          <cell r="E929" t="str">
            <v>411</v>
          </cell>
          <cell r="F929">
            <v>0</v>
          </cell>
          <cell r="G929">
            <v>3</v>
          </cell>
          <cell r="H929" t="str">
            <v>2010-03-31</v>
          </cell>
        </row>
        <row r="930">
          <cell r="A930" t="str">
            <v>481005</v>
          </cell>
          <cell r="B930" t="str">
            <v>1015</v>
          </cell>
          <cell r="C930">
            <v>-1839.61</v>
          </cell>
          <cell r="D930" t="str">
            <v>204</v>
          </cell>
          <cell r="E930" t="str">
            <v>411</v>
          </cell>
          <cell r="F930">
            <v>0</v>
          </cell>
          <cell r="G930">
            <v>5</v>
          </cell>
          <cell r="H930" t="str">
            <v>2010-05-31</v>
          </cell>
        </row>
        <row r="931">
          <cell r="A931" t="str">
            <v>481005</v>
          </cell>
          <cell r="B931" t="str">
            <v>1015</v>
          </cell>
          <cell r="C931">
            <v>-236283.65</v>
          </cell>
          <cell r="D931" t="str">
            <v>204</v>
          </cell>
          <cell r="E931" t="str">
            <v>411</v>
          </cell>
          <cell r="F931">
            <v>0</v>
          </cell>
          <cell r="G931">
            <v>5</v>
          </cell>
          <cell r="H931" t="str">
            <v>2010-05-31</v>
          </cell>
        </row>
        <row r="932">
          <cell r="A932" t="str">
            <v>481002</v>
          </cell>
          <cell r="B932" t="str">
            <v>1015</v>
          </cell>
          <cell r="C932">
            <v>-101997</v>
          </cell>
          <cell r="D932" t="str">
            <v>204</v>
          </cell>
          <cell r="E932" t="str">
            <v>411</v>
          </cell>
          <cell r="F932">
            <v>0</v>
          </cell>
          <cell r="G932">
            <v>7</v>
          </cell>
          <cell r="H932" t="str">
            <v>2009-07-31</v>
          </cell>
        </row>
        <row r="933">
          <cell r="A933" t="str">
            <v>481005</v>
          </cell>
          <cell r="B933" t="str">
            <v>1015</v>
          </cell>
          <cell r="C933">
            <v>-341936</v>
          </cell>
          <cell r="D933" t="str">
            <v>204</v>
          </cell>
          <cell r="E933" t="str">
            <v>411</v>
          </cell>
          <cell r="F933">
            <v>0</v>
          </cell>
          <cell r="G933">
            <v>7</v>
          </cell>
          <cell r="H933" t="str">
            <v>2009-07-31</v>
          </cell>
        </row>
        <row r="934">
          <cell r="A934" t="str">
            <v>481005</v>
          </cell>
          <cell r="B934" t="str">
            <v>1015</v>
          </cell>
          <cell r="C934">
            <v>0</v>
          </cell>
          <cell r="D934" t="str">
            <v>204</v>
          </cell>
          <cell r="E934" t="str">
            <v>411</v>
          </cell>
          <cell r="F934">
            <v>0</v>
          </cell>
          <cell r="G934">
            <v>8</v>
          </cell>
          <cell r="H934" t="str">
            <v>2009-08-31</v>
          </cell>
        </row>
        <row r="935">
          <cell r="A935" t="str">
            <v>481002</v>
          </cell>
          <cell r="B935" t="str">
            <v>1015</v>
          </cell>
          <cell r="C935">
            <v>-455817.9</v>
          </cell>
          <cell r="D935" t="str">
            <v>204</v>
          </cell>
          <cell r="E935" t="str">
            <v>411</v>
          </cell>
          <cell r="F935">
            <v>0</v>
          </cell>
          <cell r="G935">
            <v>3</v>
          </cell>
          <cell r="H935" t="str">
            <v>2010-03-31</v>
          </cell>
        </row>
        <row r="936">
          <cell r="A936" t="str">
            <v>481005</v>
          </cell>
          <cell r="B936" t="str">
            <v>1015</v>
          </cell>
          <cell r="C936">
            <v>-360668</v>
          </cell>
          <cell r="D936" t="str">
            <v>204</v>
          </cell>
          <cell r="E936" t="str">
            <v>411</v>
          </cell>
          <cell r="F936">
            <v>0</v>
          </cell>
          <cell r="G936">
            <v>9</v>
          </cell>
          <cell r="H936" t="str">
            <v>2009-09-30</v>
          </cell>
        </row>
        <row r="937">
          <cell r="A937" t="str">
            <v>481005</v>
          </cell>
          <cell r="B937" t="str">
            <v>1015</v>
          </cell>
          <cell r="C937">
            <v>-19324</v>
          </cell>
          <cell r="D937" t="str">
            <v>204</v>
          </cell>
          <cell r="E937" t="str">
            <v>411</v>
          </cell>
          <cell r="F937">
            <v>0</v>
          </cell>
          <cell r="G937">
            <v>1</v>
          </cell>
          <cell r="H937" t="str">
            <v>2010-01-31</v>
          </cell>
        </row>
        <row r="938">
          <cell r="A938" t="str">
            <v>481005</v>
          </cell>
          <cell r="B938" t="str">
            <v>1015</v>
          </cell>
          <cell r="C938">
            <v>-47156.38</v>
          </cell>
          <cell r="D938" t="str">
            <v>204</v>
          </cell>
          <cell r="E938" t="str">
            <v>411</v>
          </cell>
          <cell r="F938">
            <v>0</v>
          </cell>
          <cell r="G938">
            <v>6</v>
          </cell>
          <cell r="H938" t="str">
            <v>2010-06-30</v>
          </cell>
        </row>
        <row r="939">
          <cell r="A939" t="str">
            <v>481005</v>
          </cell>
          <cell r="B939" t="str">
            <v>1015</v>
          </cell>
          <cell r="C939">
            <v>-465915</v>
          </cell>
          <cell r="D939" t="str">
            <v>204</v>
          </cell>
          <cell r="E939" t="str">
            <v>411</v>
          </cell>
          <cell r="F939">
            <v>0</v>
          </cell>
          <cell r="G939">
            <v>10</v>
          </cell>
          <cell r="H939" t="str">
            <v>2009-10-31</v>
          </cell>
        </row>
        <row r="940">
          <cell r="A940" t="str">
            <v>481002</v>
          </cell>
          <cell r="B940" t="str">
            <v>1015</v>
          </cell>
          <cell r="C940">
            <v>-141531</v>
          </cell>
          <cell r="D940" t="str">
            <v>204</v>
          </cell>
          <cell r="E940" t="str">
            <v>411</v>
          </cell>
          <cell r="F940">
            <v>0</v>
          </cell>
          <cell r="G940">
            <v>11</v>
          </cell>
          <cell r="H940" t="str">
            <v>2009-11-30</v>
          </cell>
        </row>
        <row r="941">
          <cell r="A941" t="str">
            <v>481005</v>
          </cell>
          <cell r="B941" t="str">
            <v>1015</v>
          </cell>
          <cell r="C941">
            <v>-8228</v>
          </cell>
          <cell r="D941" t="str">
            <v>204</v>
          </cell>
          <cell r="E941" t="str">
            <v>411</v>
          </cell>
          <cell r="F941">
            <v>0</v>
          </cell>
          <cell r="G941">
            <v>12</v>
          </cell>
          <cell r="H941" t="str">
            <v>2009-12-31</v>
          </cell>
        </row>
        <row r="942">
          <cell r="A942" t="str">
            <v>481002</v>
          </cell>
          <cell r="B942" t="str">
            <v>1015</v>
          </cell>
          <cell r="C942">
            <v>-420741.14</v>
          </cell>
          <cell r="D942" t="str">
            <v>204</v>
          </cell>
          <cell r="E942" t="str">
            <v>411</v>
          </cell>
          <cell r="F942">
            <v>0</v>
          </cell>
          <cell r="G942">
            <v>2</v>
          </cell>
          <cell r="H942" t="str">
            <v>2010-02-28</v>
          </cell>
        </row>
        <row r="943">
          <cell r="A943" t="str">
            <v>481005</v>
          </cell>
          <cell r="B943" t="str">
            <v>1015</v>
          </cell>
          <cell r="C943">
            <v>5461.48</v>
          </cell>
          <cell r="D943" t="str">
            <v>204</v>
          </cell>
          <cell r="E943" t="str">
            <v>411</v>
          </cell>
          <cell r="F943">
            <v>0</v>
          </cell>
          <cell r="G943">
            <v>6</v>
          </cell>
          <cell r="H943" t="str">
            <v>2010-06-30</v>
          </cell>
        </row>
        <row r="944">
          <cell r="A944" t="str">
            <v>481002</v>
          </cell>
          <cell r="B944" t="str">
            <v>1015</v>
          </cell>
          <cell r="C944">
            <v>-157956</v>
          </cell>
          <cell r="D944" t="str">
            <v>204</v>
          </cell>
          <cell r="E944" t="str">
            <v>411</v>
          </cell>
          <cell r="F944">
            <v>0</v>
          </cell>
          <cell r="G944">
            <v>8</v>
          </cell>
          <cell r="H944" t="str">
            <v>2009-08-31</v>
          </cell>
        </row>
        <row r="945">
          <cell r="A945" t="str">
            <v>481005</v>
          </cell>
          <cell r="B945" t="str">
            <v>1015</v>
          </cell>
          <cell r="C945">
            <v>-436065</v>
          </cell>
          <cell r="D945" t="str">
            <v>204</v>
          </cell>
          <cell r="E945" t="str">
            <v>411</v>
          </cell>
          <cell r="F945">
            <v>0</v>
          </cell>
          <cell r="G945">
            <v>8</v>
          </cell>
          <cell r="H945" t="str">
            <v>2009-08-31</v>
          </cell>
        </row>
        <row r="946">
          <cell r="A946" t="str">
            <v>481005</v>
          </cell>
          <cell r="B946" t="str">
            <v>1015</v>
          </cell>
          <cell r="C946">
            <v>-5781</v>
          </cell>
          <cell r="D946" t="str">
            <v>204</v>
          </cell>
          <cell r="E946" t="str">
            <v>411</v>
          </cell>
          <cell r="F946">
            <v>0</v>
          </cell>
          <cell r="G946">
            <v>11</v>
          </cell>
          <cell r="H946" t="str">
            <v>2009-11-30</v>
          </cell>
        </row>
        <row r="947">
          <cell r="A947" t="str">
            <v>481005</v>
          </cell>
          <cell r="B947" t="str">
            <v>1015</v>
          </cell>
          <cell r="C947">
            <v>-2458</v>
          </cell>
          <cell r="D947" t="str">
            <v>204</v>
          </cell>
          <cell r="E947" t="str">
            <v>411</v>
          </cell>
          <cell r="F947">
            <v>0</v>
          </cell>
          <cell r="G947">
            <v>10</v>
          </cell>
          <cell r="H947" t="str">
            <v>2009-10-31</v>
          </cell>
        </row>
        <row r="948">
          <cell r="A948" t="str">
            <v>481005</v>
          </cell>
          <cell r="B948" t="str">
            <v>1015</v>
          </cell>
          <cell r="C948">
            <v>-657805</v>
          </cell>
          <cell r="D948" t="str">
            <v>204</v>
          </cell>
          <cell r="E948" t="str">
            <v>411</v>
          </cell>
          <cell r="F948">
            <v>0</v>
          </cell>
          <cell r="G948">
            <v>11</v>
          </cell>
          <cell r="H948" t="str">
            <v>2009-11-30</v>
          </cell>
        </row>
        <row r="949">
          <cell r="A949" t="str">
            <v>481002</v>
          </cell>
          <cell r="B949" t="str">
            <v>1015</v>
          </cell>
          <cell r="C949">
            <v>-79952</v>
          </cell>
          <cell r="D949" t="str">
            <v>204</v>
          </cell>
          <cell r="E949" t="str">
            <v>411</v>
          </cell>
          <cell r="F949">
            <v>0</v>
          </cell>
          <cell r="G949">
            <v>12</v>
          </cell>
          <cell r="H949" t="str">
            <v>2009-12-31</v>
          </cell>
        </row>
        <row r="950">
          <cell r="A950" t="str">
            <v>481005</v>
          </cell>
          <cell r="B950" t="str">
            <v>1015</v>
          </cell>
          <cell r="C950">
            <v>-377336.66</v>
          </cell>
          <cell r="D950" t="str">
            <v>204</v>
          </cell>
          <cell r="E950" t="str">
            <v>411</v>
          </cell>
          <cell r="F950">
            <v>0</v>
          </cell>
          <cell r="G950">
            <v>3</v>
          </cell>
          <cell r="H950" t="str">
            <v>2010-03-31</v>
          </cell>
        </row>
        <row r="951">
          <cell r="A951" t="str">
            <v>481005</v>
          </cell>
          <cell r="B951" t="str">
            <v>1015</v>
          </cell>
          <cell r="C951">
            <v>-3824.45</v>
          </cell>
          <cell r="D951" t="str">
            <v>204</v>
          </cell>
          <cell r="E951" t="str">
            <v>411</v>
          </cell>
          <cell r="F951">
            <v>0</v>
          </cell>
          <cell r="G951">
            <v>4</v>
          </cell>
          <cell r="H951" t="str">
            <v>2010-04-30</v>
          </cell>
        </row>
        <row r="952">
          <cell r="A952" t="str">
            <v>481005</v>
          </cell>
          <cell r="B952" t="str">
            <v>1015</v>
          </cell>
          <cell r="C952">
            <v>0</v>
          </cell>
          <cell r="D952" t="str">
            <v>204</v>
          </cell>
          <cell r="E952" t="str">
            <v>411</v>
          </cell>
          <cell r="F952">
            <v>0</v>
          </cell>
          <cell r="G952">
            <v>7</v>
          </cell>
          <cell r="H952" t="str">
            <v>2009-07-31</v>
          </cell>
        </row>
        <row r="953">
          <cell r="A953" t="str">
            <v>481002</v>
          </cell>
          <cell r="B953" t="str">
            <v>1015</v>
          </cell>
          <cell r="C953">
            <v>-110761</v>
          </cell>
          <cell r="D953" t="str">
            <v>204</v>
          </cell>
          <cell r="E953" t="str">
            <v>411</v>
          </cell>
          <cell r="F953">
            <v>0</v>
          </cell>
          <cell r="G953">
            <v>9</v>
          </cell>
          <cell r="H953" t="str">
            <v>2009-09-30</v>
          </cell>
        </row>
        <row r="954">
          <cell r="A954" t="str">
            <v>481005</v>
          </cell>
          <cell r="B954" t="str">
            <v>1015</v>
          </cell>
          <cell r="C954">
            <v>0</v>
          </cell>
          <cell r="D954" t="str">
            <v>204</v>
          </cell>
          <cell r="E954" t="str">
            <v>411</v>
          </cell>
          <cell r="F954">
            <v>0</v>
          </cell>
          <cell r="G954">
            <v>9</v>
          </cell>
          <cell r="H954" t="str">
            <v>2009-09-30</v>
          </cell>
        </row>
        <row r="955">
          <cell r="A955" t="str">
            <v>481005</v>
          </cell>
          <cell r="B955" t="str">
            <v>1015</v>
          </cell>
          <cell r="C955">
            <v>-8055.27</v>
          </cell>
          <cell r="D955" t="str">
            <v>204</v>
          </cell>
          <cell r="E955" t="str">
            <v>411</v>
          </cell>
          <cell r="F955">
            <v>0</v>
          </cell>
          <cell r="G955">
            <v>2</v>
          </cell>
          <cell r="H955" t="str">
            <v>2010-02-28</v>
          </cell>
        </row>
        <row r="956">
          <cell r="A956" t="str">
            <v>481002</v>
          </cell>
          <cell r="B956" t="str">
            <v>1015</v>
          </cell>
          <cell r="C956">
            <v>-493899.73</v>
          </cell>
          <cell r="D956" t="str">
            <v>204</v>
          </cell>
          <cell r="E956" t="str">
            <v>411</v>
          </cell>
          <cell r="F956">
            <v>0</v>
          </cell>
          <cell r="G956">
            <v>4</v>
          </cell>
          <cell r="H956" t="str">
            <v>2010-04-30</v>
          </cell>
        </row>
        <row r="957">
          <cell r="A957" t="str">
            <v>481002</v>
          </cell>
          <cell r="B957" t="str">
            <v>1015</v>
          </cell>
          <cell r="C957">
            <v>-502976.09</v>
          </cell>
          <cell r="D957" t="str">
            <v>204</v>
          </cell>
          <cell r="E957" t="str">
            <v>411</v>
          </cell>
          <cell r="F957">
            <v>0</v>
          </cell>
          <cell r="G957">
            <v>6</v>
          </cell>
          <cell r="H957" t="str">
            <v>2010-06-30</v>
          </cell>
        </row>
        <row r="958">
          <cell r="A958" t="str">
            <v>481000</v>
          </cell>
          <cell r="B958" t="str">
            <v>1015</v>
          </cell>
          <cell r="C958">
            <v>0</v>
          </cell>
          <cell r="D958" t="str">
            <v>204</v>
          </cell>
          <cell r="E958" t="str">
            <v>451</v>
          </cell>
          <cell r="F958">
            <v>0</v>
          </cell>
          <cell r="G958">
            <v>8</v>
          </cell>
          <cell r="H958" t="str">
            <v>2009-08-31</v>
          </cell>
        </row>
        <row r="959">
          <cell r="A959" t="str">
            <v>481004</v>
          </cell>
          <cell r="B959" t="str">
            <v>1015</v>
          </cell>
          <cell r="C959">
            <v>-77406</v>
          </cell>
          <cell r="D959" t="str">
            <v>204</v>
          </cell>
          <cell r="E959" t="str">
            <v>451</v>
          </cell>
          <cell r="F959">
            <v>0</v>
          </cell>
          <cell r="G959">
            <v>8</v>
          </cell>
          <cell r="H959" t="str">
            <v>2009-08-31</v>
          </cell>
        </row>
        <row r="960">
          <cell r="A960" t="str">
            <v>481000</v>
          </cell>
          <cell r="B960" t="str">
            <v>1015</v>
          </cell>
          <cell r="C960">
            <v>0</v>
          </cell>
          <cell r="D960" t="str">
            <v>204</v>
          </cell>
          <cell r="E960" t="str">
            <v>451</v>
          </cell>
          <cell r="F960">
            <v>0</v>
          </cell>
          <cell r="G960">
            <v>11</v>
          </cell>
          <cell r="H960" t="str">
            <v>2009-11-30</v>
          </cell>
        </row>
        <row r="961">
          <cell r="A961" t="str">
            <v>481004</v>
          </cell>
          <cell r="B961" t="str">
            <v>1015</v>
          </cell>
          <cell r="C961">
            <v>-51288</v>
          </cell>
          <cell r="D961" t="str">
            <v>204</v>
          </cell>
          <cell r="E961" t="str">
            <v>451</v>
          </cell>
          <cell r="F961">
            <v>0</v>
          </cell>
          <cell r="G961">
            <v>7</v>
          </cell>
          <cell r="H961" t="str">
            <v>2009-07-31</v>
          </cell>
        </row>
        <row r="962">
          <cell r="A962" t="str">
            <v>481000</v>
          </cell>
          <cell r="B962" t="str">
            <v>1015</v>
          </cell>
          <cell r="C962">
            <v>0</v>
          </cell>
          <cell r="D962" t="str">
            <v>204</v>
          </cell>
          <cell r="E962" t="str">
            <v>451</v>
          </cell>
          <cell r="F962">
            <v>0</v>
          </cell>
          <cell r="G962">
            <v>12</v>
          </cell>
          <cell r="H962" t="str">
            <v>2009-12-31</v>
          </cell>
        </row>
        <row r="963">
          <cell r="A963" t="str">
            <v>481004</v>
          </cell>
          <cell r="B963" t="str">
            <v>1015</v>
          </cell>
          <cell r="C963">
            <v>-123943.81</v>
          </cell>
          <cell r="D963" t="str">
            <v>204</v>
          </cell>
          <cell r="E963" t="str">
            <v>451</v>
          </cell>
          <cell r="F963">
            <v>0</v>
          </cell>
          <cell r="G963">
            <v>4</v>
          </cell>
          <cell r="H963" t="str">
            <v>2010-04-30</v>
          </cell>
        </row>
        <row r="964">
          <cell r="A964" t="str">
            <v>481004</v>
          </cell>
          <cell r="B964" t="str">
            <v>1015</v>
          </cell>
          <cell r="C964">
            <v>-96437.67</v>
          </cell>
          <cell r="D964" t="str">
            <v>204</v>
          </cell>
          <cell r="E964" t="str">
            <v>451</v>
          </cell>
          <cell r="F964">
            <v>0</v>
          </cell>
          <cell r="G964">
            <v>5</v>
          </cell>
          <cell r="H964" t="str">
            <v>2010-05-31</v>
          </cell>
        </row>
        <row r="965">
          <cell r="A965" t="str">
            <v>481000</v>
          </cell>
          <cell r="B965" t="str">
            <v>1015</v>
          </cell>
          <cell r="C965">
            <v>0</v>
          </cell>
          <cell r="D965" t="str">
            <v>204</v>
          </cell>
          <cell r="E965" t="str">
            <v>451</v>
          </cell>
          <cell r="F965">
            <v>0</v>
          </cell>
          <cell r="G965">
            <v>9</v>
          </cell>
          <cell r="H965" t="str">
            <v>2009-09-30</v>
          </cell>
        </row>
        <row r="966">
          <cell r="A966" t="str">
            <v>481004</v>
          </cell>
          <cell r="B966" t="str">
            <v>1015</v>
          </cell>
          <cell r="C966">
            <v>-57205</v>
          </cell>
          <cell r="D966" t="str">
            <v>204</v>
          </cell>
          <cell r="E966" t="str">
            <v>451</v>
          </cell>
          <cell r="F966">
            <v>0</v>
          </cell>
          <cell r="G966">
            <v>9</v>
          </cell>
          <cell r="H966" t="str">
            <v>2009-09-30</v>
          </cell>
        </row>
        <row r="967">
          <cell r="A967" t="str">
            <v>481000</v>
          </cell>
          <cell r="B967" t="str">
            <v>1015</v>
          </cell>
          <cell r="C967">
            <v>0</v>
          </cell>
          <cell r="D967" t="str">
            <v>204</v>
          </cell>
          <cell r="E967" t="str">
            <v>451</v>
          </cell>
          <cell r="F967">
            <v>0</v>
          </cell>
          <cell r="G967">
            <v>10</v>
          </cell>
          <cell r="H967" t="str">
            <v>2009-10-31</v>
          </cell>
        </row>
        <row r="968">
          <cell r="A968" t="str">
            <v>481004</v>
          </cell>
          <cell r="B968" t="str">
            <v>1015</v>
          </cell>
          <cell r="C968">
            <v>-120087.78</v>
          </cell>
          <cell r="D968" t="str">
            <v>204</v>
          </cell>
          <cell r="E968" t="str">
            <v>451</v>
          </cell>
          <cell r="F968">
            <v>0</v>
          </cell>
          <cell r="G968">
            <v>3</v>
          </cell>
          <cell r="H968" t="str">
            <v>2010-03-31</v>
          </cell>
        </row>
        <row r="969">
          <cell r="A969" t="str">
            <v>481004</v>
          </cell>
          <cell r="B969" t="str">
            <v>1015</v>
          </cell>
          <cell r="C969">
            <v>-121574</v>
          </cell>
          <cell r="D969" t="str">
            <v>204</v>
          </cell>
          <cell r="E969" t="str">
            <v>451</v>
          </cell>
          <cell r="F969">
            <v>0</v>
          </cell>
          <cell r="G969">
            <v>10</v>
          </cell>
          <cell r="H969" t="str">
            <v>2009-10-31</v>
          </cell>
        </row>
        <row r="970">
          <cell r="A970" t="str">
            <v>481004</v>
          </cell>
          <cell r="B970" t="str">
            <v>1015</v>
          </cell>
          <cell r="C970">
            <v>-125677</v>
          </cell>
          <cell r="D970" t="str">
            <v>204</v>
          </cell>
          <cell r="E970" t="str">
            <v>451</v>
          </cell>
          <cell r="F970">
            <v>0</v>
          </cell>
          <cell r="G970">
            <v>11</v>
          </cell>
          <cell r="H970" t="str">
            <v>2009-11-30</v>
          </cell>
        </row>
        <row r="971">
          <cell r="A971" t="str">
            <v>481004</v>
          </cell>
          <cell r="B971" t="str">
            <v>1015</v>
          </cell>
          <cell r="C971">
            <v>-180174</v>
          </cell>
          <cell r="D971" t="str">
            <v>204</v>
          </cell>
          <cell r="E971" t="str">
            <v>451</v>
          </cell>
          <cell r="F971">
            <v>0</v>
          </cell>
          <cell r="G971">
            <v>12</v>
          </cell>
          <cell r="H971" t="str">
            <v>2009-12-31</v>
          </cell>
        </row>
        <row r="972">
          <cell r="A972" t="str">
            <v>481004</v>
          </cell>
          <cell r="B972" t="str">
            <v>1015</v>
          </cell>
          <cell r="C972">
            <v>-173600.18</v>
          </cell>
          <cell r="D972" t="str">
            <v>204</v>
          </cell>
          <cell r="E972" t="str">
            <v>451</v>
          </cell>
          <cell r="F972">
            <v>0</v>
          </cell>
          <cell r="G972">
            <v>1</v>
          </cell>
          <cell r="H972" t="str">
            <v>2010-01-31</v>
          </cell>
        </row>
        <row r="973">
          <cell r="A973" t="str">
            <v>481004</v>
          </cell>
          <cell r="B973" t="str">
            <v>1015</v>
          </cell>
          <cell r="C973">
            <v>-130917.44</v>
          </cell>
          <cell r="D973" t="str">
            <v>204</v>
          </cell>
          <cell r="E973" t="str">
            <v>451</v>
          </cell>
          <cell r="F973">
            <v>0</v>
          </cell>
          <cell r="G973">
            <v>2</v>
          </cell>
          <cell r="H973" t="str">
            <v>2010-02-28</v>
          </cell>
        </row>
        <row r="974">
          <cell r="A974" t="str">
            <v>481004</v>
          </cell>
          <cell r="B974" t="str">
            <v>1015</v>
          </cell>
          <cell r="C974">
            <v>-53986.99</v>
          </cell>
          <cell r="D974" t="str">
            <v>204</v>
          </cell>
          <cell r="E974" t="str">
            <v>451</v>
          </cell>
          <cell r="F974">
            <v>0</v>
          </cell>
          <cell r="G974">
            <v>6</v>
          </cell>
          <cell r="H974" t="str">
            <v>2010-06-30</v>
          </cell>
        </row>
        <row r="975">
          <cell r="A975" t="str">
            <v>481000</v>
          </cell>
          <cell r="B975" t="str">
            <v>1015</v>
          </cell>
          <cell r="C975">
            <v>0</v>
          </cell>
          <cell r="D975" t="str">
            <v>204</v>
          </cell>
          <cell r="E975" t="str">
            <v>451</v>
          </cell>
          <cell r="F975">
            <v>0</v>
          </cell>
          <cell r="G975">
            <v>7</v>
          </cell>
          <cell r="H975" t="str">
            <v>2009-07-31</v>
          </cell>
        </row>
        <row r="976">
          <cell r="A976" t="str">
            <v>481006</v>
          </cell>
          <cell r="B976" t="str">
            <v>1015</v>
          </cell>
          <cell r="C976">
            <v>105640</v>
          </cell>
          <cell r="D976" t="str">
            <v>204</v>
          </cell>
          <cell r="E976" t="str">
            <v>453</v>
          </cell>
          <cell r="F976">
            <v>0</v>
          </cell>
          <cell r="G976">
            <v>3</v>
          </cell>
          <cell r="H976" t="str">
            <v>2010-03-31</v>
          </cell>
        </row>
        <row r="977">
          <cell r="A977" t="str">
            <v>480000</v>
          </cell>
          <cell r="B977" t="str">
            <v>1015</v>
          </cell>
          <cell r="C977">
            <v>-218747.87</v>
          </cell>
          <cell r="D977" t="str">
            <v>204</v>
          </cell>
          <cell r="E977" t="str">
            <v>453</v>
          </cell>
          <cell r="F977">
            <v>0</v>
          </cell>
          <cell r="G977">
            <v>8</v>
          </cell>
          <cell r="H977" t="str">
            <v>2009-08-31</v>
          </cell>
        </row>
        <row r="978">
          <cell r="A978" t="str">
            <v>480000</v>
          </cell>
          <cell r="B978" t="str">
            <v>1015</v>
          </cell>
          <cell r="C978">
            <v>-569521.51</v>
          </cell>
          <cell r="D978" t="str">
            <v>204</v>
          </cell>
          <cell r="E978" t="str">
            <v>453</v>
          </cell>
          <cell r="F978">
            <v>0</v>
          </cell>
          <cell r="G978">
            <v>10</v>
          </cell>
          <cell r="H978" t="str">
            <v>2009-10-31</v>
          </cell>
        </row>
        <row r="979">
          <cell r="A979" t="str">
            <v>480000</v>
          </cell>
          <cell r="B979" t="str">
            <v>1015</v>
          </cell>
          <cell r="C979">
            <v>-1526128.35</v>
          </cell>
          <cell r="D979" t="str">
            <v>204</v>
          </cell>
          <cell r="E979" t="str">
            <v>453</v>
          </cell>
          <cell r="F979">
            <v>0</v>
          </cell>
          <cell r="G979">
            <v>2</v>
          </cell>
          <cell r="H979" t="str">
            <v>2010-02-28</v>
          </cell>
        </row>
        <row r="980">
          <cell r="A980" t="str">
            <v>480000</v>
          </cell>
          <cell r="B980" t="str">
            <v>1015</v>
          </cell>
          <cell r="C980">
            <v>-1238210.3500000001</v>
          </cell>
          <cell r="D980" t="str">
            <v>204</v>
          </cell>
          <cell r="E980" t="str">
            <v>453</v>
          </cell>
          <cell r="F980">
            <v>0</v>
          </cell>
          <cell r="G980">
            <v>4</v>
          </cell>
          <cell r="H980" t="str">
            <v>2010-04-30</v>
          </cell>
        </row>
        <row r="981">
          <cell r="A981" t="str">
            <v>481004</v>
          </cell>
          <cell r="B981" t="str">
            <v>1015</v>
          </cell>
          <cell r="C981">
            <v>-364249.88</v>
          </cell>
          <cell r="D981" t="str">
            <v>204</v>
          </cell>
          <cell r="E981" t="str">
            <v>453</v>
          </cell>
          <cell r="F981">
            <v>0</v>
          </cell>
          <cell r="G981">
            <v>6</v>
          </cell>
          <cell r="H981" t="str">
            <v>2010-06-30</v>
          </cell>
        </row>
        <row r="982">
          <cell r="A982" t="str">
            <v>480001</v>
          </cell>
          <cell r="B982" t="str">
            <v>1015</v>
          </cell>
          <cell r="C982">
            <v>36848.199999999997</v>
          </cell>
          <cell r="D982" t="str">
            <v>204</v>
          </cell>
          <cell r="E982" t="str">
            <v>453</v>
          </cell>
          <cell r="F982">
            <v>0</v>
          </cell>
          <cell r="G982">
            <v>9</v>
          </cell>
          <cell r="H982" t="str">
            <v>2009-09-30</v>
          </cell>
        </row>
        <row r="983">
          <cell r="A983" t="str">
            <v>480000</v>
          </cell>
          <cell r="B983" t="str">
            <v>1015</v>
          </cell>
          <cell r="C983">
            <v>-307978.84000000003</v>
          </cell>
          <cell r="D983" t="str">
            <v>204</v>
          </cell>
          <cell r="E983" t="str">
            <v>453</v>
          </cell>
          <cell r="F983">
            <v>0</v>
          </cell>
          <cell r="G983">
            <v>7</v>
          </cell>
          <cell r="H983" t="str">
            <v>2009-07-31</v>
          </cell>
        </row>
        <row r="984">
          <cell r="A984" t="str">
            <v>481004</v>
          </cell>
          <cell r="B984" t="str">
            <v>1015</v>
          </cell>
          <cell r="C984">
            <v>-122419.23</v>
          </cell>
          <cell r="D984" t="str">
            <v>204</v>
          </cell>
          <cell r="E984" t="str">
            <v>453</v>
          </cell>
          <cell r="F984">
            <v>0</v>
          </cell>
          <cell r="G984">
            <v>9</v>
          </cell>
          <cell r="H984" t="str">
            <v>2009-09-30</v>
          </cell>
        </row>
        <row r="985">
          <cell r="A985" t="str">
            <v>481004</v>
          </cell>
          <cell r="B985" t="str">
            <v>1015</v>
          </cell>
          <cell r="C985">
            <v>-800325.62</v>
          </cell>
          <cell r="D985" t="str">
            <v>204</v>
          </cell>
          <cell r="E985" t="str">
            <v>453</v>
          </cell>
          <cell r="F985">
            <v>0</v>
          </cell>
          <cell r="G985">
            <v>4</v>
          </cell>
          <cell r="H985" t="str">
            <v>2010-04-30</v>
          </cell>
        </row>
        <row r="986">
          <cell r="A986" t="str">
            <v>481006</v>
          </cell>
          <cell r="B986" t="str">
            <v>1015</v>
          </cell>
          <cell r="C986">
            <v>-298938.63</v>
          </cell>
          <cell r="D986" t="str">
            <v>204</v>
          </cell>
          <cell r="E986" t="str">
            <v>453</v>
          </cell>
          <cell r="F986">
            <v>0</v>
          </cell>
          <cell r="G986">
            <v>12</v>
          </cell>
          <cell r="H986" t="str">
            <v>2009-12-31</v>
          </cell>
        </row>
        <row r="987">
          <cell r="A987" t="str">
            <v>480001</v>
          </cell>
          <cell r="B987" t="str">
            <v>1015</v>
          </cell>
          <cell r="C987">
            <v>151130.14000000001</v>
          </cell>
          <cell r="D987" t="str">
            <v>204</v>
          </cell>
          <cell r="E987" t="str">
            <v>453</v>
          </cell>
          <cell r="F987">
            <v>0</v>
          </cell>
          <cell r="G987">
            <v>1</v>
          </cell>
          <cell r="H987" t="str">
            <v>2010-01-31</v>
          </cell>
        </row>
        <row r="988">
          <cell r="A988" t="str">
            <v>480001</v>
          </cell>
          <cell r="B988" t="str">
            <v>1015</v>
          </cell>
          <cell r="C988">
            <v>171737</v>
          </cell>
          <cell r="D988" t="str">
            <v>204</v>
          </cell>
          <cell r="E988" t="str">
            <v>453</v>
          </cell>
          <cell r="F988">
            <v>0</v>
          </cell>
          <cell r="G988">
            <v>4</v>
          </cell>
          <cell r="H988" t="str">
            <v>2010-04-30</v>
          </cell>
        </row>
        <row r="989">
          <cell r="A989" t="str">
            <v>481006</v>
          </cell>
          <cell r="B989" t="str">
            <v>1015</v>
          </cell>
          <cell r="C989">
            <v>5969</v>
          </cell>
          <cell r="D989" t="str">
            <v>204</v>
          </cell>
          <cell r="E989" t="str">
            <v>453</v>
          </cell>
          <cell r="F989">
            <v>0</v>
          </cell>
          <cell r="G989">
            <v>5</v>
          </cell>
          <cell r="H989" t="str">
            <v>2010-05-31</v>
          </cell>
        </row>
        <row r="990">
          <cell r="A990" t="str">
            <v>480000</v>
          </cell>
          <cell r="B990" t="str">
            <v>1015</v>
          </cell>
          <cell r="C990">
            <v>-905826.65</v>
          </cell>
          <cell r="D990" t="str">
            <v>204</v>
          </cell>
          <cell r="E990" t="str">
            <v>453</v>
          </cell>
          <cell r="F990">
            <v>0</v>
          </cell>
          <cell r="G990">
            <v>11</v>
          </cell>
          <cell r="H990" t="str">
            <v>2009-11-30</v>
          </cell>
        </row>
        <row r="991">
          <cell r="A991" t="str">
            <v>481004</v>
          </cell>
          <cell r="B991" t="str">
            <v>1015</v>
          </cell>
          <cell r="C991">
            <v>-900935.47</v>
          </cell>
          <cell r="D991" t="str">
            <v>204</v>
          </cell>
          <cell r="E991" t="str">
            <v>453</v>
          </cell>
          <cell r="F991">
            <v>0</v>
          </cell>
          <cell r="G991">
            <v>3</v>
          </cell>
          <cell r="H991" t="str">
            <v>2010-03-31</v>
          </cell>
        </row>
        <row r="992">
          <cell r="A992" t="str">
            <v>480000</v>
          </cell>
          <cell r="B992" t="str">
            <v>1015</v>
          </cell>
          <cell r="C992">
            <v>-841354.11</v>
          </cell>
          <cell r="D992" t="str">
            <v>204</v>
          </cell>
          <cell r="E992" t="str">
            <v>453</v>
          </cell>
          <cell r="F992">
            <v>0</v>
          </cell>
          <cell r="G992">
            <v>5</v>
          </cell>
          <cell r="H992" t="str">
            <v>2010-05-31</v>
          </cell>
        </row>
        <row r="993">
          <cell r="A993" t="str">
            <v>480001</v>
          </cell>
          <cell r="B993" t="str">
            <v>1015</v>
          </cell>
          <cell r="C993">
            <v>74841.31</v>
          </cell>
          <cell r="D993" t="str">
            <v>204</v>
          </cell>
          <cell r="E993" t="str">
            <v>453</v>
          </cell>
          <cell r="F993">
            <v>0</v>
          </cell>
          <cell r="G993">
            <v>7</v>
          </cell>
          <cell r="H993" t="str">
            <v>2009-07-31</v>
          </cell>
        </row>
        <row r="994">
          <cell r="A994" t="str">
            <v>481006</v>
          </cell>
          <cell r="B994" t="str">
            <v>1015</v>
          </cell>
          <cell r="C994">
            <v>39826.230000000003</v>
          </cell>
          <cell r="D994" t="str">
            <v>204</v>
          </cell>
          <cell r="E994" t="str">
            <v>453</v>
          </cell>
          <cell r="F994">
            <v>0</v>
          </cell>
          <cell r="G994">
            <v>9</v>
          </cell>
          <cell r="H994" t="str">
            <v>2009-09-30</v>
          </cell>
        </row>
        <row r="995">
          <cell r="A995" t="str">
            <v>480001</v>
          </cell>
          <cell r="B995" t="str">
            <v>1015</v>
          </cell>
          <cell r="C995">
            <v>-328799.49</v>
          </cell>
          <cell r="D995" t="str">
            <v>204</v>
          </cell>
          <cell r="E995" t="str">
            <v>453</v>
          </cell>
          <cell r="F995">
            <v>0</v>
          </cell>
          <cell r="G995">
            <v>10</v>
          </cell>
          <cell r="H995" t="str">
            <v>2009-10-31</v>
          </cell>
        </row>
        <row r="996">
          <cell r="A996" t="str">
            <v>481006</v>
          </cell>
          <cell r="B996" t="str">
            <v>1015</v>
          </cell>
          <cell r="C996">
            <v>-90504.75</v>
          </cell>
          <cell r="D996" t="str">
            <v>204</v>
          </cell>
          <cell r="E996" t="str">
            <v>453</v>
          </cell>
          <cell r="F996">
            <v>0</v>
          </cell>
          <cell r="G996">
            <v>11</v>
          </cell>
          <cell r="H996" t="str">
            <v>2009-11-30</v>
          </cell>
        </row>
        <row r="997">
          <cell r="A997" t="str">
            <v>481004</v>
          </cell>
          <cell r="B997" t="str">
            <v>1015</v>
          </cell>
          <cell r="C997">
            <v>-107463.17</v>
          </cell>
          <cell r="D997" t="str">
            <v>204</v>
          </cell>
          <cell r="E997" t="str">
            <v>453</v>
          </cell>
          <cell r="F997">
            <v>0</v>
          </cell>
          <cell r="G997">
            <v>8</v>
          </cell>
          <cell r="H997" t="str">
            <v>2009-08-31</v>
          </cell>
        </row>
        <row r="998">
          <cell r="A998" t="str">
            <v>481004</v>
          </cell>
          <cell r="B998" t="str">
            <v>1015</v>
          </cell>
          <cell r="C998">
            <v>-579189.25</v>
          </cell>
          <cell r="D998" t="str">
            <v>204</v>
          </cell>
          <cell r="E998" t="str">
            <v>453</v>
          </cell>
          <cell r="F998">
            <v>0</v>
          </cell>
          <cell r="G998">
            <v>11</v>
          </cell>
          <cell r="H998" t="str">
            <v>2009-11-30</v>
          </cell>
        </row>
        <row r="999">
          <cell r="A999" t="str">
            <v>480000</v>
          </cell>
          <cell r="B999" t="str">
            <v>1015</v>
          </cell>
          <cell r="C999">
            <v>-1535400.81</v>
          </cell>
          <cell r="D999" t="str">
            <v>204</v>
          </cell>
          <cell r="E999" t="str">
            <v>453</v>
          </cell>
          <cell r="F999">
            <v>0</v>
          </cell>
          <cell r="G999">
            <v>12</v>
          </cell>
          <cell r="H999" t="str">
            <v>2009-12-31</v>
          </cell>
        </row>
        <row r="1000">
          <cell r="A1000" t="str">
            <v>481004</v>
          </cell>
          <cell r="B1000" t="str">
            <v>1015</v>
          </cell>
          <cell r="C1000">
            <v>-992560.37</v>
          </cell>
          <cell r="D1000" t="str">
            <v>204</v>
          </cell>
          <cell r="E1000" t="str">
            <v>453</v>
          </cell>
          <cell r="F1000">
            <v>0</v>
          </cell>
          <cell r="G1000">
            <v>12</v>
          </cell>
          <cell r="H1000" t="str">
            <v>2009-12-31</v>
          </cell>
        </row>
        <row r="1001">
          <cell r="A1001" t="str">
            <v>481004</v>
          </cell>
          <cell r="B1001" t="str">
            <v>1015</v>
          </cell>
          <cell r="C1001">
            <v>-979763.32</v>
          </cell>
          <cell r="D1001" t="str">
            <v>204</v>
          </cell>
          <cell r="E1001" t="str">
            <v>453</v>
          </cell>
          <cell r="F1001">
            <v>0</v>
          </cell>
          <cell r="G1001">
            <v>2</v>
          </cell>
          <cell r="H1001" t="str">
            <v>2010-02-28</v>
          </cell>
        </row>
        <row r="1002">
          <cell r="A1002" t="str">
            <v>481006</v>
          </cell>
          <cell r="B1002" t="str">
            <v>1015</v>
          </cell>
          <cell r="C1002">
            <v>66471.16</v>
          </cell>
          <cell r="D1002" t="str">
            <v>204</v>
          </cell>
          <cell r="E1002" t="str">
            <v>453</v>
          </cell>
          <cell r="F1002">
            <v>0</v>
          </cell>
          <cell r="G1002">
            <v>7</v>
          </cell>
          <cell r="H1002" t="str">
            <v>2009-07-31</v>
          </cell>
        </row>
        <row r="1003">
          <cell r="A1003" t="str">
            <v>481006</v>
          </cell>
          <cell r="B1003" t="str">
            <v>1015</v>
          </cell>
          <cell r="C1003">
            <v>-200539.99</v>
          </cell>
          <cell r="D1003" t="str">
            <v>204</v>
          </cell>
          <cell r="E1003" t="str">
            <v>453</v>
          </cell>
          <cell r="F1003">
            <v>0</v>
          </cell>
          <cell r="G1003">
            <v>10</v>
          </cell>
          <cell r="H1003" t="str">
            <v>2009-10-31</v>
          </cell>
        </row>
        <row r="1004">
          <cell r="A1004" t="str">
            <v>480001</v>
          </cell>
          <cell r="B1004" t="str">
            <v>1015</v>
          </cell>
          <cell r="C1004">
            <v>113202</v>
          </cell>
          <cell r="D1004" t="str">
            <v>204</v>
          </cell>
          <cell r="E1004" t="str">
            <v>453</v>
          </cell>
          <cell r="F1004">
            <v>0</v>
          </cell>
          <cell r="G1004">
            <v>2</v>
          </cell>
          <cell r="H1004" t="str">
            <v>2010-02-28</v>
          </cell>
        </row>
        <row r="1005">
          <cell r="A1005" t="str">
            <v>481006</v>
          </cell>
          <cell r="B1005" t="str">
            <v>1015</v>
          </cell>
          <cell r="C1005">
            <v>74293</v>
          </cell>
          <cell r="D1005" t="str">
            <v>204</v>
          </cell>
          <cell r="E1005" t="str">
            <v>453</v>
          </cell>
          <cell r="F1005">
            <v>0</v>
          </cell>
          <cell r="G1005">
            <v>2</v>
          </cell>
          <cell r="H1005" t="str">
            <v>2010-02-28</v>
          </cell>
        </row>
        <row r="1006">
          <cell r="A1006" t="str">
            <v>481006</v>
          </cell>
          <cell r="B1006" t="str">
            <v>1015</v>
          </cell>
          <cell r="C1006">
            <v>132933</v>
          </cell>
          <cell r="D1006" t="str">
            <v>204</v>
          </cell>
          <cell r="E1006" t="str">
            <v>453</v>
          </cell>
          <cell r="F1006">
            <v>0</v>
          </cell>
          <cell r="G1006">
            <v>4</v>
          </cell>
          <cell r="H1006" t="str">
            <v>2010-04-30</v>
          </cell>
        </row>
        <row r="1007">
          <cell r="A1007" t="str">
            <v>480000</v>
          </cell>
          <cell r="B1007" t="str">
            <v>1015</v>
          </cell>
          <cell r="C1007">
            <v>-233730.2</v>
          </cell>
          <cell r="D1007" t="str">
            <v>204</v>
          </cell>
          <cell r="E1007" t="str">
            <v>453</v>
          </cell>
          <cell r="F1007">
            <v>0</v>
          </cell>
          <cell r="G1007">
            <v>9</v>
          </cell>
          <cell r="H1007" t="str">
            <v>2009-09-30</v>
          </cell>
        </row>
        <row r="1008">
          <cell r="A1008" t="str">
            <v>480000</v>
          </cell>
          <cell r="B1008" t="str">
            <v>1015</v>
          </cell>
          <cell r="C1008">
            <v>-1417392.49</v>
          </cell>
          <cell r="D1008" t="str">
            <v>204</v>
          </cell>
          <cell r="E1008" t="str">
            <v>453</v>
          </cell>
          <cell r="F1008">
            <v>0</v>
          </cell>
          <cell r="G1008">
            <v>3</v>
          </cell>
          <cell r="H1008" t="str">
            <v>2010-03-31</v>
          </cell>
        </row>
        <row r="1009">
          <cell r="A1009" t="str">
            <v>481006</v>
          </cell>
          <cell r="B1009" t="str">
            <v>1015</v>
          </cell>
          <cell r="C1009">
            <v>-28664.63</v>
          </cell>
          <cell r="D1009" t="str">
            <v>204</v>
          </cell>
          <cell r="E1009" t="str">
            <v>453</v>
          </cell>
          <cell r="F1009">
            <v>0</v>
          </cell>
          <cell r="G1009">
            <v>8</v>
          </cell>
          <cell r="H1009" t="str">
            <v>2009-08-31</v>
          </cell>
        </row>
        <row r="1010">
          <cell r="A1010" t="str">
            <v>481006</v>
          </cell>
          <cell r="B1010" t="str">
            <v>1015</v>
          </cell>
          <cell r="C1010">
            <v>45473.21</v>
          </cell>
          <cell r="D1010" t="str">
            <v>204</v>
          </cell>
          <cell r="E1010" t="str">
            <v>453</v>
          </cell>
          <cell r="F1010">
            <v>0</v>
          </cell>
          <cell r="G1010">
            <v>1</v>
          </cell>
          <cell r="H1010" t="str">
            <v>2010-01-31</v>
          </cell>
        </row>
        <row r="1011">
          <cell r="A1011" t="str">
            <v>481006</v>
          </cell>
          <cell r="B1011" t="str">
            <v>1015</v>
          </cell>
          <cell r="C1011">
            <v>195726</v>
          </cell>
          <cell r="D1011" t="str">
            <v>204</v>
          </cell>
          <cell r="E1011" t="str">
            <v>453</v>
          </cell>
          <cell r="F1011">
            <v>0</v>
          </cell>
          <cell r="G1011">
            <v>6</v>
          </cell>
          <cell r="H1011" t="str">
            <v>2010-06-30</v>
          </cell>
        </row>
        <row r="1012">
          <cell r="A1012" t="str">
            <v>481004</v>
          </cell>
          <cell r="B1012" t="str">
            <v>1015</v>
          </cell>
          <cell r="C1012">
            <v>-1249311.04</v>
          </cell>
          <cell r="D1012" t="str">
            <v>204</v>
          </cell>
          <cell r="E1012" t="str">
            <v>453</v>
          </cell>
          <cell r="F1012">
            <v>0</v>
          </cell>
          <cell r="G1012">
            <v>1</v>
          </cell>
          <cell r="H1012" t="str">
            <v>2010-01-31</v>
          </cell>
        </row>
        <row r="1013">
          <cell r="A1013" t="str">
            <v>481004</v>
          </cell>
          <cell r="B1013" t="str">
            <v>1015</v>
          </cell>
          <cell r="C1013">
            <v>-510281.72</v>
          </cell>
          <cell r="D1013" t="str">
            <v>204</v>
          </cell>
          <cell r="E1013" t="str">
            <v>453</v>
          </cell>
          <cell r="F1013">
            <v>0</v>
          </cell>
          <cell r="G1013">
            <v>5</v>
          </cell>
          <cell r="H1013" t="str">
            <v>2010-05-31</v>
          </cell>
        </row>
        <row r="1014">
          <cell r="A1014" t="str">
            <v>480000</v>
          </cell>
          <cell r="B1014" t="str">
            <v>1015</v>
          </cell>
          <cell r="C1014">
            <v>-607471.6</v>
          </cell>
          <cell r="D1014" t="str">
            <v>204</v>
          </cell>
          <cell r="E1014" t="str">
            <v>453</v>
          </cell>
          <cell r="F1014">
            <v>0</v>
          </cell>
          <cell r="G1014">
            <v>6</v>
          </cell>
          <cell r="H1014" t="str">
            <v>2010-06-30</v>
          </cell>
        </row>
        <row r="1015">
          <cell r="A1015" t="str">
            <v>480001</v>
          </cell>
          <cell r="B1015" t="str">
            <v>1015</v>
          </cell>
          <cell r="C1015">
            <v>-148829.35</v>
          </cell>
          <cell r="D1015" t="str">
            <v>204</v>
          </cell>
          <cell r="E1015" t="str">
            <v>453</v>
          </cell>
          <cell r="F1015">
            <v>0</v>
          </cell>
          <cell r="G1015">
            <v>11</v>
          </cell>
          <cell r="H1015" t="str">
            <v>2009-11-30</v>
          </cell>
        </row>
        <row r="1016">
          <cell r="A1016" t="str">
            <v>480001</v>
          </cell>
          <cell r="B1016" t="str">
            <v>1015</v>
          </cell>
          <cell r="C1016">
            <v>-445372.19</v>
          </cell>
          <cell r="D1016" t="str">
            <v>204</v>
          </cell>
          <cell r="E1016" t="str">
            <v>453</v>
          </cell>
          <cell r="F1016">
            <v>0</v>
          </cell>
          <cell r="G1016">
            <v>12</v>
          </cell>
          <cell r="H1016" t="str">
            <v>2009-12-31</v>
          </cell>
        </row>
        <row r="1017">
          <cell r="A1017" t="str">
            <v>480001</v>
          </cell>
          <cell r="B1017" t="str">
            <v>1015</v>
          </cell>
          <cell r="C1017">
            <v>244714</v>
          </cell>
          <cell r="D1017" t="str">
            <v>204</v>
          </cell>
          <cell r="E1017" t="str">
            <v>453</v>
          </cell>
          <cell r="F1017">
            <v>0</v>
          </cell>
          <cell r="G1017">
            <v>6</v>
          </cell>
          <cell r="H1017" t="str">
            <v>2010-06-30</v>
          </cell>
        </row>
        <row r="1018">
          <cell r="A1018" t="str">
            <v>480000</v>
          </cell>
          <cell r="B1018" t="str">
            <v>1015</v>
          </cell>
          <cell r="C1018">
            <v>-1914655.36</v>
          </cell>
          <cell r="D1018" t="str">
            <v>204</v>
          </cell>
          <cell r="E1018" t="str">
            <v>453</v>
          </cell>
          <cell r="F1018">
            <v>0</v>
          </cell>
          <cell r="G1018">
            <v>1</v>
          </cell>
          <cell r="H1018" t="str">
            <v>2010-01-31</v>
          </cell>
        </row>
        <row r="1019">
          <cell r="A1019" t="str">
            <v>480001</v>
          </cell>
          <cell r="B1019" t="str">
            <v>1015</v>
          </cell>
          <cell r="C1019">
            <v>-7036.09</v>
          </cell>
          <cell r="D1019" t="str">
            <v>204</v>
          </cell>
          <cell r="E1019" t="str">
            <v>453</v>
          </cell>
          <cell r="F1019">
            <v>0</v>
          </cell>
          <cell r="G1019">
            <v>8</v>
          </cell>
          <cell r="H1019" t="str">
            <v>2009-08-31</v>
          </cell>
        </row>
        <row r="1020">
          <cell r="A1020" t="str">
            <v>480001</v>
          </cell>
          <cell r="B1020" t="str">
            <v>1015</v>
          </cell>
          <cell r="C1020">
            <v>164043</v>
          </cell>
          <cell r="D1020" t="str">
            <v>204</v>
          </cell>
          <cell r="E1020" t="str">
            <v>453</v>
          </cell>
          <cell r="F1020">
            <v>0</v>
          </cell>
          <cell r="G1020">
            <v>3</v>
          </cell>
          <cell r="H1020" t="str">
            <v>2010-03-31</v>
          </cell>
        </row>
        <row r="1021">
          <cell r="A1021" t="str">
            <v>480001</v>
          </cell>
          <cell r="B1021" t="str">
            <v>1015</v>
          </cell>
          <cell r="C1021">
            <v>38336</v>
          </cell>
          <cell r="D1021" t="str">
            <v>204</v>
          </cell>
          <cell r="E1021" t="str">
            <v>453</v>
          </cell>
          <cell r="F1021">
            <v>0</v>
          </cell>
          <cell r="G1021">
            <v>5</v>
          </cell>
          <cell r="H1021" t="str">
            <v>2010-05-31</v>
          </cell>
        </row>
        <row r="1022">
          <cell r="A1022" t="str">
            <v>481004</v>
          </cell>
          <cell r="B1022" t="str">
            <v>1015</v>
          </cell>
          <cell r="C1022">
            <v>-168126.47</v>
          </cell>
          <cell r="D1022" t="str">
            <v>204</v>
          </cell>
          <cell r="E1022" t="str">
            <v>453</v>
          </cell>
          <cell r="F1022">
            <v>0</v>
          </cell>
          <cell r="G1022">
            <v>7</v>
          </cell>
          <cell r="H1022" t="str">
            <v>2009-07-31</v>
          </cell>
        </row>
        <row r="1023">
          <cell r="A1023" t="str">
            <v>481004</v>
          </cell>
          <cell r="B1023" t="str">
            <v>1015</v>
          </cell>
          <cell r="C1023">
            <v>-346745.01</v>
          </cell>
          <cell r="D1023" t="str">
            <v>204</v>
          </cell>
          <cell r="E1023" t="str">
            <v>453</v>
          </cell>
          <cell r="F1023">
            <v>0</v>
          </cell>
          <cell r="G1023">
            <v>10</v>
          </cell>
          <cell r="H1023" t="str">
            <v>2009-10-31</v>
          </cell>
        </row>
        <row r="1024">
          <cell r="A1024" t="str">
            <v>481004</v>
          </cell>
          <cell r="B1024" t="str">
            <v>1015</v>
          </cell>
          <cell r="C1024">
            <v>605.30999999999995</v>
          </cell>
          <cell r="D1024" t="str">
            <v>204</v>
          </cell>
          <cell r="E1024" t="str">
            <v>455</v>
          </cell>
          <cell r="F1024">
            <v>0</v>
          </cell>
          <cell r="G1024">
            <v>7</v>
          </cell>
          <cell r="H1024" t="str">
            <v>2009-07-31</v>
          </cell>
        </row>
        <row r="1025">
          <cell r="A1025" t="str">
            <v>480000</v>
          </cell>
          <cell r="B1025" t="str">
            <v>1015</v>
          </cell>
          <cell r="C1025">
            <v>3.53</v>
          </cell>
          <cell r="D1025" t="str">
            <v>204</v>
          </cell>
          <cell r="E1025" t="str">
            <v>455</v>
          </cell>
          <cell r="F1025">
            <v>0</v>
          </cell>
          <cell r="G1025">
            <v>7</v>
          </cell>
          <cell r="H1025" t="str">
            <v>2009-07-31</v>
          </cell>
        </row>
        <row r="1026">
          <cell r="A1026" t="str">
            <v>481002</v>
          </cell>
          <cell r="B1026" t="str">
            <v>1015</v>
          </cell>
          <cell r="C1026">
            <v>-8232.36</v>
          </cell>
          <cell r="D1026" t="str">
            <v>204</v>
          </cell>
          <cell r="E1026" t="str">
            <v>457</v>
          </cell>
          <cell r="F1026">
            <v>0</v>
          </cell>
          <cell r="G1026">
            <v>2</v>
          </cell>
          <cell r="H1026" t="str">
            <v>2010-02-28</v>
          </cell>
        </row>
        <row r="1027">
          <cell r="A1027" t="str">
            <v>481005</v>
          </cell>
          <cell r="B1027" t="str">
            <v>1015</v>
          </cell>
          <cell r="C1027">
            <v>-50548.88</v>
          </cell>
          <cell r="D1027" t="str">
            <v>204</v>
          </cell>
          <cell r="E1027" t="str">
            <v>457</v>
          </cell>
          <cell r="F1027">
            <v>0</v>
          </cell>
          <cell r="G1027">
            <v>4</v>
          </cell>
          <cell r="H1027" t="str">
            <v>2010-04-30</v>
          </cell>
        </row>
        <row r="1028">
          <cell r="A1028" t="str">
            <v>481002</v>
          </cell>
          <cell r="B1028" t="str">
            <v>1015</v>
          </cell>
          <cell r="C1028">
            <v>-10041.43</v>
          </cell>
          <cell r="D1028" t="str">
            <v>204</v>
          </cell>
          <cell r="E1028" t="str">
            <v>457</v>
          </cell>
          <cell r="F1028">
            <v>0</v>
          </cell>
          <cell r="G1028">
            <v>5</v>
          </cell>
          <cell r="H1028" t="str">
            <v>2010-05-31</v>
          </cell>
        </row>
        <row r="1029">
          <cell r="A1029" t="str">
            <v>481002</v>
          </cell>
          <cell r="B1029" t="str">
            <v>1015</v>
          </cell>
          <cell r="C1029">
            <v>-5085</v>
          </cell>
          <cell r="D1029" t="str">
            <v>204</v>
          </cell>
          <cell r="E1029" t="str">
            <v>457</v>
          </cell>
          <cell r="F1029">
            <v>0</v>
          </cell>
          <cell r="G1029">
            <v>7</v>
          </cell>
          <cell r="H1029" t="str">
            <v>2009-07-31</v>
          </cell>
        </row>
        <row r="1030">
          <cell r="A1030" t="str">
            <v>481002</v>
          </cell>
          <cell r="B1030" t="str">
            <v>1015</v>
          </cell>
          <cell r="C1030">
            <v>-2927</v>
          </cell>
          <cell r="D1030" t="str">
            <v>204</v>
          </cell>
          <cell r="E1030" t="str">
            <v>457</v>
          </cell>
          <cell r="F1030">
            <v>0</v>
          </cell>
          <cell r="G1030">
            <v>9</v>
          </cell>
          <cell r="H1030" t="str">
            <v>2009-09-30</v>
          </cell>
        </row>
        <row r="1031">
          <cell r="A1031" t="str">
            <v>481005</v>
          </cell>
          <cell r="B1031" t="str">
            <v>1015</v>
          </cell>
          <cell r="C1031">
            <v>-74279.95</v>
          </cell>
          <cell r="D1031" t="str">
            <v>204</v>
          </cell>
          <cell r="E1031" t="str">
            <v>457</v>
          </cell>
          <cell r="F1031">
            <v>0</v>
          </cell>
          <cell r="G1031">
            <v>2</v>
          </cell>
          <cell r="H1031" t="str">
            <v>2010-02-28</v>
          </cell>
        </row>
        <row r="1032">
          <cell r="A1032" t="str">
            <v>481002</v>
          </cell>
          <cell r="B1032" t="str">
            <v>1015</v>
          </cell>
          <cell r="C1032">
            <v>-7575.29</v>
          </cell>
          <cell r="D1032" t="str">
            <v>204</v>
          </cell>
          <cell r="E1032" t="str">
            <v>457</v>
          </cell>
          <cell r="F1032">
            <v>0</v>
          </cell>
          <cell r="G1032">
            <v>4</v>
          </cell>
          <cell r="H1032" t="str">
            <v>2010-04-30</v>
          </cell>
        </row>
        <row r="1033">
          <cell r="A1033" t="str">
            <v>481002</v>
          </cell>
          <cell r="B1033" t="str">
            <v>1015</v>
          </cell>
          <cell r="C1033">
            <v>-5855</v>
          </cell>
          <cell r="D1033" t="str">
            <v>204</v>
          </cell>
          <cell r="E1033" t="str">
            <v>457</v>
          </cell>
          <cell r="F1033">
            <v>0</v>
          </cell>
          <cell r="G1033">
            <v>10</v>
          </cell>
          <cell r="H1033" t="str">
            <v>2009-10-31</v>
          </cell>
        </row>
        <row r="1034">
          <cell r="A1034" t="str">
            <v>481002</v>
          </cell>
          <cell r="B1034" t="str">
            <v>1015</v>
          </cell>
          <cell r="C1034">
            <v>-13591.92</v>
          </cell>
          <cell r="D1034" t="str">
            <v>204</v>
          </cell>
          <cell r="E1034" t="str">
            <v>457</v>
          </cell>
          <cell r="F1034">
            <v>0</v>
          </cell>
          <cell r="G1034">
            <v>1</v>
          </cell>
          <cell r="H1034" t="str">
            <v>2010-01-31</v>
          </cell>
        </row>
        <row r="1035">
          <cell r="A1035" t="str">
            <v>481002</v>
          </cell>
          <cell r="B1035" t="str">
            <v>1015</v>
          </cell>
          <cell r="C1035">
            <v>-15602.7</v>
          </cell>
          <cell r="D1035" t="str">
            <v>204</v>
          </cell>
          <cell r="E1035" t="str">
            <v>457</v>
          </cell>
          <cell r="F1035">
            <v>0</v>
          </cell>
          <cell r="G1035">
            <v>6</v>
          </cell>
          <cell r="H1035" t="str">
            <v>2010-06-30</v>
          </cell>
        </row>
        <row r="1036">
          <cell r="A1036" t="str">
            <v>481005</v>
          </cell>
          <cell r="B1036" t="str">
            <v>1015</v>
          </cell>
          <cell r="C1036">
            <v>-8767.58</v>
          </cell>
          <cell r="D1036" t="str">
            <v>204</v>
          </cell>
          <cell r="E1036" t="str">
            <v>457</v>
          </cell>
          <cell r="F1036">
            <v>0</v>
          </cell>
          <cell r="G1036">
            <v>6</v>
          </cell>
          <cell r="H1036" t="str">
            <v>2010-06-30</v>
          </cell>
        </row>
        <row r="1037">
          <cell r="A1037" t="str">
            <v>481005</v>
          </cell>
          <cell r="B1037" t="str">
            <v>1015</v>
          </cell>
          <cell r="C1037">
            <v>-18232</v>
          </cell>
          <cell r="D1037" t="str">
            <v>204</v>
          </cell>
          <cell r="E1037" t="str">
            <v>457</v>
          </cell>
          <cell r="F1037">
            <v>0</v>
          </cell>
          <cell r="G1037">
            <v>8</v>
          </cell>
          <cell r="H1037" t="str">
            <v>2009-08-31</v>
          </cell>
        </row>
        <row r="1038">
          <cell r="A1038" t="str">
            <v>481005</v>
          </cell>
          <cell r="B1038" t="str">
            <v>1015</v>
          </cell>
          <cell r="C1038">
            <v>-12195</v>
          </cell>
          <cell r="D1038" t="str">
            <v>204</v>
          </cell>
          <cell r="E1038" t="str">
            <v>457</v>
          </cell>
          <cell r="F1038">
            <v>0</v>
          </cell>
          <cell r="G1038">
            <v>9</v>
          </cell>
          <cell r="H1038" t="str">
            <v>2009-09-30</v>
          </cell>
        </row>
        <row r="1039">
          <cell r="A1039" t="str">
            <v>481002</v>
          </cell>
          <cell r="B1039" t="str">
            <v>1015</v>
          </cell>
          <cell r="C1039">
            <v>-8811</v>
          </cell>
          <cell r="D1039" t="str">
            <v>204</v>
          </cell>
          <cell r="E1039" t="str">
            <v>457</v>
          </cell>
          <cell r="F1039">
            <v>0</v>
          </cell>
          <cell r="G1039">
            <v>12</v>
          </cell>
          <cell r="H1039" t="str">
            <v>2009-12-31</v>
          </cell>
        </row>
        <row r="1040">
          <cell r="A1040" t="str">
            <v>481005</v>
          </cell>
          <cell r="B1040" t="str">
            <v>1015</v>
          </cell>
          <cell r="C1040">
            <v>-108843.45</v>
          </cell>
          <cell r="D1040" t="str">
            <v>204</v>
          </cell>
          <cell r="E1040" t="str">
            <v>457</v>
          </cell>
          <cell r="F1040">
            <v>0</v>
          </cell>
          <cell r="G1040">
            <v>1</v>
          </cell>
          <cell r="H1040" t="str">
            <v>2010-01-31</v>
          </cell>
        </row>
        <row r="1041">
          <cell r="A1041" t="str">
            <v>481005</v>
          </cell>
          <cell r="B1041" t="str">
            <v>1015</v>
          </cell>
          <cell r="C1041">
            <v>-64159.23</v>
          </cell>
          <cell r="D1041" t="str">
            <v>204</v>
          </cell>
          <cell r="E1041" t="str">
            <v>457</v>
          </cell>
          <cell r="F1041">
            <v>0</v>
          </cell>
          <cell r="G1041">
            <v>3</v>
          </cell>
          <cell r="H1041" t="str">
            <v>2010-03-31</v>
          </cell>
        </row>
        <row r="1042">
          <cell r="A1042" t="str">
            <v>481005</v>
          </cell>
          <cell r="B1042" t="str">
            <v>1015</v>
          </cell>
          <cell r="C1042">
            <v>-19776</v>
          </cell>
          <cell r="D1042" t="str">
            <v>204</v>
          </cell>
          <cell r="E1042" t="str">
            <v>457</v>
          </cell>
          <cell r="F1042">
            <v>0</v>
          </cell>
          <cell r="G1042">
            <v>7</v>
          </cell>
          <cell r="H1042" t="str">
            <v>2009-07-31</v>
          </cell>
        </row>
        <row r="1043">
          <cell r="A1043" t="str">
            <v>481002</v>
          </cell>
          <cell r="B1043" t="str">
            <v>1015</v>
          </cell>
          <cell r="C1043">
            <v>-8471</v>
          </cell>
          <cell r="D1043" t="str">
            <v>204</v>
          </cell>
          <cell r="E1043" t="str">
            <v>457</v>
          </cell>
          <cell r="F1043">
            <v>0</v>
          </cell>
          <cell r="G1043">
            <v>11</v>
          </cell>
          <cell r="H1043" t="str">
            <v>2009-11-30</v>
          </cell>
        </row>
        <row r="1044">
          <cell r="A1044" t="str">
            <v>481002</v>
          </cell>
          <cell r="B1044" t="str">
            <v>1015</v>
          </cell>
          <cell r="C1044">
            <v>-6344.15</v>
          </cell>
          <cell r="D1044" t="str">
            <v>204</v>
          </cell>
          <cell r="E1044" t="str">
            <v>457</v>
          </cell>
          <cell r="F1044">
            <v>0</v>
          </cell>
          <cell r="G1044">
            <v>3</v>
          </cell>
          <cell r="H1044" t="str">
            <v>2010-03-31</v>
          </cell>
        </row>
        <row r="1045">
          <cell r="A1045" t="str">
            <v>481005</v>
          </cell>
          <cell r="B1045" t="str">
            <v>1015</v>
          </cell>
          <cell r="C1045">
            <v>-46116.33</v>
          </cell>
          <cell r="D1045" t="str">
            <v>204</v>
          </cell>
          <cell r="E1045" t="str">
            <v>457</v>
          </cell>
          <cell r="F1045">
            <v>0</v>
          </cell>
          <cell r="G1045">
            <v>5</v>
          </cell>
          <cell r="H1045" t="str">
            <v>2010-05-31</v>
          </cell>
        </row>
        <row r="1046">
          <cell r="A1046" t="str">
            <v>481002</v>
          </cell>
          <cell r="B1046" t="str">
            <v>1015</v>
          </cell>
          <cell r="C1046">
            <v>-5312</v>
          </cell>
          <cell r="D1046" t="str">
            <v>204</v>
          </cell>
          <cell r="E1046" t="str">
            <v>457</v>
          </cell>
          <cell r="F1046">
            <v>0</v>
          </cell>
          <cell r="G1046">
            <v>8</v>
          </cell>
          <cell r="H1046" t="str">
            <v>2009-08-31</v>
          </cell>
        </row>
        <row r="1047">
          <cell r="A1047" t="str">
            <v>481005</v>
          </cell>
          <cell r="B1047" t="str">
            <v>1015</v>
          </cell>
          <cell r="C1047">
            <v>-22604</v>
          </cell>
          <cell r="D1047" t="str">
            <v>204</v>
          </cell>
          <cell r="E1047" t="str">
            <v>457</v>
          </cell>
          <cell r="F1047">
            <v>0</v>
          </cell>
          <cell r="G1047">
            <v>10</v>
          </cell>
          <cell r="H1047" t="str">
            <v>2009-10-31</v>
          </cell>
        </row>
        <row r="1048">
          <cell r="A1048" t="str">
            <v>481005</v>
          </cell>
          <cell r="B1048" t="str">
            <v>1015</v>
          </cell>
          <cell r="C1048">
            <v>-60934</v>
          </cell>
          <cell r="D1048" t="str">
            <v>204</v>
          </cell>
          <cell r="E1048" t="str">
            <v>457</v>
          </cell>
          <cell r="F1048">
            <v>0</v>
          </cell>
          <cell r="G1048">
            <v>12</v>
          </cell>
          <cell r="H1048" t="str">
            <v>2009-12-31</v>
          </cell>
        </row>
        <row r="1049">
          <cell r="A1049" t="str">
            <v>481005</v>
          </cell>
          <cell r="B1049" t="str">
            <v>1015</v>
          </cell>
          <cell r="C1049">
            <v>-65072</v>
          </cell>
          <cell r="D1049" t="str">
            <v>204</v>
          </cell>
          <cell r="E1049" t="str">
            <v>457</v>
          </cell>
          <cell r="F1049">
            <v>0</v>
          </cell>
          <cell r="G1049">
            <v>11</v>
          </cell>
          <cell r="H1049" t="str">
            <v>2009-11-30</v>
          </cell>
        </row>
        <row r="1050">
          <cell r="A1050" t="str">
            <v>480001</v>
          </cell>
          <cell r="B1050" t="str">
            <v>1015</v>
          </cell>
          <cell r="C1050">
            <v>-2913.12</v>
          </cell>
          <cell r="D1050" t="str">
            <v>205</v>
          </cell>
          <cell r="E1050" t="str">
            <v>407</v>
          </cell>
          <cell r="F1050">
            <v>0</v>
          </cell>
          <cell r="G1050">
            <v>8</v>
          </cell>
          <cell r="H1050" t="str">
            <v>2009-08-31</v>
          </cell>
        </row>
        <row r="1051">
          <cell r="A1051" t="str">
            <v>480001</v>
          </cell>
          <cell r="B1051" t="str">
            <v>1015</v>
          </cell>
          <cell r="C1051">
            <v>1148.5999999999999</v>
          </cell>
          <cell r="D1051" t="str">
            <v>205</v>
          </cell>
          <cell r="E1051" t="str">
            <v>407</v>
          </cell>
          <cell r="F1051">
            <v>0</v>
          </cell>
          <cell r="G1051">
            <v>10</v>
          </cell>
          <cell r="H1051" t="str">
            <v>2009-10-31</v>
          </cell>
        </row>
        <row r="1052">
          <cell r="A1052" t="str">
            <v>480001</v>
          </cell>
          <cell r="B1052" t="str">
            <v>1015</v>
          </cell>
          <cell r="C1052">
            <v>-590765</v>
          </cell>
          <cell r="D1052" t="str">
            <v>205</v>
          </cell>
          <cell r="E1052" t="str">
            <v>407</v>
          </cell>
          <cell r="F1052">
            <v>0</v>
          </cell>
          <cell r="G1052">
            <v>11</v>
          </cell>
          <cell r="H1052" t="str">
            <v>2009-11-30</v>
          </cell>
        </row>
        <row r="1053">
          <cell r="A1053" t="str">
            <v>480001</v>
          </cell>
          <cell r="B1053" t="str">
            <v>1015</v>
          </cell>
          <cell r="C1053">
            <v>-2297028.54</v>
          </cell>
          <cell r="D1053" t="str">
            <v>205</v>
          </cell>
          <cell r="E1053" t="str">
            <v>407</v>
          </cell>
          <cell r="F1053">
            <v>0</v>
          </cell>
          <cell r="G1053">
            <v>1</v>
          </cell>
          <cell r="H1053" t="str">
            <v>2010-01-31</v>
          </cell>
        </row>
        <row r="1054">
          <cell r="A1054" t="str">
            <v>481006</v>
          </cell>
          <cell r="B1054" t="str">
            <v>1015</v>
          </cell>
          <cell r="C1054">
            <v>-788</v>
          </cell>
          <cell r="D1054" t="str">
            <v>205</v>
          </cell>
          <cell r="E1054" t="str">
            <v>407</v>
          </cell>
          <cell r="F1054">
            <v>0</v>
          </cell>
          <cell r="G1054">
            <v>3</v>
          </cell>
          <cell r="H1054" t="str">
            <v>2010-03-31</v>
          </cell>
        </row>
        <row r="1055">
          <cell r="A1055" t="str">
            <v>480001</v>
          </cell>
          <cell r="B1055" t="str">
            <v>1015</v>
          </cell>
          <cell r="C1055">
            <v>2638774</v>
          </cell>
          <cell r="D1055" t="str">
            <v>205</v>
          </cell>
          <cell r="E1055" t="str">
            <v>407</v>
          </cell>
          <cell r="F1055">
            <v>0</v>
          </cell>
          <cell r="G1055">
            <v>5</v>
          </cell>
          <cell r="H1055" t="str">
            <v>2010-05-31</v>
          </cell>
        </row>
        <row r="1056">
          <cell r="A1056" t="str">
            <v>480000</v>
          </cell>
          <cell r="B1056" t="str">
            <v>1015</v>
          </cell>
          <cell r="C1056">
            <v>-878.24</v>
          </cell>
          <cell r="D1056" t="str">
            <v>205</v>
          </cell>
          <cell r="E1056" t="str">
            <v>407</v>
          </cell>
          <cell r="F1056">
            <v>0</v>
          </cell>
          <cell r="G1056">
            <v>9</v>
          </cell>
          <cell r="H1056" t="str">
            <v>2009-09-30</v>
          </cell>
        </row>
        <row r="1057">
          <cell r="A1057" t="str">
            <v>480000</v>
          </cell>
          <cell r="B1057" t="str">
            <v>1015</v>
          </cell>
          <cell r="C1057">
            <v>-1027289.52</v>
          </cell>
          <cell r="D1057" t="str">
            <v>205</v>
          </cell>
          <cell r="E1057" t="str">
            <v>407</v>
          </cell>
          <cell r="F1057">
            <v>0</v>
          </cell>
          <cell r="G1057">
            <v>2</v>
          </cell>
          <cell r="H1057" t="str">
            <v>2010-02-28</v>
          </cell>
        </row>
        <row r="1058">
          <cell r="A1058" t="str">
            <v>480000</v>
          </cell>
          <cell r="B1058" t="str">
            <v>1015</v>
          </cell>
          <cell r="C1058">
            <v>2965472.08</v>
          </cell>
          <cell r="D1058" t="str">
            <v>205</v>
          </cell>
          <cell r="E1058" t="str">
            <v>407</v>
          </cell>
          <cell r="F1058">
            <v>0</v>
          </cell>
          <cell r="G1058">
            <v>1</v>
          </cell>
          <cell r="H1058" t="str">
            <v>2010-01-31</v>
          </cell>
        </row>
        <row r="1059">
          <cell r="A1059" t="str">
            <v>480000</v>
          </cell>
          <cell r="B1059" t="str">
            <v>1015</v>
          </cell>
          <cell r="C1059">
            <v>490430.99</v>
          </cell>
          <cell r="D1059" t="str">
            <v>205</v>
          </cell>
          <cell r="E1059" t="str">
            <v>407</v>
          </cell>
          <cell r="F1059">
            <v>0</v>
          </cell>
          <cell r="G1059">
            <v>3</v>
          </cell>
          <cell r="H1059" t="str">
            <v>2010-03-31</v>
          </cell>
        </row>
        <row r="1060">
          <cell r="A1060" t="str">
            <v>481004</v>
          </cell>
          <cell r="B1060" t="str">
            <v>1015</v>
          </cell>
          <cell r="C1060">
            <v>731.96</v>
          </cell>
          <cell r="D1060" t="str">
            <v>205</v>
          </cell>
          <cell r="E1060" t="str">
            <v>407</v>
          </cell>
          <cell r="F1060">
            <v>0</v>
          </cell>
          <cell r="G1060">
            <v>6</v>
          </cell>
          <cell r="H1060" t="str">
            <v>2010-06-30</v>
          </cell>
        </row>
        <row r="1061">
          <cell r="A1061" t="str">
            <v>480001</v>
          </cell>
          <cell r="B1061" t="str">
            <v>1015</v>
          </cell>
          <cell r="C1061">
            <v>295801.63</v>
          </cell>
          <cell r="D1061" t="str">
            <v>205</v>
          </cell>
          <cell r="E1061" t="str">
            <v>407</v>
          </cell>
          <cell r="F1061">
            <v>0</v>
          </cell>
          <cell r="G1061">
            <v>9</v>
          </cell>
          <cell r="H1061" t="str">
            <v>2009-09-30</v>
          </cell>
        </row>
        <row r="1062">
          <cell r="A1062" t="str">
            <v>481006</v>
          </cell>
          <cell r="B1062" t="str">
            <v>1015</v>
          </cell>
          <cell r="C1062">
            <v>-276010</v>
          </cell>
          <cell r="D1062" t="str">
            <v>205</v>
          </cell>
          <cell r="E1062" t="str">
            <v>407</v>
          </cell>
          <cell r="F1062">
            <v>0</v>
          </cell>
          <cell r="G1062">
            <v>10</v>
          </cell>
          <cell r="H1062" t="str">
            <v>2009-10-31</v>
          </cell>
        </row>
        <row r="1063">
          <cell r="A1063" t="str">
            <v>480001</v>
          </cell>
          <cell r="B1063" t="str">
            <v>1015</v>
          </cell>
          <cell r="C1063">
            <v>1888.7</v>
          </cell>
          <cell r="D1063" t="str">
            <v>205</v>
          </cell>
          <cell r="E1063" t="str">
            <v>407</v>
          </cell>
          <cell r="F1063">
            <v>0</v>
          </cell>
          <cell r="G1063">
            <v>12</v>
          </cell>
          <cell r="H1063" t="str">
            <v>2009-12-31</v>
          </cell>
        </row>
        <row r="1064">
          <cell r="A1064" t="str">
            <v>480001</v>
          </cell>
          <cell r="B1064" t="str">
            <v>1015</v>
          </cell>
          <cell r="C1064">
            <v>-668</v>
          </cell>
          <cell r="D1064" t="str">
            <v>205</v>
          </cell>
          <cell r="E1064" t="str">
            <v>407</v>
          </cell>
          <cell r="F1064">
            <v>0</v>
          </cell>
          <cell r="G1064">
            <v>4</v>
          </cell>
          <cell r="H1064" t="str">
            <v>2010-04-30</v>
          </cell>
        </row>
        <row r="1065">
          <cell r="A1065" t="str">
            <v>481006</v>
          </cell>
          <cell r="B1065" t="str">
            <v>1015</v>
          </cell>
          <cell r="C1065">
            <v>1019</v>
          </cell>
          <cell r="D1065" t="str">
            <v>205</v>
          </cell>
          <cell r="E1065" t="str">
            <v>407</v>
          </cell>
          <cell r="F1065">
            <v>0</v>
          </cell>
          <cell r="G1065">
            <v>5</v>
          </cell>
          <cell r="H1065" t="str">
            <v>2010-05-31</v>
          </cell>
        </row>
        <row r="1066">
          <cell r="A1066" t="str">
            <v>480000</v>
          </cell>
          <cell r="B1066" t="str">
            <v>1015</v>
          </cell>
          <cell r="C1066">
            <v>496494.93</v>
          </cell>
          <cell r="D1066" t="str">
            <v>205</v>
          </cell>
          <cell r="E1066" t="str">
            <v>407</v>
          </cell>
          <cell r="F1066">
            <v>0</v>
          </cell>
          <cell r="G1066">
            <v>10</v>
          </cell>
          <cell r="H1066" t="str">
            <v>2009-10-31</v>
          </cell>
        </row>
        <row r="1067">
          <cell r="A1067" t="str">
            <v>480000</v>
          </cell>
          <cell r="B1067" t="str">
            <v>1015</v>
          </cell>
          <cell r="C1067">
            <v>519.12</v>
          </cell>
          <cell r="D1067" t="str">
            <v>205</v>
          </cell>
          <cell r="E1067" t="str">
            <v>407</v>
          </cell>
          <cell r="F1067">
            <v>0</v>
          </cell>
          <cell r="G1067">
            <v>8</v>
          </cell>
          <cell r="H1067" t="str">
            <v>2009-08-31</v>
          </cell>
        </row>
        <row r="1068">
          <cell r="A1068" t="str">
            <v>481004</v>
          </cell>
          <cell r="B1068" t="str">
            <v>1015</v>
          </cell>
          <cell r="C1068">
            <v>-211824.06</v>
          </cell>
          <cell r="D1068" t="str">
            <v>205</v>
          </cell>
          <cell r="E1068" t="str">
            <v>407</v>
          </cell>
          <cell r="F1068">
            <v>0</v>
          </cell>
          <cell r="G1068">
            <v>2</v>
          </cell>
          <cell r="H1068" t="str">
            <v>2010-02-28</v>
          </cell>
        </row>
        <row r="1069">
          <cell r="A1069" t="str">
            <v>480000</v>
          </cell>
          <cell r="B1069" t="str">
            <v>1015</v>
          </cell>
          <cell r="C1069">
            <v>2430.8000000000002</v>
          </cell>
          <cell r="D1069" t="str">
            <v>205</v>
          </cell>
          <cell r="E1069" t="str">
            <v>407</v>
          </cell>
          <cell r="F1069">
            <v>0</v>
          </cell>
          <cell r="G1069">
            <v>6</v>
          </cell>
          <cell r="H1069" t="str">
            <v>2010-06-30</v>
          </cell>
        </row>
        <row r="1070">
          <cell r="A1070" t="str">
            <v>481006</v>
          </cell>
          <cell r="B1070" t="str">
            <v>1015</v>
          </cell>
          <cell r="C1070">
            <v>-35115.24</v>
          </cell>
          <cell r="D1070" t="str">
            <v>205</v>
          </cell>
          <cell r="E1070" t="str">
            <v>407</v>
          </cell>
          <cell r="F1070">
            <v>0</v>
          </cell>
          <cell r="G1070">
            <v>7</v>
          </cell>
          <cell r="H1070" t="str">
            <v>2009-07-31</v>
          </cell>
        </row>
        <row r="1071">
          <cell r="A1071" t="str">
            <v>480001</v>
          </cell>
          <cell r="B1071" t="str">
            <v>1015</v>
          </cell>
          <cell r="C1071">
            <v>50654.07</v>
          </cell>
          <cell r="D1071" t="str">
            <v>205</v>
          </cell>
          <cell r="E1071" t="str">
            <v>407</v>
          </cell>
          <cell r="F1071">
            <v>0</v>
          </cell>
          <cell r="G1071">
            <v>10</v>
          </cell>
          <cell r="H1071" t="str">
            <v>2009-10-31</v>
          </cell>
        </row>
        <row r="1072">
          <cell r="A1072" t="str">
            <v>481006</v>
          </cell>
          <cell r="B1072" t="str">
            <v>1015</v>
          </cell>
          <cell r="C1072">
            <v>-491841.36</v>
          </cell>
          <cell r="D1072" t="str">
            <v>205</v>
          </cell>
          <cell r="E1072" t="str">
            <v>407</v>
          </cell>
          <cell r="F1072">
            <v>0</v>
          </cell>
          <cell r="G1072">
            <v>1</v>
          </cell>
          <cell r="H1072" t="str">
            <v>2010-01-31</v>
          </cell>
        </row>
        <row r="1073">
          <cell r="A1073" t="str">
            <v>480000</v>
          </cell>
          <cell r="B1073" t="str">
            <v>1015</v>
          </cell>
          <cell r="C1073">
            <v>175573</v>
          </cell>
          <cell r="D1073" t="str">
            <v>205</v>
          </cell>
          <cell r="E1073" t="str">
            <v>407</v>
          </cell>
          <cell r="F1073">
            <v>0</v>
          </cell>
          <cell r="G1073">
            <v>11</v>
          </cell>
          <cell r="H1073" t="str">
            <v>2009-11-30</v>
          </cell>
        </row>
        <row r="1074">
          <cell r="A1074" t="str">
            <v>481004</v>
          </cell>
          <cell r="B1074" t="str">
            <v>1015</v>
          </cell>
          <cell r="C1074">
            <v>58.21</v>
          </cell>
          <cell r="D1074" t="str">
            <v>205</v>
          </cell>
          <cell r="E1074" t="str">
            <v>407</v>
          </cell>
          <cell r="F1074">
            <v>0</v>
          </cell>
          <cell r="G1074">
            <v>7</v>
          </cell>
          <cell r="H1074" t="str">
            <v>2009-07-31</v>
          </cell>
        </row>
        <row r="1075">
          <cell r="A1075" t="str">
            <v>480000</v>
          </cell>
          <cell r="B1075" t="str">
            <v>1015</v>
          </cell>
          <cell r="C1075">
            <v>76599.78</v>
          </cell>
          <cell r="D1075" t="str">
            <v>205</v>
          </cell>
          <cell r="E1075" t="str">
            <v>407</v>
          </cell>
          <cell r="F1075">
            <v>0</v>
          </cell>
          <cell r="G1075">
            <v>8</v>
          </cell>
          <cell r="H1075" t="str">
            <v>2009-08-31</v>
          </cell>
        </row>
        <row r="1076">
          <cell r="A1076" t="str">
            <v>481004</v>
          </cell>
          <cell r="B1076" t="str">
            <v>1015</v>
          </cell>
          <cell r="C1076">
            <v>104.49</v>
          </cell>
          <cell r="D1076" t="str">
            <v>205</v>
          </cell>
          <cell r="E1076" t="str">
            <v>407</v>
          </cell>
          <cell r="F1076">
            <v>0</v>
          </cell>
          <cell r="G1076">
            <v>8</v>
          </cell>
          <cell r="H1076" t="str">
            <v>2009-08-31</v>
          </cell>
        </row>
        <row r="1077">
          <cell r="A1077" t="str">
            <v>481004</v>
          </cell>
          <cell r="B1077" t="str">
            <v>1015</v>
          </cell>
          <cell r="C1077">
            <v>-27561.69</v>
          </cell>
          <cell r="D1077" t="str">
            <v>205</v>
          </cell>
          <cell r="E1077" t="str">
            <v>407</v>
          </cell>
          <cell r="F1077">
            <v>0</v>
          </cell>
          <cell r="G1077">
            <v>9</v>
          </cell>
          <cell r="H1077" t="str">
            <v>2009-09-30</v>
          </cell>
        </row>
        <row r="1078">
          <cell r="A1078" t="str">
            <v>480000</v>
          </cell>
          <cell r="B1078" t="str">
            <v>1015</v>
          </cell>
          <cell r="C1078">
            <v>5917.3</v>
          </cell>
          <cell r="D1078" t="str">
            <v>205</v>
          </cell>
          <cell r="E1078" t="str">
            <v>407</v>
          </cell>
          <cell r="F1078">
            <v>0</v>
          </cell>
          <cell r="G1078">
            <v>12</v>
          </cell>
          <cell r="H1078" t="str">
            <v>2009-12-31</v>
          </cell>
        </row>
        <row r="1079">
          <cell r="A1079" t="str">
            <v>480000</v>
          </cell>
          <cell r="B1079" t="str">
            <v>1015</v>
          </cell>
          <cell r="C1079">
            <v>5952.61</v>
          </cell>
          <cell r="D1079" t="str">
            <v>205</v>
          </cell>
          <cell r="E1079" t="str">
            <v>407</v>
          </cell>
          <cell r="F1079">
            <v>0</v>
          </cell>
          <cell r="G1079">
            <v>1</v>
          </cell>
          <cell r="H1079" t="str">
            <v>2010-01-31</v>
          </cell>
        </row>
        <row r="1080">
          <cell r="A1080" t="str">
            <v>481004</v>
          </cell>
          <cell r="B1080" t="str">
            <v>1015</v>
          </cell>
          <cell r="C1080">
            <v>1776.01</v>
          </cell>
          <cell r="D1080" t="str">
            <v>205</v>
          </cell>
          <cell r="E1080" t="str">
            <v>407</v>
          </cell>
          <cell r="F1080">
            <v>0</v>
          </cell>
          <cell r="G1080">
            <v>1</v>
          </cell>
          <cell r="H1080" t="str">
            <v>2010-01-31</v>
          </cell>
        </row>
        <row r="1081">
          <cell r="A1081" t="str">
            <v>481004</v>
          </cell>
          <cell r="B1081" t="str">
            <v>1015</v>
          </cell>
          <cell r="C1081">
            <v>158.41999999999999</v>
          </cell>
          <cell r="D1081" t="str">
            <v>205</v>
          </cell>
          <cell r="E1081" t="str">
            <v>407</v>
          </cell>
          <cell r="F1081">
            <v>0</v>
          </cell>
          <cell r="G1081">
            <v>2</v>
          </cell>
          <cell r="H1081" t="str">
            <v>2010-02-28</v>
          </cell>
        </row>
        <row r="1082">
          <cell r="A1082" t="str">
            <v>481004</v>
          </cell>
          <cell r="B1082" t="str">
            <v>1015</v>
          </cell>
          <cell r="C1082">
            <v>107223.35</v>
          </cell>
          <cell r="D1082" t="str">
            <v>205</v>
          </cell>
          <cell r="E1082" t="str">
            <v>407</v>
          </cell>
          <cell r="F1082">
            <v>0</v>
          </cell>
          <cell r="G1082">
            <v>3</v>
          </cell>
          <cell r="H1082" t="str">
            <v>2010-03-31</v>
          </cell>
        </row>
        <row r="1083">
          <cell r="A1083" t="str">
            <v>481004</v>
          </cell>
          <cell r="B1083" t="str">
            <v>1015</v>
          </cell>
          <cell r="C1083">
            <v>1526.12</v>
          </cell>
          <cell r="D1083" t="str">
            <v>205</v>
          </cell>
          <cell r="E1083" t="str">
            <v>407</v>
          </cell>
          <cell r="F1083">
            <v>0</v>
          </cell>
          <cell r="G1083">
            <v>3</v>
          </cell>
          <cell r="H1083" t="str">
            <v>2010-03-31</v>
          </cell>
        </row>
        <row r="1084">
          <cell r="A1084" t="str">
            <v>480000</v>
          </cell>
          <cell r="B1084" t="str">
            <v>1015</v>
          </cell>
          <cell r="C1084">
            <v>1900.4</v>
          </cell>
          <cell r="D1084" t="str">
            <v>205</v>
          </cell>
          <cell r="E1084" t="str">
            <v>407</v>
          </cell>
          <cell r="F1084">
            <v>0</v>
          </cell>
          <cell r="G1084">
            <v>4</v>
          </cell>
          <cell r="H1084" t="str">
            <v>2010-04-30</v>
          </cell>
        </row>
        <row r="1085">
          <cell r="A1085" t="str">
            <v>480001</v>
          </cell>
          <cell r="B1085" t="str">
            <v>1015</v>
          </cell>
          <cell r="C1085">
            <v>-171880.49</v>
          </cell>
          <cell r="D1085" t="str">
            <v>205</v>
          </cell>
          <cell r="E1085" t="str">
            <v>407</v>
          </cell>
          <cell r="F1085">
            <v>0</v>
          </cell>
          <cell r="G1085">
            <v>7</v>
          </cell>
          <cell r="H1085" t="str">
            <v>2009-07-31</v>
          </cell>
        </row>
        <row r="1086">
          <cell r="A1086" t="str">
            <v>481006</v>
          </cell>
          <cell r="B1086" t="str">
            <v>1015</v>
          </cell>
          <cell r="C1086">
            <v>-850.75</v>
          </cell>
          <cell r="D1086" t="str">
            <v>205</v>
          </cell>
          <cell r="E1086" t="str">
            <v>407</v>
          </cell>
          <cell r="F1086">
            <v>0</v>
          </cell>
          <cell r="G1086">
            <v>1</v>
          </cell>
          <cell r="H1086" t="str">
            <v>2010-01-31</v>
          </cell>
        </row>
        <row r="1087">
          <cell r="A1087" t="str">
            <v>481006</v>
          </cell>
          <cell r="B1087" t="str">
            <v>1015</v>
          </cell>
          <cell r="C1087">
            <v>956</v>
          </cell>
          <cell r="D1087" t="str">
            <v>205</v>
          </cell>
          <cell r="E1087" t="str">
            <v>407</v>
          </cell>
          <cell r="F1087">
            <v>0</v>
          </cell>
          <cell r="G1087">
            <v>2</v>
          </cell>
          <cell r="H1087" t="str">
            <v>2010-02-28</v>
          </cell>
        </row>
        <row r="1088">
          <cell r="A1088" t="str">
            <v>480001</v>
          </cell>
          <cell r="B1088" t="str">
            <v>1015</v>
          </cell>
          <cell r="C1088">
            <v>-1139776</v>
          </cell>
          <cell r="D1088" t="str">
            <v>205</v>
          </cell>
          <cell r="E1088" t="str">
            <v>407</v>
          </cell>
          <cell r="F1088">
            <v>0</v>
          </cell>
          <cell r="G1088">
            <v>6</v>
          </cell>
          <cell r="H1088" t="str">
            <v>2010-06-30</v>
          </cell>
        </row>
        <row r="1089">
          <cell r="A1089" t="str">
            <v>480000</v>
          </cell>
          <cell r="B1089" t="str">
            <v>1015</v>
          </cell>
          <cell r="C1089">
            <v>1479.4</v>
          </cell>
          <cell r="D1089" t="str">
            <v>205</v>
          </cell>
          <cell r="E1089" t="str">
            <v>407</v>
          </cell>
          <cell r="F1089">
            <v>0</v>
          </cell>
          <cell r="G1089">
            <v>10</v>
          </cell>
          <cell r="H1089" t="str">
            <v>2009-10-31</v>
          </cell>
        </row>
        <row r="1090">
          <cell r="A1090" t="str">
            <v>481004</v>
          </cell>
          <cell r="B1090" t="str">
            <v>1015</v>
          </cell>
          <cell r="C1090">
            <v>368726.82</v>
          </cell>
          <cell r="D1090" t="str">
            <v>205</v>
          </cell>
          <cell r="E1090" t="str">
            <v>407</v>
          </cell>
          <cell r="F1090">
            <v>0</v>
          </cell>
          <cell r="G1090">
            <v>4</v>
          </cell>
          <cell r="H1090" t="str">
            <v>2010-04-30</v>
          </cell>
        </row>
        <row r="1091">
          <cell r="A1091" t="str">
            <v>481004</v>
          </cell>
          <cell r="B1091" t="str">
            <v>1015</v>
          </cell>
          <cell r="C1091">
            <v>962.61</v>
          </cell>
          <cell r="D1091" t="str">
            <v>205</v>
          </cell>
          <cell r="E1091" t="str">
            <v>407</v>
          </cell>
          <cell r="F1091">
            <v>0</v>
          </cell>
          <cell r="G1091">
            <v>5</v>
          </cell>
          <cell r="H1091" t="str">
            <v>2010-05-31</v>
          </cell>
        </row>
        <row r="1092">
          <cell r="A1092" t="str">
            <v>481006</v>
          </cell>
          <cell r="B1092" t="str">
            <v>1015</v>
          </cell>
          <cell r="C1092">
            <v>2680.06</v>
          </cell>
          <cell r="D1092" t="str">
            <v>205</v>
          </cell>
          <cell r="E1092" t="str">
            <v>407</v>
          </cell>
          <cell r="F1092">
            <v>0</v>
          </cell>
          <cell r="G1092">
            <v>10</v>
          </cell>
          <cell r="H1092" t="str">
            <v>2009-10-31</v>
          </cell>
        </row>
        <row r="1093">
          <cell r="A1093" t="str">
            <v>480001</v>
          </cell>
          <cell r="B1093" t="str">
            <v>1015</v>
          </cell>
          <cell r="C1093">
            <v>-1544.64</v>
          </cell>
          <cell r="D1093" t="str">
            <v>205</v>
          </cell>
          <cell r="E1093" t="str">
            <v>407</v>
          </cell>
          <cell r="F1093">
            <v>0</v>
          </cell>
          <cell r="G1093">
            <v>11</v>
          </cell>
          <cell r="H1093" t="str">
            <v>2009-11-30</v>
          </cell>
        </row>
        <row r="1094">
          <cell r="A1094" t="str">
            <v>481006</v>
          </cell>
          <cell r="B1094" t="str">
            <v>1015</v>
          </cell>
          <cell r="C1094">
            <v>-477.06</v>
          </cell>
          <cell r="D1094" t="str">
            <v>205</v>
          </cell>
          <cell r="E1094" t="str">
            <v>407</v>
          </cell>
          <cell r="F1094">
            <v>0</v>
          </cell>
          <cell r="G1094">
            <v>11</v>
          </cell>
          <cell r="H1094" t="str">
            <v>2009-11-30</v>
          </cell>
        </row>
        <row r="1095">
          <cell r="A1095" t="str">
            <v>480001</v>
          </cell>
          <cell r="B1095" t="str">
            <v>1015</v>
          </cell>
          <cell r="C1095">
            <v>1821810.97</v>
          </cell>
          <cell r="D1095" t="str">
            <v>205</v>
          </cell>
          <cell r="E1095" t="str">
            <v>407</v>
          </cell>
          <cell r="F1095">
            <v>0</v>
          </cell>
          <cell r="G1095">
            <v>12</v>
          </cell>
          <cell r="H1095" t="str">
            <v>2009-12-31</v>
          </cell>
        </row>
        <row r="1096">
          <cell r="A1096" t="str">
            <v>480001</v>
          </cell>
          <cell r="B1096" t="str">
            <v>1015</v>
          </cell>
          <cell r="C1096">
            <v>-3234.32</v>
          </cell>
          <cell r="D1096" t="str">
            <v>205</v>
          </cell>
          <cell r="E1096" t="str">
            <v>407</v>
          </cell>
          <cell r="F1096">
            <v>0</v>
          </cell>
          <cell r="G1096">
            <v>1</v>
          </cell>
          <cell r="H1096" t="str">
            <v>2010-01-31</v>
          </cell>
        </row>
        <row r="1097">
          <cell r="A1097" t="str">
            <v>480001</v>
          </cell>
          <cell r="B1097" t="str">
            <v>1015</v>
          </cell>
          <cell r="C1097">
            <v>2801</v>
          </cell>
          <cell r="D1097" t="str">
            <v>205</v>
          </cell>
          <cell r="E1097" t="str">
            <v>407</v>
          </cell>
          <cell r="F1097">
            <v>0</v>
          </cell>
          <cell r="G1097">
            <v>2</v>
          </cell>
          <cell r="H1097" t="str">
            <v>2010-02-28</v>
          </cell>
        </row>
        <row r="1098">
          <cell r="A1098" t="str">
            <v>480001</v>
          </cell>
          <cell r="B1098" t="str">
            <v>1015</v>
          </cell>
          <cell r="C1098">
            <v>4006</v>
          </cell>
          <cell r="D1098" t="str">
            <v>205</v>
          </cell>
          <cell r="E1098" t="str">
            <v>407</v>
          </cell>
          <cell r="F1098">
            <v>0</v>
          </cell>
          <cell r="G1098">
            <v>5</v>
          </cell>
          <cell r="H1098" t="str">
            <v>2010-05-31</v>
          </cell>
        </row>
        <row r="1099">
          <cell r="A1099" t="str">
            <v>480000</v>
          </cell>
          <cell r="B1099" t="str">
            <v>1015</v>
          </cell>
          <cell r="C1099">
            <v>235.27</v>
          </cell>
          <cell r="D1099" t="str">
            <v>205</v>
          </cell>
          <cell r="E1099" t="str">
            <v>407</v>
          </cell>
          <cell r="F1099">
            <v>0</v>
          </cell>
          <cell r="G1099">
            <v>7</v>
          </cell>
          <cell r="H1099" t="str">
            <v>2009-07-31</v>
          </cell>
        </row>
        <row r="1100">
          <cell r="A1100" t="str">
            <v>480000</v>
          </cell>
          <cell r="B1100" t="str">
            <v>1015</v>
          </cell>
          <cell r="C1100">
            <v>-170246.63</v>
          </cell>
          <cell r="D1100" t="str">
            <v>205</v>
          </cell>
          <cell r="E1100" t="str">
            <v>407</v>
          </cell>
          <cell r="F1100">
            <v>0</v>
          </cell>
          <cell r="G1100">
            <v>9</v>
          </cell>
          <cell r="H1100" t="str">
            <v>2009-09-30</v>
          </cell>
        </row>
        <row r="1101">
          <cell r="A1101" t="str">
            <v>481004</v>
          </cell>
          <cell r="B1101" t="str">
            <v>1015</v>
          </cell>
          <cell r="C1101">
            <v>-167.63</v>
          </cell>
          <cell r="D1101" t="str">
            <v>205</v>
          </cell>
          <cell r="E1101" t="str">
            <v>407</v>
          </cell>
          <cell r="F1101">
            <v>0</v>
          </cell>
          <cell r="G1101">
            <v>9</v>
          </cell>
          <cell r="H1101" t="str">
            <v>2009-09-30</v>
          </cell>
        </row>
        <row r="1102">
          <cell r="A1102" t="str">
            <v>481004</v>
          </cell>
          <cell r="B1102" t="str">
            <v>1015</v>
          </cell>
          <cell r="C1102">
            <v>489.06</v>
          </cell>
          <cell r="D1102" t="str">
            <v>205</v>
          </cell>
          <cell r="E1102" t="str">
            <v>407</v>
          </cell>
          <cell r="F1102">
            <v>0</v>
          </cell>
          <cell r="G1102">
            <v>11</v>
          </cell>
          <cell r="H1102" t="str">
            <v>2009-11-30</v>
          </cell>
        </row>
        <row r="1103">
          <cell r="A1103" t="str">
            <v>481004</v>
          </cell>
          <cell r="B1103" t="str">
            <v>1015</v>
          </cell>
          <cell r="C1103">
            <v>690631.6</v>
          </cell>
          <cell r="D1103" t="str">
            <v>205</v>
          </cell>
          <cell r="E1103" t="str">
            <v>407</v>
          </cell>
          <cell r="F1103">
            <v>0</v>
          </cell>
          <cell r="G1103">
            <v>1</v>
          </cell>
          <cell r="H1103" t="str">
            <v>2010-01-31</v>
          </cell>
        </row>
        <row r="1104">
          <cell r="A1104" t="str">
            <v>481004</v>
          </cell>
          <cell r="B1104" t="str">
            <v>1015</v>
          </cell>
          <cell r="C1104">
            <v>256388.99</v>
          </cell>
          <cell r="D1104" t="str">
            <v>205</v>
          </cell>
          <cell r="E1104" t="str">
            <v>407</v>
          </cell>
          <cell r="F1104">
            <v>0</v>
          </cell>
          <cell r="G1104">
            <v>6</v>
          </cell>
          <cell r="H1104" t="str">
            <v>2010-06-30</v>
          </cell>
        </row>
        <row r="1105">
          <cell r="A1105" t="str">
            <v>481006</v>
          </cell>
          <cell r="B1105" t="str">
            <v>1015</v>
          </cell>
          <cell r="C1105">
            <v>-775.49</v>
          </cell>
          <cell r="D1105" t="str">
            <v>205</v>
          </cell>
          <cell r="E1105" t="str">
            <v>407</v>
          </cell>
          <cell r="F1105">
            <v>0</v>
          </cell>
          <cell r="G1105">
            <v>8</v>
          </cell>
          <cell r="H1105" t="str">
            <v>2009-08-31</v>
          </cell>
        </row>
        <row r="1106">
          <cell r="A1106" t="str">
            <v>480001</v>
          </cell>
          <cell r="B1106" t="str">
            <v>1015</v>
          </cell>
          <cell r="C1106">
            <v>1748.24</v>
          </cell>
          <cell r="D1106" t="str">
            <v>205</v>
          </cell>
          <cell r="E1106" t="str">
            <v>407</v>
          </cell>
          <cell r="F1106">
            <v>0</v>
          </cell>
          <cell r="G1106">
            <v>9</v>
          </cell>
          <cell r="H1106" t="str">
            <v>2009-09-30</v>
          </cell>
        </row>
        <row r="1107">
          <cell r="A1107" t="str">
            <v>481006</v>
          </cell>
          <cell r="B1107" t="str">
            <v>1015</v>
          </cell>
          <cell r="C1107">
            <v>-144422.18</v>
          </cell>
          <cell r="D1107" t="str">
            <v>205</v>
          </cell>
          <cell r="E1107" t="str">
            <v>407</v>
          </cell>
          <cell r="F1107">
            <v>0</v>
          </cell>
          <cell r="G1107">
            <v>11</v>
          </cell>
          <cell r="H1107" t="str">
            <v>2009-11-30</v>
          </cell>
        </row>
        <row r="1108">
          <cell r="A1108" t="str">
            <v>481006</v>
          </cell>
          <cell r="B1108" t="str">
            <v>1015</v>
          </cell>
          <cell r="C1108">
            <v>704.16</v>
          </cell>
          <cell r="D1108" t="str">
            <v>205</v>
          </cell>
          <cell r="E1108" t="str">
            <v>407</v>
          </cell>
          <cell r="F1108">
            <v>0</v>
          </cell>
          <cell r="G1108">
            <v>12</v>
          </cell>
          <cell r="H1108" t="str">
            <v>2009-12-31</v>
          </cell>
        </row>
        <row r="1109">
          <cell r="A1109" t="str">
            <v>480001</v>
          </cell>
          <cell r="B1109" t="str">
            <v>1015</v>
          </cell>
          <cell r="C1109">
            <v>483757</v>
          </cell>
          <cell r="D1109" t="str">
            <v>205</v>
          </cell>
          <cell r="E1109" t="str">
            <v>407</v>
          </cell>
          <cell r="F1109">
            <v>0</v>
          </cell>
          <cell r="G1109">
            <v>3</v>
          </cell>
          <cell r="H1109" t="str">
            <v>2010-03-31</v>
          </cell>
        </row>
        <row r="1110">
          <cell r="A1110" t="str">
            <v>481006</v>
          </cell>
          <cell r="B1110" t="str">
            <v>1015</v>
          </cell>
          <cell r="C1110">
            <v>-306444</v>
          </cell>
          <cell r="D1110" t="str">
            <v>205</v>
          </cell>
          <cell r="E1110" t="str">
            <v>407</v>
          </cell>
          <cell r="F1110">
            <v>0</v>
          </cell>
          <cell r="G1110">
            <v>6</v>
          </cell>
          <cell r="H1110" t="str">
            <v>2010-06-30</v>
          </cell>
        </row>
        <row r="1111">
          <cell r="A1111" t="str">
            <v>481004</v>
          </cell>
          <cell r="B1111" t="str">
            <v>1015</v>
          </cell>
          <cell r="C1111">
            <v>15133.45</v>
          </cell>
          <cell r="D1111" t="str">
            <v>205</v>
          </cell>
          <cell r="E1111" t="str">
            <v>407</v>
          </cell>
          <cell r="F1111">
            <v>0</v>
          </cell>
          <cell r="G1111">
            <v>8</v>
          </cell>
          <cell r="H1111" t="str">
            <v>2009-08-31</v>
          </cell>
        </row>
        <row r="1112">
          <cell r="A1112" t="str">
            <v>481004</v>
          </cell>
          <cell r="B1112" t="str">
            <v>1015</v>
          </cell>
          <cell r="C1112">
            <v>106600</v>
          </cell>
          <cell r="D1112" t="str">
            <v>205</v>
          </cell>
          <cell r="E1112" t="str">
            <v>407</v>
          </cell>
          <cell r="F1112">
            <v>0</v>
          </cell>
          <cell r="G1112">
            <v>10</v>
          </cell>
          <cell r="H1112" t="str">
            <v>2009-10-31</v>
          </cell>
        </row>
        <row r="1113">
          <cell r="A1113" t="str">
            <v>480000</v>
          </cell>
          <cell r="B1113" t="str">
            <v>1015</v>
          </cell>
          <cell r="C1113">
            <v>1642.64</v>
          </cell>
          <cell r="D1113" t="str">
            <v>205</v>
          </cell>
          <cell r="E1113" t="str">
            <v>407</v>
          </cell>
          <cell r="F1113">
            <v>0</v>
          </cell>
          <cell r="G1113">
            <v>11</v>
          </cell>
          <cell r="H1113" t="str">
            <v>2009-11-30</v>
          </cell>
        </row>
        <row r="1114">
          <cell r="A1114" t="str">
            <v>481004</v>
          </cell>
          <cell r="B1114" t="str">
            <v>1015</v>
          </cell>
          <cell r="C1114">
            <v>1913.84</v>
          </cell>
          <cell r="D1114" t="str">
            <v>205</v>
          </cell>
          <cell r="E1114" t="str">
            <v>407</v>
          </cell>
          <cell r="F1114">
            <v>0</v>
          </cell>
          <cell r="G1114">
            <v>12</v>
          </cell>
          <cell r="H1114" t="str">
            <v>2009-12-31</v>
          </cell>
        </row>
        <row r="1115">
          <cell r="A1115" t="str">
            <v>480000</v>
          </cell>
          <cell r="B1115" t="str">
            <v>1015</v>
          </cell>
          <cell r="C1115">
            <v>2306171.0299999998</v>
          </cell>
          <cell r="D1115" t="str">
            <v>205</v>
          </cell>
          <cell r="E1115" t="str">
            <v>407</v>
          </cell>
          <cell r="F1115">
            <v>0</v>
          </cell>
          <cell r="G1115">
            <v>12</v>
          </cell>
          <cell r="H1115" t="str">
            <v>2009-12-31</v>
          </cell>
        </row>
        <row r="1116">
          <cell r="A1116" t="str">
            <v>480000</v>
          </cell>
          <cell r="B1116" t="str">
            <v>1015</v>
          </cell>
          <cell r="C1116">
            <v>4604.17</v>
          </cell>
          <cell r="D1116" t="str">
            <v>205</v>
          </cell>
          <cell r="E1116" t="str">
            <v>407</v>
          </cell>
          <cell r="F1116">
            <v>0</v>
          </cell>
          <cell r="G1116">
            <v>3</v>
          </cell>
          <cell r="H1116" t="str">
            <v>2010-03-31</v>
          </cell>
        </row>
        <row r="1117">
          <cell r="A1117" t="str">
            <v>481004</v>
          </cell>
          <cell r="B1117" t="str">
            <v>1015</v>
          </cell>
          <cell r="C1117">
            <v>313941.34000000003</v>
          </cell>
          <cell r="D1117" t="str">
            <v>205</v>
          </cell>
          <cell r="E1117" t="str">
            <v>407</v>
          </cell>
          <cell r="F1117">
            <v>0</v>
          </cell>
          <cell r="G1117">
            <v>5</v>
          </cell>
          <cell r="H1117" t="str">
            <v>2010-05-31</v>
          </cell>
        </row>
        <row r="1118">
          <cell r="A1118" t="str">
            <v>480001</v>
          </cell>
          <cell r="B1118" t="str">
            <v>1015</v>
          </cell>
          <cell r="C1118">
            <v>-360.27</v>
          </cell>
          <cell r="D1118" t="str">
            <v>205</v>
          </cell>
          <cell r="E1118" t="str">
            <v>407</v>
          </cell>
          <cell r="F1118">
            <v>0</v>
          </cell>
          <cell r="G1118">
            <v>7</v>
          </cell>
          <cell r="H1118" t="str">
            <v>2009-07-31</v>
          </cell>
        </row>
        <row r="1119">
          <cell r="A1119" t="str">
            <v>480001</v>
          </cell>
          <cell r="B1119" t="str">
            <v>1015</v>
          </cell>
          <cell r="C1119">
            <v>-1657520.31</v>
          </cell>
          <cell r="D1119" t="str">
            <v>205</v>
          </cell>
          <cell r="E1119" t="str">
            <v>407</v>
          </cell>
          <cell r="F1119">
            <v>0</v>
          </cell>
          <cell r="G1119">
            <v>8</v>
          </cell>
          <cell r="H1119" t="str">
            <v>2009-08-31</v>
          </cell>
        </row>
        <row r="1120">
          <cell r="A1120" t="str">
            <v>481006</v>
          </cell>
          <cell r="B1120" t="str">
            <v>1015</v>
          </cell>
          <cell r="C1120">
            <v>-590056.26</v>
          </cell>
          <cell r="D1120" t="str">
            <v>205</v>
          </cell>
          <cell r="E1120" t="str">
            <v>407</v>
          </cell>
          <cell r="F1120">
            <v>0</v>
          </cell>
          <cell r="G1120">
            <v>8</v>
          </cell>
          <cell r="H1120" t="str">
            <v>2009-08-31</v>
          </cell>
        </row>
        <row r="1121">
          <cell r="A1121" t="str">
            <v>481006</v>
          </cell>
          <cell r="B1121" t="str">
            <v>1015</v>
          </cell>
          <cell r="C1121">
            <v>546826.31999999995</v>
          </cell>
          <cell r="D1121" t="str">
            <v>205</v>
          </cell>
          <cell r="E1121" t="str">
            <v>407</v>
          </cell>
          <cell r="F1121">
            <v>0</v>
          </cell>
          <cell r="G1121">
            <v>12</v>
          </cell>
          <cell r="H1121" t="str">
            <v>2009-12-31</v>
          </cell>
        </row>
        <row r="1122">
          <cell r="A1122" t="str">
            <v>480001</v>
          </cell>
          <cell r="B1122" t="str">
            <v>1015</v>
          </cell>
          <cell r="C1122">
            <v>453016</v>
          </cell>
          <cell r="D1122" t="str">
            <v>205</v>
          </cell>
          <cell r="E1122" t="str">
            <v>407</v>
          </cell>
          <cell r="F1122">
            <v>0</v>
          </cell>
          <cell r="G1122">
            <v>2</v>
          </cell>
          <cell r="H1122" t="str">
            <v>2010-02-28</v>
          </cell>
        </row>
        <row r="1123">
          <cell r="A1123" t="str">
            <v>481006</v>
          </cell>
          <cell r="B1123" t="str">
            <v>1015</v>
          </cell>
          <cell r="C1123">
            <v>65656</v>
          </cell>
          <cell r="D1123" t="str">
            <v>205</v>
          </cell>
          <cell r="E1123" t="str">
            <v>407</v>
          </cell>
          <cell r="F1123">
            <v>0</v>
          </cell>
          <cell r="G1123">
            <v>2</v>
          </cell>
          <cell r="H1123" t="str">
            <v>2010-02-28</v>
          </cell>
        </row>
        <row r="1124">
          <cell r="A1124" t="str">
            <v>480001</v>
          </cell>
          <cell r="B1124" t="str">
            <v>1015</v>
          </cell>
          <cell r="C1124">
            <v>-2483</v>
          </cell>
          <cell r="D1124" t="str">
            <v>205</v>
          </cell>
          <cell r="E1124" t="str">
            <v>407</v>
          </cell>
          <cell r="F1124">
            <v>0</v>
          </cell>
          <cell r="G1124">
            <v>3</v>
          </cell>
          <cell r="H1124" t="str">
            <v>2010-03-31</v>
          </cell>
        </row>
        <row r="1125">
          <cell r="A1125" t="str">
            <v>481006</v>
          </cell>
          <cell r="B1125" t="str">
            <v>1015</v>
          </cell>
          <cell r="C1125">
            <v>-232</v>
          </cell>
          <cell r="D1125" t="str">
            <v>205</v>
          </cell>
          <cell r="E1125" t="str">
            <v>407</v>
          </cell>
          <cell r="F1125">
            <v>0</v>
          </cell>
          <cell r="G1125">
            <v>4</v>
          </cell>
          <cell r="H1125" t="str">
            <v>2010-04-30</v>
          </cell>
        </row>
        <row r="1126">
          <cell r="A1126" t="str">
            <v>481006</v>
          </cell>
          <cell r="B1126" t="str">
            <v>1015</v>
          </cell>
          <cell r="C1126">
            <v>1018002</v>
          </cell>
          <cell r="D1126" t="str">
            <v>205</v>
          </cell>
          <cell r="E1126" t="str">
            <v>407</v>
          </cell>
          <cell r="F1126">
            <v>0</v>
          </cell>
          <cell r="G1126">
            <v>5</v>
          </cell>
          <cell r="H1126" t="str">
            <v>2010-05-31</v>
          </cell>
        </row>
        <row r="1127">
          <cell r="A1127" t="str">
            <v>480001</v>
          </cell>
          <cell r="B1127" t="str">
            <v>1015</v>
          </cell>
          <cell r="C1127">
            <v>-2191</v>
          </cell>
          <cell r="D1127" t="str">
            <v>205</v>
          </cell>
          <cell r="E1127" t="str">
            <v>407</v>
          </cell>
          <cell r="F1127">
            <v>0</v>
          </cell>
          <cell r="G1127">
            <v>6</v>
          </cell>
          <cell r="H1127" t="str">
            <v>2010-06-30</v>
          </cell>
        </row>
        <row r="1128">
          <cell r="A1128" t="str">
            <v>481006</v>
          </cell>
          <cell r="B1128" t="str">
            <v>1015</v>
          </cell>
          <cell r="C1128">
            <v>-776</v>
          </cell>
          <cell r="D1128" t="str">
            <v>205</v>
          </cell>
          <cell r="E1128" t="str">
            <v>407</v>
          </cell>
          <cell r="F1128">
            <v>0</v>
          </cell>
          <cell r="G1128">
            <v>6</v>
          </cell>
          <cell r="H1128" t="str">
            <v>2010-06-30</v>
          </cell>
        </row>
        <row r="1129">
          <cell r="A1129" t="str">
            <v>480000</v>
          </cell>
          <cell r="B1129" t="str">
            <v>1015</v>
          </cell>
          <cell r="C1129">
            <v>172314.49</v>
          </cell>
          <cell r="D1129" t="str">
            <v>205</v>
          </cell>
          <cell r="E1129" t="str">
            <v>407</v>
          </cell>
          <cell r="F1129">
            <v>0</v>
          </cell>
          <cell r="G1129">
            <v>7</v>
          </cell>
          <cell r="H1129" t="str">
            <v>2009-07-31</v>
          </cell>
        </row>
        <row r="1130">
          <cell r="A1130" t="str">
            <v>480000</v>
          </cell>
          <cell r="B1130" t="str">
            <v>1015</v>
          </cell>
          <cell r="C1130">
            <v>1368471.92</v>
          </cell>
          <cell r="D1130" t="str">
            <v>205</v>
          </cell>
          <cell r="E1130" t="str">
            <v>407</v>
          </cell>
          <cell r="F1130">
            <v>0</v>
          </cell>
          <cell r="G1130">
            <v>5</v>
          </cell>
          <cell r="H1130" t="str">
            <v>2010-05-31</v>
          </cell>
        </row>
        <row r="1131">
          <cell r="A1131" t="str">
            <v>480000</v>
          </cell>
          <cell r="B1131" t="str">
            <v>1015</v>
          </cell>
          <cell r="C1131">
            <v>3324.87</v>
          </cell>
          <cell r="D1131" t="str">
            <v>205</v>
          </cell>
          <cell r="E1131" t="str">
            <v>407</v>
          </cell>
          <cell r="F1131">
            <v>0</v>
          </cell>
          <cell r="G1131">
            <v>5</v>
          </cell>
          <cell r="H1131" t="str">
            <v>2010-05-31</v>
          </cell>
        </row>
        <row r="1132">
          <cell r="A1132" t="str">
            <v>480000</v>
          </cell>
          <cell r="B1132" t="str">
            <v>1015</v>
          </cell>
          <cell r="C1132">
            <v>1037058.93</v>
          </cell>
          <cell r="D1132" t="str">
            <v>205</v>
          </cell>
          <cell r="E1132" t="str">
            <v>407</v>
          </cell>
          <cell r="F1132">
            <v>0</v>
          </cell>
          <cell r="G1132">
            <v>6</v>
          </cell>
          <cell r="H1132" t="str">
            <v>2010-06-30</v>
          </cell>
        </row>
        <row r="1133">
          <cell r="A1133" t="str">
            <v>481006</v>
          </cell>
          <cell r="B1133" t="str">
            <v>1015</v>
          </cell>
          <cell r="C1133">
            <v>-202.21</v>
          </cell>
          <cell r="D1133" t="str">
            <v>205</v>
          </cell>
          <cell r="E1133" t="str">
            <v>407</v>
          </cell>
          <cell r="F1133">
            <v>0</v>
          </cell>
          <cell r="G1133">
            <v>7</v>
          </cell>
          <cell r="H1133" t="str">
            <v>2009-07-31</v>
          </cell>
        </row>
        <row r="1134">
          <cell r="A1134" t="str">
            <v>481006</v>
          </cell>
          <cell r="B1134" t="str">
            <v>1015</v>
          </cell>
          <cell r="C1134">
            <v>-111835.31</v>
          </cell>
          <cell r="D1134" t="str">
            <v>205</v>
          </cell>
          <cell r="E1134" t="str">
            <v>407</v>
          </cell>
          <cell r="F1134">
            <v>0</v>
          </cell>
          <cell r="G1134">
            <v>9</v>
          </cell>
          <cell r="H1134" t="str">
            <v>2009-09-30</v>
          </cell>
        </row>
        <row r="1135">
          <cell r="A1135" t="str">
            <v>481006</v>
          </cell>
          <cell r="B1135" t="str">
            <v>1015</v>
          </cell>
          <cell r="C1135">
            <v>-498.37</v>
          </cell>
          <cell r="D1135" t="str">
            <v>205</v>
          </cell>
          <cell r="E1135" t="str">
            <v>407</v>
          </cell>
          <cell r="F1135">
            <v>0</v>
          </cell>
          <cell r="G1135">
            <v>9</v>
          </cell>
          <cell r="H1135" t="str">
            <v>2009-09-30</v>
          </cell>
        </row>
        <row r="1136">
          <cell r="A1136" t="str">
            <v>481006</v>
          </cell>
          <cell r="B1136" t="str">
            <v>1015</v>
          </cell>
          <cell r="C1136">
            <v>143569</v>
          </cell>
          <cell r="D1136" t="str">
            <v>205</v>
          </cell>
          <cell r="E1136" t="str">
            <v>407</v>
          </cell>
          <cell r="F1136">
            <v>0</v>
          </cell>
          <cell r="G1136">
            <v>3</v>
          </cell>
          <cell r="H1136" t="str">
            <v>2010-03-31</v>
          </cell>
        </row>
        <row r="1137">
          <cell r="A1137" t="str">
            <v>480001</v>
          </cell>
          <cell r="B1137" t="str">
            <v>1015</v>
          </cell>
          <cell r="C1137">
            <v>-598421</v>
          </cell>
          <cell r="D1137" t="str">
            <v>205</v>
          </cell>
          <cell r="E1137" t="str">
            <v>407</v>
          </cell>
          <cell r="F1137">
            <v>0</v>
          </cell>
          <cell r="G1137">
            <v>4</v>
          </cell>
          <cell r="H1137" t="str">
            <v>2010-04-30</v>
          </cell>
        </row>
        <row r="1138">
          <cell r="A1138" t="str">
            <v>481006</v>
          </cell>
          <cell r="B1138" t="str">
            <v>1015</v>
          </cell>
          <cell r="C1138">
            <v>-119329</v>
          </cell>
          <cell r="D1138" t="str">
            <v>205</v>
          </cell>
          <cell r="E1138" t="str">
            <v>407</v>
          </cell>
          <cell r="F1138">
            <v>0</v>
          </cell>
          <cell r="G1138">
            <v>4</v>
          </cell>
          <cell r="H1138" t="str">
            <v>2010-04-30</v>
          </cell>
        </row>
        <row r="1139">
          <cell r="A1139" t="str">
            <v>481004</v>
          </cell>
          <cell r="B1139" t="str">
            <v>1015</v>
          </cell>
          <cell r="C1139">
            <v>38034.239999999998</v>
          </cell>
          <cell r="D1139" t="str">
            <v>205</v>
          </cell>
          <cell r="E1139" t="str">
            <v>407</v>
          </cell>
          <cell r="F1139">
            <v>0</v>
          </cell>
          <cell r="G1139">
            <v>7</v>
          </cell>
          <cell r="H1139" t="str">
            <v>2009-07-31</v>
          </cell>
        </row>
        <row r="1140">
          <cell r="A1140" t="str">
            <v>481004</v>
          </cell>
          <cell r="B1140" t="str">
            <v>1015</v>
          </cell>
          <cell r="C1140">
            <v>411.94</v>
          </cell>
          <cell r="D1140" t="str">
            <v>205</v>
          </cell>
          <cell r="E1140" t="str">
            <v>407</v>
          </cell>
          <cell r="F1140">
            <v>0</v>
          </cell>
          <cell r="G1140">
            <v>10</v>
          </cell>
          <cell r="H1140" t="str">
            <v>2009-10-31</v>
          </cell>
        </row>
        <row r="1141">
          <cell r="A1141" t="str">
            <v>481004</v>
          </cell>
          <cell r="B1141" t="str">
            <v>1015</v>
          </cell>
          <cell r="C1141">
            <v>37487.18</v>
          </cell>
          <cell r="D1141" t="str">
            <v>205</v>
          </cell>
          <cell r="E1141" t="str">
            <v>407</v>
          </cell>
          <cell r="F1141">
            <v>0</v>
          </cell>
          <cell r="G1141">
            <v>11</v>
          </cell>
          <cell r="H1141" t="str">
            <v>2009-11-30</v>
          </cell>
        </row>
        <row r="1142">
          <cell r="A1142" t="str">
            <v>481004</v>
          </cell>
          <cell r="B1142" t="str">
            <v>1015</v>
          </cell>
          <cell r="C1142">
            <v>490238.68</v>
          </cell>
          <cell r="D1142" t="str">
            <v>205</v>
          </cell>
          <cell r="E1142" t="str">
            <v>407</v>
          </cell>
          <cell r="F1142">
            <v>0</v>
          </cell>
          <cell r="G1142">
            <v>12</v>
          </cell>
          <cell r="H1142" t="str">
            <v>2009-12-31</v>
          </cell>
        </row>
        <row r="1143">
          <cell r="A1143" t="str">
            <v>480000</v>
          </cell>
          <cell r="B1143" t="str">
            <v>1015</v>
          </cell>
          <cell r="C1143">
            <v>479.42</v>
          </cell>
          <cell r="D1143" t="str">
            <v>205</v>
          </cell>
          <cell r="E1143" t="str">
            <v>407</v>
          </cell>
          <cell r="F1143">
            <v>0</v>
          </cell>
          <cell r="G1143">
            <v>2</v>
          </cell>
          <cell r="H1143" t="str">
            <v>2010-02-28</v>
          </cell>
        </row>
        <row r="1144">
          <cell r="A1144" t="str">
            <v>480000</v>
          </cell>
          <cell r="B1144" t="str">
            <v>1015</v>
          </cell>
          <cell r="C1144">
            <v>1568322.81</v>
          </cell>
          <cell r="D1144" t="str">
            <v>205</v>
          </cell>
          <cell r="E1144" t="str">
            <v>407</v>
          </cell>
          <cell r="F1144">
            <v>0</v>
          </cell>
          <cell r="G1144">
            <v>4</v>
          </cell>
          <cell r="H1144" t="str">
            <v>2010-04-30</v>
          </cell>
        </row>
        <row r="1145">
          <cell r="A1145" t="str">
            <v>481004</v>
          </cell>
          <cell r="B1145" t="str">
            <v>1015</v>
          </cell>
          <cell r="C1145">
            <v>565.26</v>
          </cell>
          <cell r="D1145" t="str">
            <v>205</v>
          </cell>
          <cell r="E1145" t="str">
            <v>407</v>
          </cell>
          <cell r="F1145">
            <v>0</v>
          </cell>
          <cell r="G1145">
            <v>4</v>
          </cell>
          <cell r="H1145" t="str">
            <v>2010-04-30</v>
          </cell>
        </row>
        <row r="1146">
          <cell r="A1146" t="str">
            <v>480000</v>
          </cell>
          <cell r="B1146" t="str">
            <v>1015</v>
          </cell>
          <cell r="C1146">
            <v>0</v>
          </cell>
          <cell r="D1146" t="str">
            <v>205</v>
          </cell>
          <cell r="E1146" t="str">
            <v>408</v>
          </cell>
          <cell r="F1146">
            <v>0</v>
          </cell>
          <cell r="G1146">
            <v>9</v>
          </cell>
          <cell r="H1146" t="str">
            <v>2009-09-30</v>
          </cell>
        </row>
        <row r="1147">
          <cell r="A1147" t="str">
            <v>480001</v>
          </cell>
          <cell r="B1147" t="str">
            <v>1015</v>
          </cell>
          <cell r="C1147">
            <v>-42572.7</v>
          </cell>
          <cell r="D1147" t="str">
            <v>205</v>
          </cell>
          <cell r="E1147" t="str">
            <v>453</v>
          </cell>
          <cell r="F1147">
            <v>0</v>
          </cell>
          <cell r="G1147">
            <v>11</v>
          </cell>
          <cell r="H1147" t="str">
            <v>2009-11-30</v>
          </cell>
        </row>
        <row r="1148">
          <cell r="A1148" t="str">
            <v>481006</v>
          </cell>
          <cell r="B1148" t="str">
            <v>1015</v>
          </cell>
          <cell r="C1148">
            <v>28522.78</v>
          </cell>
          <cell r="D1148" t="str">
            <v>205</v>
          </cell>
          <cell r="E1148" t="str">
            <v>453</v>
          </cell>
          <cell r="F1148">
            <v>0</v>
          </cell>
          <cell r="G1148">
            <v>12</v>
          </cell>
          <cell r="H1148" t="str">
            <v>2009-12-31</v>
          </cell>
        </row>
        <row r="1149">
          <cell r="A1149" t="str">
            <v>481006</v>
          </cell>
          <cell r="B1149" t="str">
            <v>1015</v>
          </cell>
          <cell r="C1149">
            <v>6991</v>
          </cell>
          <cell r="D1149" t="str">
            <v>205</v>
          </cell>
          <cell r="E1149" t="str">
            <v>453</v>
          </cell>
          <cell r="F1149">
            <v>0</v>
          </cell>
          <cell r="G1149">
            <v>2</v>
          </cell>
          <cell r="H1149" t="str">
            <v>2010-02-28</v>
          </cell>
        </row>
        <row r="1150">
          <cell r="A1150" t="str">
            <v>481006</v>
          </cell>
          <cell r="B1150" t="str">
            <v>1015</v>
          </cell>
          <cell r="C1150">
            <v>6781</v>
          </cell>
          <cell r="D1150" t="str">
            <v>205</v>
          </cell>
          <cell r="E1150" t="str">
            <v>453</v>
          </cell>
          <cell r="F1150">
            <v>0</v>
          </cell>
          <cell r="G1150">
            <v>3</v>
          </cell>
          <cell r="H1150" t="str">
            <v>2010-03-31</v>
          </cell>
        </row>
        <row r="1151">
          <cell r="A1151" t="str">
            <v>480000</v>
          </cell>
          <cell r="B1151" t="str">
            <v>1015</v>
          </cell>
          <cell r="C1151">
            <v>2033.46</v>
          </cell>
          <cell r="D1151" t="str">
            <v>205</v>
          </cell>
          <cell r="E1151" t="str">
            <v>453</v>
          </cell>
          <cell r="F1151">
            <v>0</v>
          </cell>
          <cell r="G1151">
            <v>9</v>
          </cell>
          <cell r="H1151" t="str">
            <v>2009-09-30</v>
          </cell>
        </row>
        <row r="1152">
          <cell r="A1152" t="str">
            <v>480000</v>
          </cell>
          <cell r="B1152" t="str">
            <v>1015</v>
          </cell>
          <cell r="C1152">
            <v>36885.699999999997</v>
          </cell>
          <cell r="D1152" t="str">
            <v>205</v>
          </cell>
          <cell r="E1152" t="str">
            <v>453</v>
          </cell>
          <cell r="F1152">
            <v>0</v>
          </cell>
          <cell r="G1152">
            <v>11</v>
          </cell>
          <cell r="H1152" t="str">
            <v>2009-11-30</v>
          </cell>
        </row>
        <row r="1153">
          <cell r="A1153" t="str">
            <v>480000</v>
          </cell>
          <cell r="B1153" t="str">
            <v>1015</v>
          </cell>
          <cell r="C1153">
            <v>62863.87</v>
          </cell>
          <cell r="D1153" t="str">
            <v>205</v>
          </cell>
          <cell r="E1153" t="str">
            <v>453</v>
          </cell>
          <cell r="F1153">
            <v>0</v>
          </cell>
          <cell r="G1153">
            <v>12</v>
          </cell>
          <cell r="H1153" t="str">
            <v>2009-12-31</v>
          </cell>
        </row>
        <row r="1154">
          <cell r="A1154" t="str">
            <v>481004</v>
          </cell>
          <cell r="B1154" t="str">
            <v>1015</v>
          </cell>
          <cell r="C1154">
            <v>38740.01</v>
          </cell>
          <cell r="D1154" t="str">
            <v>205</v>
          </cell>
          <cell r="E1154" t="str">
            <v>453</v>
          </cell>
          <cell r="F1154">
            <v>0</v>
          </cell>
          <cell r="G1154">
            <v>4</v>
          </cell>
          <cell r="H1154" t="str">
            <v>2010-04-30</v>
          </cell>
        </row>
        <row r="1155">
          <cell r="A1155" t="str">
            <v>480001</v>
          </cell>
          <cell r="B1155" t="str">
            <v>1015</v>
          </cell>
          <cell r="C1155">
            <v>10964</v>
          </cell>
          <cell r="D1155" t="str">
            <v>205</v>
          </cell>
          <cell r="E1155" t="str">
            <v>453</v>
          </cell>
          <cell r="F1155">
            <v>0</v>
          </cell>
          <cell r="G1155">
            <v>3</v>
          </cell>
          <cell r="H1155" t="str">
            <v>2010-03-31</v>
          </cell>
        </row>
        <row r="1156">
          <cell r="A1156" t="str">
            <v>481004</v>
          </cell>
          <cell r="B1156" t="str">
            <v>1015</v>
          </cell>
          <cell r="C1156">
            <v>787.42</v>
          </cell>
          <cell r="D1156" t="str">
            <v>205</v>
          </cell>
          <cell r="E1156" t="str">
            <v>453</v>
          </cell>
          <cell r="F1156">
            <v>0</v>
          </cell>
          <cell r="G1156">
            <v>9</v>
          </cell>
          <cell r="H1156" t="str">
            <v>2009-09-30</v>
          </cell>
        </row>
        <row r="1157">
          <cell r="A1157" t="str">
            <v>481004</v>
          </cell>
          <cell r="B1157" t="str">
            <v>1015</v>
          </cell>
          <cell r="C1157">
            <v>15806.48</v>
          </cell>
          <cell r="D1157" t="str">
            <v>205</v>
          </cell>
          <cell r="E1157" t="str">
            <v>453</v>
          </cell>
          <cell r="F1157">
            <v>0</v>
          </cell>
          <cell r="G1157">
            <v>11</v>
          </cell>
          <cell r="H1157" t="str">
            <v>2009-11-30</v>
          </cell>
        </row>
        <row r="1158">
          <cell r="A1158" t="str">
            <v>481004</v>
          </cell>
          <cell r="B1158" t="str">
            <v>1015</v>
          </cell>
          <cell r="C1158">
            <v>31780.22</v>
          </cell>
          <cell r="D1158" t="str">
            <v>205</v>
          </cell>
          <cell r="E1158" t="str">
            <v>453</v>
          </cell>
          <cell r="F1158">
            <v>0</v>
          </cell>
          <cell r="G1158">
            <v>12</v>
          </cell>
          <cell r="H1158" t="str">
            <v>2009-12-31</v>
          </cell>
        </row>
        <row r="1159">
          <cell r="A1159" t="str">
            <v>481004</v>
          </cell>
          <cell r="B1159" t="str">
            <v>1015</v>
          </cell>
          <cell r="C1159">
            <v>18281.349999999999</v>
          </cell>
          <cell r="D1159" t="str">
            <v>205</v>
          </cell>
          <cell r="E1159" t="str">
            <v>453</v>
          </cell>
          <cell r="F1159">
            <v>0</v>
          </cell>
          <cell r="G1159">
            <v>1</v>
          </cell>
          <cell r="H1159" t="str">
            <v>2010-01-31</v>
          </cell>
        </row>
        <row r="1160">
          <cell r="A1160" t="str">
            <v>481004</v>
          </cell>
          <cell r="B1160" t="str">
            <v>1015</v>
          </cell>
          <cell r="C1160">
            <v>33611.24</v>
          </cell>
          <cell r="D1160" t="str">
            <v>205</v>
          </cell>
          <cell r="E1160" t="str">
            <v>453</v>
          </cell>
          <cell r="F1160">
            <v>0</v>
          </cell>
          <cell r="G1160">
            <v>5</v>
          </cell>
          <cell r="H1160" t="str">
            <v>2010-05-31</v>
          </cell>
        </row>
        <row r="1161">
          <cell r="A1161" t="str">
            <v>481006</v>
          </cell>
          <cell r="B1161" t="str">
            <v>1015</v>
          </cell>
          <cell r="C1161">
            <v>-18884.48</v>
          </cell>
          <cell r="D1161" t="str">
            <v>205</v>
          </cell>
          <cell r="E1161" t="str">
            <v>453</v>
          </cell>
          <cell r="F1161">
            <v>0</v>
          </cell>
          <cell r="G1161">
            <v>11</v>
          </cell>
          <cell r="H1161" t="str">
            <v>2009-11-30</v>
          </cell>
        </row>
        <row r="1162">
          <cell r="A1162" t="str">
            <v>480001</v>
          </cell>
          <cell r="B1162" t="str">
            <v>1015</v>
          </cell>
          <cell r="C1162">
            <v>-13494</v>
          </cell>
          <cell r="D1162" t="str">
            <v>205</v>
          </cell>
          <cell r="E1162" t="str">
            <v>453</v>
          </cell>
          <cell r="F1162">
            <v>0</v>
          </cell>
          <cell r="G1162">
            <v>4</v>
          </cell>
          <cell r="H1162" t="str">
            <v>2010-04-30</v>
          </cell>
        </row>
        <row r="1163">
          <cell r="A1163" t="str">
            <v>480001</v>
          </cell>
          <cell r="B1163" t="str">
            <v>1015</v>
          </cell>
          <cell r="C1163">
            <v>12932</v>
          </cell>
          <cell r="D1163" t="str">
            <v>205</v>
          </cell>
          <cell r="E1163" t="str">
            <v>453</v>
          </cell>
          <cell r="F1163">
            <v>0</v>
          </cell>
          <cell r="G1163">
            <v>5</v>
          </cell>
          <cell r="H1163" t="str">
            <v>2010-05-31</v>
          </cell>
        </row>
        <row r="1164">
          <cell r="A1164" t="str">
            <v>481004</v>
          </cell>
          <cell r="B1164" t="str">
            <v>1015</v>
          </cell>
          <cell r="C1164">
            <v>17699.12</v>
          </cell>
          <cell r="D1164" t="str">
            <v>205</v>
          </cell>
          <cell r="E1164" t="str">
            <v>453</v>
          </cell>
          <cell r="F1164">
            <v>0</v>
          </cell>
          <cell r="G1164">
            <v>10</v>
          </cell>
          <cell r="H1164" t="str">
            <v>2009-10-31</v>
          </cell>
        </row>
        <row r="1165">
          <cell r="A1165" t="str">
            <v>481004</v>
          </cell>
          <cell r="B1165" t="str">
            <v>1015</v>
          </cell>
          <cell r="C1165">
            <v>10639.67</v>
          </cell>
          <cell r="D1165" t="str">
            <v>205</v>
          </cell>
          <cell r="E1165" t="str">
            <v>453</v>
          </cell>
          <cell r="F1165">
            <v>0</v>
          </cell>
          <cell r="G1165">
            <v>2</v>
          </cell>
          <cell r="H1165" t="str">
            <v>2010-02-28</v>
          </cell>
        </row>
        <row r="1166">
          <cell r="A1166" t="str">
            <v>481006</v>
          </cell>
          <cell r="B1166" t="str">
            <v>1015</v>
          </cell>
          <cell r="C1166">
            <v>-6687</v>
          </cell>
          <cell r="D1166" t="str">
            <v>205</v>
          </cell>
          <cell r="E1166" t="str">
            <v>453</v>
          </cell>
          <cell r="F1166">
            <v>0</v>
          </cell>
          <cell r="G1166">
            <v>4</v>
          </cell>
          <cell r="H1166" t="str">
            <v>2010-04-30</v>
          </cell>
        </row>
        <row r="1167">
          <cell r="A1167" t="str">
            <v>481004</v>
          </cell>
          <cell r="B1167" t="str">
            <v>1015</v>
          </cell>
          <cell r="C1167">
            <v>9852.2999999999993</v>
          </cell>
          <cell r="D1167" t="str">
            <v>205</v>
          </cell>
          <cell r="E1167" t="str">
            <v>453</v>
          </cell>
          <cell r="F1167">
            <v>0</v>
          </cell>
          <cell r="G1167">
            <v>7</v>
          </cell>
          <cell r="H1167" t="str">
            <v>2009-07-31</v>
          </cell>
        </row>
        <row r="1168">
          <cell r="A1168" t="str">
            <v>480000</v>
          </cell>
          <cell r="B1168" t="str">
            <v>1015</v>
          </cell>
          <cell r="C1168">
            <v>32375.200000000001</v>
          </cell>
          <cell r="D1168" t="str">
            <v>205</v>
          </cell>
          <cell r="E1168" t="str">
            <v>453</v>
          </cell>
          <cell r="F1168">
            <v>0</v>
          </cell>
          <cell r="G1168">
            <v>10</v>
          </cell>
          <cell r="H1168" t="str">
            <v>2009-10-31</v>
          </cell>
        </row>
        <row r="1169">
          <cell r="A1169" t="str">
            <v>480000</v>
          </cell>
          <cell r="B1169" t="str">
            <v>1015</v>
          </cell>
          <cell r="C1169">
            <v>40926.620000000003</v>
          </cell>
          <cell r="D1169" t="str">
            <v>205</v>
          </cell>
          <cell r="E1169" t="str">
            <v>453</v>
          </cell>
          <cell r="F1169">
            <v>0</v>
          </cell>
          <cell r="G1169">
            <v>1</v>
          </cell>
          <cell r="H1169" t="str">
            <v>2010-01-31</v>
          </cell>
        </row>
        <row r="1170">
          <cell r="A1170" t="str">
            <v>481006</v>
          </cell>
          <cell r="B1170" t="str">
            <v>1015</v>
          </cell>
          <cell r="C1170">
            <v>-24861.59</v>
          </cell>
          <cell r="D1170" t="str">
            <v>205</v>
          </cell>
          <cell r="E1170" t="str">
            <v>453</v>
          </cell>
          <cell r="F1170">
            <v>0</v>
          </cell>
          <cell r="G1170">
            <v>8</v>
          </cell>
          <cell r="H1170" t="str">
            <v>2009-08-31</v>
          </cell>
        </row>
        <row r="1171">
          <cell r="A1171" t="str">
            <v>480001</v>
          </cell>
          <cell r="B1171" t="str">
            <v>1015</v>
          </cell>
          <cell r="C1171">
            <v>39821.800000000003</v>
          </cell>
          <cell r="D1171" t="str">
            <v>205</v>
          </cell>
          <cell r="E1171" t="str">
            <v>453</v>
          </cell>
          <cell r="F1171">
            <v>0</v>
          </cell>
          <cell r="G1171">
            <v>10</v>
          </cell>
          <cell r="H1171" t="str">
            <v>2009-10-31</v>
          </cell>
        </row>
        <row r="1172">
          <cell r="A1172" t="str">
            <v>480001</v>
          </cell>
          <cell r="B1172" t="str">
            <v>1015</v>
          </cell>
          <cell r="C1172">
            <v>57821.13</v>
          </cell>
          <cell r="D1172" t="str">
            <v>205</v>
          </cell>
          <cell r="E1172" t="str">
            <v>453</v>
          </cell>
          <cell r="F1172">
            <v>0</v>
          </cell>
          <cell r="G1172">
            <v>12</v>
          </cell>
          <cell r="H1172" t="str">
            <v>2009-12-31</v>
          </cell>
        </row>
        <row r="1173">
          <cell r="A1173" t="str">
            <v>480001</v>
          </cell>
          <cell r="B1173" t="str">
            <v>1015</v>
          </cell>
          <cell r="C1173">
            <v>-3560.74</v>
          </cell>
          <cell r="D1173" t="str">
            <v>205</v>
          </cell>
          <cell r="E1173" t="str">
            <v>453</v>
          </cell>
          <cell r="F1173">
            <v>0</v>
          </cell>
          <cell r="G1173">
            <v>1</v>
          </cell>
          <cell r="H1173" t="str">
            <v>2010-01-31</v>
          </cell>
        </row>
        <row r="1174">
          <cell r="A1174" t="str">
            <v>481006</v>
          </cell>
          <cell r="B1174" t="str">
            <v>1015</v>
          </cell>
          <cell r="C1174">
            <v>-25135</v>
          </cell>
          <cell r="D1174" t="str">
            <v>205</v>
          </cell>
          <cell r="E1174" t="str">
            <v>453</v>
          </cell>
          <cell r="F1174">
            <v>0</v>
          </cell>
          <cell r="G1174">
            <v>6</v>
          </cell>
          <cell r="H1174" t="str">
            <v>2010-06-30</v>
          </cell>
        </row>
        <row r="1175">
          <cell r="A1175" t="str">
            <v>480000</v>
          </cell>
          <cell r="B1175" t="str">
            <v>1015</v>
          </cell>
          <cell r="C1175">
            <v>21978.06</v>
          </cell>
          <cell r="D1175" t="str">
            <v>205</v>
          </cell>
          <cell r="E1175" t="str">
            <v>453</v>
          </cell>
          <cell r="F1175">
            <v>0</v>
          </cell>
          <cell r="G1175">
            <v>7</v>
          </cell>
          <cell r="H1175" t="str">
            <v>2009-07-31</v>
          </cell>
        </row>
        <row r="1176">
          <cell r="A1176" t="str">
            <v>480000</v>
          </cell>
          <cell r="B1176" t="str">
            <v>1015</v>
          </cell>
          <cell r="C1176">
            <v>10267.93</v>
          </cell>
          <cell r="D1176" t="str">
            <v>205</v>
          </cell>
          <cell r="E1176" t="str">
            <v>453</v>
          </cell>
          <cell r="F1176">
            <v>0</v>
          </cell>
          <cell r="G1176">
            <v>8</v>
          </cell>
          <cell r="H1176" t="str">
            <v>2009-08-31</v>
          </cell>
        </row>
        <row r="1177">
          <cell r="A1177" t="str">
            <v>480000</v>
          </cell>
          <cell r="B1177" t="str">
            <v>1015</v>
          </cell>
          <cell r="C1177">
            <v>67559.14</v>
          </cell>
          <cell r="D1177" t="str">
            <v>205</v>
          </cell>
          <cell r="E1177" t="str">
            <v>453</v>
          </cell>
          <cell r="F1177">
            <v>0</v>
          </cell>
          <cell r="G1177">
            <v>5</v>
          </cell>
          <cell r="H1177" t="str">
            <v>2010-05-31</v>
          </cell>
        </row>
        <row r="1178">
          <cell r="A1178" t="str">
            <v>481004</v>
          </cell>
          <cell r="B1178" t="str">
            <v>1015</v>
          </cell>
          <cell r="C1178">
            <v>34063.800000000003</v>
          </cell>
          <cell r="D1178" t="str">
            <v>205</v>
          </cell>
          <cell r="E1178" t="str">
            <v>453</v>
          </cell>
          <cell r="F1178">
            <v>0</v>
          </cell>
          <cell r="G1178">
            <v>6</v>
          </cell>
          <cell r="H1178" t="str">
            <v>2010-06-30</v>
          </cell>
        </row>
        <row r="1179">
          <cell r="A1179" t="str">
            <v>481006</v>
          </cell>
          <cell r="B1179" t="str">
            <v>1015</v>
          </cell>
          <cell r="C1179">
            <v>-6241.73</v>
          </cell>
          <cell r="D1179" t="str">
            <v>205</v>
          </cell>
          <cell r="E1179" t="str">
            <v>453</v>
          </cell>
          <cell r="F1179">
            <v>0</v>
          </cell>
          <cell r="G1179">
            <v>7</v>
          </cell>
          <cell r="H1179" t="str">
            <v>2009-07-31</v>
          </cell>
        </row>
        <row r="1180">
          <cell r="A1180" t="str">
            <v>480001</v>
          </cell>
          <cell r="B1180" t="str">
            <v>1015</v>
          </cell>
          <cell r="C1180">
            <v>-60566.61</v>
          </cell>
          <cell r="D1180" t="str">
            <v>205</v>
          </cell>
          <cell r="E1180" t="str">
            <v>453</v>
          </cell>
          <cell r="F1180">
            <v>0</v>
          </cell>
          <cell r="G1180">
            <v>8</v>
          </cell>
          <cell r="H1180" t="str">
            <v>2009-08-31</v>
          </cell>
        </row>
        <row r="1181">
          <cell r="A1181" t="str">
            <v>480000</v>
          </cell>
          <cell r="B1181" t="str">
            <v>1015</v>
          </cell>
          <cell r="C1181">
            <v>23504.36</v>
          </cell>
          <cell r="D1181" t="str">
            <v>205</v>
          </cell>
          <cell r="E1181" t="str">
            <v>453</v>
          </cell>
          <cell r="F1181">
            <v>0</v>
          </cell>
          <cell r="G1181">
            <v>2</v>
          </cell>
          <cell r="H1181" t="str">
            <v>2010-02-28</v>
          </cell>
        </row>
        <row r="1182">
          <cell r="A1182" t="str">
            <v>480001</v>
          </cell>
          <cell r="B1182" t="str">
            <v>1015</v>
          </cell>
          <cell r="C1182">
            <v>11685</v>
          </cell>
          <cell r="D1182" t="str">
            <v>205</v>
          </cell>
          <cell r="E1182" t="str">
            <v>453</v>
          </cell>
          <cell r="F1182">
            <v>0</v>
          </cell>
          <cell r="G1182">
            <v>2</v>
          </cell>
          <cell r="H1182" t="str">
            <v>2010-02-28</v>
          </cell>
        </row>
        <row r="1183">
          <cell r="A1183" t="str">
            <v>480001</v>
          </cell>
          <cell r="B1183" t="str">
            <v>1015</v>
          </cell>
          <cell r="C1183">
            <v>-42255</v>
          </cell>
          <cell r="D1183" t="str">
            <v>205</v>
          </cell>
          <cell r="E1183" t="str">
            <v>453</v>
          </cell>
          <cell r="F1183">
            <v>0</v>
          </cell>
          <cell r="G1183">
            <v>6</v>
          </cell>
          <cell r="H1183" t="str">
            <v>2010-06-30</v>
          </cell>
        </row>
        <row r="1184">
          <cell r="A1184" t="str">
            <v>481004</v>
          </cell>
          <cell r="B1184" t="str">
            <v>1015</v>
          </cell>
          <cell r="C1184">
            <v>3574.39</v>
          </cell>
          <cell r="D1184" t="str">
            <v>205</v>
          </cell>
          <cell r="E1184" t="str">
            <v>453</v>
          </cell>
          <cell r="F1184">
            <v>0</v>
          </cell>
          <cell r="G1184">
            <v>8</v>
          </cell>
          <cell r="H1184" t="str">
            <v>2009-08-31</v>
          </cell>
        </row>
        <row r="1185">
          <cell r="A1185" t="str">
            <v>481004</v>
          </cell>
          <cell r="B1185" t="str">
            <v>1015</v>
          </cell>
          <cell r="C1185">
            <v>11062.7</v>
          </cell>
          <cell r="D1185" t="str">
            <v>205</v>
          </cell>
          <cell r="E1185" t="str">
            <v>453</v>
          </cell>
          <cell r="F1185">
            <v>0</v>
          </cell>
          <cell r="G1185">
            <v>3</v>
          </cell>
          <cell r="H1185" t="str">
            <v>2010-03-31</v>
          </cell>
        </row>
        <row r="1186">
          <cell r="A1186" t="str">
            <v>480000</v>
          </cell>
          <cell r="B1186" t="str">
            <v>1015</v>
          </cell>
          <cell r="C1186">
            <v>75501.53</v>
          </cell>
          <cell r="D1186" t="str">
            <v>205</v>
          </cell>
          <cell r="E1186" t="str">
            <v>453</v>
          </cell>
          <cell r="F1186">
            <v>0</v>
          </cell>
          <cell r="G1186">
            <v>4</v>
          </cell>
          <cell r="H1186" t="str">
            <v>2010-04-30</v>
          </cell>
        </row>
        <row r="1187">
          <cell r="A1187" t="str">
            <v>480001</v>
          </cell>
          <cell r="B1187" t="str">
            <v>1015</v>
          </cell>
          <cell r="C1187">
            <v>-12718.36</v>
          </cell>
          <cell r="D1187" t="str">
            <v>205</v>
          </cell>
          <cell r="E1187" t="str">
            <v>453</v>
          </cell>
          <cell r="F1187">
            <v>0</v>
          </cell>
          <cell r="G1187">
            <v>7</v>
          </cell>
          <cell r="H1187" t="str">
            <v>2009-07-31</v>
          </cell>
        </row>
        <row r="1188">
          <cell r="A1188" t="str">
            <v>480001</v>
          </cell>
          <cell r="B1188" t="str">
            <v>1015</v>
          </cell>
          <cell r="C1188">
            <v>19343.54</v>
          </cell>
          <cell r="D1188" t="str">
            <v>205</v>
          </cell>
          <cell r="E1188" t="str">
            <v>453</v>
          </cell>
          <cell r="F1188">
            <v>0</v>
          </cell>
          <cell r="G1188">
            <v>9</v>
          </cell>
          <cell r="H1188" t="str">
            <v>2009-09-30</v>
          </cell>
        </row>
        <row r="1189">
          <cell r="A1189" t="str">
            <v>481006</v>
          </cell>
          <cell r="B1189" t="str">
            <v>1015</v>
          </cell>
          <cell r="C1189">
            <v>8152.58</v>
          </cell>
          <cell r="D1189" t="str">
            <v>205</v>
          </cell>
          <cell r="E1189" t="str">
            <v>453</v>
          </cell>
          <cell r="F1189">
            <v>0</v>
          </cell>
          <cell r="G1189">
            <v>9</v>
          </cell>
          <cell r="H1189" t="str">
            <v>2009-09-30</v>
          </cell>
        </row>
        <row r="1190">
          <cell r="A1190" t="str">
            <v>481006</v>
          </cell>
          <cell r="B1190" t="str">
            <v>1015</v>
          </cell>
          <cell r="C1190">
            <v>20107.88</v>
          </cell>
          <cell r="D1190" t="str">
            <v>205</v>
          </cell>
          <cell r="E1190" t="str">
            <v>453</v>
          </cell>
          <cell r="F1190">
            <v>0</v>
          </cell>
          <cell r="G1190">
            <v>10</v>
          </cell>
          <cell r="H1190" t="str">
            <v>2009-10-31</v>
          </cell>
        </row>
        <row r="1191">
          <cell r="A1191" t="str">
            <v>481006</v>
          </cell>
          <cell r="B1191" t="str">
            <v>1015</v>
          </cell>
          <cell r="C1191">
            <v>716.15</v>
          </cell>
          <cell r="D1191" t="str">
            <v>205</v>
          </cell>
          <cell r="E1191" t="str">
            <v>453</v>
          </cell>
          <cell r="F1191">
            <v>0</v>
          </cell>
          <cell r="G1191">
            <v>1</v>
          </cell>
          <cell r="H1191" t="str">
            <v>2010-01-31</v>
          </cell>
        </row>
        <row r="1192">
          <cell r="A1192" t="str">
            <v>481006</v>
          </cell>
          <cell r="B1192" t="str">
            <v>1015</v>
          </cell>
          <cell r="C1192">
            <v>1606</v>
          </cell>
          <cell r="D1192" t="str">
            <v>205</v>
          </cell>
          <cell r="E1192" t="str">
            <v>453</v>
          </cell>
          <cell r="F1192">
            <v>0</v>
          </cell>
          <cell r="G1192">
            <v>5</v>
          </cell>
          <cell r="H1192" t="str">
            <v>2010-05-31</v>
          </cell>
        </row>
        <row r="1193">
          <cell r="A1193" t="str">
            <v>480000</v>
          </cell>
          <cell r="B1193" t="str">
            <v>1015</v>
          </cell>
          <cell r="C1193">
            <v>24098.35</v>
          </cell>
          <cell r="D1193" t="str">
            <v>205</v>
          </cell>
          <cell r="E1193" t="str">
            <v>453</v>
          </cell>
          <cell r="F1193">
            <v>0</v>
          </cell>
          <cell r="G1193">
            <v>3</v>
          </cell>
          <cell r="H1193" t="str">
            <v>2010-03-31</v>
          </cell>
        </row>
        <row r="1194">
          <cell r="A1194" t="str">
            <v>480000</v>
          </cell>
          <cell r="B1194" t="str">
            <v>1015</v>
          </cell>
          <cell r="C1194">
            <v>67171.5</v>
          </cell>
          <cell r="D1194" t="str">
            <v>205</v>
          </cell>
          <cell r="E1194" t="str">
            <v>453</v>
          </cell>
          <cell r="F1194">
            <v>0</v>
          </cell>
          <cell r="G1194">
            <v>6</v>
          </cell>
          <cell r="H1194" t="str">
            <v>2010-06-30</v>
          </cell>
        </row>
        <row r="1195">
          <cell r="A1195" t="str">
            <v>480000</v>
          </cell>
          <cell r="B1195" t="str">
            <v>1015</v>
          </cell>
          <cell r="C1195">
            <v>4.3</v>
          </cell>
          <cell r="D1195" t="str">
            <v>205</v>
          </cell>
          <cell r="E1195" t="str">
            <v>455</v>
          </cell>
          <cell r="F1195">
            <v>0</v>
          </cell>
          <cell r="G1195">
            <v>7</v>
          </cell>
          <cell r="H1195" t="str">
            <v>2009-07-31</v>
          </cell>
        </row>
        <row r="1196">
          <cell r="A1196" t="str">
            <v>481004</v>
          </cell>
          <cell r="B1196" t="str">
            <v>1015</v>
          </cell>
          <cell r="C1196">
            <v>-15.57</v>
          </cell>
          <cell r="D1196" t="str">
            <v>205</v>
          </cell>
          <cell r="E1196" t="str">
            <v>455</v>
          </cell>
          <cell r="F1196">
            <v>0</v>
          </cell>
          <cell r="G1196">
            <v>7</v>
          </cell>
          <cell r="H1196" t="str">
            <v>2009-07-31</v>
          </cell>
        </row>
        <row r="1197">
          <cell r="A1197" t="str">
            <v>481000</v>
          </cell>
          <cell r="B1197" t="str">
            <v>1015</v>
          </cell>
          <cell r="C1197">
            <v>0</v>
          </cell>
          <cell r="D1197" t="str">
            <v>210</v>
          </cell>
          <cell r="E1197" t="str">
            <v>402</v>
          </cell>
          <cell r="F1197">
            <v>0</v>
          </cell>
          <cell r="G1197">
            <v>7</v>
          </cell>
          <cell r="H1197" t="str">
            <v>2009-07-31</v>
          </cell>
        </row>
        <row r="1198">
          <cell r="A1198" t="str">
            <v>481004</v>
          </cell>
          <cell r="B1198" t="str">
            <v>1015</v>
          </cell>
          <cell r="C1198">
            <v>0</v>
          </cell>
          <cell r="D1198" t="str">
            <v>210</v>
          </cell>
          <cell r="E1198" t="str">
            <v>402</v>
          </cell>
          <cell r="F1198">
            <v>0</v>
          </cell>
          <cell r="G1198">
            <v>10</v>
          </cell>
          <cell r="H1198" t="str">
            <v>2009-10-31</v>
          </cell>
        </row>
        <row r="1199">
          <cell r="A1199" t="str">
            <v>481000</v>
          </cell>
          <cell r="B1199" t="str">
            <v>1015</v>
          </cell>
          <cell r="C1199">
            <v>0</v>
          </cell>
          <cell r="D1199" t="str">
            <v>210</v>
          </cell>
          <cell r="E1199" t="str">
            <v>402</v>
          </cell>
          <cell r="F1199">
            <v>0</v>
          </cell>
          <cell r="G1199">
            <v>11</v>
          </cell>
          <cell r="H1199" t="str">
            <v>2009-11-30</v>
          </cell>
        </row>
        <row r="1200">
          <cell r="A1200" t="str">
            <v>481000</v>
          </cell>
          <cell r="B1200" t="str">
            <v>1015</v>
          </cell>
          <cell r="C1200">
            <v>0</v>
          </cell>
          <cell r="D1200" t="str">
            <v>210</v>
          </cell>
          <cell r="E1200" t="str">
            <v>402</v>
          </cell>
          <cell r="F1200">
            <v>0</v>
          </cell>
          <cell r="G1200">
            <v>10</v>
          </cell>
          <cell r="H1200" t="str">
            <v>2009-10-31</v>
          </cell>
        </row>
        <row r="1201">
          <cell r="A1201" t="str">
            <v>481000</v>
          </cell>
          <cell r="B1201" t="str">
            <v>1015</v>
          </cell>
          <cell r="C1201">
            <v>0</v>
          </cell>
          <cell r="D1201" t="str">
            <v>210</v>
          </cell>
          <cell r="E1201" t="str">
            <v>402</v>
          </cell>
          <cell r="F1201">
            <v>0</v>
          </cell>
          <cell r="G1201">
            <v>8</v>
          </cell>
          <cell r="H1201" t="str">
            <v>2009-08-31</v>
          </cell>
        </row>
        <row r="1202">
          <cell r="A1202" t="str">
            <v>481004</v>
          </cell>
          <cell r="B1202" t="str">
            <v>1015</v>
          </cell>
          <cell r="C1202">
            <v>0</v>
          </cell>
          <cell r="D1202" t="str">
            <v>210</v>
          </cell>
          <cell r="E1202" t="str">
            <v>402</v>
          </cell>
          <cell r="F1202">
            <v>0</v>
          </cell>
          <cell r="G1202">
            <v>7</v>
          </cell>
          <cell r="H1202" t="str">
            <v>2009-07-31</v>
          </cell>
        </row>
        <row r="1203">
          <cell r="A1203" t="str">
            <v>481004</v>
          </cell>
          <cell r="B1203" t="str">
            <v>1015</v>
          </cell>
          <cell r="C1203">
            <v>0</v>
          </cell>
          <cell r="D1203" t="str">
            <v>210</v>
          </cell>
          <cell r="E1203" t="str">
            <v>402</v>
          </cell>
          <cell r="F1203">
            <v>0</v>
          </cell>
          <cell r="G1203">
            <v>8</v>
          </cell>
          <cell r="H1203" t="str">
            <v>2009-08-31</v>
          </cell>
        </row>
        <row r="1204">
          <cell r="A1204" t="str">
            <v>481000</v>
          </cell>
          <cell r="B1204" t="str">
            <v>1015</v>
          </cell>
          <cell r="C1204">
            <v>0</v>
          </cell>
          <cell r="D1204" t="str">
            <v>210</v>
          </cell>
          <cell r="E1204" t="str">
            <v>402</v>
          </cell>
          <cell r="F1204">
            <v>0</v>
          </cell>
          <cell r="G1204">
            <v>9</v>
          </cell>
          <cell r="H1204" t="str">
            <v>2009-09-30</v>
          </cell>
        </row>
        <row r="1205">
          <cell r="A1205" t="str">
            <v>481004</v>
          </cell>
          <cell r="B1205" t="str">
            <v>1015</v>
          </cell>
          <cell r="C1205">
            <v>0</v>
          </cell>
          <cell r="D1205" t="str">
            <v>210</v>
          </cell>
          <cell r="E1205" t="str">
            <v>402</v>
          </cell>
          <cell r="F1205">
            <v>0</v>
          </cell>
          <cell r="G1205">
            <v>9</v>
          </cell>
          <cell r="H1205" t="str">
            <v>2009-09-30</v>
          </cell>
        </row>
        <row r="1206">
          <cell r="A1206" t="str">
            <v>481004</v>
          </cell>
          <cell r="B1206" t="str">
            <v>1015</v>
          </cell>
          <cell r="C1206">
            <v>0</v>
          </cell>
          <cell r="D1206" t="str">
            <v>210</v>
          </cell>
          <cell r="E1206" t="str">
            <v>402</v>
          </cell>
          <cell r="F1206">
            <v>0</v>
          </cell>
          <cell r="G1206">
            <v>12</v>
          </cell>
          <cell r="H1206" t="str">
            <v>2009-12-31</v>
          </cell>
        </row>
        <row r="1207">
          <cell r="A1207" t="str">
            <v>481004</v>
          </cell>
          <cell r="B1207" t="str">
            <v>1015</v>
          </cell>
          <cell r="C1207">
            <v>0</v>
          </cell>
          <cell r="D1207" t="str">
            <v>210</v>
          </cell>
          <cell r="E1207" t="str">
            <v>402</v>
          </cell>
          <cell r="F1207">
            <v>0</v>
          </cell>
          <cell r="G1207">
            <v>11</v>
          </cell>
          <cell r="H1207" t="str">
            <v>2009-11-30</v>
          </cell>
        </row>
        <row r="1208">
          <cell r="A1208" t="str">
            <v>481000</v>
          </cell>
          <cell r="B1208" t="str">
            <v>1015</v>
          </cell>
          <cell r="C1208">
            <v>0</v>
          </cell>
          <cell r="D1208" t="str">
            <v>210</v>
          </cell>
          <cell r="E1208" t="str">
            <v>402</v>
          </cell>
          <cell r="F1208">
            <v>0</v>
          </cell>
          <cell r="G1208">
            <v>12</v>
          </cell>
          <cell r="H1208" t="str">
            <v>2009-12-31</v>
          </cell>
        </row>
        <row r="1209">
          <cell r="A1209" t="str">
            <v>480000</v>
          </cell>
          <cell r="B1209" t="str">
            <v>1015</v>
          </cell>
          <cell r="C1209">
            <v>2033.58</v>
          </cell>
          <cell r="D1209" t="str">
            <v>210</v>
          </cell>
          <cell r="E1209" t="str">
            <v>407</v>
          </cell>
          <cell r="F1209">
            <v>169.1</v>
          </cell>
          <cell r="G1209">
            <v>8</v>
          </cell>
          <cell r="H1209" t="str">
            <v>2009-08-31</v>
          </cell>
        </row>
        <row r="1210">
          <cell r="A1210" t="str">
            <v>481004</v>
          </cell>
          <cell r="B1210" t="str">
            <v>1015</v>
          </cell>
          <cell r="C1210">
            <v>720.54</v>
          </cell>
          <cell r="D1210" t="str">
            <v>210</v>
          </cell>
          <cell r="E1210" t="str">
            <v>407</v>
          </cell>
          <cell r="F1210">
            <v>102.6</v>
          </cell>
          <cell r="G1210">
            <v>3</v>
          </cell>
          <cell r="H1210" t="str">
            <v>2010-03-31</v>
          </cell>
        </row>
        <row r="1211">
          <cell r="A1211" t="str">
            <v>480000</v>
          </cell>
          <cell r="B1211" t="str">
            <v>1015</v>
          </cell>
          <cell r="C1211">
            <v>40.72</v>
          </cell>
          <cell r="D1211" t="str">
            <v>210</v>
          </cell>
          <cell r="E1211" t="str">
            <v>407</v>
          </cell>
          <cell r="F1211">
            <v>0</v>
          </cell>
          <cell r="G1211">
            <v>12</v>
          </cell>
          <cell r="H1211" t="str">
            <v>2009-12-31</v>
          </cell>
        </row>
        <row r="1212">
          <cell r="A1212" t="str">
            <v>480001</v>
          </cell>
          <cell r="B1212" t="str">
            <v>1015</v>
          </cell>
          <cell r="C1212">
            <v>-1671.98</v>
          </cell>
          <cell r="D1212" t="str">
            <v>210</v>
          </cell>
          <cell r="E1212" t="str">
            <v>407</v>
          </cell>
          <cell r="F1212">
            <v>0</v>
          </cell>
          <cell r="G1212">
            <v>7</v>
          </cell>
          <cell r="H1212" t="str">
            <v>2009-07-31</v>
          </cell>
        </row>
        <row r="1213">
          <cell r="A1213" t="str">
            <v>480001</v>
          </cell>
          <cell r="B1213" t="str">
            <v>1015</v>
          </cell>
          <cell r="C1213">
            <v>-2033.58</v>
          </cell>
          <cell r="D1213" t="str">
            <v>210</v>
          </cell>
          <cell r="E1213" t="str">
            <v>407</v>
          </cell>
          <cell r="F1213">
            <v>-169.1</v>
          </cell>
          <cell r="G1213">
            <v>8</v>
          </cell>
          <cell r="H1213" t="str">
            <v>2009-08-31</v>
          </cell>
        </row>
        <row r="1214">
          <cell r="A1214" t="str">
            <v>480001</v>
          </cell>
          <cell r="B1214" t="str">
            <v>1015</v>
          </cell>
          <cell r="C1214">
            <v>-40.72</v>
          </cell>
          <cell r="D1214" t="str">
            <v>210</v>
          </cell>
          <cell r="E1214" t="str">
            <v>407</v>
          </cell>
          <cell r="F1214">
            <v>0</v>
          </cell>
          <cell r="G1214">
            <v>12</v>
          </cell>
          <cell r="H1214" t="str">
            <v>2009-12-31</v>
          </cell>
        </row>
        <row r="1215">
          <cell r="A1215" t="str">
            <v>480000</v>
          </cell>
          <cell r="B1215" t="str">
            <v>1015</v>
          </cell>
          <cell r="C1215">
            <v>1671.98</v>
          </cell>
          <cell r="D1215" t="str">
            <v>210</v>
          </cell>
          <cell r="E1215" t="str">
            <v>407</v>
          </cell>
          <cell r="F1215">
            <v>0</v>
          </cell>
          <cell r="G1215">
            <v>7</v>
          </cell>
          <cell r="H1215" t="str">
            <v>2009-07-31</v>
          </cell>
        </row>
        <row r="1216">
          <cell r="A1216" t="str">
            <v>481004</v>
          </cell>
          <cell r="B1216" t="str">
            <v>1015</v>
          </cell>
          <cell r="C1216">
            <v>4857.1499999999996</v>
          </cell>
          <cell r="D1216" t="str">
            <v>210</v>
          </cell>
          <cell r="E1216" t="str">
            <v>407</v>
          </cell>
          <cell r="F1216">
            <v>687.5</v>
          </cell>
          <cell r="G1216">
            <v>2</v>
          </cell>
          <cell r="H1216" t="str">
            <v>2010-02-28</v>
          </cell>
        </row>
        <row r="1217">
          <cell r="A1217" t="str">
            <v>481004</v>
          </cell>
          <cell r="B1217" t="str">
            <v>1015</v>
          </cell>
          <cell r="C1217">
            <v>0</v>
          </cell>
          <cell r="D1217" t="str">
            <v>210</v>
          </cell>
          <cell r="E1217" t="str">
            <v>451</v>
          </cell>
          <cell r="F1217">
            <v>0</v>
          </cell>
          <cell r="G1217">
            <v>7</v>
          </cell>
          <cell r="H1217" t="str">
            <v>2009-07-31</v>
          </cell>
        </row>
        <row r="1218">
          <cell r="A1218" t="str">
            <v>481004</v>
          </cell>
          <cell r="B1218" t="str">
            <v>1015</v>
          </cell>
          <cell r="C1218">
            <v>0</v>
          </cell>
          <cell r="D1218" t="str">
            <v>210</v>
          </cell>
          <cell r="E1218" t="str">
            <v>451</v>
          </cell>
          <cell r="F1218">
            <v>0</v>
          </cell>
          <cell r="G1218">
            <v>11</v>
          </cell>
          <cell r="H1218" t="str">
            <v>2009-11-30</v>
          </cell>
        </row>
        <row r="1219">
          <cell r="A1219" t="str">
            <v>481000</v>
          </cell>
          <cell r="B1219" t="str">
            <v>1015</v>
          </cell>
          <cell r="C1219">
            <v>0</v>
          </cell>
          <cell r="D1219" t="str">
            <v>210</v>
          </cell>
          <cell r="E1219" t="str">
            <v>451</v>
          </cell>
          <cell r="F1219">
            <v>0</v>
          </cell>
          <cell r="G1219">
            <v>9</v>
          </cell>
          <cell r="H1219" t="str">
            <v>2009-09-30</v>
          </cell>
        </row>
        <row r="1220">
          <cell r="A1220" t="str">
            <v>481004</v>
          </cell>
          <cell r="B1220" t="str">
            <v>1015</v>
          </cell>
          <cell r="C1220">
            <v>0</v>
          </cell>
          <cell r="D1220" t="str">
            <v>210</v>
          </cell>
          <cell r="E1220" t="str">
            <v>451</v>
          </cell>
          <cell r="F1220">
            <v>0</v>
          </cell>
          <cell r="G1220">
            <v>9</v>
          </cell>
          <cell r="H1220" t="str">
            <v>2009-09-30</v>
          </cell>
        </row>
        <row r="1221">
          <cell r="A1221" t="str">
            <v>481000</v>
          </cell>
          <cell r="B1221" t="str">
            <v>1015</v>
          </cell>
          <cell r="C1221">
            <v>0</v>
          </cell>
          <cell r="D1221" t="str">
            <v>210</v>
          </cell>
          <cell r="E1221" t="str">
            <v>451</v>
          </cell>
          <cell r="F1221">
            <v>0</v>
          </cell>
          <cell r="G1221">
            <v>12</v>
          </cell>
          <cell r="H1221" t="str">
            <v>2009-12-31</v>
          </cell>
        </row>
        <row r="1222">
          <cell r="A1222" t="str">
            <v>481004</v>
          </cell>
          <cell r="B1222" t="str">
            <v>1015</v>
          </cell>
          <cell r="C1222">
            <v>0</v>
          </cell>
          <cell r="D1222" t="str">
            <v>210</v>
          </cell>
          <cell r="E1222" t="str">
            <v>451</v>
          </cell>
          <cell r="F1222">
            <v>0</v>
          </cell>
          <cell r="G1222">
            <v>8</v>
          </cell>
          <cell r="H1222" t="str">
            <v>2009-08-31</v>
          </cell>
        </row>
        <row r="1223">
          <cell r="A1223" t="str">
            <v>481000</v>
          </cell>
          <cell r="B1223" t="str">
            <v>1015</v>
          </cell>
          <cell r="C1223">
            <v>0</v>
          </cell>
          <cell r="D1223" t="str">
            <v>210</v>
          </cell>
          <cell r="E1223" t="str">
            <v>451</v>
          </cell>
          <cell r="F1223">
            <v>0</v>
          </cell>
          <cell r="G1223">
            <v>7</v>
          </cell>
          <cell r="H1223" t="str">
            <v>2009-07-31</v>
          </cell>
        </row>
        <row r="1224">
          <cell r="A1224" t="str">
            <v>481000</v>
          </cell>
          <cell r="B1224" t="str">
            <v>1015</v>
          </cell>
          <cell r="C1224">
            <v>0</v>
          </cell>
          <cell r="D1224" t="str">
            <v>210</v>
          </cell>
          <cell r="E1224" t="str">
            <v>451</v>
          </cell>
          <cell r="F1224">
            <v>0</v>
          </cell>
          <cell r="G1224">
            <v>11</v>
          </cell>
          <cell r="H1224" t="str">
            <v>2009-11-30</v>
          </cell>
        </row>
        <row r="1225">
          <cell r="A1225" t="str">
            <v>481004</v>
          </cell>
          <cell r="B1225" t="str">
            <v>1015</v>
          </cell>
          <cell r="C1225">
            <v>0</v>
          </cell>
          <cell r="D1225" t="str">
            <v>210</v>
          </cell>
          <cell r="E1225" t="str">
            <v>451</v>
          </cell>
          <cell r="F1225">
            <v>0</v>
          </cell>
          <cell r="G1225">
            <v>12</v>
          </cell>
          <cell r="H1225" t="str">
            <v>2009-12-31</v>
          </cell>
        </row>
        <row r="1226">
          <cell r="A1226" t="str">
            <v>481000</v>
          </cell>
          <cell r="B1226" t="str">
            <v>1015</v>
          </cell>
          <cell r="C1226">
            <v>0</v>
          </cell>
          <cell r="D1226" t="str">
            <v>210</v>
          </cell>
          <cell r="E1226" t="str">
            <v>451</v>
          </cell>
          <cell r="F1226">
            <v>0</v>
          </cell>
          <cell r="G1226">
            <v>8</v>
          </cell>
          <cell r="H1226" t="str">
            <v>2009-08-31</v>
          </cell>
        </row>
        <row r="1227">
          <cell r="A1227" t="str">
            <v>481000</v>
          </cell>
          <cell r="B1227" t="str">
            <v>1015</v>
          </cell>
          <cell r="C1227">
            <v>0</v>
          </cell>
          <cell r="D1227" t="str">
            <v>210</v>
          </cell>
          <cell r="E1227" t="str">
            <v>451</v>
          </cell>
          <cell r="F1227">
            <v>0</v>
          </cell>
          <cell r="G1227">
            <v>10</v>
          </cell>
          <cell r="H1227" t="str">
            <v>2009-10-31</v>
          </cell>
        </row>
        <row r="1228">
          <cell r="A1228" t="str">
            <v>481004</v>
          </cell>
          <cell r="B1228" t="str">
            <v>1015</v>
          </cell>
          <cell r="C1228">
            <v>0</v>
          </cell>
          <cell r="D1228" t="str">
            <v>210</v>
          </cell>
          <cell r="E1228" t="str">
            <v>451</v>
          </cell>
          <cell r="F1228">
            <v>0</v>
          </cell>
          <cell r="G1228">
            <v>10</v>
          </cell>
          <cell r="H1228" t="str">
            <v>2009-10-31</v>
          </cell>
        </row>
        <row r="1229">
          <cell r="A1229" t="str">
            <v>481006</v>
          </cell>
          <cell r="B1229" t="str">
            <v>1015</v>
          </cell>
          <cell r="C1229">
            <v>-1429.65</v>
          </cell>
          <cell r="D1229" t="str">
            <v>210</v>
          </cell>
          <cell r="E1229" t="str">
            <v>453</v>
          </cell>
          <cell r="F1229">
            <v>-198</v>
          </cell>
          <cell r="G1229">
            <v>8</v>
          </cell>
          <cell r="H1229" t="str">
            <v>2009-08-31</v>
          </cell>
        </row>
        <row r="1230">
          <cell r="A1230" t="str">
            <v>480000</v>
          </cell>
          <cell r="B1230" t="str">
            <v>1015</v>
          </cell>
          <cell r="C1230">
            <v>7.16</v>
          </cell>
          <cell r="D1230" t="str">
            <v>210</v>
          </cell>
          <cell r="E1230" t="str">
            <v>453</v>
          </cell>
          <cell r="F1230">
            <v>0</v>
          </cell>
          <cell r="G1230">
            <v>8</v>
          </cell>
          <cell r="H1230" t="str">
            <v>2009-08-31</v>
          </cell>
        </row>
        <row r="1231">
          <cell r="A1231" t="str">
            <v>481004</v>
          </cell>
          <cell r="B1231" t="str">
            <v>1015</v>
          </cell>
          <cell r="C1231">
            <v>1429.65</v>
          </cell>
          <cell r="D1231" t="str">
            <v>210</v>
          </cell>
          <cell r="E1231" t="str">
            <v>453</v>
          </cell>
          <cell r="F1231">
            <v>198</v>
          </cell>
          <cell r="G1231">
            <v>8</v>
          </cell>
          <cell r="H1231" t="str">
            <v>2009-08-31</v>
          </cell>
        </row>
        <row r="1232">
          <cell r="A1232" t="str">
            <v>480001</v>
          </cell>
          <cell r="B1232" t="str">
            <v>1015</v>
          </cell>
          <cell r="C1232">
            <v>-7.16</v>
          </cell>
          <cell r="D1232" t="str">
            <v>210</v>
          </cell>
          <cell r="E1232" t="str">
            <v>453</v>
          </cell>
          <cell r="F1232">
            <v>0</v>
          </cell>
          <cell r="G1232">
            <v>8</v>
          </cell>
          <cell r="H1232" t="str">
            <v>2009-08-31</v>
          </cell>
        </row>
        <row r="1233">
          <cell r="A1233" t="str">
            <v>480004</v>
          </cell>
          <cell r="B1233" t="str">
            <v>1015</v>
          </cell>
          <cell r="C1233">
            <v>158298.88</v>
          </cell>
          <cell r="D1233" t="str">
            <v>215</v>
          </cell>
          <cell r="E1233" t="str">
            <v>CET</v>
          </cell>
          <cell r="F1233">
            <v>0</v>
          </cell>
          <cell r="G1233">
            <v>7</v>
          </cell>
          <cell r="H1233" t="str">
            <v>2009-07-31</v>
          </cell>
        </row>
        <row r="1234">
          <cell r="A1234" t="str">
            <v>480004</v>
          </cell>
          <cell r="B1234" t="str">
            <v>1015</v>
          </cell>
          <cell r="C1234">
            <v>-589040.35</v>
          </cell>
          <cell r="D1234" t="str">
            <v>215</v>
          </cell>
          <cell r="E1234" t="str">
            <v>CET</v>
          </cell>
          <cell r="F1234">
            <v>0</v>
          </cell>
          <cell r="G1234">
            <v>4</v>
          </cell>
          <cell r="H1234" t="str">
            <v>2010-04-30</v>
          </cell>
        </row>
        <row r="1235">
          <cell r="A1235" t="str">
            <v>480004</v>
          </cell>
          <cell r="B1235" t="str">
            <v>1015</v>
          </cell>
          <cell r="C1235">
            <v>75129.09</v>
          </cell>
          <cell r="D1235" t="str">
            <v>215</v>
          </cell>
          <cell r="E1235" t="str">
            <v>WY-CET</v>
          </cell>
          <cell r="F1235">
            <v>0</v>
          </cell>
          <cell r="G1235">
            <v>10</v>
          </cell>
          <cell r="H1235" t="str">
            <v>2009-10-31</v>
          </cell>
        </row>
        <row r="1236">
          <cell r="A1236" t="str">
            <v>480004</v>
          </cell>
          <cell r="B1236" t="str">
            <v>1015</v>
          </cell>
          <cell r="C1236">
            <v>118445.66</v>
          </cell>
          <cell r="D1236" t="str">
            <v>215</v>
          </cell>
          <cell r="E1236" t="str">
            <v>CET</v>
          </cell>
          <cell r="F1236">
            <v>0</v>
          </cell>
          <cell r="G1236">
            <v>11</v>
          </cell>
          <cell r="H1236" t="str">
            <v>2009-11-30</v>
          </cell>
        </row>
        <row r="1237">
          <cell r="A1237" t="str">
            <v>480004</v>
          </cell>
          <cell r="B1237" t="str">
            <v>1015</v>
          </cell>
          <cell r="C1237">
            <v>-2937</v>
          </cell>
          <cell r="D1237" t="str">
            <v>215</v>
          </cell>
          <cell r="E1237" t="str">
            <v>WY-CET</v>
          </cell>
          <cell r="F1237">
            <v>0</v>
          </cell>
          <cell r="G1237">
            <v>12</v>
          </cell>
          <cell r="H1237" t="str">
            <v>2009-12-31</v>
          </cell>
        </row>
        <row r="1238">
          <cell r="A1238" t="str">
            <v>480004</v>
          </cell>
          <cell r="B1238" t="str">
            <v>1015</v>
          </cell>
          <cell r="C1238">
            <v>18322.21</v>
          </cell>
          <cell r="D1238" t="str">
            <v>215</v>
          </cell>
          <cell r="E1238" t="str">
            <v>WY-CET</v>
          </cell>
          <cell r="F1238">
            <v>0</v>
          </cell>
          <cell r="G1238">
            <v>4</v>
          </cell>
          <cell r="H1238" t="str">
            <v>2010-04-30</v>
          </cell>
        </row>
        <row r="1239">
          <cell r="A1239" t="str">
            <v>480004</v>
          </cell>
          <cell r="B1239" t="str">
            <v>1015</v>
          </cell>
          <cell r="C1239">
            <v>-57420.3</v>
          </cell>
          <cell r="D1239" t="str">
            <v>215</v>
          </cell>
          <cell r="E1239" t="str">
            <v>WY-CET</v>
          </cell>
          <cell r="F1239">
            <v>0</v>
          </cell>
          <cell r="G1239">
            <v>5</v>
          </cell>
          <cell r="H1239" t="str">
            <v>2010-05-31</v>
          </cell>
        </row>
        <row r="1240">
          <cell r="A1240" t="str">
            <v>480004</v>
          </cell>
          <cell r="B1240" t="str">
            <v>1015</v>
          </cell>
          <cell r="C1240">
            <v>-866125.26</v>
          </cell>
          <cell r="D1240" t="str">
            <v>215</v>
          </cell>
          <cell r="E1240" t="str">
            <v>CET</v>
          </cell>
          <cell r="F1240">
            <v>0</v>
          </cell>
          <cell r="G1240">
            <v>6</v>
          </cell>
          <cell r="H1240" t="str">
            <v>2010-06-30</v>
          </cell>
        </row>
        <row r="1241">
          <cell r="A1241" t="str">
            <v>480004</v>
          </cell>
          <cell r="B1241" t="str">
            <v>1015</v>
          </cell>
          <cell r="C1241">
            <v>2685179.54</v>
          </cell>
          <cell r="D1241" t="str">
            <v>215</v>
          </cell>
          <cell r="E1241" t="str">
            <v>CET</v>
          </cell>
          <cell r="F1241">
            <v>0</v>
          </cell>
          <cell r="G1241">
            <v>3</v>
          </cell>
          <cell r="H1241" t="str">
            <v>2010-03-31</v>
          </cell>
        </row>
        <row r="1242">
          <cell r="A1242" t="str">
            <v>480004</v>
          </cell>
          <cell r="B1242" t="str">
            <v>1015</v>
          </cell>
          <cell r="C1242">
            <v>169494.74</v>
          </cell>
          <cell r="D1242" t="str">
            <v>215</v>
          </cell>
          <cell r="E1242" t="str">
            <v>WY-CET</v>
          </cell>
          <cell r="F1242">
            <v>0</v>
          </cell>
          <cell r="G1242">
            <v>8</v>
          </cell>
          <cell r="H1242" t="str">
            <v>2009-08-31</v>
          </cell>
        </row>
        <row r="1243">
          <cell r="A1243" t="str">
            <v>480004</v>
          </cell>
          <cell r="B1243" t="str">
            <v>1015</v>
          </cell>
          <cell r="C1243">
            <v>-857027.21</v>
          </cell>
          <cell r="D1243" t="str">
            <v>215</v>
          </cell>
          <cell r="E1243" t="str">
            <v>CET</v>
          </cell>
          <cell r="F1243">
            <v>0</v>
          </cell>
          <cell r="G1243">
            <v>9</v>
          </cell>
          <cell r="H1243" t="str">
            <v>2009-09-30</v>
          </cell>
        </row>
        <row r="1244">
          <cell r="A1244" t="str">
            <v>480004</v>
          </cell>
          <cell r="B1244" t="str">
            <v>1015</v>
          </cell>
          <cell r="C1244">
            <v>-36009.08</v>
          </cell>
          <cell r="D1244" t="str">
            <v>215</v>
          </cell>
          <cell r="E1244" t="str">
            <v>WY-CET</v>
          </cell>
          <cell r="F1244">
            <v>0</v>
          </cell>
          <cell r="G1244">
            <v>9</v>
          </cell>
          <cell r="H1244" t="str">
            <v>2009-09-30</v>
          </cell>
        </row>
        <row r="1245">
          <cell r="A1245" t="str">
            <v>480004</v>
          </cell>
          <cell r="B1245" t="str">
            <v>1015</v>
          </cell>
          <cell r="C1245">
            <v>1119002.45</v>
          </cell>
          <cell r="D1245" t="str">
            <v>215</v>
          </cell>
          <cell r="E1245" t="str">
            <v>CET</v>
          </cell>
          <cell r="F1245">
            <v>0</v>
          </cell>
          <cell r="G1245">
            <v>10</v>
          </cell>
          <cell r="H1245" t="str">
            <v>2009-10-31</v>
          </cell>
        </row>
        <row r="1246">
          <cell r="A1246" t="str">
            <v>480004</v>
          </cell>
          <cell r="B1246" t="str">
            <v>1015</v>
          </cell>
          <cell r="C1246">
            <v>-48575.09</v>
          </cell>
          <cell r="D1246" t="str">
            <v>215</v>
          </cell>
          <cell r="E1246" t="str">
            <v>WY-CET</v>
          </cell>
          <cell r="F1246">
            <v>0</v>
          </cell>
          <cell r="G1246">
            <v>11</v>
          </cell>
          <cell r="H1246" t="str">
            <v>2009-11-30</v>
          </cell>
        </row>
        <row r="1247">
          <cell r="A1247" t="str">
            <v>480004</v>
          </cell>
          <cell r="B1247" t="str">
            <v>1015</v>
          </cell>
          <cell r="C1247">
            <v>-93034.11</v>
          </cell>
          <cell r="D1247" t="str">
            <v>215</v>
          </cell>
          <cell r="E1247" t="str">
            <v>WY-CET</v>
          </cell>
          <cell r="F1247">
            <v>0</v>
          </cell>
          <cell r="G1247">
            <v>3</v>
          </cell>
          <cell r="H1247" t="str">
            <v>2010-03-31</v>
          </cell>
        </row>
        <row r="1248">
          <cell r="A1248" t="str">
            <v>480004</v>
          </cell>
          <cell r="B1248" t="str">
            <v>1015</v>
          </cell>
          <cell r="C1248">
            <v>-2742685.05</v>
          </cell>
          <cell r="D1248" t="str">
            <v>215</v>
          </cell>
          <cell r="E1248" t="str">
            <v>CET</v>
          </cell>
          <cell r="F1248">
            <v>0</v>
          </cell>
          <cell r="G1248">
            <v>5</v>
          </cell>
          <cell r="H1248" t="str">
            <v>2010-05-31</v>
          </cell>
        </row>
        <row r="1249">
          <cell r="A1249" t="str">
            <v>480004</v>
          </cell>
          <cell r="B1249" t="str">
            <v>1015</v>
          </cell>
          <cell r="C1249">
            <v>2536798.08</v>
          </cell>
          <cell r="D1249" t="str">
            <v>215</v>
          </cell>
          <cell r="E1249" t="str">
            <v>CET</v>
          </cell>
          <cell r="F1249">
            <v>0</v>
          </cell>
          <cell r="G1249">
            <v>8</v>
          </cell>
          <cell r="H1249" t="str">
            <v>2009-08-31</v>
          </cell>
        </row>
        <row r="1250">
          <cell r="A1250" t="str">
            <v>480004</v>
          </cell>
          <cell r="B1250" t="str">
            <v>1015</v>
          </cell>
          <cell r="C1250">
            <v>-781504.09</v>
          </cell>
          <cell r="D1250" t="str">
            <v>215</v>
          </cell>
          <cell r="E1250" t="str">
            <v>CET</v>
          </cell>
          <cell r="F1250">
            <v>0</v>
          </cell>
          <cell r="G1250">
            <v>1</v>
          </cell>
          <cell r="H1250" t="str">
            <v>2010-01-31</v>
          </cell>
        </row>
        <row r="1251">
          <cell r="A1251" t="str">
            <v>480004</v>
          </cell>
          <cell r="B1251" t="str">
            <v>1015</v>
          </cell>
          <cell r="C1251">
            <v>-97164.75</v>
          </cell>
          <cell r="D1251" t="str">
            <v>215</v>
          </cell>
          <cell r="E1251" t="str">
            <v>WY-CET</v>
          </cell>
          <cell r="F1251">
            <v>0</v>
          </cell>
          <cell r="G1251">
            <v>1</v>
          </cell>
          <cell r="H1251" t="str">
            <v>2010-01-31</v>
          </cell>
        </row>
        <row r="1252">
          <cell r="A1252" t="str">
            <v>480004</v>
          </cell>
          <cell r="B1252" t="str">
            <v>1015</v>
          </cell>
          <cell r="C1252">
            <v>-1313940.77</v>
          </cell>
          <cell r="D1252" t="str">
            <v>215</v>
          </cell>
          <cell r="E1252" t="str">
            <v>CET</v>
          </cell>
          <cell r="F1252">
            <v>0</v>
          </cell>
          <cell r="G1252">
            <v>2</v>
          </cell>
          <cell r="H1252" t="str">
            <v>2010-02-28</v>
          </cell>
        </row>
        <row r="1253">
          <cell r="A1253" t="str">
            <v>480004</v>
          </cell>
          <cell r="B1253" t="str">
            <v>1015</v>
          </cell>
          <cell r="C1253">
            <v>-4447.08</v>
          </cell>
          <cell r="D1253" t="str">
            <v>215</v>
          </cell>
          <cell r="E1253" t="str">
            <v>WY-CET</v>
          </cell>
          <cell r="F1253">
            <v>0</v>
          </cell>
          <cell r="G1253">
            <v>7</v>
          </cell>
          <cell r="H1253" t="str">
            <v>2009-07-31</v>
          </cell>
        </row>
        <row r="1254">
          <cell r="A1254" t="str">
            <v>480004</v>
          </cell>
          <cell r="B1254" t="str">
            <v>1015</v>
          </cell>
          <cell r="C1254">
            <v>3449981.86</v>
          </cell>
          <cell r="D1254" t="str">
            <v>215</v>
          </cell>
          <cell r="E1254" t="str">
            <v>CET</v>
          </cell>
          <cell r="F1254">
            <v>0</v>
          </cell>
          <cell r="G1254">
            <v>12</v>
          </cell>
          <cell r="H1254" t="str">
            <v>2009-12-31</v>
          </cell>
        </row>
        <row r="1255">
          <cell r="A1255" t="str">
            <v>480004</v>
          </cell>
          <cell r="B1255" t="str">
            <v>1015</v>
          </cell>
          <cell r="C1255">
            <v>-177802.72</v>
          </cell>
          <cell r="D1255" t="str">
            <v>215</v>
          </cell>
          <cell r="E1255" t="str">
            <v>WY-CET</v>
          </cell>
          <cell r="F1255">
            <v>0</v>
          </cell>
          <cell r="G1255">
            <v>2</v>
          </cell>
          <cell r="H1255" t="str">
            <v>2010-02-28</v>
          </cell>
        </row>
        <row r="1256">
          <cell r="A1256" t="str">
            <v>480004</v>
          </cell>
          <cell r="B1256" t="str">
            <v>1015</v>
          </cell>
          <cell r="C1256">
            <v>-11366.69</v>
          </cell>
          <cell r="D1256" t="str">
            <v>215</v>
          </cell>
          <cell r="E1256" t="str">
            <v>WY-CET</v>
          </cell>
          <cell r="F1256">
            <v>0</v>
          </cell>
          <cell r="G1256">
            <v>6</v>
          </cell>
          <cell r="H1256" t="str">
            <v>2010-06-30</v>
          </cell>
        </row>
        <row r="1257">
          <cell r="A1257" t="str">
            <v>480005</v>
          </cell>
          <cell r="B1257" t="str">
            <v>1015</v>
          </cell>
          <cell r="C1257">
            <v>-450992.28</v>
          </cell>
          <cell r="D1257" t="str">
            <v>216</v>
          </cell>
          <cell r="E1257" t="str">
            <v>407</v>
          </cell>
          <cell r="F1257">
            <v>0</v>
          </cell>
          <cell r="G1257">
            <v>9</v>
          </cell>
          <cell r="H1257" t="str">
            <v>2009-09-30</v>
          </cell>
        </row>
        <row r="1258">
          <cell r="A1258" t="str">
            <v>480005</v>
          </cell>
          <cell r="B1258" t="str">
            <v>1015</v>
          </cell>
          <cell r="C1258">
            <v>-2775026.15</v>
          </cell>
          <cell r="D1258" t="str">
            <v>216</v>
          </cell>
          <cell r="E1258" t="str">
            <v>407</v>
          </cell>
          <cell r="F1258">
            <v>0</v>
          </cell>
          <cell r="G1258">
            <v>10</v>
          </cell>
          <cell r="H1258" t="str">
            <v>2009-10-31</v>
          </cell>
        </row>
        <row r="1259">
          <cell r="A1259" t="str">
            <v>480005</v>
          </cell>
          <cell r="B1259" t="str">
            <v>1015</v>
          </cell>
          <cell r="C1259">
            <v>-6895.72</v>
          </cell>
          <cell r="D1259" t="str">
            <v>216</v>
          </cell>
          <cell r="E1259" t="str">
            <v>407</v>
          </cell>
          <cell r="F1259">
            <v>0</v>
          </cell>
          <cell r="G1259">
            <v>4</v>
          </cell>
          <cell r="H1259" t="str">
            <v>2010-04-30</v>
          </cell>
        </row>
        <row r="1260">
          <cell r="A1260" t="str">
            <v>480005</v>
          </cell>
          <cell r="B1260" t="str">
            <v>1015</v>
          </cell>
          <cell r="C1260">
            <v>-4958.7299999999996</v>
          </cell>
          <cell r="D1260" t="str">
            <v>216</v>
          </cell>
          <cell r="E1260" t="str">
            <v>407</v>
          </cell>
          <cell r="F1260">
            <v>0</v>
          </cell>
          <cell r="G1260">
            <v>5</v>
          </cell>
          <cell r="H1260" t="str">
            <v>2010-05-31</v>
          </cell>
        </row>
        <row r="1261">
          <cell r="A1261" t="str">
            <v>480005</v>
          </cell>
          <cell r="B1261" t="str">
            <v>1015</v>
          </cell>
          <cell r="C1261">
            <v>0</v>
          </cell>
          <cell r="D1261" t="str">
            <v>216W</v>
          </cell>
          <cell r="E1261" t="str">
            <v>407</v>
          </cell>
          <cell r="F1261">
            <v>0</v>
          </cell>
          <cell r="G1261">
            <v>6</v>
          </cell>
          <cell r="H1261" t="str">
            <v>2010-06-30</v>
          </cell>
        </row>
        <row r="1262">
          <cell r="A1262" t="str">
            <v>480005</v>
          </cell>
          <cell r="B1262" t="str">
            <v>1015</v>
          </cell>
          <cell r="C1262">
            <v>-489731.94</v>
          </cell>
          <cell r="D1262" t="str">
            <v>216</v>
          </cell>
          <cell r="E1262" t="str">
            <v>407</v>
          </cell>
          <cell r="F1262">
            <v>0</v>
          </cell>
          <cell r="G1262">
            <v>7</v>
          </cell>
          <cell r="H1262" t="str">
            <v>2009-07-31</v>
          </cell>
        </row>
        <row r="1263">
          <cell r="A1263" t="str">
            <v>480005</v>
          </cell>
          <cell r="B1263" t="str">
            <v>1015</v>
          </cell>
          <cell r="C1263">
            <v>-6158.6</v>
          </cell>
          <cell r="D1263" t="str">
            <v>216</v>
          </cell>
          <cell r="E1263" t="str">
            <v>407</v>
          </cell>
          <cell r="F1263">
            <v>0</v>
          </cell>
          <cell r="G1263">
            <v>10</v>
          </cell>
          <cell r="H1263" t="str">
            <v>2009-10-31</v>
          </cell>
        </row>
        <row r="1264">
          <cell r="A1264" t="str">
            <v>480005</v>
          </cell>
          <cell r="B1264" t="str">
            <v>1015</v>
          </cell>
          <cell r="C1264">
            <v>-8535068.5</v>
          </cell>
          <cell r="D1264" t="str">
            <v>216</v>
          </cell>
          <cell r="E1264" t="str">
            <v>407</v>
          </cell>
          <cell r="F1264">
            <v>0</v>
          </cell>
          <cell r="G1264">
            <v>12</v>
          </cell>
          <cell r="H1264" t="str">
            <v>2009-12-31</v>
          </cell>
        </row>
        <row r="1265">
          <cell r="A1265" t="str">
            <v>480005</v>
          </cell>
          <cell r="B1265" t="str">
            <v>1015</v>
          </cell>
          <cell r="C1265">
            <v>-1262436.31</v>
          </cell>
          <cell r="D1265" t="str">
            <v>216</v>
          </cell>
          <cell r="E1265" t="str">
            <v>407</v>
          </cell>
          <cell r="F1265">
            <v>0</v>
          </cell>
          <cell r="G1265">
            <v>5</v>
          </cell>
          <cell r="H1265" t="str">
            <v>2010-05-31</v>
          </cell>
        </row>
        <row r="1266">
          <cell r="A1266" t="str">
            <v>480005</v>
          </cell>
          <cell r="B1266" t="str">
            <v>1015</v>
          </cell>
          <cell r="C1266">
            <v>-462432.11</v>
          </cell>
          <cell r="D1266" t="str">
            <v>216</v>
          </cell>
          <cell r="E1266" t="str">
            <v>407</v>
          </cell>
          <cell r="F1266">
            <v>0</v>
          </cell>
          <cell r="G1266">
            <v>8</v>
          </cell>
          <cell r="H1266" t="str">
            <v>2009-08-31</v>
          </cell>
        </row>
        <row r="1267">
          <cell r="A1267" t="str">
            <v>480005</v>
          </cell>
          <cell r="B1267" t="str">
            <v>1015</v>
          </cell>
          <cell r="C1267">
            <v>-871.55</v>
          </cell>
          <cell r="D1267" t="str">
            <v>216</v>
          </cell>
          <cell r="E1267" t="str">
            <v>407</v>
          </cell>
          <cell r="F1267">
            <v>0</v>
          </cell>
          <cell r="G1267">
            <v>6</v>
          </cell>
          <cell r="H1267" t="str">
            <v>2010-06-30</v>
          </cell>
        </row>
        <row r="1268">
          <cell r="A1268" t="str">
            <v>480005</v>
          </cell>
          <cell r="B1268" t="str">
            <v>1015</v>
          </cell>
          <cell r="C1268">
            <v>-861.21</v>
          </cell>
          <cell r="D1268" t="str">
            <v>216</v>
          </cell>
          <cell r="E1268" t="str">
            <v>407</v>
          </cell>
          <cell r="F1268">
            <v>0</v>
          </cell>
          <cell r="G1268">
            <v>7</v>
          </cell>
          <cell r="H1268" t="str">
            <v>2009-07-31</v>
          </cell>
        </row>
        <row r="1269">
          <cell r="A1269" t="str">
            <v>480005</v>
          </cell>
          <cell r="B1269" t="str">
            <v>1015</v>
          </cell>
          <cell r="C1269">
            <v>-5655680.9699999997</v>
          </cell>
          <cell r="D1269" t="str">
            <v>216</v>
          </cell>
          <cell r="E1269" t="str">
            <v>407</v>
          </cell>
          <cell r="F1269">
            <v>0</v>
          </cell>
          <cell r="G1269">
            <v>2</v>
          </cell>
          <cell r="H1269" t="str">
            <v>2010-02-28</v>
          </cell>
        </row>
        <row r="1270">
          <cell r="A1270" t="str">
            <v>480005</v>
          </cell>
          <cell r="B1270" t="str">
            <v>1015</v>
          </cell>
          <cell r="C1270">
            <v>-945705.57</v>
          </cell>
          <cell r="D1270" t="str">
            <v>216</v>
          </cell>
          <cell r="E1270" t="str">
            <v>407</v>
          </cell>
          <cell r="F1270">
            <v>0</v>
          </cell>
          <cell r="G1270">
            <v>6</v>
          </cell>
          <cell r="H1270" t="str">
            <v>2010-06-30</v>
          </cell>
        </row>
        <row r="1271">
          <cell r="A1271" t="str">
            <v>480005</v>
          </cell>
          <cell r="B1271" t="str">
            <v>1015</v>
          </cell>
          <cell r="C1271">
            <v>-4172933.08</v>
          </cell>
          <cell r="D1271" t="str">
            <v>216</v>
          </cell>
          <cell r="E1271" t="str">
            <v>407</v>
          </cell>
          <cell r="F1271">
            <v>0</v>
          </cell>
          <cell r="G1271">
            <v>11</v>
          </cell>
          <cell r="H1271" t="str">
            <v>2009-11-30</v>
          </cell>
        </row>
        <row r="1272">
          <cell r="A1272" t="str">
            <v>480005</v>
          </cell>
          <cell r="B1272" t="str">
            <v>1015</v>
          </cell>
          <cell r="C1272">
            <v>-9930.61</v>
          </cell>
          <cell r="D1272" t="str">
            <v>216</v>
          </cell>
          <cell r="E1272" t="str">
            <v>407</v>
          </cell>
          <cell r="F1272">
            <v>0</v>
          </cell>
          <cell r="G1272">
            <v>11</v>
          </cell>
          <cell r="H1272" t="str">
            <v>2009-11-30</v>
          </cell>
        </row>
        <row r="1273">
          <cell r="A1273" t="str">
            <v>480005</v>
          </cell>
          <cell r="B1273" t="str">
            <v>1015</v>
          </cell>
          <cell r="C1273">
            <v>-1084.6600000000001</v>
          </cell>
          <cell r="D1273" t="str">
            <v>216</v>
          </cell>
          <cell r="E1273" t="str">
            <v>407</v>
          </cell>
          <cell r="F1273">
            <v>0</v>
          </cell>
          <cell r="G1273">
            <v>8</v>
          </cell>
          <cell r="H1273" t="str">
            <v>2009-08-31</v>
          </cell>
        </row>
        <row r="1274">
          <cell r="A1274" t="str">
            <v>480005</v>
          </cell>
          <cell r="B1274" t="str">
            <v>1015</v>
          </cell>
          <cell r="C1274">
            <v>-770.65</v>
          </cell>
          <cell r="D1274" t="str">
            <v>216</v>
          </cell>
          <cell r="E1274" t="str">
            <v>407</v>
          </cell>
          <cell r="F1274">
            <v>0</v>
          </cell>
          <cell r="G1274">
            <v>9</v>
          </cell>
          <cell r="H1274" t="str">
            <v>2009-09-30</v>
          </cell>
        </row>
        <row r="1275">
          <cell r="A1275" t="str">
            <v>480005</v>
          </cell>
          <cell r="B1275" t="str">
            <v>1015</v>
          </cell>
          <cell r="C1275">
            <v>-15804.84</v>
          </cell>
          <cell r="D1275" t="str">
            <v>216</v>
          </cell>
          <cell r="E1275" t="str">
            <v>407</v>
          </cell>
          <cell r="F1275">
            <v>0</v>
          </cell>
          <cell r="G1275">
            <v>12</v>
          </cell>
          <cell r="H1275" t="str">
            <v>2009-12-31</v>
          </cell>
        </row>
        <row r="1276">
          <cell r="A1276" t="str">
            <v>480005</v>
          </cell>
          <cell r="B1276" t="str">
            <v>1015</v>
          </cell>
          <cell r="C1276">
            <v>-3441488.52</v>
          </cell>
          <cell r="D1276" t="str">
            <v>216</v>
          </cell>
          <cell r="E1276" t="str">
            <v>407</v>
          </cell>
          <cell r="F1276">
            <v>0</v>
          </cell>
          <cell r="G1276">
            <v>4</v>
          </cell>
          <cell r="H1276" t="str">
            <v>2010-04-30</v>
          </cell>
        </row>
        <row r="1277">
          <cell r="A1277" t="str">
            <v>480005</v>
          </cell>
          <cell r="B1277" t="str">
            <v>1015</v>
          </cell>
          <cell r="C1277">
            <v>-7621557.9800000004</v>
          </cell>
          <cell r="D1277" t="str">
            <v>216</v>
          </cell>
          <cell r="E1277" t="str">
            <v>407</v>
          </cell>
          <cell r="F1277">
            <v>0</v>
          </cell>
          <cell r="G1277">
            <v>1</v>
          </cell>
          <cell r="H1277" t="str">
            <v>2010-01-31</v>
          </cell>
        </row>
        <row r="1278">
          <cell r="A1278" t="str">
            <v>480005</v>
          </cell>
          <cell r="B1278" t="str">
            <v>1015</v>
          </cell>
          <cell r="C1278">
            <v>-14222.04</v>
          </cell>
          <cell r="D1278" t="str">
            <v>216</v>
          </cell>
          <cell r="E1278" t="str">
            <v>407</v>
          </cell>
          <cell r="F1278">
            <v>0</v>
          </cell>
          <cell r="G1278">
            <v>1</v>
          </cell>
          <cell r="H1278" t="str">
            <v>2010-01-31</v>
          </cell>
        </row>
        <row r="1279">
          <cell r="A1279" t="str">
            <v>480005</v>
          </cell>
          <cell r="B1279" t="str">
            <v>1015</v>
          </cell>
          <cell r="C1279">
            <v>-10730.27</v>
          </cell>
          <cell r="D1279" t="str">
            <v>216</v>
          </cell>
          <cell r="E1279" t="str">
            <v>407</v>
          </cell>
          <cell r="F1279">
            <v>0</v>
          </cell>
          <cell r="G1279">
            <v>2</v>
          </cell>
          <cell r="H1279" t="str">
            <v>2010-02-28</v>
          </cell>
        </row>
        <row r="1280">
          <cell r="A1280" t="str">
            <v>480005</v>
          </cell>
          <cell r="B1280" t="str">
            <v>1015</v>
          </cell>
          <cell r="C1280">
            <v>-4944103.22</v>
          </cell>
          <cell r="D1280" t="str">
            <v>216</v>
          </cell>
          <cell r="E1280" t="str">
            <v>407</v>
          </cell>
          <cell r="F1280">
            <v>0</v>
          </cell>
          <cell r="G1280">
            <v>3</v>
          </cell>
          <cell r="H1280" t="str">
            <v>2010-03-31</v>
          </cell>
        </row>
        <row r="1281">
          <cell r="A1281" t="str">
            <v>480005</v>
          </cell>
          <cell r="B1281" t="str">
            <v>1015</v>
          </cell>
          <cell r="C1281">
            <v>-7810.31</v>
          </cell>
          <cell r="D1281" t="str">
            <v>216</v>
          </cell>
          <cell r="E1281" t="str">
            <v>407</v>
          </cell>
          <cell r="F1281">
            <v>0</v>
          </cell>
          <cell r="G1281">
            <v>3</v>
          </cell>
          <cell r="H1281" t="str">
            <v>2010-03-31</v>
          </cell>
        </row>
        <row r="1282">
          <cell r="A1282" t="str">
            <v>480005</v>
          </cell>
          <cell r="B1282" t="str">
            <v>1015</v>
          </cell>
          <cell r="C1282">
            <v>0</v>
          </cell>
          <cell r="D1282" t="str">
            <v>216</v>
          </cell>
          <cell r="E1282" t="str">
            <v>408</v>
          </cell>
          <cell r="F1282">
            <v>0</v>
          </cell>
          <cell r="G1282">
            <v>9</v>
          </cell>
          <cell r="H1282" t="str">
            <v>2009-09-30</v>
          </cell>
        </row>
        <row r="1283">
          <cell r="A1283" t="str">
            <v>480005</v>
          </cell>
          <cell r="B1283" t="str">
            <v>1015</v>
          </cell>
          <cell r="C1283">
            <v>-4990.59</v>
          </cell>
          <cell r="D1283" t="str">
            <v>216W</v>
          </cell>
          <cell r="E1283" t="str">
            <v>453</v>
          </cell>
          <cell r="F1283">
            <v>0</v>
          </cell>
          <cell r="G1283">
            <v>6</v>
          </cell>
          <cell r="H1283" t="str">
            <v>2010-06-30</v>
          </cell>
        </row>
        <row r="1284">
          <cell r="A1284" t="str">
            <v>489304</v>
          </cell>
          <cell r="B1284" t="str">
            <v>1015</v>
          </cell>
          <cell r="C1284">
            <v>-291658.95</v>
          </cell>
          <cell r="D1284" t="str">
            <v>250</v>
          </cell>
          <cell r="E1284" t="str">
            <v>405</v>
          </cell>
          <cell r="F1284">
            <v>-1148770</v>
          </cell>
          <cell r="G1284">
            <v>9</v>
          </cell>
          <cell r="H1284" t="str">
            <v>2009-09-30</v>
          </cell>
        </row>
        <row r="1285">
          <cell r="A1285" t="str">
            <v>489304</v>
          </cell>
          <cell r="B1285" t="str">
            <v>1015</v>
          </cell>
          <cell r="C1285">
            <v>-287561.18</v>
          </cell>
          <cell r="D1285" t="str">
            <v>250</v>
          </cell>
          <cell r="E1285" t="str">
            <v>405</v>
          </cell>
          <cell r="F1285">
            <v>-2177372</v>
          </cell>
          <cell r="G1285">
            <v>3</v>
          </cell>
          <cell r="H1285" t="str">
            <v>2010-03-31</v>
          </cell>
        </row>
        <row r="1286">
          <cell r="A1286" t="str">
            <v>489300</v>
          </cell>
          <cell r="B1286" t="str">
            <v>1015</v>
          </cell>
          <cell r="C1286">
            <v>-69973.87</v>
          </cell>
          <cell r="D1286" t="str">
            <v>250</v>
          </cell>
          <cell r="E1286" t="str">
            <v>405</v>
          </cell>
          <cell r="F1286">
            <v>-339993</v>
          </cell>
          <cell r="G1286">
            <v>11</v>
          </cell>
          <cell r="H1286" t="str">
            <v>2009-11-30</v>
          </cell>
        </row>
        <row r="1287">
          <cell r="A1287" t="str">
            <v>489300</v>
          </cell>
          <cell r="B1287" t="str">
            <v>1015</v>
          </cell>
          <cell r="C1287">
            <v>-87987.56</v>
          </cell>
          <cell r="D1287" t="str">
            <v>250</v>
          </cell>
          <cell r="E1287" t="str">
            <v>405</v>
          </cell>
          <cell r="F1287">
            <v>-482408</v>
          </cell>
          <cell r="G1287">
            <v>1</v>
          </cell>
          <cell r="H1287" t="str">
            <v>2010-01-31</v>
          </cell>
        </row>
        <row r="1288">
          <cell r="A1288" t="str">
            <v>489300</v>
          </cell>
          <cell r="B1288" t="str">
            <v>1015</v>
          </cell>
          <cell r="C1288">
            <v>-70178.679999999993</v>
          </cell>
          <cell r="D1288" t="str">
            <v>250</v>
          </cell>
          <cell r="E1288" t="str">
            <v>405</v>
          </cell>
          <cell r="F1288">
            <v>-343108</v>
          </cell>
          <cell r="G1288">
            <v>4</v>
          </cell>
          <cell r="H1288" t="str">
            <v>2010-04-30</v>
          </cell>
        </row>
        <row r="1289">
          <cell r="A1289" t="str">
            <v>489304</v>
          </cell>
          <cell r="B1289" t="str">
            <v>1015</v>
          </cell>
          <cell r="C1289">
            <v>-363511.34</v>
          </cell>
          <cell r="D1289" t="str">
            <v>250</v>
          </cell>
          <cell r="E1289" t="str">
            <v>405</v>
          </cell>
          <cell r="F1289">
            <v>-2469889</v>
          </cell>
          <cell r="G1289">
            <v>7</v>
          </cell>
          <cell r="H1289" t="str">
            <v>2009-07-31</v>
          </cell>
        </row>
        <row r="1290">
          <cell r="A1290" t="str">
            <v>489304</v>
          </cell>
          <cell r="B1290" t="str">
            <v>1015</v>
          </cell>
          <cell r="C1290">
            <v>-275339.95</v>
          </cell>
          <cell r="D1290" t="str">
            <v>250</v>
          </cell>
          <cell r="E1290" t="str">
            <v>405</v>
          </cell>
          <cell r="F1290">
            <v>-1848781</v>
          </cell>
          <cell r="G1290">
            <v>4</v>
          </cell>
          <cell r="H1290" t="str">
            <v>2010-04-30</v>
          </cell>
        </row>
        <row r="1291">
          <cell r="A1291" t="str">
            <v>489300</v>
          </cell>
          <cell r="B1291" t="str">
            <v>1015</v>
          </cell>
          <cell r="C1291">
            <v>-60362.94</v>
          </cell>
          <cell r="D1291" t="str">
            <v>250</v>
          </cell>
          <cell r="E1291" t="str">
            <v>405</v>
          </cell>
          <cell r="F1291">
            <v>-286859</v>
          </cell>
          <cell r="G1291">
            <v>7</v>
          </cell>
          <cell r="H1291" t="str">
            <v>2009-07-31</v>
          </cell>
        </row>
        <row r="1292">
          <cell r="A1292" t="str">
            <v>489300</v>
          </cell>
          <cell r="B1292" t="str">
            <v>1015</v>
          </cell>
          <cell r="C1292">
            <v>-66576.160000000003</v>
          </cell>
          <cell r="D1292" t="str">
            <v>250</v>
          </cell>
          <cell r="E1292" t="str">
            <v>405</v>
          </cell>
          <cell r="F1292">
            <v>-320002</v>
          </cell>
          <cell r="G1292">
            <v>2</v>
          </cell>
          <cell r="H1292" t="str">
            <v>2010-02-28</v>
          </cell>
        </row>
        <row r="1293">
          <cell r="A1293" t="str">
            <v>489304</v>
          </cell>
          <cell r="B1293" t="str">
            <v>1015</v>
          </cell>
          <cell r="C1293">
            <v>-406514.8</v>
          </cell>
          <cell r="D1293" t="str">
            <v>250</v>
          </cell>
          <cell r="E1293" t="str">
            <v>405</v>
          </cell>
          <cell r="F1293">
            <v>-2945854</v>
          </cell>
          <cell r="G1293">
            <v>12</v>
          </cell>
          <cell r="H1293" t="str">
            <v>2009-12-31</v>
          </cell>
        </row>
        <row r="1294">
          <cell r="A1294" t="str">
            <v>489300</v>
          </cell>
          <cell r="B1294" t="str">
            <v>1015</v>
          </cell>
          <cell r="C1294">
            <v>-63161.21</v>
          </cell>
          <cell r="D1294" t="str">
            <v>250</v>
          </cell>
          <cell r="E1294" t="str">
            <v>405</v>
          </cell>
          <cell r="F1294">
            <v>-311176</v>
          </cell>
          <cell r="G1294">
            <v>9</v>
          </cell>
          <cell r="H1294" t="str">
            <v>2009-09-30</v>
          </cell>
        </row>
        <row r="1295">
          <cell r="A1295" t="str">
            <v>489300</v>
          </cell>
          <cell r="B1295" t="str">
            <v>1015</v>
          </cell>
          <cell r="C1295">
            <v>-109550.93</v>
          </cell>
          <cell r="D1295" t="str">
            <v>250</v>
          </cell>
          <cell r="E1295" t="str">
            <v>405</v>
          </cell>
          <cell r="F1295">
            <v>-641454</v>
          </cell>
          <cell r="G1295">
            <v>12</v>
          </cell>
          <cell r="H1295" t="str">
            <v>2009-12-31</v>
          </cell>
        </row>
        <row r="1296">
          <cell r="A1296" t="str">
            <v>489304</v>
          </cell>
          <cell r="B1296" t="str">
            <v>1015</v>
          </cell>
          <cell r="C1296">
            <v>-343948.77</v>
          </cell>
          <cell r="D1296" t="str">
            <v>250</v>
          </cell>
          <cell r="E1296" t="str">
            <v>405</v>
          </cell>
          <cell r="F1296">
            <v>-2008060</v>
          </cell>
          <cell r="G1296">
            <v>8</v>
          </cell>
          <cell r="H1296" t="str">
            <v>2009-08-31</v>
          </cell>
        </row>
        <row r="1297">
          <cell r="A1297" t="str">
            <v>489304</v>
          </cell>
          <cell r="B1297" t="str">
            <v>1015</v>
          </cell>
          <cell r="C1297">
            <v>-275549.42</v>
          </cell>
          <cell r="D1297" t="str">
            <v>250</v>
          </cell>
          <cell r="E1297" t="str">
            <v>405</v>
          </cell>
          <cell r="F1297">
            <v>-2000760</v>
          </cell>
          <cell r="G1297">
            <v>2</v>
          </cell>
          <cell r="H1297" t="str">
            <v>2010-02-28</v>
          </cell>
        </row>
        <row r="1298">
          <cell r="A1298" t="str">
            <v>489304</v>
          </cell>
          <cell r="B1298" t="str">
            <v>1015</v>
          </cell>
          <cell r="C1298">
            <v>-253942.64</v>
          </cell>
          <cell r="D1298" t="str">
            <v>250</v>
          </cell>
          <cell r="E1298" t="str">
            <v>405</v>
          </cell>
          <cell r="F1298">
            <v>-1598412</v>
          </cell>
          <cell r="G1298">
            <v>5</v>
          </cell>
          <cell r="H1298" t="str">
            <v>2010-05-31</v>
          </cell>
        </row>
        <row r="1299">
          <cell r="A1299" t="str">
            <v>489300</v>
          </cell>
          <cell r="B1299" t="str">
            <v>1015</v>
          </cell>
          <cell r="C1299">
            <v>-75835.06</v>
          </cell>
          <cell r="D1299" t="str">
            <v>250</v>
          </cell>
          <cell r="E1299" t="str">
            <v>405</v>
          </cell>
          <cell r="F1299">
            <v>-401168</v>
          </cell>
          <cell r="G1299">
            <v>3</v>
          </cell>
          <cell r="H1299" t="str">
            <v>2010-03-31</v>
          </cell>
        </row>
        <row r="1300">
          <cell r="A1300" t="str">
            <v>489304</v>
          </cell>
          <cell r="B1300" t="str">
            <v>1015</v>
          </cell>
          <cell r="C1300">
            <v>-314883.42</v>
          </cell>
          <cell r="D1300" t="str">
            <v>250</v>
          </cell>
          <cell r="E1300" t="str">
            <v>405</v>
          </cell>
          <cell r="F1300">
            <v>-947057</v>
          </cell>
          <cell r="G1300">
            <v>10</v>
          </cell>
          <cell r="H1300" t="str">
            <v>2009-10-31</v>
          </cell>
        </row>
        <row r="1301">
          <cell r="A1301" t="str">
            <v>489304</v>
          </cell>
          <cell r="B1301" t="str">
            <v>1015</v>
          </cell>
          <cell r="C1301">
            <v>-293035.84000000003</v>
          </cell>
          <cell r="D1301" t="str">
            <v>250</v>
          </cell>
          <cell r="E1301" t="str">
            <v>405</v>
          </cell>
          <cell r="F1301">
            <v>-2317089</v>
          </cell>
          <cell r="G1301">
            <v>1</v>
          </cell>
          <cell r="H1301" t="str">
            <v>2010-01-31</v>
          </cell>
        </row>
        <row r="1302">
          <cell r="A1302" t="str">
            <v>489300</v>
          </cell>
          <cell r="B1302" t="str">
            <v>1015</v>
          </cell>
          <cell r="C1302">
            <v>-68937.59</v>
          </cell>
          <cell r="D1302" t="str">
            <v>250</v>
          </cell>
          <cell r="E1302" t="str">
            <v>405</v>
          </cell>
          <cell r="F1302">
            <v>-348838</v>
          </cell>
          <cell r="G1302">
            <v>8</v>
          </cell>
          <cell r="H1302" t="str">
            <v>2009-08-31</v>
          </cell>
        </row>
        <row r="1303">
          <cell r="A1303" t="str">
            <v>489300</v>
          </cell>
          <cell r="B1303" t="str">
            <v>1015</v>
          </cell>
          <cell r="C1303">
            <v>-76883.520000000004</v>
          </cell>
          <cell r="D1303" t="str">
            <v>250</v>
          </cell>
          <cell r="E1303" t="str">
            <v>405</v>
          </cell>
          <cell r="F1303">
            <v>-375049</v>
          </cell>
          <cell r="G1303">
            <v>10</v>
          </cell>
          <cell r="H1303" t="str">
            <v>2009-10-31</v>
          </cell>
        </row>
        <row r="1304">
          <cell r="A1304" t="str">
            <v>489304</v>
          </cell>
          <cell r="B1304" t="str">
            <v>1015</v>
          </cell>
          <cell r="C1304">
            <v>-918115.23</v>
          </cell>
          <cell r="D1304" t="str">
            <v>250</v>
          </cell>
          <cell r="E1304" t="str">
            <v>405</v>
          </cell>
          <cell r="F1304">
            <v>-1506190</v>
          </cell>
          <cell r="G1304">
            <v>11</v>
          </cell>
          <cell r="H1304" t="str">
            <v>2009-11-30</v>
          </cell>
        </row>
        <row r="1305">
          <cell r="A1305" t="str">
            <v>489300</v>
          </cell>
          <cell r="B1305" t="str">
            <v>1015</v>
          </cell>
          <cell r="C1305">
            <v>-58241.98</v>
          </cell>
          <cell r="D1305" t="str">
            <v>250</v>
          </cell>
          <cell r="E1305" t="str">
            <v>405</v>
          </cell>
          <cell r="F1305">
            <v>-264124</v>
          </cell>
          <cell r="G1305">
            <v>6</v>
          </cell>
          <cell r="H1305" t="str">
            <v>2010-06-30</v>
          </cell>
        </row>
        <row r="1306">
          <cell r="A1306" t="str">
            <v>489304</v>
          </cell>
          <cell r="B1306" t="str">
            <v>1015</v>
          </cell>
          <cell r="C1306">
            <v>-248055.98</v>
          </cell>
          <cell r="D1306" t="str">
            <v>250</v>
          </cell>
          <cell r="E1306" t="str">
            <v>405</v>
          </cell>
          <cell r="F1306">
            <v>-1231416</v>
          </cell>
          <cell r="G1306">
            <v>6</v>
          </cell>
          <cell r="H1306" t="str">
            <v>2010-06-30</v>
          </cell>
        </row>
        <row r="1307">
          <cell r="A1307" t="str">
            <v>489300</v>
          </cell>
          <cell r="B1307" t="str">
            <v>1015</v>
          </cell>
          <cell r="C1307">
            <v>-65674.06</v>
          </cell>
          <cell r="D1307" t="str">
            <v>250</v>
          </cell>
          <cell r="E1307" t="str">
            <v>405</v>
          </cell>
          <cell r="F1307">
            <v>-319440</v>
          </cell>
          <cell r="G1307">
            <v>5</v>
          </cell>
          <cell r="H1307" t="str">
            <v>2010-05-31</v>
          </cell>
        </row>
        <row r="1308">
          <cell r="A1308" t="str">
            <v>489300</v>
          </cell>
          <cell r="B1308" t="str">
            <v>1015</v>
          </cell>
          <cell r="C1308">
            <v>-334721.03999999998</v>
          </cell>
          <cell r="D1308" t="str">
            <v>250</v>
          </cell>
          <cell r="E1308" t="str">
            <v>406</v>
          </cell>
          <cell r="F1308">
            <v>-1598038</v>
          </cell>
          <cell r="G1308">
            <v>8</v>
          </cell>
          <cell r="H1308" t="str">
            <v>2009-08-31</v>
          </cell>
        </row>
        <row r="1309">
          <cell r="A1309" t="str">
            <v>489300</v>
          </cell>
          <cell r="B1309" t="str">
            <v>1015</v>
          </cell>
          <cell r="C1309">
            <v>-338349.27</v>
          </cell>
          <cell r="D1309" t="str">
            <v>250</v>
          </cell>
          <cell r="E1309" t="str">
            <v>406</v>
          </cell>
          <cell r="F1309">
            <v>-1613755</v>
          </cell>
          <cell r="G1309">
            <v>9</v>
          </cell>
          <cell r="H1309" t="str">
            <v>2009-09-30</v>
          </cell>
        </row>
        <row r="1310">
          <cell r="A1310" t="str">
            <v>489300</v>
          </cell>
          <cell r="B1310" t="str">
            <v>1015</v>
          </cell>
          <cell r="C1310">
            <v>-466127.07</v>
          </cell>
          <cell r="D1310" t="str">
            <v>250</v>
          </cell>
          <cell r="E1310" t="str">
            <v>406</v>
          </cell>
          <cell r="F1310">
            <v>-2159776</v>
          </cell>
          <cell r="G1310">
            <v>1</v>
          </cell>
          <cell r="H1310" t="str">
            <v>2010-01-31</v>
          </cell>
        </row>
        <row r="1311">
          <cell r="A1311" t="str">
            <v>489304</v>
          </cell>
          <cell r="B1311" t="str">
            <v>1015</v>
          </cell>
          <cell r="C1311">
            <v>-144079.79999999999</v>
          </cell>
          <cell r="D1311" t="str">
            <v>250</v>
          </cell>
          <cell r="E1311" t="str">
            <v>406</v>
          </cell>
          <cell r="F1311">
            <v>-609776</v>
          </cell>
          <cell r="G1311">
            <v>4</v>
          </cell>
          <cell r="H1311" t="str">
            <v>2010-04-30</v>
          </cell>
        </row>
        <row r="1312">
          <cell r="A1312" t="str">
            <v>489304</v>
          </cell>
          <cell r="B1312" t="str">
            <v>1015</v>
          </cell>
          <cell r="C1312">
            <v>-132041.71</v>
          </cell>
          <cell r="D1312" t="str">
            <v>250</v>
          </cell>
          <cell r="E1312" t="str">
            <v>406</v>
          </cell>
          <cell r="F1312">
            <v>-549846</v>
          </cell>
          <cell r="G1312">
            <v>5</v>
          </cell>
          <cell r="H1312" t="str">
            <v>2010-05-31</v>
          </cell>
        </row>
        <row r="1313">
          <cell r="A1313" t="str">
            <v>489304</v>
          </cell>
          <cell r="B1313" t="str">
            <v>1015</v>
          </cell>
          <cell r="C1313">
            <v>-154878.34</v>
          </cell>
          <cell r="D1313" t="str">
            <v>250</v>
          </cell>
          <cell r="E1313" t="str">
            <v>406</v>
          </cell>
          <cell r="F1313">
            <v>-684599</v>
          </cell>
          <cell r="G1313">
            <v>11</v>
          </cell>
          <cell r="H1313" t="str">
            <v>2009-11-30</v>
          </cell>
        </row>
        <row r="1314">
          <cell r="A1314" t="str">
            <v>489304</v>
          </cell>
          <cell r="B1314" t="str">
            <v>1015</v>
          </cell>
          <cell r="C1314">
            <v>-182684.11</v>
          </cell>
          <cell r="D1314" t="str">
            <v>250</v>
          </cell>
          <cell r="E1314" t="str">
            <v>406</v>
          </cell>
          <cell r="F1314">
            <v>-857280</v>
          </cell>
          <cell r="G1314">
            <v>12</v>
          </cell>
          <cell r="H1314" t="str">
            <v>2009-12-31</v>
          </cell>
        </row>
        <row r="1315">
          <cell r="A1315" t="str">
            <v>489304</v>
          </cell>
          <cell r="B1315" t="str">
            <v>1015</v>
          </cell>
          <cell r="C1315">
            <v>-202731.03</v>
          </cell>
          <cell r="D1315" t="str">
            <v>250</v>
          </cell>
          <cell r="E1315" t="str">
            <v>406</v>
          </cell>
          <cell r="F1315">
            <v>-878163</v>
          </cell>
          <cell r="G1315">
            <v>1</v>
          </cell>
          <cell r="H1315" t="str">
            <v>2010-01-31</v>
          </cell>
        </row>
        <row r="1316">
          <cell r="A1316" t="str">
            <v>489300</v>
          </cell>
          <cell r="B1316" t="str">
            <v>1015</v>
          </cell>
          <cell r="C1316">
            <v>-395509.73</v>
          </cell>
          <cell r="D1316" t="str">
            <v>250</v>
          </cell>
          <cell r="E1316" t="str">
            <v>406</v>
          </cell>
          <cell r="F1316">
            <v>-2010176</v>
          </cell>
          <cell r="G1316">
            <v>3</v>
          </cell>
          <cell r="H1316" t="str">
            <v>2010-03-31</v>
          </cell>
        </row>
        <row r="1317">
          <cell r="A1317" t="str">
            <v>489300</v>
          </cell>
          <cell r="B1317" t="str">
            <v>1015</v>
          </cell>
          <cell r="C1317">
            <v>-364896.75</v>
          </cell>
          <cell r="D1317" t="str">
            <v>250</v>
          </cell>
          <cell r="E1317" t="str">
            <v>406</v>
          </cell>
          <cell r="F1317">
            <v>-1804151</v>
          </cell>
          <cell r="G1317">
            <v>5</v>
          </cell>
          <cell r="H1317" t="str">
            <v>2010-05-31</v>
          </cell>
        </row>
        <row r="1318">
          <cell r="A1318" t="str">
            <v>489300</v>
          </cell>
          <cell r="B1318" t="str">
            <v>1015</v>
          </cell>
          <cell r="C1318">
            <v>-366150.13</v>
          </cell>
          <cell r="D1318" t="str">
            <v>250</v>
          </cell>
          <cell r="E1318" t="str">
            <v>406</v>
          </cell>
          <cell r="F1318">
            <v>-1822982</v>
          </cell>
          <cell r="G1318">
            <v>6</v>
          </cell>
          <cell r="H1318" t="str">
            <v>2010-06-30</v>
          </cell>
        </row>
        <row r="1319">
          <cell r="A1319" t="str">
            <v>489300</v>
          </cell>
          <cell r="B1319" t="str">
            <v>1015</v>
          </cell>
          <cell r="C1319">
            <v>-330874.81</v>
          </cell>
          <cell r="D1319" t="str">
            <v>250</v>
          </cell>
          <cell r="E1319" t="str">
            <v>406</v>
          </cell>
          <cell r="F1319">
            <v>-1591592</v>
          </cell>
          <cell r="G1319">
            <v>7</v>
          </cell>
          <cell r="H1319" t="str">
            <v>2009-07-31</v>
          </cell>
        </row>
        <row r="1320">
          <cell r="A1320" t="str">
            <v>489300</v>
          </cell>
          <cell r="B1320" t="str">
            <v>1015</v>
          </cell>
          <cell r="C1320">
            <v>-391375.38</v>
          </cell>
          <cell r="D1320" t="str">
            <v>250</v>
          </cell>
          <cell r="E1320" t="str">
            <v>406</v>
          </cell>
          <cell r="F1320">
            <v>-1965891</v>
          </cell>
          <cell r="G1320">
            <v>12</v>
          </cell>
          <cell r="H1320" t="str">
            <v>2009-12-31</v>
          </cell>
        </row>
        <row r="1321">
          <cell r="A1321" t="str">
            <v>489300</v>
          </cell>
          <cell r="B1321" t="str">
            <v>1015</v>
          </cell>
          <cell r="C1321">
            <v>-400973.93</v>
          </cell>
          <cell r="D1321" t="str">
            <v>250</v>
          </cell>
          <cell r="E1321" t="str">
            <v>406</v>
          </cell>
          <cell r="F1321">
            <v>-2042933</v>
          </cell>
          <cell r="G1321">
            <v>2</v>
          </cell>
          <cell r="H1321" t="str">
            <v>2010-02-28</v>
          </cell>
        </row>
        <row r="1322">
          <cell r="A1322" t="str">
            <v>489300</v>
          </cell>
          <cell r="B1322" t="str">
            <v>1015</v>
          </cell>
          <cell r="C1322">
            <v>-388540.71</v>
          </cell>
          <cell r="D1322" t="str">
            <v>250</v>
          </cell>
          <cell r="E1322" t="str">
            <v>406</v>
          </cell>
          <cell r="F1322">
            <v>-1997812</v>
          </cell>
          <cell r="G1322">
            <v>4</v>
          </cell>
          <cell r="H1322" t="str">
            <v>2010-04-30</v>
          </cell>
        </row>
        <row r="1323">
          <cell r="A1323" t="str">
            <v>489304</v>
          </cell>
          <cell r="B1323" t="str">
            <v>1015</v>
          </cell>
          <cell r="C1323">
            <v>-127768.51</v>
          </cell>
          <cell r="D1323" t="str">
            <v>250</v>
          </cell>
          <cell r="E1323" t="str">
            <v>406</v>
          </cell>
          <cell r="F1323">
            <v>-524384</v>
          </cell>
          <cell r="G1323">
            <v>6</v>
          </cell>
          <cell r="H1323" t="str">
            <v>2010-06-30</v>
          </cell>
        </row>
        <row r="1324">
          <cell r="A1324" t="str">
            <v>489304</v>
          </cell>
          <cell r="B1324" t="str">
            <v>1015</v>
          </cell>
          <cell r="C1324">
            <v>-166031.72</v>
          </cell>
          <cell r="D1324" t="str">
            <v>250</v>
          </cell>
          <cell r="E1324" t="str">
            <v>406</v>
          </cell>
          <cell r="F1324">
            <v>-755422</v>
          </cell>
          <cell r="G1324">
            <v>3</v>
          </cell>
          <cell r="H1324" t="str">
            <v>2010-03-31</v>
          </cell>
        </row>
        <row r="1325">
          <cell r="A1325" t="str">
            <v>489304</v>
          </cell>
          <cell r="B1325" t="str">
            <v>1015</v>
          </cell>
          <cell r="C1325">
            <v>-136275.31</v>
          </cell>
          <cell r="D1325" t="str">
            <v>250</v>
          </cell>
          <cell r="E1325" t="str">
            <v>406</v>
          </cell>
          <cell r="F1325">
            <v>-587180</v>
          </cell>
          <cell r="G1325">
            <v>9</v>
          </cell>
          <cell r="H1325" t="str">
            <v>2009-09-30</v>
          </cell>
        </row>
        <row r="1326">
          <cell r="A1326" t="str">
            <v>489304</v>
          </cell>
          <cell r="B1326" t="str">
            <v>1015</v>
          </cell>
          <cell r="C1326">
            <v>-159331.35999999999</v>
          </cell>
          <cell r="D1326" t="str">
            <v>250</v>
          </cell>
          <cell r="E1326" t="str">
            <v>406</v>
          </cell>
          <cell r="F1326">
            <v>-700556</v>
          </cell>
          <cell r="G1326">
            <v>2</v>
          </cell>
          <cell r="H1326" t="str">
            <v>2010-02-28</v>
          </cell>
        </row>
        <row r="1327">
          <cell r="A1327" t="str">
            <v>489304</v>
          </cell>
          <cell r="B1327" t="str">
            <v>1015</v>
          </cell>
          <cell r="C1327">
            <v>-122850.77</v>
          </cell>
          <cell r="D1327" t="str">
            <v>250</v>
          </cell>
          <cell r="E1327" t="str">
            <v>406</v>
          </cell>
          <cell r="F1327">
            <v>-499884</v>
          </cell>
          <cell r="G1327">
            <v>7</v>
          </cell>
          <cell r="H1327" t="str">
            <v>2009-07-31</v>
          </cell>
        </row>
        <row r="1328">
          <cell r="A1328" t="str">
            <v>489304</v>
          </cell>
          <cell r="B1328" t="str">
            <v>1015</v>
          </cell>
          <cell r="C1328">
            <v>-127987.58</v>
          </cell>
          <cell r="D1328" t="str">
            <v>250</v>
          </cell>
          <cell r="E1328" t="str">
            <v>406</v>
          </cell>
          <cell r="F1328">
            <v>-539375</v>
          </cell>
          <cell r="G1328">
            <v>10</v>
          </cell>
          <cell r="H1328" t="str">
            <v>2009-10-31</v>
          </cell>
        </row>
        <row r="1329">
          <cell r="A1329" t="str">
            <v>489300</v>
          </cell>
          <cell r="B1329" t="str">
            <v>1015</v>
          </cell>
          <cell r="C1329">
            <v>-372073.26</v>
          </cell>
          <cell r="D1329" t="str">
            <v>250</v>
          </cell>
          <cell r="E1329" t="str">
            <v>406</v>
          </cell>
          <cell r="F1329">
            <v>-1835976</v>
          </cell>
          <cell r="G1329">
            <v>11</v>
          </cell>
          <cell r="H1329" t="str">
            <v>2009-11-30</v>
          </cell>
        </row>
        <row r="1330">
          <cell r="A1330" t="str">
            <v>489304</v>
          </cell>
          <cell r="B1330" t="str">
            <v>1015</v>
          </cell>
          <cell r="C1330">
            <v>-143779.48000000001</v>
          </cell>
          <cell r="D1330" t="str">
            <v>250</v>
          </cell>
          <cell r="E1330" t="str">
            <v>406</v>
          </cell>
          <cell r="F1330">
            <v>-606158</v>
          </cell>
          <cell r="G1330">
            <v>8</v>
          </cell>
          <cell r="H1330" t="str">
            <v>2009-08-31</v>
          </cell>
        </row>
        <row r="1331">
          <cell r="A1331" t="str">
            <v>489300</v>
          </cell>
          <cell r="B1331" t="str">
            <v>1015</v>
          </cell>
          <cell r="C1331">
            <v>-370291.62</v>
          </cell>
          <cell r="D1331" t="str">
            <v>250</v>
          </cell>
          <cell r="E1331" t="str">
            <v>406</v>
          </cell>
          <cell r="F1331">
            <v>-1835908</v>
          </cell>
          <cell r="G1331">
            <v>10</v>
          </cell>
          <cell r="H1331" t="str">
            <v>2009-10-31</v>
          </cell>
        </row>
        <row r="1332">
          <cell r="A1332" t="str">
            <v>489304</v>
          </cell>
          <cell r="B1332" t="str">
            <v>1015</v>
          </cell>
          <cell r="C1332">
            <v>-1964.78</v>
          </cell>
          <cell r="D1332" t="str">
            <v>250</v>
          </cell>
          <cell r="E1332" t="str">
            <v>416</v>
          </cell>
          <cell r="F1332">
            <v>-2096</v>
          </cell>
          <cell r="G1332">
            <v>4</v>
          </cell>
          <cell r="H1332" t="str">
            <v>2010-04-30</v>
          </cell>
        </row>
        <row r="1333">
          <cell r="A1333" t="str">
            <v>489304</v>
          </cell>
          <cell r="B1333" t="str">
            <v>1015</v>
          </cell>
          <cell r="C1333">
            <v>-975.68</v>
          </cell>
          <cell r="D1333" t="str">
            <v>250</v>
          </cell>
          <cell r="E1333" t="str">
            <v>416</v>
          </cell>
          <cell r="F1333">
            <v>-847</v>
          </cell>
          <cell r="G1333">
            <v>8</v>
          </cell>
          <cell r="H1333" t="str">
            <v>2009-08-31</v>
          </cell>
        </row>
        <row r="1334">
          <cell r="A1334" t="str">
            <v>489304</v>
          </cell>
          <cell r="B1334" t="str">
            <v>1015</v>
          </cell>
          <cell r="C1334">
            <v>-3543.26</v>
          </cell>
          <cell r="D1334" t="str">
            <v>250</v>
          </cell>
          <cell r="E1334" t="str">
            <v>416</v>
          </cell>
          <cell r="F1334">
            <v>-4846</v>
          </cell>
          <cell r="G1334">
            <v>12</v>
          </cell>
          <cell r="H1334" t="str">
            <v>2009-12-31</v>
          </cell>
        </row>
        <row r="1335">
          <cell r="A1335" t="str">
            <v>489304</v>
          </cell>
          <cell r="B1335" t="str">
            <v>1015</v>
          </cell>
          <cell r="C1335">
            <v>-1312.53</v>
          </cell>
          <cell r="D1335" t="str">
            <v>250</v>
          </cell>
          <cell r="E1335" t="str">
            <v>416</v>
          </cell>
          <cell r="F1335">
            <v>-1080</v>
          </cell>
          <cell r="G1335">
            <v>6</v>
          </cell>
          <cell r="H1335" t="str">
            <v>2010-06-30</v>
          </cell>
        </row>
        <row r="1336">
          <cell r="A1336" t="str">
            <v>489304</v>
          </cell>
          <cell r="B1336" t="str">
            <v>1015</v>
          </cell>
          <cell r="C1336">
            <v>-969.83</v>
          </cell>
          <cell r="D1336" t="str">
            <v>250</v>
          </cell>
          <cell r="E1336" t="str">
            <v>416</v>
          </cell>
          <cell r="F1336">
            <v>-838</v>
          </cell>
          <cell r="G1336">
            <v>7</v>
          </cell>
          <cell r="H1336" t="str">
            <v>2009-07-31</v>
          </cell>
        </row>
        <row r="1337">
          <cell r="A1337" t="str">
            <v>489304</v>
          </cell>
          <cell r="B1337" t="str">
            <v>1015</v>
          </cell>
          <cell r="C1337">
            <v>-1821.14</v>
          </cell>
          <cell r="D1337" t="str">
            <v>250</v>
          </cell>
          <cell r="E1337" t="str">
            <v>416</v>
          </cell>
          <cell r="F1337">
            <v>-2164</v>
          </cell>
          <cell r="G1337">
            <v>11</v>
          </cell>
          <cell r="H1337" t="str">
            <v>2009-11-30</v>
          </cell>
        </row>
        <row r="1338">
          <cell r="A1338" t="str">
            <v>489304</v>
          </cell>
          <cell r="B1338" t="str">
            <v>1015</v>
          </cell>
          <cell r="C1338">
            <v>-1525.09</v>
          </cell>
          <cell r="D1338" t="str">
            <v>250</v>
          </cell>
          <cell r="E1338" t="str">
            <v>416</v>
          </cell>
          <cell r="F1338">
            <v>-1410</v>
          </cell>
          <cell r="G1338">
            <v>5</v>
          </cell>
          <cell r="H1338" t="str">
            <v>2010-05-31</v>
          </cell>
        </row>
        <row r="1339">
          <cell r="A1339" t="str">
            <v>489304</v>
          </cell>
          <cell r="B1339" t="str">
            <v>1015</v>
          </cell>
          <cell r="C1339">
            <v>-1439.56</v>
          </cell>
          <cell r="D1339" t="str">
            <v>250</v>
          </cell>
          <cell r="E1339" t="str">
            <v>416</v>
          </cell>
          <cell r="F1339">
            <v>-1569</v>
          </cell>
          <cell r="G1339">
            <v>10</v>
          </cell>
          <cell r="H1339" t="str">
            <v>2009-10-31</v>
          </cell>
        </row>
        <row r="1340">
          <cell r="A1340" t="str">
            <v>489304</v>
          </cell>
          <cell r="B1340" t="str">
            <v>1015</v>
          </cell>
          <cell r="C1340">
            <v>-2895.84</v>
          </cell>
          <cell r="D1340" t="str">
            <v>250</v>
          </cell>
          <cell r="E1340" t="str">
            <v>416</v>
          </cell>
          <cell r="F1340">
            <v>-3836</v>
          </cell>
          <cell r="G1340">
            <v>2</v>
          </cell>
          <cell r="H1340" t="str">
            <v>2010-02-28</v>
          </cell>
        </row>
        <row r="1341">
          <cell r="A1341" t="str">
            <v>489304</v>
          </cell>
          <cell r="B1341" t="str">
            <v>1015</v>
          </cell>
          <cell r="C1341">
            <v>-1016.46</v>
          </cell>
          <cell r="D1341" t="str">
            <v>250</v>
          </cell>
          <cell r="E1341" t="str">
            <v>416</v>
          </cell>
          <cell r="F1341">
            <v>-911</v>
          </cell>
          <cell r="G1341">
            <v>9</v>
          </cell>
          <cell r="H1341" t="str">
            <v>2009-09-30</v>
          </cell>
        </row>
        <row r="1342">
          <cell r="A1342" t="str">
            <v>489304</v>
          </cell>
          <cell r="B1342" t="str">
            <v>1015</v>
          </cell>
          <cell r="C1342">
            <v>-3399.7</v>
          </cell>
          <cell r="D1342" t="str">
            <v>250</v>
          </cell>
          <cell r="E1342" t="str">
            <v>416</v>
          </cell>
          <cell r="F1342">
            <v>-4622</v>
          </cell>
          <cell r="G1342">
            <v>1</v>
          </cell>
          <cell r="H1342" t="str">
            <v>2010-01-31</v>
          </cell>
        </row>
        <row r="1343">
          <cell r="A1343" t="str">
            <v>489304</v>
          </cell>
          <cell r="B1343" t="str">
            <v>1015</v>
          </cell>
          <cell r="C1343">
            <v>-2708.06</v>
          </cell>
          <cell r="D1343" t="str">
            <v>250</v>
          </cell>
          <cell r="E1343" t="str">
            <v>416</v>
          </cell>
          <cell r="F1343">
            <v>-3254</v>
          </cell>
          <cell r="G1343">
            <v>3</v>
          </cell>
          <cell r="H1343" t="str">
            <v>2010-03-31</v>
          </cell>
        </row>
        <row r="1344">
          <cell r="A1344" t="str">
            <v>489300</v>
          </cell>
          <cell r="B1344" t="str">
            <v>1015</v>
          </cell>
          <cell r="C1344">
            <v>-2328.87</v>
          </cell>
          <cell r="D1344" t="str">
            <v>250</v>
          </cell>
          <cell r="E1344" t="str">
            <v>418</v>
          </cell>
          <cell r="F1344">
            <v>-19197</v>
          </cell>
          <cell r="G1344">
            <v>12</v>
          </cell>
          <cell r="H1344" t="str">
            <v>2009-12-31</v>
          </cell>
        </row>
        <row r="1345">
          <cell r="A1345" t="str">
            <v>489300</v>
          </cell>
          <cell r="B1345" t="str">
            <v>1015</v>
          </cell>
          <cell r="C1345">
            <v>-1622.97</v>
          </cell>
          <cell r="D1345" t="str">
            <v>250</v>
          </cell>
          <cell r="E1345" t="str">
            <v>418</v>
          </cell>
          <cell r="F1345">
            <v>-10009</v>
          </cell>
          <cell r="G1345">
            <v>9</v>
          </cell>
          <cell r="H1345" t="str">
            <v>2009-09-30</v>
          </cell>
        </row>
        <row r="1346">
          <cell r="A1346" t="str">
            <v>489300</v>
          </cell>
          <cell r="B1346" t="str">
            <v>1015</v>
          </cell>
          <cell r="C1346">
            <v>-952.37</v>
          </cell>
          <cell r="D1346" t="str">
            <v>250</v>
          </cell>
          <cell r="E1346" t="str">
            <v>418</v>
          </cell>
          <cell r="F1346">
            <v>-16542</v>
          </cell>
          <cell r="G1346">
            <v>11</v>
          </cell>
          <cell r="H1346" t="str">
            <v>2009-11-30</v>
          </cell>
        </row>
        <row r="1347">
          <cell r="A1347" t="str">
            <v>489300</v>
          </cell>
          <cell r="B1347" t="str">
            <v>1015</v>
          </cell>
          <cell r="C1347">
            <v>-2091.5700000000002</v>
          </cell>
          <cell r="D1347" t="str">
            <v>250</v>
          </cell>
          <cell r="E1347" t="str">
            <v>418</v>
          </cell>
          <cell r="F1347">
            <v>-14697</v>
          </cell>
          <cell r="G1347">
            <v>10</v>
          </cell>
          <cell r="H1347" t="str">
            <v>2009-10-31</v>
          </cell>
        </row>
        <row r="1348">
          <cell r="A1348" t="str">
            <v>489300</v>
          </cell>
          <cell r="B1348" t="str">
            <v>1015</v>
          </cell>
          <cell r="C1348">
            <v>-1932.87</v>
          </cell>
          <cell r="D1348" t="str">
            <v>250</v>
          </cell>
          <cell r="E1348" t="str">
            <v>418</v>
          </cell>
          <cell r="F1348">
            <v>-13107</v>
          </cell>
          <cell r="G1348">
            <v>5</v>
          </cell>
          <cell r="H1348" t="str">
            <v>2010-05-31</v>
          </cell>
        </row>
        <row r="1349">
          <cell r="A1349" t="str">
            <v>489300</v>
          </cell>
          <cell r="B1349" t="str">
            <v>1015</v>
          </cell>
          <cell r="C1349">
            <v>-997.37</v>
          </cell>
          <cell r="D1349" t="str">
            <v>250</v>
          </cell>
          <cell r="E1349" t="str">
            <v>418</v>
          </cell>
          <cell r="F1349">
            <v>-3757</v>
          </cell>
          <cell r="G1349">
            <v>6</v>
          </cell>
          <cell r="H1349" t="str">
            <v>2010-06-30</v>
          </cell>
        </row>
        <row r="1350">
          <cell r="A1350" t="str">
            <v>489300</v>
          </cell>
          <cell r="B1350" t="str">
            <v>1015</v>
          </cell>
          <cell r="C1350">
            <v>-1353.07</v>
          </cell>
          <cell r="D1350" t="str">
            <v>250</v>
          </cell>
          <cell r="E1350" t="str">
            <v>418</v>
          </cell>
          <cell r="F1350">
            <v>-7309</v>
          </cell>
          <cell r="G1350">
            <v>7</v>
          </cell>
          <cell r="H1350" t="str">
            <v>2009-07-31</v>
          </cell>
        </row>
        <row r="1351">
          <cell r="A1351" t="str">
            <v>489300</v>
          </cell>
          <cell r="B1351" t="str">
            <v>1015</v>
          </cell>
          <cell r="C1351">
            <v>-870.45</v>
          </cell>
          <cell r="D1351" t="str">
            <v>250</v>
          </cell>
          <cell r="E1351" t="str">
            <v>418</v>
          </cell>
          <cell r="F1351">
            <v>-12882</v>
          </cell>
          <cell r="G1351">
            <v>4</v>
          </cell>
          <cell r="H1351" t="str">
            <v>2010-04-30</v>
          </cell>
        </row>
        <row r="1352">
          <cell r="A1352" t="str">
            <v>489300</v>
          </cell>
          <cell r="B1352" t="str">
            <v>1015</v>
          </cell>
          <cell r="C1352">
            <v>-1469.57</v>
          </cell>
          <cell r="D1352" t="str">
            <v>250</v>
          </cell>
          <cell r="E1352" t="str">
            <v>418</v>
          </cell>
          <cell r="F1352">
            <v>-8483</v>
          </cell>
          <cell r="G1352">
            <v>8</v>
          </cell>
          <cell r="H1352" t="str">
            <v>2009-08-31</v>
          </cell>
        </row>
        <row r="1353">
          <cell r="A1353" t="str">
            <v>489300</v>
          </cell>
          <cell r="B1353" t="str">
            <v>1015</v>
          </cell>
          <cell r="C1353">
            <v>-3450.89</v>
          </cell>
          <cell r="D1353" t="str">
            <v>250</v>
          </cell>
          <cell r="E1353" t="str">
            <v>418</v>
          </cell>
          <cell r="F1353">
            <v>-19535</v>
          </cell>
          <cell r="G1353">
            <v>1</v>
          </cell>
          <cell r="H1353" t="str">
            <v>2010-01-31</v>
          </cell>
        </row>
        <row r="1354">
          <cell r="A1354" t="str">
            <v>489300</v>
          </cell>
          <cell r="B1354" t="str">
            <v>1015</v>
          </cell>
          <cell r="C1354">
            <v>-576.37</v>
          </cell>
          <cell r="D1354" t="str">
            <v>250</v>
          </cell>
          <cell r="E1354" t="str">
            <v>418</v>
          </cell>
          <cell r="F1354">
            <v>-15181</v>
          </cell>
          <cell r="G1354">
            <v>2</v>
          </cell>
          <cell r="H1354" t="str">
            <v>2010-02-28</v>
          </cell>
        </row>
        <row r="1355">
          <cell r="A1355" t="str">
            <v>489300</v>
          </cell>
          <cell r="B1355" t="str">
            <v>1015</v>
          </cell>
          <cell r="C1355">
            <v>-706.29</v>
          </cell>
          <cell r="D1355" t="str">
            <v>250</v>
          </cell>
          <cell r="E1355" t="str">
            <v>418</v>
          </cell>
          <cell r="F1355">
            <v>-12989</v>
          </cell>
          <cell r="G1355">
            <v>3</v>
          </cell>
          <cell r="H1355" t="str">
            <v>2010-03-31</v>
          </cell>
        </row>
        <row r="1356">
          <cell r="A1356" t="str">
            <v>489300</v>
          </cell>
          <cell r="B1356" t="str">
            <v>1015</v>
          </cell>
          <cell r="C1356">
            <v>-3228.12</v>
          </cell>
          <cell r="D1356" t="str">
            <v>250</v>
          </cell>
          <cell r="E1356" t="str">
            <v>458</v>
          </cell>
          <cell r="F1356">
            <v>-19127</v>
          </cell>
          <cell r="G1356">
            <v>7</v>
          </cell>
          <cell r="H1356" t="str">
            <v>2009-07-31</v>
          </cell>
        </row>
        <row r="1357">
          <cell r="A1357" t="str">
            <v>489304</v>
          </cell>
          <cell r="B1357" t="str">
            <v>1015</v>
          </cell>
          <cell r="C1357">
            <v>-426.4</v>
          </cell>
          <cell r="D1357" t="str">
            <v>250</v>
          </cell>
          <cell r="E1357" t="str">
            <v>458</v>
          </cell>
          <cell r="F1357">
            <v>-1082</v>
          </cell>
          <cell r="G1357">
            <v>7</v>
          </cell>
          <cell r="H1357" t="str">
            <v>2009-07-31</v>
          </cell>
        </row>
        <row r="1358">
          <cell r="A1358" t="str">
            <v>489300</v>
          </cell>
          <cell r="B1358" t="str">
            <v>1015</v>
          </cell>
          <cell r="C1358">
            <v>-1827.45</v>
          </cell>
          <cell r="D1358" t="str">
            <v>250</v>
          </cell>
          <cell r="E1358" t="str">
            <v>458</v>
          </cell>
          <cell r="F1358">
            <v>-9707</v>
          </cell>
          <cell r="G1358">
            <v>8</v>
          </cell>
          <cell r="H1358" t="str">
            <v>2009-08-31</v>
          </cell>
        </row>
        <row r="1359">
          <cell r="A1359" t="str">
            <v>489300</v>
          </cell>
          <cell r="B1359" t="str">
            <v>1015</v>
          </cell>
          <cell r="C1359">
            <v>-7309.14</v>
          </cell>
          <cell r="D1359" t="str">
            <v>250</v>
          </cell>
          <cell r="E1359" t="str">
            <v>458</v>
          </cell>
          <cell r="F1359">
            <v>-120214</v>
          </cell>
          <cell r="G1359">
            <v>11</v>
          </cell>
          <cell r="H1359" t="str">
            <v>2009-11-30</v>
          </cell>
        </row>
        <row r="1360">
          <cell r="A1360" t="str">
            <v>489304</v>
          </cell>
          <cell r="B1360" t="str">
            <v>1015</v>
          </cell>
          <cell r="C1360">
            <v>-1256.0999999999999</v>
          </cell>
          <cell r="D1360" t="str">
            <v>250</v>
          </cell>
          <cell r="E1360" t="str">
            <v>458</v>
          </cell>
          <cell r="F1360">
            <v>-3851</v>
          </cell>
          <cell r="G1360">
            <v>12</v>
          </cell>
          <cell r="H1360" t="str">
            <v>2009-12-31</v>
          </cell>
        </row>
        <row r="1361">
          <cell r="A1361" t="str">
            <v>489304</v>
          </cell>
          <cell r="B1361" t="str">
            <v>1015</v>
          </cell>
          <cell r="C1361">
            <v>-713.2</v>
          </cell>
          <cell r="D1361" t="str">
            <v>250</v>
          </cell>
          <cell r="E1361" t="str">
            <v>458</v>
          </cell>
          <cell r="F1361">
            <v>-2039</v>
          </cell>
          <cell r="G1361">
            <v>4</v>
          </cell>
          <cell r="H1361" t="str">
            <v>2010-04-30</v>
          </cell>
        </row>
        <row r="1362">
          <cell r="A1362" t="str">
            <v>489304</v>
          </cell>
          <cell r="B1362" t="str">
            <v>1015</v>
          </cell>
          <cell r="C1362">
            <v>-802.1</v>
          </cell>
          <cell r="D1362" t="str">
            <v>250</v>
          </cell>
          <cell r="E1362" t="str">
            <v>458</v>
          </cell>
          <cell r="F1362">
            <v>-2337</v>
          </cell>
          <cell r="G1362">
            <v>11</v>
          </cell>
          <cell r="H1362" t="str">
            <v>2009-11-30</v>
          </cell>
        </row>
        <row r="1363">
          <cell r="A1363" t="str">
            <v>489304</v>
          </cell>
          <cell r="B1363" t="str">
            <v>1015</v>
          </cell>
          <cell r="C1363">
            <v>-824.5</v>
          </cell>
          <cell r="D1363" t="str">
            <v>250</v>
          </cell>
          <cell r="E1363" t="str">
            <v>458</v>
          </cell>
          <cell r="F1363">
            <v>-2414</v>
          </cell>
          <cell r="G1363">
            <v>3</v>
          </cell>
          <cell r="H1363" t="str">
            <v>2010-03-31</v>
          </cell>
        </row>
        <row r="1364">
          <cell r="A1364" t="str">
            <v>489304</v>
          </cell>
          <cell r="B1364" t="str">
            <v>1015</v>
          </cell>
          <cell r="C1364">
            <v>-642.70000000000005</v>
          </cell>
          <cell r="D1364" t="str">
            <v>250</v>
          </cell>
          <cell r="E1364" t="str">
            <v>458</v>
          </cell>
          <cell r="F1364">
            <v>-1805</v>
          </cell>
          <cell r="G1364">
            <v>5</v>
          </cell>
          <cell r="H1364" t="str">
            <v>2010-05-31</v>
          </cell>
        </row>
        <row r="1365">
          <cell r="A1365" t="str">
            <v>489300</v>
          </cell>
          <cell r="B1365" t="str">
            <v>1015</v>
          </cell>
          <cell r="C1365">
            <v>-1877.51</v>
          </cell>
          <cell r="D1365" t="str">
            <v>250</v>
          </cell>
          <cell r="E1365" t="str">
            <v>458</v>
          </cell>
          <cell r="F1365">
            <v>-11935</v>
          </cell>
          <cell r="G1365">
            <v>9</v>
          </cell>
          <cell r="H1365" t="str">
            <v>2009-09-30</v>
          </cell>
        </row>
        <row r="1366">
          <cell r="A1366" t="str">
            <v>489304</v>
          </cell>
          <cell r="B1366" t="str">
            <v>1015</v>
          </cell>
          <cell r="C1366">
            <v>-735.9</v>
          </cell>
          <cell r="D1366" t="str">
            <v>250</v>
          </cell>
          <cell r="E1366" t="str">
            <v>458</v>
          </cell>
          <cell r="F1366">
            <v>-2117</v>
          </cell>
          <cell r="G1366">
            <v>10</v>
          </cell>
          <cell r="H1366" t="str">
            <v>2009-10-31</v>
          </cell>
        </row>
        <row r="1367">
          <cell r="A1367" t="str">
            <v>489300</v>
          </cell>
          <cell r="B1367" t="str">
            <v>1015</v>
          </cell>
          <cell r="C1367">
            <v>-7240.81</v>
          </cell>
          <cell r="D1367" t="str">
            <v>250</v>
          </cell>
          <cell r="E1367" t="str">
            <v>458</v>
          </cell>
          <cell r="F1367">
            <v>-97467</v>
          </cell>
          <cell r="G1367">
            <v>12</v>
          </cell>
          <cell r="H1367" t="str">
            <v>2009-12-31</v>
          </cell>
        </row>
        <row r="1368">
          <cell r="A1368" t="str">
            <v>489300</v>
          </cell>
          <cell r="B1368" t="str">
            <v>1015</v>
          </cell>
          <cell r="C1368">
            <v>-4649.8900000000003</v>
          </cell>
          <cell r="D1368" t="str">
            <v>250</v>
          </cell>
          <cell r="E1368" t="str">
            <v>458</v>
          </cell>
          <cell r="F1368">
            <v>-30808</v>
          </cell>
          <cell r="G1368">
            <v>1</v>
          </cell>
          <cell r="H1368" t="str">
            <v>2010-01-31</v>
          </cell>
        </row>
        <row r="1369">
          <cell r="A1369" t="str">
            <v>489304</v>
          </cell>
          <cell r="B1369" t="str">
            <v>1015</v>
          </cell>
          <cell r="C1369">
            <v>-933.8</v>
          </cell>
          <cell r="D1369" t="str">
            <v>250</v>
          </cell>
          <cell r="E1369" t="str">
            <v>458</v>
          </cell>
          <cell r="F1369">
            <v>-2775</v>
          </cell>
          <cell r="G1369">
            <v>2</v>
          </cell>
          <cell r="H1369" t="str">
            <v>2010-02-28</v>
          </cell>
        </row>
        <row r="1370">
          <cell r="A1370" t="str">
            <v>489300</v>
          </cell>
          <cell r="B1370" t="str">
            <v>1015</v>
          </cell>
          <cell r="C1370">
            <v>-5608.3</v>
          </cell>
          <cell r="D1370" t="str">
            <v>250</v>
          </cell>
          <cell r="E1370" t="str">
            <v>458</v>
          </cell>
          <cell r="F1370">
            <v>-57040</v>
          </cell>
          <cell r="G1370">
            <v>5</v>
          </cell>
          <cell r="H1370" t="str">
            <v>2010-05-31</v>
          </cell>
        </row>
        <row r="1371">
          <cell r="A1371" t="str">
            <v>489300</v>
          </cell>
          <cell r="B1371" t="str">
            <v>1015</v>
          </cell>
          <cell r="C1371">
            <v>-3285.59</v>
          </cell>
          <cell r="D1371" t="str">
            <v>250</v>
          </cell>
          <cell r="E1371" t="str">
            <v>458</v>
          </cell>
          <cell r="F1371">
            <v>-20814</v>
          </cell>
          <cell r="G1371">
            <v>6</v>
          </cell>
          <cell r="H1371" t="str">
            <v>2010-06-30</v>
          </cell>
        </row>
        <row r="1372">
          <cell r="A1372" t="str">
            <v>489300</v>
          </cell>
          <cell r="B1372" t="str">
            <v>1015</v>
          </cell>
          <cell r="C1372">
            <v>-4888.33</v>
          </cell>
          <cell r="D1372" t="str">
            <v>250</v>
          </cell>
          <cell r="E1372" t="str">
            <v>458</v>
          </cell>
          <cell r="F1372">
            <v>-44137</v>
          </cell>
          <cell r="G1372">
            <v>3</v>
          </cell>
          <cell r="H1372" t="str">
            <v>2010-03-31</v>
          </cell>
        </row>
        <row r="1373">
          <cell r="A1373" t="str">
            <v>489304</v>
          </cell>
          <cell r="B1373" t="str">
            <v>1015</v>
          </cell>
          <cell r="C1373">
            <v>-463.6</v>
          </cell>
          <cell r="D1373" t="str">
            <v>250</v>
          </cell>
          <cell r="E1373" t="str">
            <v>458</v>
          </cell>
          <cell r="F1373">
            <v>-1210</v>
          </cell>
          <cell r="G1373">
            <v>8</v>
          </cell>
          <cell r="H1373" t="str">
            <v>2009-08-31</v>
          </cell>
        </row>
        <row r="1374">
          <cell r="A1374" t="str">
            <v>489300</v>
          </cell>
          <cell r="B1374" t="str">
            <v>1015</v>
          </cell>
          <cell r="C1374">
            <v>-3097.62</v>
          </cell>
          <cell r="D1374" t="str">
            <v>250</v>
          </cell>
          <cell r="E1374" t="str">
            <v>458</v>
          </cell>
          <cell r="F1374">
            <v>-22178</v>
          </cell>
          <cell r="G1374">
            <v>10</v>
          </cell>
          <cell r="H1374" t="str">
            <v>2009-10-31</v>
          </cell>
        </row>
        <row r="1375">
          <cell r="A1375" t="str">
            <v>489300</v>
          </cell>
          <cell r="B1375" t="str">
            <v>1015</v>
          </cell>
          <cell r="C1375">
            <v>-5152.87</v>
          </cell>
          <cell r="D1375" t="str">
            <v>250</v>
          </cell>
          <cell r="E1375" t="str">
            <v>458</v>
          </cell>
          <cell r="F1375">
            <v>-44325</v>
          </cell>
          <cell r="G1375">
            <v>2</v>
          </cell>
          <cell r="H1375" t="str">
            <v>2010-02-28</v>
          </cell>
        </row>
        <row r="1376">
          <cell r="A1376" t="str">
            <v>489304</v>
          </cell>
          <cell r="B1376" t="str">
            <v>1015</v>
          </cell>
          <cell r="C1376">
            <v>-350.5</v>
          </cell>
          <cell r="D1376" t="str">
            <v>250</v>
          </cell>
          <cell r="E1376" t="str">
            <v>458</v>
          </cell>
          <cell r="F1376">
            <v>-1171</v>
          </cell>
          <cell r="G1376">
            <v>6</v>
          </cell>
          <cell r="H1376" t="str">
            <v>2010-06-30</v>
          </cell>
        </row>
        <row r="1377">
          <cell r="A1377" t="str">
            <v>489304</v>
          </cell>
          <cell r="B1377" t="str">
            <v>1015</v>
          </cell>
          <cell r="C1377">
            <v>-558</v>
          </cell>
          <cell r="D1377" t="str">
            <v>250</v>
          </cell>
          <cell r="E1377" t="str">
            <v>458</v>
          </cell>
          <cell r="F1377">
            <v>-1523</v>
          </cell>
          <cell r="G1377">
            <v>9</v>
          </cell>
          <cell r="H1377" t="str">
            <v>2009-09-30</v>
          </cell>
        </row>
        <row r="1378">
          <cell r="A1378" t="str">
            <v>489304</v>
          </cell>
          <cell r="B1378" t="str">
            <v>1015</v>
          </cell>
          <cell r="C1378">
            <v>-1135.3</v>
          </cell>
          <cell r="D1378" t="str">
            <v>250</v>
          </cell>
          <cell r="E1378" t="str">
            <v>458</v>
          </cell>
          <cell r="F1378">
            <v>-3446</v>
          </cell>
          <cell r="G1378">
            <v>1</v>
          </cell>
          <cell r="H1378" t="str">
            <v>2010-01-31</v>
          </cell>
        </row>
        <row r="1379">
          <cell r="A1379" t="str">
            <v>489300</v>
          </cell>
          <cell r="B1379" t="str">
            <v>1015</v>
          </cell>
          <cell r="C1379">
            <v>-4493.3900000000003</v>
          </cell>
          <cell r="D1379" t="str">
            <v>250</v>
          </cell>
          <cell r="E1379" t="str">
            <v>458</v>
          </cell>
          <cell r="F1379">
            <v>-33633</v>
          </cell>
          <cell r="G1379">
            <v>4</v>
          </cell>
          <cell r="H1379" t="str">
            <v>2010-04-30</v>
          </cell>
        </row>
        <row r="1380">
          <cell r="A1380" t="str">
            <v>489300</v>
          </cell>
          <cell r="B1380" t="str">
            <v>1015</v>
          </cell>
          <cell r="C1380">
            <v>-1341.42</v>
          </cell>
          <cell r="D1380" t="str">
            <v>250</v>
          </cell>
          <cell r="E1380" t="str">
            <v>459</v>
          </cell>
          <cell r="F1380">
            <v>-1659</v>
          </cell>
          <cell r="G1380">
            <v>7</v>
          </cell>
          <cell r="H1380" t="str">
            <v>2009-07-31</v>
          </cell>
        </row>
        <row r="1381">
          <cell r="A1381" t="str">
            <v>489300</v>
          </cell>
          <cell r="B1381" t="str">
            <v>1015</v>
          </cell>
          <cell r="C1381">
            <v>-1614.54</v>
          </cell>
          <cell r="D1381" t="str">
            <v>250</v>
          </cell>
          <cell r="E1381" t="str">
            <v>459</v>
          </cell>
          <cell r="F1381">
            <v>-2401</v>
          </cell>
          <cell r="G1381">
            <v>9</v>
          </cell>
          <cell r="H1381" t="str">
            <v>2009-09-30</v>
          </cell>
        </row>
        <row r="1382">
          <cell r="A1382" t="str">
            <v>489300</v>
          </cell>
          <cell r="B1382" t="str">
            <v>1015</v>
          </cell>
          <cell r="C1382">
            <v>-1676.11</v>
          </cell>
          <cell r="D1382" t="str">
            <v>250</v>
          </cell>
          <cell r="E1382" t="str">
            <v>459</v>
          </cell>
          <cell r="F1382">
            <v>-3267</v>
          </cell>
          <cell r="G1382">
            <v>5</v>
          </cell>
          <cell r="H1382" t="str">
            <v>2010-05-31</v>
          </cell>
        </row>
        <row r="1383">
          <cell r="A1383" t="str">
            <v>489300</v>
          </cell>
          <cell r="B1383" t="str">
            <v>1015</v>
          </cell>
          <cell r="C1383">
            <v>-1599.03</v>
          </cell>
          <cell r="D1383" t="str">
            <v>250</v>
          </cell>
          <cell r="E1383" t="str">
            <v>459</v>
          </cell>
          <cell r="F1383">
            <v>-2390</v>
          </cell>
          <cell r="G1383">
            <v>6</v>
          </cell>
          <cell r="H1383" t="str">
            <v>2010-06-30</v>
          </cell>
        </row>
        <row r="1384">
          <cell r="A1384" t="str">
            <v>489300</v>
          </cell>
          <cell r="B1384" t="str">
            <v>1015</v>
          </cell>
          <cell r="C1384">
            <v>-1559.89</v>
          </cell>
          <cell r="D1384" t="str">
            <v>250</v>
          </cell>
          <cell r="E1384" t="str">
            <v>459</v>
          </cell>
          <cell r="F1384">
            <v>-1873</v>
          </cell>
          <cell r="G1384">
            <v>8</v>
          </cell>
          <cell r="H1384" t="str">
            <v>2009-08-31</v>
          </cell>
        </row>
        <row r="1385">
          <cell r="A1385" t="str">
            <v>489300</v>
          </cell>
          <cell r="B1385" t="str">
            <v>1015</v>
          </cell>
          <cell r="C1385">
            <v>-1944.56</v>
          </cell>
          <cell r="D1385" t="str">
            <v>250</v>
          </cell>
          <cell r="E1385" t="str">
            <v>459</v>
          </cell>
          <cell r="F1385">
            <v>-4343</v>
          </cell>
          <cell r="G1385">
            <v>10</v>
          </cell>
          <cell r="H1385" t="str">
            <v>2009-10-31</v>
          </cell>
        </row>
        <row r="1386">
          <cell r="A1386" t="str">
            <v>489300</v>
          </cell>
          <cell r="B1386" t="str">
            <v>1015</v>
          </cell>
          <cell r="C1386">
            <v>-1904.37</v>
          </cell>
          <cell r="D1386" t="str">
            <v>250</v>
          </cell>
          <cell r="E1386" t="str">
            <v>459</v>
          </cell>
          <cell r="F1386">
            <v>-5891</v>
          </cell>
          <cell r="G1386">
            <v>2</v>
          </cell>
          <cell r="H1386" t="str">
            <v>2010-02-28</v>
          </cell>
        </row>
        <row r="1387">
          <cell r="A1387" t="str">
            <v>489300</v>
          </cell>
          <cell r="B1387" t="str">
            <v>1015</v>
          </cell>
          <cell r="C1387">
            <v>-1803.71</v>
          </cell>
          <cell r="D1387" t="str">
            <v>250</v>
          </cell>
          <cell r="E1387" t="str">
            <v>459</v>
          </cell>
          <cell r="F1387">
            <v>-4725</v>
          </cell>
          <cell r="G1387">
            <v>3</v>
          </cell>
          <cell r="H1387" t="str">
            <v>2010-03-31</v>
          </cell>
        </row>
        <row r="1388">
          <cell r="A1388" t="str">
            <v>489300</v>
          </cell>
          <cell r="B1388" t="str">
            <v>1015</v>
          </cell>
          <cell r="C1388">
            <v>-2005.42</v>
          </cell>
          <cell r="D1388" t="str">
            <v>250</v>
          </cell>
          <cell r="E1388" t="str">
            <v>459</v>
          </cell>
          <cell r="F1388">
            <v>-7046</v>
          </cell>
          <cell r="G1388">
            <v>1</v>
          </cell>
          <cell r="H1388" t="str">
            <v>2010-01-31</v>
          </cell>
        </row>
        <row r="1389">
          <cell r="A1389" t="str">
            <v>489300</v>
          </cell>
          <cell r="B1389" t="str">
            <v>1015</v>
          </cell>
          <cell r="C1389">
            <v>-1693.09</v>
          </cell>
          <cell r="D1389" t="str">
            <v>250</v>
          </cell>
          <cell r="E1389" t="str">
            <v>459</v>
          </cell>
          <cell r="F1389">
            <v>-3463</v>
          </cell>
          <cell r="G1389">
            <v>4</v>
          </cell>
          <cell r="H1389" t="str">
            <v>2010-04-30</v>
          </cell>
        </row>
        <row r="1390">
          <cell r="A1390" t="str">
            <v>489300</v>
          </cell>
          <cell r="B1390" t="str">
            <v>1015</v>
          </cell>
          <cell r="C1390">
            <v>-2125.91</v>
          </cell>
          <cell r="D1390" t="str">
            <v>250</v>
          </cell>
          <cell r="E1390" t="str">
            <v>459</v>
          </cell>
          <cell r="F1390">
            <v>-8435</v>
          </cell>
          <cell r="G1390">
            <v>12</v>
          </cell>
          <cell r="H1390" t="str">
            <v>2009-12-31</v>
          </cell>
        </row>
        <row r="1391">
          <cell r="A1391" t="str">
            <v>489300</v>
          </cell>
          <cell r="B1391" t="str">
            <v>1015</v>
          </cell>
          <cell r="C1391">
            <v>-1898.8</v>
          </cell>
          <cell r="D1391" t="str">
            <v>250</v>
          </cell>
          <cell r="E1391" t="str">
            <v>459</v>
          </cell>
          <cell r="F1391">
            <v>-5813</v>
          </cell>
          <cell r="G1391">
            <v>11</v>
          </cell>
          <cell r="H1391" t="str">
            <v>2009-11-30</v>
          </cell>
        </row>
        <row r="1392">
          <cell r="C1392">
            <v>-853807509.32000065</v>
          </cell>
        </row>
      </sheetData>
      <sheetData sheetId="4" refreshError="1"/>
      <sheetData sheetId="5" refreshError="1"/>
      <sheetData sheetId="6" refreshError="1">
        <row r="89">
          <cell r="J89" t="str">
            <v>Account</v>
          </cell>
          <cell r="K89" t="str">
            <v>Dept</v>
          </cell>
          <cell r="L89" t="str">
            <v>Sum Amount</v>
          </cell>
          <cell r="M89" t="str">
            <v>Trans</v>
          </cell>
          <cell r="N89" t="str">
            <v>Product</v>
          </cell>
          <cell r="O89" t="str">
            <v>Sum Stat Amt</v>
          </cell>
          <cell r="P89" t="str">
            <v>Period</v>
          </cell>
          <cell r="Q89" t="str">
            <v>Date</v>
          </cell>
          <cell r="S89" t="str">
            <v>Account</v>
          </cell>
          <cell r="T89" t="str">
            <v>Dept</v>
          </cell>
          <cell r="U89" t="str">
            <v>Sum Amount</v>
          </cell>
          <cell r="V89" t="str">
            <v>Trans</v>
          </cell>
          <cell r="W89" t="str">
            <v>Product</v>
          </cell>
          <cell r="X89" t="str">
            <v>Sum Stat Amt</v>
          </cell>
          <cell r="Y89" t="str">
            <v>Period</v>
          </cell>
          <cell r="Z89" t="str">
            <v>Date</v>
          </cell>
          <cell r="AB89" t="str">
            <v>Account</v>
          </cell>
          <cell r="AC89" t="str">
            <v>Dept</v>
          </cell>
          <cell r="AD89" t="str">
            <v>Sum Amount</v>
          </cell>
          <cell r="AE89" t="str">
            <v>Trans</v>
          </cell>
          <cell r="AF89" t="str">
            <v>Product</v>
          </cell>
          <cell r="AG89" t="str">
            <v>Sum Stat Amt</v>
          </cell>
          <cell r="AH89" t="str">
            <v>Period</v>
          </cell>
          <cell r="AI89" t="str">
            <v>Date</v>
          </cell>
          <cell r="AK89" t="str">
            <v>Account</v>
          </cell>
          <cell r="AL89" t="str">
            <v>Dept</v>
          </cell>
          <cell r="AM89" t="str">
            <v>Sum Amount</v>
          </cell>
          <cell r="AN89" t="str">
            <v>Trans</v>
          </cell>
          <cell r="AO89" t="str">
            <v>Product</v>
          </cell>
          <cell r="AP89" t="str">
            <v>Sum Stat Amt</v>
          </cell>
          <cell r="AQ89" t="str">
            <v>Period</v>
          </cell>
          <cell r="AR89" t="str">
            <v>Date</v>
          </cell>
          <cell r="AT89" t="str">
            <v>Account</v>
          </cell>
          <cell r="AU89" t="str">
            <v>Dept</v>
          </cell>
          <cell r="AV89" t="str">
            <v>Sum Amount</v>
          </cell>
          <cell r="AW89" t="str">
            <v>Trans</v>
          </cell>
          <cell r="AX89" t="str">
            <v>Product</v>
          </cell>
          <cell r="AY89" t="str">
            <v>Sum Stat Amt</v>
          </cell>
          <cell r="AZ89" t="str">
            <v>Period</v>
          </cell>
          <cell r="BA89" t="str">
            <v>Date</v>
          </cell>
          <cell r="BC89" t="str">
            <v>Account</v>
          </cell>
          <cell r="BD89" t="str">
            <v>Dept</v>
          </cell>
          <cell r="BE89" t="str">
            <v>Sum Amount</v>
          </cell>
          <cell r="BF89" t="str">
            <v>Trans</v>
          </cell>
          <cell r="BG89" t="str">
            <v>Product</v>
          </cell>
          <cell r="BH89" t="str">
            <v>Sum Stat Amt</v>
          </cell>
          <cell r="BI89" t="str">
            <v>Period</v>
          </cell>
          <cell r="BJ89" t="str">
            <v>Date</v>
          </cell>
          <cell r="BL89" t="str">
            <v>Account</v>
          </cell>
          <cell r="BM89" t="str">
            <v>Dept</v>
          </cell>
          <cell r="BN89" t="str">
            <v>Sum Amount</v>
          </cell>
          <cell r="BO89" t="str">
            <v>Trans</v>
          </cell>
          <cell r="BP89" t="str">
            <v>Product</v>
          </cell>
          <cell r="BQ89" t="str">
            <v>Sum Stat Amt</v>
          </cell>
          <cell r="BR89" t="str">
            <v>Period</v>
          </cell>
          <cell r="BS89" t="str">
            <v>Date</v>
          </cell>
          <cell r="BU89" t="str">
            <v>Account</v>
          </cell>
          <cell r="BV89" t="str">
            <v>Dept</v>
          </cell>
          <cell r="BW89" t="str">
            <v>Sum Amount</v>
          </cell>
          <cell r="BX89" t="str">
            <v>Trans</v>
          </cell>
          <cell r="BY89" t="str">
            <v>Product</v>
          </cell>
          <cell r="BZ89" t="str">
            <v>Sum Stat Amt</v>
          </cell>
          <cell r="CA89" t="str">
            <v>Period</v>
          </cell>
          <cell r="CB89" t="str">
            <v>Date</v>
          </cell>
          <cell r="CD89" t="str">
            <v>Account</v>
          </cell>
          <cell r="CE89" t="str">
            <v>Dept</v>
          </cell>
          <cell r="CF89" t="str">
            <v>Sum Amount</v>
          </cell>
          <cell r="CG89" t="str">
            <v>Trans</v>
          </cell>
          <cell r="CH89" t="str">
            <v>Product</v>
          </cell>
          <cell r="CI89" t="str">
            <v>Sum Stat Amt</v>
          </cell>
          <cell r="CJ89" t="str">
            <v>Period</v>
          </cell>
          <cell r="CK89" t="str">
            <v>Date</v>
          </cell>
          <cell r="CM89" t="str">
            <v>Account</v>
          </cell>
          <cell r="CN89" t="str">
            <v>Dept</v>
          </cell>
          <cell r="CO89" t="str">
            <v>Sum Amount</v>
          </cell>
          <cell r="CP89" t="str">
            <v>Trans</v>
          </cell>
          <cell r="CQ89" t="str">
            <v>Product</v>
          </cell>
          <cell r="CR89" t="str">
            <v>Sum Stat Amt</v>
          </cell>
          <cell r="CS89" t="str">
            <v>Period</v>
          </cell>
          <cell r="CT89" t="str">
            <v>Date</v>
          </cell>
          <cell r="CV89" t="str">
            <v>Account</v>
          </cell>
          <cell r="CW89" t="str">
            <v>Dept</v>
          </cell>
          <cell r="CX89" t="str">
            <v>Sum Amount</v>
          </cell>
          <cell r="CY89" t="str">
            <v>Trans</v>
          </cell>
          <cell r="CZ89" t="str">
            <v>Product</v>
          </cell>
          <cell r="DA89" t="str">
            <v>Sum Stat Amt</v>
          </cell>
          <cell r="DB89" t="str">
            <v>Period</v>
          </cell>
          <cell r="DC89" t="str">
            <v>Date</v>
          </cell>
          <cell r="DE89" t="str">
            <v>Account</v>
          </cell>
          <cell r="DF89" t="str">
            <v>Dept</v>
          </cell>
          <cell r="DG89" t="str">
            <v>Sum Amount</v>
          </cell>
          <cell r="DH89" t="str">
            <v>Trans</v>
          </cell>
          <cell r="DI89" t="str">
            <v>Product</v>
          </cell>
          <cell r="DJ89" t="str">
            <v>Sum Stat Amt</v>
          </cell>
          <cell r="DK89" t="str">
            <v>Period</v>
          </cell>
          <cell r="DL89" t="str">
            <v>Date</v>
          </cell>
        </row>
        <row r="90">
          <cell r="M90">
            <v>204</v>
          </cell>
          <cell r="N90">
            <v>406</v>
          </cell>
          <cell r="Q90">
            <v>40025</v>
          </cell>
          <cell r="V90">
            <v>204</v>
          </cell>
          <cell r="W90">
            <v>406</v>
          </cell>
          <cell r="Z90">
            <v>40056</v>
          </cell>
          <cell r="AE90">
            <v>204</v>
          </cell>
          <cell r="AF90">
            <v>406</v>
          </cell>
          <cell r="AI90">
            <v>40086</v>
          </cell>
          <cell r="AN90">
            <v>204</v>
          </cell>
          <cell r="AO90">
            <v>406</v>
          </cell>
          <cell r="AR90">
            <v>40117</v>
          </cell>
          <cell r="AW90">
            <v>204</v>
          </cell>
          <cell r="AX90">
            <v>406</v>
          </cell>
          <cell r="BA90">
            <v>40147</v>
          </cell>
          <cell r="BF90">
            <v>204</v>
          </cell>
          <cell r="BG90">
            <v>406</v>
          </cell>
          <cell r="BJ90">
            <v>40178</v>
          </cell>
          <cell r="BO90">
            <v>204</v>
          </cell>
          <cell r="BP90">
            <v>406</v>
          </cell>
          <cell r="BS90">
            <v>40209</v>
          </cell>
          <cell r="BX90">
            <v>204</v>
          </cell>
          <cell r="BY90">
            <v>406</v>
          </cell>
          <cell r="CB90">
            <v>40237</v>
          </cell>
          <cell r="CG90">
            <v>204</v>
          </cell>
          <cell r="CH90">
            <v>406</v>
          </cell>
          <cell r="CK90">
            <v>40268</v>
          </cell>
          <cell r="CP90">
            <v>204</v>
          </cell>
          <cell r="CQ90">
            <v>406</v>
          </cell>
          <cell r="CT90">
            <v>40298</v>
          </cell>
          <cell r="CY90">
            <v>204</v>
          </cell>
          <cell r="CZ90">
            <v>406</v>
          </cell>
          <cell r="DC90">
            <v>40329</v>
          </cell>
          <cell r="DH90">
            <v>204</v>
          </cell>
          <cell r="DI90">
            <v>406</v>
          </cell>
          <cell r="DL90">
            <v>40359</v>
          </cell>
        </row>
        <row r="92">
          <cell r="J92" t="str">
            <v>Account</v>
          </cell>
          <cell r="K92" t="str">
            <v>Dept</v>
          </cell>
          <cell r="L92" t="str">
            <v>Sum Amount</v>
          </cell>
          <cell r="M92" t="str">
            <v>Trans</v>
          </cell>
          <cell r="N92" t="str">
            <v>Product</v>
          </cell>
          <cell r="O92" t="str">
            <v>Sum Stat Amt</v>
          </cell>
          <cell r="P92" t="str">
            <v>Period</v>
          </cell>
          <cell r="Q92" t="str">
            <v>Date</v>
          </cell>
          <cell r="S92" t="str">
            <v>Account</v>
          </cell>
          <cell r="T92" t="str">
            <v>Dept</v>
          </cell>
          <cell r="U92" t="str">
            <v>Sum Amount</v>
          </cell>
          <cell r="V92" t="str">
            <v>Trans</v>
          </cell>
          <cell r="W92" t="str">
            <v>Product</v>
          </cell>
          <cell r="X92" t="str">
            <v>Sum Stat Amt</v>
          </cell>
          <cell r="Y92" t="str">
            <v>Period</v>
          </cell>
          <cell r="Z92" t="str">
            <v>Date</v>
          </cell>
          <cell r="AB92" t="str">
            <v>Account</v>
          </cell>
          <cell r="AC92" t="str">
            <v>Dept</v>
          </cell>
          <cell r="AD92" t="str">
            <v>Sum Amount</v>
          </cell>
          <cell r="AE92" t="str">
            <v>Trans</v>
          </cell>
          <cell r="AF92" t="str">
            <v>Product</v>
          </cell>
          <cell r="AG92" t="str">
            <v>Sum Stat Amt</v>
          </cell>
          <cell r="AH92" t="str">
            <v>Period</v>
          </cell>
          <cell r="AI92" t="str">
            <v>Date</v>
          </cell>
          <cell r="AK92" t="str">
            <v>Account</v>
          </cell>
          <cell r="AL92" t="str">
            <v>Dept</v>
          </cell>
          <cell r="AM92" t="str">
            <v>Sum Amount</v>
          </cell>
          <cell r="AN92" t="str">
            <v>Trans</v>
          </cell>
          <cell r="AO92" t="str">
            <v>Product</v>
          </cell>
          <cell r="AP92" t="str">
            <v>Sum Stat Amt</v>
          </cell>
          <cell r="AQ92" t="str">
            <v>Period</v>
          </cell>
          <cell r="AR92" t="str">
            <v>Date</v>
          </cell>
          <cell r="AT92" t="str">
            <v>Account</v>
          </cell>
          <cell r="AU92" t="str">
            <v>Dept</v>
          </cell>
          <cell r="AV92" t="str">
            <v>Sum Amount</v>
          </cell>
          <cell r="AW92" t="str">
            <v>Trans</v>
          </cell>
          <cell r="AX92" t="str">
            <v>Product</v>
          </cell>
          <cell r="AY92" t="str">
            <v>Sum Stat Amt</v>
          </cell>
          <cell r="AZ92" t="str">
            <v>Period</v>
          </cell>
          <cell r="BA92" t="str">
            <v>Date</v>
          </cell>
          <cell r="BC92" t="str">
            <v>Account</v>
          </cell>
          <cell r="BD92" t="str">
            <v>Dept</v>
          </cell>
          <cell r="BE92" t="str">
            <v>Sum Amount</v>
          </cell>
          <cell r="BF92" t="str">
            <v>Trans</v>
          </cell>
          <cell r="BG92" t="str">
            <v>Product</v>
          </cell>
          <cell r="BH92" t="str">
            <v>Sum Stat Amt</v>
          </cell>
          <cell r="BI92" t="str">
            <v>Period</v>
          </cell>
          <cell r="BJ92" t="str">
            <v>Date</v>
          </cell>
          <cell r="BL92" t="str">
            <v>Account</v>
          </cell>
          <cell r="BM92" t="str">
            <v>Dept</v>
          </cell>
          <cell r="BN92" t="str">
            <v>Sum Amount</v>
          </cell>
          <cell r="BO92" t="str">
            <v>Trans</v>
          </cell>
          <cell r="BP92" t="str">
            <v>Product</v>
          </cell>
          <cell r="BQ92" t="str">
            <v>Sum Stat Amt</v>
          </cell>
          <cell r="BR92" t="str">
            <v>Period</v>
          </cell>
          <cell r="BS92" t="str">
            <v>Date</v>
          </cell>
          <cell r="BU92" t="str">
            <v>Account</v>
          </cell>
          <cell r="BV92" t="str">
            <v>Dept</v>
          </cell>
          <cell r="BW92" t="str">
            <v>Sum Amount</v>
          </cell>
          <cell r="BX92" t="str">
            <v>Trans</v>
          </cell>
          <cell r="BY92" t="str">
            <v>Product</v>
          </cell>
          <cell r="BZ92" t="str">
            <v>Sum Stat Amt</v>
          </cell>
          <cell r="CA92" t="str">
            <v>Period</v>
          </cell>
          <cell r="CB92" t="str">
            <v>Date</v>
          </cell>
          <cell r="CD92" t="str">
            <v>Account</v>
          </cell>
          <cell r="CE92" t="str">
            <v>Dept</v>
          </cell>
          <cell r="CF92" t="str">
            <v>Sum Amount</v>
          </cell>
          <cell r="CG92" t="str">
            <v>Trans</v>
          </cell>
          <cell r="CH92" t="str">
            <v>Product</v>
          </cell>
          <cell r="CI92" t="str">
            <v>Sum Stat Amt</v>
          </cell>
          <cell r="CJ92" t="str">
            <v>Period</v>
          </cell>
          <cell r="CK92" t="str">
            <v>Date</v>
          </cell>
          <cell r="CM92" t="str">
            <v>Account</v>
          </cell>
          <cell r="CN92" t="str">
            <v>Dept</v>
          </cell>
          <cell r="CO92" t="str">
            <v>Sum Amount</v>
          </cell>
          <cell r="CP92" t="str">
            <v>Trans</v>
          </cell>
          <cell r="CQ92" t="str">
            <v>Product</v>
          </cell>
          <cell r="CR92" t="str">
            <v>Sum Stat Amt</v>
          </cell>
          <cell r="CS92" t="str">
            <v>Period</v>
          </cell>
          <cell r="CT92" t="str">
            <v>Date</v>
          </cell>
          <cell r="CV92" t="str">
            <v>Account</v>
          </cell>
          <cell r="CW92" t="str">
            <v>Dept</v>
          </cell>
          <cell r="CX92" t="str">
            <v>Sum Amount</v>
          </cell>
          <cell r="CY92" t="str">
            <v>Trans</v>
          </cell>
          <cell r="CZ92" t="str">
            <v>Product</v>
          </cell>
          <cell r="DA92" t="str">
            <v>Sum Stat Amt</v>
          </cell>
          <cell r="DB92" t="str">
            <v>Period</v>
          </cell>
          <cell r="DC92" t="str">
            <v>Date</v>
          </cell>
          <cell r="DE92" t="str">
            <v>Account</v>
          </cell>
          <cell r="DF92" t="str">
            <v>Dept</v>
          </cell>
          <cell r="DG92" t="str">
            <v>Sum Amount</v>
          </cell>
          <cell r="DH92" t="str">
            <v>Trans</v>
          </cell>
          <cell r="DI92" t="str">
            <v>Product</v>
          </cell>
          <cell r="DJ92" t="str">
            <v>Sum Stat Amt</v>
          </cell>
          <cell r="DK92" t="str">
            <v>Period</v>
          </cell>
          <cell r="DL92" t="str">
            <v>Date</v>
          </cell>
        </row>
        <row r="93">
          <cell r="M93">
            <v>250</v>
          </cell>
          <cell r="N93">
            <v>406</v>
          </cell>
          <cell r="Q93">
            <v>40025</v>
          </cell>
          <cell r="V93">
            <v>250</v>
          </cell>
          <cell r="W93">
            <v>406</v>
          </cell>
          <cell r="Z93">
            <v>40056</v>
          </cell>
          <cell r="AE93">
            <v>250</v>
          </cell>
          <cell r="AF93">
            <v>406</v>
          </cell>
          <cell r="AI93">
            <v>40086</v>
          </cell>
          <cell r="AN93">
            <v>250</v>
          </cell>
          <cell r="AO93">
            <v>406</v>
          </cell>
          <cell r="AR93">
            <v>40117</v>
          </cell>
          <cell r="AW93">
            <v>250</v>
          </cell>
          <cell r="AX93">
            <v>406</v>
          </cell>
          <cell r="BA93">
            <v>40147</v>
          </cell>
          <cell r="BF93">
            <v>250</v>
          </cell>
          <cell r="BG93">
            <v>406</v>
          </cell>
          <cell r="BJ93">
            <v>40178</v>
          </cell>
          <cell r="BO93">
            <v>250</v>
          </cell>
          <cell r="BP93">
            <v>406</v>
          </cell>
          <cell r="BS93">
            <v>40209</v>
          </cell>
          <cell r="BX93">
            <v>250</v>
          </cell>
          <cell r="BY93">
            <v>406</v>
          </cell>
          <cell r="CB93">
            <v>40237</v>
          </cell>
          <cell r="CG93">
            <v>250</v>
          </cell>
          <cell r="CH93">
            <v>406</v>
          </cell>
          <cell r="CK93">
            <v>40268</v>
          </cell>
          <cell r="CP93">
            <v>250</v>
          </cell>
          <cell r="CQ93">
            <v>406</v>
          </cell>
          <cell r="CT93">
            <v>40298</v>
          </cell>
          <cell r="CY93">
            <v>250</v>
          </cell>
          <cell r="CZ93">
            <v>406</v>
          </cell>
          <cell r="DC93">
            <v>40329</v>
          </cell>
          <cell r="DH93">
            <v>250</v>
          </cell>
          <cell r="DI93">
            <v>406</v>
          </cell>
          <cell r="DL93">
            <v>40359</v>
          </cell>
        </row>
        <row r="172">
          <cell r="J172" t="str">
            <v>Account</v>
          </cell>
          <cell r="K172" t="str">
            <v>Dept</v>
          </cell>
          <cell r="L172" t="str">
            <v>Sum Amount</v>
          </cell>
          <cell r="M172" t="str">
            <v>Trans</v>
          </cell>
          <cell r="N172" t="str">
            <v>Product</v>
          </cell>
          <cell r="O172" t="str">
            <v>Sum Stat Amt</v>
          </cell>
          <cell r="P172" t="str">
            <v>Period</v>
          </cell>
          <cell r="Q172" t="str">
            <v>Date</v>
          </cell>
          <cell r="S172" t="str">
            <v>Account</v>
          </cell>
          <cell r="T172" t="str">
            <v>Dept</v>
          </cell>
          <cell r="U172" t="str">
            <v>Sum Amount</v>
          </cell>
          <cell r="V172" t="str">
            <v>Trans</v>
          </cell>
          <cell r="W172" t="str">
            <v>Product</v>
          </cell>
          <cell r="X172" t="str">
            <v>Sum Stat Amt</v>
          </cell>
          <cell r="Y172" t="str">
            <v>Period</v>
          </cell>
          <cell r="Z172" t="str">
            <v>Date</v>
          </cell>
          <cell r="AB172" t="str">
            <v>Account</v>
          </cell>
          <cell r="AC172" t="str">
            <v>Dept</v>
          </cell>
          <cell r="AD172" t="str">
            <v>Sum Amount</v>
          </cell>
          <cell r="AE172" t="str">
            <v>Trans</v>
          </cell>
          <cell r="AF172" t="str">
            <v>Product</v>
          </cell>
          <cell r="AG172" t="str">
            <v>Sum Stat Amt</v>
          </cell>
          <cell r="AH172" t="str">
            <v>Period</v>
          </cell>
          <cell r="AI172" t="str">
            <v>Date</v>
          </cell>
          <cell r="AK172" t="str">
            <v>Account</v>
          </cell>
          <cell r="AL172" t="str">
            <v>Dept</v>
          </cell>
          <cell r="AM172" t="str">
            <v>Sum Amount</v>
          </cell>
          <cell r="AN172" t="str">
            <v>Trans</v>
          </cell>
          <cell r="AO172" t="str">
            <v>Product</v>
          </cell>
          <cell r="AP172" t="str">
            <v>Sum Stat Amt</v>
          </cell>
          <cell r="AQ172" t="str">
            <v>Period</v>
          </cell>
          <cell r="AR172" t="str">
            <v>Date</v>
          </cell>
          <cell r="AT172" t="str">
            <v>Account</v>
          </cell>
          <cell r="AU172" t="str">
            <v>Dept</v>
          </cell>
          <cell r="AV172" t="str">
            <v>Sum Amount</v>
          </cell>
          <cell r="AW172" t="str">
            <v>Trans</v>
          </cell>
          <cell r="AX172" t="str">
            <v>Product</v>
          </cell>
          <cell r="AY172" t="str">
            <v>Sum Stat Amt</v>
          </cell>
          <cell r="AZ172" t="str">
            <v>Period</v>
          </cell>
          <cell r="BA172" t="str">
            <v>Date</v>
          </cell>
          <cell r="BC172" t="str">
            <v>Account</v>
          </cell>
          <cell r="BD172" t="str">
            <v>Dept</v>
          </cell>
          <cell r="BE172" t="str">
            <v>Sum Amount</v>
          </cell>
          <cell r="BF172" t="str">
            <v>Trans</v>
          </cell>
          <cell r="BG172" t="str">
            <v>Product</v>
          </cell>
          <cell r="BH172" t="str">
            <v>Sum Stat Amt</v>
          </cell>
          <cell r="BI172" t="str">
            <v>Period</v>
          </cell>
          <cell r="BJ172" t="str">
            <v>Date</v>
          </cell>
          <cell r="BL172" t="str">
            <v>Account</v>
          </cell>
          <cell r="BM172" t="str">
            <v>Dept</v>
          </cell>
          <cell r="BN172" t="str">
            <v>Sum Amount</v>
          </cell>
          <cell r="BO172" t="str">
            <v>Trans</v>
          </cell>
          <cell r="BP172" t="str">
            <v>Product</v>
          </cell>
          <cell r="BQ172" t="str">
            <v>Sum Stat Amt</v>
          </cell>
          <cell r="BR172" t="str">
            <v>Period</v>
          </cell>
          <cell r="BS172" t="str">
            <v>Date</v>
          </cell>
          <cell r="BU172" t="str">
            <v>Account</v>
          </cell>
          <cell r="BV172" t="str">
            <v>Dept</v>
          </cell>
          <cell r="BW172" t="str">
            <v>Sum Amount</v>
          </cell>
          <cell r="BX172" t="str">
            <v>Trans</v>
          </cell>
          <cell r="BY172" t="str">
            <v>Product</v>
          </cell>
          <cell r="BZ172" t="str">
            <v>Sum Stat Amt</v>
          </cell>
          <cell r="CA172" t="str">
            <v>Period</v>
          </cell>
          <cell r="CB172" t="str">
            <v>Date</v>
          </cell>
          <cell r="CD172" t="str">
            <v>Account</v>
          </cell>
          <cell r="CE172" t="str">
            <v>Dept</v>
          </cell>
          <cell r="CF172" t="str">
            <v>Sum Amount</v>
          </cell>
          <cell r="CG172" t="str">
            <v>Trans</v>
          </cell>
          <cell r="CH172" t="str">
            <v>Product</v>
          </cell>
          <cell r="CI172" t="str">
            <v>Sum Stat Amt</v>
          </cell>
          <cell r="CJ172" t="str">
            <v>Period</v>
          </cell>
          <cell r="CK172" t="str">
            <v>Date</v>
          </cell>
          <cell r="CM172" t="str">
            <v>Account</v>
          </cell>
          <cell r="CN172" t="str">
            <v>Dept</v>
          </cell>
          <cell r="CO172" t="str">
            <v>Sum Amount</v>
          </cell>
          <cell r="CP172" t="str">
            <v>Trans</v>
          </cell>
          <cell r="CQ172" t="str">
            <v>Product</v>
          </cell>
          <cell r="CR172" t="str">
            <v>Sum Stat Amt</v>
          </cell>
          <cell r="CS172" t="str">
            <v>Period</v>
          </cell>
          <cell r="CT172" t="str">
            <v>Date</v>
          </cell>
          <cell r="CV172" t="str">
            <v>Account</v>
          </cell>
          <cell r="CW172" t="str">
            <v>Dept</v>
          </cell>
          <cell r="CX172" t="str">
            <v>Sum Amount</v>
          </cell>
          <cell r="CY172" t="str">
            <v>Trans</v>
          </cell>
          <cell r="CZ172" t="str">
            <v>Product</v>
          </cell>
          <cell r="DA172" t="str">
            <v>Sum Stat Amt</v>
          </cell>
          <cell r="DB172" t="str">
            <v>Period</v>
          </cell>
          <cell r="DC172" t="str">
            <v>Date</v>
          </cell>
          <cell r="DE172" t="str">
            <v>Account</v>
          </cell>
          <cell r="DF172" t="str">
            <v>Dept</v>
          </cell>
          <cell r="DG172" t="str">
            <v>Sum Amount</v>
          </cell>
          <cell r="DH172" t="str">
            <v>Trans</v>
          </cell>
          <cell r="DI172" t="str">
            <v>Product</v>
          </cell>
          <cell r="DJ172" t="str">
            <v>Sum Stat Amt</v>
          </cell>
          <cell r="DK172" t="str">
            <v>Period</v>
          </cell>
          <cell r="DL172" t="str">
            <v>Date</v>
          </cell>
        </row>
        <row r="173">
          <cell r="M173">
            <v>250</v>
          </cell>
          <cell r="N173">
            <v>418</v>
          </cell>
          <cell r="Q173">
            <v>40025</v>
          </cell>
          <cell r="V173">
            <v>250</v>
          </cell>
          <cell r="W173">
            <v>418</v>
          </cell>
          <cell r="Z173">
            <v>40056</v>
          </cell>
          <cell r="AE173">
            <v>250</v>
          </cell>
          <cell r="AF173">
            <v>418</v>
          </cell>
          <cell r="AI173">
            <v>40086</v>
          </cell>
          <cell r="AN173">
            <v>250</v>
          </cell>
          <cell r="AO173">
            <v>418</v>
          </cell>
          <cell r="AR173">
            <v>40117</v>
          </cell>
          <cell r="AW173">
            <v>250</v>
          </cell>
          <cell r="AX173">
            <v>418</v>
          </cell>
          <cell r="BA173">
            <v>40147</v>
          </cell>
          <cell r="BF173">
            <v>250</v>
          </cell>
          <cell r="BG173">
            <v>418</v>
          </cell>
          <cell r="BJ173">
            <v>40178</v>
          </cell>
          <cell r="BO173">
            <v>250</v>
          </cell>
          <cell r="BP173">
            <v>418</v>
          </cell>
          <cell r="BS173">
            <v>40209</v>
          </cell>
          <cell r="BX173">
            <v>250</v>
          </cell>
          <cell r="BY173">
            <v>418</v>
          </cell>
          <cell r="CB173">
            <v>40237</v>
          </cell>
          <cell r="CG173">
            <v>250</v>
          </cell>
          <cell r="CH173">
            <v>418</v>
          </cell>
          <cell r="CK173">
            <v>40268</v>
          </cell>
          <cell r="CP173">
            <v>250</v>
          </cell>
          <cell r="CQ173">
            <v>418</v>
          </cell>
          <cell r="CT173">
            <v>40298</v>
          </cell>
          <cell r="CY173">
            <v>250</v>
          </cell>
          <cell r="CZ173">
            <v>418</v>
          </cell>
          <cell r="DC173">
            <v>40329</v>
          </cell>
          <cell r="DH173">
            <v>250</v>
          </cell>
          <cell r="DI173">
            <v>418</v>
          </cell>
          <cell r="DL173">
            <v>40359</v>
          </cell>
        </row>
        <row r="175">
          <cell r="J175" t="str">
            <v>Account</v>
          </cell>
          <cell r="K175" t="str">
            <v>Dept</v>
          </cell>
          <cell r="L175" t="str">
            <v>Sum Amount</v>
          </cell>
          <cell r="M175" t="str">
            <v>Trans</v>
          </cell>
          <cell r="N175" t="str">
            <v>Product</v>
          </cell>
          <cell r="O175" t="str">
            <v>Sum Stat Amt</v>
          </cell>
          <cell r="P175" t="str">
            <v>Period</v>
          </cell>
          <cell r="Q175" t="str">
            <v>Date</v>
          </cell>
          <cell r="S175" t="str">
            <v>Account</v>
          </cell>
          <cell r="T175" t="str">
            <v>Dept</v>
          </cell>
          <cell r="U175" t="str">
            <v>Sum Amount</v>
          </cell>
          <cell r="V175" t="str">
            <v>Trans</v>
          </cell>
          <cell r="W175" t="str">
            <v>Product</v>
          </cell>
          <cell r="X175" t="str">
            <v>Sum Stat Amt</v>
          </cell>
          <cell r="Y175" t="str">
            <v>Period</v>
          </cell>
          <cell r="Z175" t="str">
            <v>Date</v>
          </cell>
          <cell r="AB175" t="str">
            <v>Account</v>
          </cell>
          <cell r="AC175" t="str">
            <v>Dept</v>
          </cell>
          <cell r="AD175" t="str">
            <v>Sum Amount</v>
          </cell>
          <cell r="AE175" t="str">
            <v>Trans</v>
          </cell>
          <cell r="AF175" t="str">
            <v>Product</v>
          </cell>
          <cell r="AG175" t="str">
            <v>Sum Stat Amt</v>
          </cell>
          <cell r="AH175" t="str">
            <v>Period</v>
          </cell>
          <cell r="AI175" t="str">
            <v>Date</v>
          </cell>
          <cell r="AK175" t="str">
            <v>Account</v>
          </cell>
          <cell r="AL175" t="str">
            <v>Dept</v>
          </cell>
          <cell r="AM175" t="str">
            <v>Sum Amount</v>
          </cell>
          <cell r="AN175" t="str">
            <v>Trans</v>
          </cell>
          <cell r="AO175" t="str">
            <v>Product</v>
          </cell>
          <cell r="AP175" t="str">
            <v>Sum Stat Amt</v>
          </cell>
          <cell r="AQ175" t="str">
            <v>Period</v>
          </cell>
          <cell r="AR175" t="str">
            <v>Date</v>
          </cell>
          <cell r="AT175" t="str">
            <v>Account</v>
          </cell>
          <cell r="AU175" t="str">
            <v>Dept</v>
          </cell>
          <cell r="AV175" t="str">
            <v>Sum Amount</v>
          </cell>
          <cell r="AW175" t="str">
            <v>Trans</v>
          </cell>
          <cell r="AX175" t="str">
            <v>Product</v>
          </cell>
          <cell r="AY175" t="str">
            <v>Sum Stat Amt</v>
          </cell>
          <cell r="AZ175" t="str">
            <v>Period</v>
          </cell>
          <cell r="BA175" t="str">
            <v>Date</v>
          </cell>
          <cell r="BC175" t="str">
            <v>Account</v>
          </cell>
          <cell r="BD175" t="str">
            <v>Dept</v>
          </cell>
          <cell r="BE175" t="str">
            <v>Sum Amount</v>
          </cell>
          <cell r="BF175" t="str">
            <v>Trans</v>
          </cell>
          <cell r="BG175" t="str">
            <v>Product</v>
          </cell>
          <cell r="BH175" t="str">
            <v>Sum Stat Amt</v>
          </cell>
          <cell r="BI175" t="str">
            <v>Period</v>
          </cell>
          <cell r="BJ175" t="str">
            <v>Date</v>
          </cell>
          <cell r="BL175" t="str">
            <v>Account</v>
          </cell>
          <cell r="BM175" t="str">
            <v>Dept</v>
          </cell>
          <cell r="BN175" t="str">
            <v>Sum Amount</v>
          </cell>
          <cell r="BO175" t="str">
            <v>Trans</v>
          </cell>
          <cell r="BP175" t="str">
            <v>Product</v>
          </cell>
          <cell r="BQ175" t="str">
            <v>Sum Stat Amt</v>
          </cell>
          <cell r="BR175" t="str">
            <v>Period</v>
          </cell>
          <cell r="BS175" t="str">
            <v>Date</v>
          </cell>
          <cell r="BU175" t="str">
            <v>Account</v>
          </cell>
          <cell r="BV175" t="str">
            <v>Dept</v>
          </cell>
          <cell r="BW175" t="str">
            <v>Sum Amount</v>
          </cell>
          <cell r="BX175" t="str">
            <v>Trans</v>
          </cell>
          <cell r="BY175" t="str">
            <v>Product</v>
          </cell>
          <cell r="BZ175" t="str">
            <v>Sum Stat Amt</v>
          </cell>
          <cell r="CA175" t="str">
            <v>Period</v>
          </cell>
          <cell r="CB175" t="str">
            <v>Date</v>
          </cell>
          <cell r="CD175" t="str">
            <v>Account</v>
          </cell>
          <cell r="CE175" t="str">
            <v>Dept</v>
          </cell>
          <cell r="CF175" t="str">
            <v>Sum Amount</v>
          </cell>
          <cell r="CG175" t="str">
            <v>Trans</v>
          </cell>
          <cell r="CH175" t="str">
            <v>Product</v>
          </cell>
          <cell r="CI175" t="str">
            <v>Sum Stat Amt</v>
          </cell>
          <cell r="CJ175" t="str">
            <v>Period</v>
          </cell>
          <cell r="CK175" t="str">
            <v>Date</v>
          </cell>
          <cell r="CM175" t="str">
            <v>Account</v>
          </cell>
          <cell r="CN175" t="str">
            <v>Dept</v>
          </cell>
          <cell r="CO175" t="str">
            <v>Sum Amount</v>
          </cell>
          <cell r="CP175" t="str">
            <v>Trans</v>
          </cell>
          <cell r="CQ175" t="str">
            <v>Product</v>
          </cell>
          <cell r="CR175" t="str">
            <v>Sum Stat Amt</v>
          </cell>
          <cell r="CS175" t="str">
            <v>Period</v>
          </cell>
          <cell r="CT175" t="str">
            <v>Date</v>
          </cell>
          <cell r="CV175" t="str">
            <v>Account</v>
          </cell>
          <cell r="CW175" t="str">
            <v>Dept</v>
          </cell>
          <cell r="CX175" t="str">
            <v>Sum Amount</v>
          </cell>
          <cell r="CY175" t="str">
            <v>Trans</v>
          </cell>
          <cell r="CZ175" t="str">
            <v>Product</v>
          </cell>
          <cell r="DA175" t="str">
            <v>Sum Stat Amt</v>
          </cell>
          <cell r="DB175" t="str">
            <v>Period</v>
          </cell>
          <cell r="DC175" t="str">
            <v>Date</v>
          </cell>
          <cell r="DE175" t="str">
            <v>Account</v>
          </cell>
          <cell r="DF175" t="str">
            <v>Dept</v>
          </cell>
          <cell r="DG175" t="str">
            <v>Sum Amount</v>
          </cell>
          <cell r="DH175" t="str">
            <v>Trans</v>
          </cell>
          <cell r="DI175" t="str">
            <v>Product</v>
          </cell>
          <cell r="DJ175" t="str">
            <v>Sum Stat Amt</v>
          </cell>
          <cell r="DK175" t="str">
            <v>Period</v>
          </cell>
          <cell r="DL175" t="str">
            <v>Date</v>
          </cell>
        </row>
        <row r="176">
          <cell r="M176">
            <v>250</v>
          </cell>
          <cell r="N176">
            <v>452</v>
          </cell>
          <cell r="Q176">
            <v>40025</v>
          </cell>
          <cell r="V176">
            <v>250</v>
          </cell>
          <cell r="W176">
            <v>452</v>
          </cell>
          <cell r="Z176">
            <v>40056</v>
          </cell>
          <cell r="AE176">
            <v>250</v>
          </cell>
          <cell r="AF176">
            <v>452</v>
          </cell>
          <cell r="AI176">
            <v>40086</v>
          </cell>
          <cell r="AN176">
            <v>250</v>
          </cell>
          <cell r="AO176">
            <v>452</v>
          </cell>
          <cell r="AR176">
            <v>40117</v>
          </cell>
          <cell r="AW176">
            <v>250</v>
          </cell>
          <cell r="AX176">
            <v>452</v>
          </cell>
          <cell r="BA176">
            <v>40147</v>
          </cell>
          <cell r="BF176">
            <v>250</v>
          </cell>
          <cell r="BG176">
            <v>452</v>
          </cell>
          <cell r="BJ176">
            <v>40178</v>
          </cell>
          <cell r="BO176">
            <v>250</v>
          </cell>
          <cell r="BP176">
            <v>452</v>
          </cell>
          <cell r="BS176">
            <v>40209</v>
          </cell>
          <cell r="BX176">
            <v>250</v>
          </cell>
          <cell r="BY176">
            <v>452</v>
          </cell>
          <cell r="CB176">
            <v>40237</v>
          </cell>
          <cell r="CG176">
            <v>250</v>
          </cell>
          <cell r="CH176">
            <v>452</v>
          </cell>
          <cell r="CK176">
            <v>40268</v>
          </cell>
          <cell r="CP176">
            <v>250</v>
          </cell>
          <cell r="CQ176">
            <v>452</v>
          </cell>
          <cell r="CT176">
            <v>40298</v>
          </cell>
          <cell r="CY176">
            <v>250</v>
          </cell>
          <cell r="CZ176">
            <v>452</v>
          </cell>
          <cell r="DC176">
            <v>40329</v>
          </cell>
          <cell r="DH176">
            <v>250</v>
          </cell>
          <cell r="DI176">
            <v>452</v>
          </cell>
          <cell r="DL176">
            <v>40359</v>
          </cell>
        </row>
        <row r="184">
          <cell r="J184" t="str">
            <v>Account</v>
          </cell>
          <cell r="K184" t="str">
            <v>Dept</v>
          </cell>
          <cell r="L184" t="str">
            <v>Sum Amount</v>
          </cell>
          <cell r="M184" t="str">
            <v>Trans</v>
          </cell>
          <cell r="N184" t="str">
            <v>Product</v>
          </cell>
          <cell r="O184" t="str">
            <v>Sum Stat Amt</v>
          </cell>
          <cell r="P184" t="str">
            <v>Period</v>
          </cell>
          <cell r="Q184" t="str">
            <v>Date</v>
          </cell>
          <cell r="S184" t="str">
            <v>Account</v>
          </cell>
          <cell r="T184" t="str">
            <v>Dept</v>
          </cell>
          <cell r="U184" t="str">
            <v>Sum Amount</v>
          </cell>
          <cell r="V184" t="str">
            <v>Trans</v>
          </cell>
          <cell r="W184" t="str">
            <v>Product</v>
          </cell>
          <cell r="X184" t="str">
            <v>Sum Stat Amt</v>
          </cell>
          <cell r="Y184" t="str">
            <v>Period</v>
          </cell>
          <cell r="Z184" t="str">
            <v>Date</v>
          </cell>
          <cell r="AB184" t="str">
            <v>Account</v>
          </cell>
          <cell r="AC184" t="str">
            <v>Dept</v>
          </cell>
          <cell r="AD184" t="str">
            <v>Sum Amount</v>
          </cell>
          <cell r="AE184" t="str">
            <v>Trans</v>
          </cell>
          <cell r="AF184" t="str">
            <v>Product</v>
          </cell>
          <cell r="AG184" t="str">
            <v>Sum Stat Amt</v>
          </cell>
          <cell r="AH184" t="str">
            <v>Period</v>
          </cell>
          <cell r="AI184" t="str">
            <v>Date</v>
          </cell>
          <cell r="AK184" t="str">
            <v>Account</v>
          </cell>
          <cell r="AL184" t="str">
            <v>Dept</v>
          </cell>
          <cell r="AM184" t="str">
            <v>Sum Amount</v>
          </cell>
          <cell r="AN184" t="str">
            <v>Trans</v>
          </cell>
          <cell r="AO184" t="str">
            <v>Product</v>
          </cell>
          <cell r="AP184" t="str">
            <v>Sum Stat Amt</v>
          </cell>
          <cell r="AQ184" t="str">
            <v>Period</v>
          </cell>
          <cell r="AR184" t="str">
            <v>Date</v>
          </cell>
          <cell r="AT184" t="str">
            <v>Account</v>
          </cell>
          <cell r="AU184" t="str">
            <v>Dept</v>
          </cell>
          <cell r="AV184" t="str">
            <v>Sum Amount</v>
          </cell>
          <cell r="AW184" t="str">
            <v>Trans</v>
          </cell>
          <cell r="AX184" t="str">
            <v>Product</v>
          </cell>
          <cell r="AY184" t="str">
            <v>Sum Stat Amt</v>
          </cell>
          <cell r="AZ184" t="str">
            <v>Period</v>
          </cell>
          <cell r="BA184" t="str">
            <v>Date</v>
          </cell>
          <cell r="BC184" t="str">
            <v>Account</v>
          </cell>
          <cell r="BD184" t="str">
            <v>Dept</v>
          </cell>
          <cell r="BE184" t="str">
            <v>Sum Amount</v>
          </cell>
          <cell r="BF184" t="str">
            <v>Trans</v>
          </cell>
          <cell r="BG184" t="str">
            <v>Product</v>
          </cell>
          <cell r="BH184" t="str">
            <v>Sum Stat Amt</v>
          </cell>
          <cell r="BI184" t="str">
            <v>Period</v>
          </cell>
          <cell r="BJ184" t="str">
            <v>Date</v>
          </cell>
          <cell r="BL184" t="str">
            <v>Account</v>
          </cell>
          <cell r="BM184" t="str">
            <v>Dept</v>
          </cell>
          <cell r="BN184" t="str">
            <v>Sum Amount</v>
          </cell>
          <cell r="BO184" t="str">
            <v>Trans</v>
          </cell>
          <cell r="BP184" t="str">
            <v>Product</v>
          </cell>
          <cell r="BQ184" t="str">
            <v>Sum Stat Amt</v>
          </cell>
          <cell r="BR184" t="str">
            <v>Period</v>
          </cell>
          <cell r="BS184" t="str">
            <v>Date</v>
          </cell>
          <cell r="BU184" t="str">
            <v>Account</v>
          </cell>
          <cell r="BV184" t="str">
            <v>Dept</v>
          </cell>
          <cell r="BW184" t="str">
            <v>Sum Amount</v>
          </cell>
          <cell r="BX184" t="str">
            <v>Trans</v>
          </cell>
          <cell r="BY184" t="str">
            <v>Product</v>
          </cell>
          <cell r="BZ184" t="str">
            <v>Sum Stat Amt</v>
          </cell>
          <cell r="CA184" t="str">
            <v>Period</v>
          </cell>
          <cell r="CB184" t="str">
            <v>Date</v>
          </cell>
          <cell r="CD184" t="str">
            <v>Account</v>
          </cell>
          <cell r="CE184" t="str">
            <v>Dept</v>
          </cell>
          <cell r="CF184" t="str">
            <v>Sum Amount</v>
          </cell>
          <cell r="CG184" t="str">
            <v>Trans</v>
          </cell>
          <cell r="CH184" t="str">
            <v>Product</v>
          </cell>
          <cell r="CI184" t="str">
            <v>Sum Stat Amt</v>
          </cell>
          <cell r="CJ184" t="str">
            <v>Period</v>
          </cell>
          <cell r="CK184" t="str">
            <v>Date</v>
          </cell>
          <cell r="CM184" t="str">
            <v>Account</v>
          </cell>
          <cell r="CN184" t="str">
            <v>Dept</v>
          </cell>
          <cell r="CO184" t="str">
            <v>Sum Amount</v>
          </cell>
          <cell r="CP184" t="str">
            <v>Trans</v>
          </cell>
          <cell r="CQ184" t="str">
            <v>Product</v>
          </cell>
          <cell r="CR184" t="str">
            <v>Sum Stat Amt</v>
          </cell>
          <cell r="CS184" t="str">
            <v>Period</v>
          </cell>
          <cell r="CT184" t="str">
            <v>Date</v>
          </cell>
          <cell r="CV184" t="str">
            <v>Account</v>
          </cell>
          <cell r="CW184" t="str">
            <v>Dept</v>
          </cell>
          <cell r="CX184" t="str">
            <v>Sum Amount</v>
          </cell>
          <cell r="CY184" t="str">
            <v>Trans</v>
          </cell>
          <cell r="CZ184" t="str">
            <v>Product</v>
          </cell>
          <cell r="DA184" t="str">
            <v>Sum Stat Amt</v>
          </cell>
          <cell r="DB184" t="str">
            <v>Period</v>
          </cell>
          <cell r="DC184" t="str">
            <v>Date</v>
          </cell>
          <cell r="DE184" t="str">
            <v>Account</v>
          </cell>
          <cell r="DF184" t="str">
            <v>Dept</v>
          </cell>
          <cell r="DG184" t="str">
            <v>Sum Amount</v>
          </cell>
          <cell r="DH184" t="str">
            <v>Trans</v>
          </cell>
          <cell r="DI184" t="str">
            <v>Product</v>
          </cell>
          <cell r="DJ184" t="str">
            <v>Sum Stat Amt</v>
          </cell>
          <cell r="DK184" t="str">
            <v>Period</v>
          </cell>
          <cell r="DL184" t="str">
            <v>Date</v>
          </cell>
        </row>
        <row r="185">
          <cell r="M185" t="str">
            <v>215</v>
          </cell>
          <cell r="N185" t="str">
            <v>WY-CET</v>
          </cell>
          <cell r="Q185">
            <v>40025</v>
          </cell>
          <cell r="V185" t="str">
            <v>215</v>
          </cell>
          <cell r="W185" t="str">
            <v>WY-CET</v>
          </cell>
          <cell r="Z185">
            <v>40056</v>
          </cell>
          <cell r="AE185" t="str">
            <v>215</v>
          </cell>
          <cell r="AF185" t="str">
            <v>WY-CET</v>
          </cell>
          <cell r="AI185">
            <v>40086</v>
          </cell>
          <cell r="AN185" t="str">
            <v>215</v>
          </cell>
          <cell r="AO185" t="str">
            <v>WY-CET</v>
          </cell>
          <cell r="AR185">
            <v>40117</v>
          </cell>
          <cell r="AW185" t="str">
            <v>215</v>
          </cell>
          <cell r="AX185" t="str">
            <v>WY-CET</v>
          </cell>
          <cell r="BA185">
            <v>40147</v>
          </cell>
          <cell r="BF185" t="str">
            <v>215</v>
          </cell>
          <cell r="BG185" t="str">
            <v>WY-CET</v>
          </cell>
          <cell r="BJ185">
            <v>40178</v>
          </cell>
          <cell r="BO185" t="str">
            <v>215</v>
          </cell>
          <cell r="BP185" t="str">
            <v>WY-CET</v>
          </cell>
          <cell r="BS185">
            <v>40209</v>
          </cell>
          <cell r="BX185" t="str">
            <v>215</v>
          </cell>
          <cell r="BY185" t="str">
            <v>WY-CET</v>
          </cell>
          <cell r="CB185">
            <v>40237</v>
          </cell>
          <cell r="CG185" t="str">
            <v>215</v>
          </cell>
          <cell r="CH185" t="str">
            <v>WY-CET</v>
          </cell>
          <cell r="CK185">
            <v>40268</v>
          </cell>
          <cell r="CP185" t="str">
            <v>215</v>
          </cell>
          <cell r="CQ185" t="str">
            <v>WY-CET</v>
          </cell>
          <cell r="CT185">
            <v>40298</v>
          </cell>
          <cell r="CY185" t="str">
            <v>215</v>
          </cell>
          <cell r="CZ185" t="str">
            <v>WY-CET</v>
          </cell>
          <cell r="DC185">
            <v>40329</v>
          </cell>
          <cell r="DH185" t="str">
            <v>215</v>
          </cell>
          <cell r="DI185" t="str">
            <v>WY-CET</v>
          </cell>
          <cell r="DL185">
            <v>40359</v>
          </cell>
        </row>
        <row r="187">
          <cell r="J187" t="str">
            <v>Account</v>
          </cell>
          <cell r="K187" t="str">
            <v>Dept</v>
          </cell>
          <cell r="L187" t="str">
            <v>Sum Amount</v>
          </cell>
          <cell r="M187" t="str">
            <v>Trans</v>
          </cell>
          <cell r="N187" t="str">
            <v>Product</v>
          </cell>
          <cell r="O187" t="str">
            <v>Sum Stat Amt</v>
          </cell>
          <cell r="P187" t="str">
            <v>Period</v>
          </cell>
          <cell r="Q187" t="str">
            <v>Date</v>
          </cell>
          <cell r="S187" t="str">
            <v>Account</v>
          </cell>
          <cell r="T187" t="str">
            <v>Dept</v>
          </cell>
          <cell r="U187" t="str">
            <v>Sum Amount</v>
          </cell>
          <cell r="V187" t="str">
            <v>Trans</v>
          </cell>
          <cell r="W187" t="str">
            <v>Product</v>
          </cell>
          <cell r="X187" t="str">
            <v>Sum Stat Amt</v>
          </cell>
          <cell r="Y187" t="str">
            <v>Period</v>
          </cell>
          <cell r="Z187" t="str">
            <v>Date</v>
          </cell>
          <cell r="AB187" t="str">
            <v>Account</v>
          </cell>
          <cell r="AC187" t="str">
            <v>Dept</v>
          </cell>
          <cell r="AD187" t="str">
            <v>Sum Amount</v>
          </cell>
          <cell r="AE187" t="str">
            <v>Trans</v>
          </cell>
          <cell r="AF187" t="str">
            <v>Product</v>
          </cell>
          <cell r="AG187" t="str">
            <v>Sum Stat Amt</v>
          </cell>
          <cell r="AH187" t="str">
            <v>Period</v>
          </cell>
          <cell r="AI187" t="str">
            <v>Date</v>
          </cell>
          <cell r="AK187" t="str">
            <v>Account</v>
          </cell>
          <cell r="AL187" t="str">
            <v>Dept</v>
          </cell>
          <cell r="AM187" t="str">
            <v>Sum Amount</v>
          </cell>
          <cell r="AN187" t="str">
            <v>Trans</v>
          </cell>
          <cell r="AO187" t="str">
            <v>Product</v>
          </cell>
          <cell r="AP187" t="str">
            <v>Sum Stat Amt</v>
          </cell>
          <cell r="AQ187" t="str">
            <v>Period</v>
          </cell>
          <cell r="AR187" t="str">
            <v>Date</v>
          </cell>
          <cell r="AT187" t="str">
            <v>Account</v>
          </cell>
          <cell r="AU187" t="str">
            <v>Dept</v>
          </cell>
          <cell r="AV187" t="str">
            <v>Sum Amount</v>
          </cell>
          <cell r="AW187" t="str">
            <v>Trans</v>
          </cell>
          <cell r="AX187" t="str">
            <v>Product</v>
          </cell>
          <cell r="AY187" t="str">
            <v>Sum Stat Amt</v>
          </cell>
          <cell r="AZ187" t="str">
            <v>Period</v>
          </cell>
          <cell r="BA187" t="str">
            <v>Date</v>
          </cell>
          <cell r="BC187" t="str">
            <v>Account</v>
          </cell>
          <cell r="BD187" t="str">
            <v>Dept</v>
          </cell>
          <cell r="BE187" t="str">
            <v>Sum Amount</v>
          </cell>
          <cell r="BF187" t="str">
            <v>Trans</v>
          </cell>
          <cell r="BG187" t="str">
            <v>Product</v>
          </cell>
          <cell r="BH187" t="str">
            <v>Sum Stat Amt</v>
          </cell>
          <cell r="BI187" t="str">
            <v>Period</v>
          </cell>
          <cell r="BJ187" t="str">
            <v>Date</v>
          </cell>
          <cell r="BL187" t="str">
            <v>Account</v>
          </cell>
          <cell r="BM187" t="str">
            <v>Dept</v>
          </cell>
          <cell r="BN187" t="str">
            <v>Sum Amount</v>
          </cell>
          <cell r="BO187" t="str">
            <v>Trans</v>
          </cell>
          <cell r="BP187" t="str">
            <v>Product</v>
          </cell>
          <cell r="BQ187" t="str">
            <v>Sum Stat Amt</v>
          </cell>
          <cell r="BR187" t="str">
            <v>Period</v>
          </cell>
          <cell r="BS187" t="str">
            <v>Date</v>
          </cell>
          <cell r="BU187" t="str">
            <v>Account</v>
          </cell>
          <cell r="BV187" t="str">
            <v>Dept</v>
          </cell>
          <cell r="BW187" t="str">
            <v>Sum Amount</v>
          </cell>
          <cell r="BX187" t="str">
            <v>Trans</v>
          </cell>
          <cell r="BY187" t="str">
            <v>Product</v>
          </cell>
          <cell r="BZ187" t="str">
            <v>Sum Stat Amt</v>
          </cell>
          <cell r="CA187" t="str">
            <v>Period</v>
          </cell>
          <cell r="CB187" t="str">
            <v>Date</v>
          </cell>
          <cell r="CD187" t="str">
            <v>Account</v>
          </cell>
          <cell r="CE187" t="str">
            <v>Dept</v>
          </cell>
          <cell r="CF187" t="str">
            <v>Sum Amount</v>
          </cell>
          <cell r="CG187" t="str">
            <v>Trans</v>
          </cell>
          <cell r="CH187" t="str">
            <v>Product</v>
          </cell>
          <cell r="CI187" t="str">
            <v>Sum Stat Amt</v>
          </cell>
          <cell r="CJ187" t="str">
            <v>Period</v>
          </cell>
          <cell r="CK187" t="str">
            <v>Date</v>
          </cell>
          <cell r="CM187" t="str">
            <v>Account</v>
          </cell>
          <cell r="CN187" t="str">
            <v>Dept</v>
          </cell>
          <cell r="CO187" t="str">
            <v>Sum Amount</v>
          </cell>
          <cell r="CP187" t="str">
            <v>Trans</v>
          </cell>
          <cell r="CQ187" t="str">
            <v>Product</v>
          </cell>
          <cell r="CR187" t="str">
            <v>Sum Stat Amt</v>
          </cell>
          <cell r="CS187" t="str">
            <v>Period</v>
          </cell>
          <cell r="CT187" t="str">
            <v>Date</v>
          </cell>
          <cell r="CV187" t="str">
            <v>Account</v>
          </cell>
          <cell r="CW187" t="str">
            <v>Dept</v>
          </cell>
          <cell r="CX187" t="str">
            <v>Sum Amount</v>
          </cell>
          <cell r="CY187" t="str">
            <v>Trans</v>
          </cell>
          <cell r="CZ187" t="str">
            <v>Product</v>
          </cell>
          <cell r="DA187" t="str">
            <v>Sum Stat Amt</v>
          </cell>
          <cell r="DB187" t="str">
            <v>Period</v>
          </cell>
          <cell r="DC187" t="str">
            <v>Date</v>
          </cell>
          <cell r="DE187" t="str">
            <v>Account</v>
          </cell>
          <cell r="DF187" t="str">
            <v>Dept</v>
          </cell>
          <cell r="DG187" t="str">
            <v>Sum Amount</v>
          </cell>
          <cell r="DH187" t="str">
            <v>Trans</v>
          </cell>
          <cell r="DI187" t="str">
            <v>Product</v>
          </cell>
          <cell r="DJ187" t="str">
            <v>Sum Stat Amt</v>
          </cell>
          <cell r="DK187" t="str">
            <v>Period</v>
          </cell>
          <cell r="DL187" t="str">
            <v>Date</v>
          </cell>
        </row>
        <row r="188">
          <cell r="M188" t="str">
            <v>216W</v>
          </cell>
          <cell r="Q188">
            <v>40025</v>
          </cell>
          <cell r="V188" t="str">
            <v>216W</v>
          </cell>
          <cell r="Z188">
            <v>40056</v>
          </cell>
          <cell r="AE188" t="str">
            <v>216W</v>
          </cell>
          <cell r="AI188">
            <v>40086</v>
          </cell>
          <cell r="AN188" t="str">
            <v>216W</v>
          </cell>
          <cell r="AR188">
            <v>40117</v>
          </cell>
          <cell r="AW188" t="str">
            <v>216W</v>
          </cell>
          <cell r="BA188">
            <v>40147</v>
          </cell>
          <cell r="BF188" t="str">
            <v>216W</v>
          </cell>
          <cell r="BJ188">
            <v>40178</v>
          </cell>
          <cell r="BO188" t="str">
            <v>216W</v>
          </cell>
          <cell r="BS188">
            <v>40209</v>
          </cell>
          <cell r="BX188" t="str">
            <v>216W</v>
          </cell>
          <cell r="CB188">
            <v>40237</v>
          </cell>
          <cell r="CG188" t="str">
            <v>216W</v>
          </cell>
          <cell r="CK188">
            <v>40268</v>
          </cell>
          <cell r="CP188" t="str">
            <v>216W</v>
          </cell>
          <cell r="CT188">
            <v>40298</v>
          </cell>
          <cell r="CY188" t="str">
            <v>216W</v>
          </cell>
          <cell r="DC188">
            <v>40329</v>
          </cell>
          <cell r="DH188" t="str">
            <v>216W</v>
          </cell>
          <cell r="DL188">
            <v>40359</v>
          </cell>
        </row>
        <row r="190">
          <cell r="J190" t="str">
            <v>Account</v>
          </cell>
          <cell r="K190" t="str">
            <v>Dept</v>
          </cell>
          <cell r="L190" t="str">
            <v>Sum Amount</v>
          </cell>
          <cell r="M190" t="str">
            <v>Trans</v>
          </cell>
          <cell r="N190" t="str">
            <v>Product</v>
          </cell>
          <cell r="O190" t="str">
            <v>Sum Stat Amt</v>
          </cell>
          <cell r="P190" t="str">
            <v>Period</v>
          </cell>
          <cell r="Q190" t="str">
            <v>Date</v>
          </cell>
          <cell r="S190" t="str">
            <v>Account</v>
          </cell>
          <cell r="T190" t="str">
            <v>Dept</v>
          </cell>
          <cell r="U190" t="str">
            <v>Sum Amount</v>
          </cell>
          <cell r="V190" t="str">
            <v>Trans</v>
          </cell>
          <cell r="W190" t="str">
            <v>Product</v>
          </cell>
          <cell r="X190" t="str">
            <v>Sum Stat Amt</v>
          </cell>
          <cell r="Y190" t="str">
            <v>Period</v>
          </cell>
          <cell r="Z190" t="str">
            <v>Date</v>
          </cell>
          <cell r="AB190" t="str">
            <v>Account</v>
          </cell>
          <cell r="AC190" t="str">
            <v>Dept</v>
          </cell>
          <cell r="AD190" t="str">
            <v>Sum Amount</v>
          </cell>
          <cell r="AE190" t="str">
            <v>Trans</v>
          </cell>
          <cell r="AF190" t="str">
            <v>Product</v>
          </cell>
          <cell r="AG190" t="str">
            <v>Sum Stat Amt</v>
          </cell>
          <cell r="AH190" t="str">
            <v>Period</v>
          </cell>
          <cell r="AI190" t="str">
            <v>Date</v>
          </cell>
          <cell r="AK190" t="str">
            <v>Account</v>
          </cell>
          <cell r="AL190" t="str">
            <v>Dept</v>
          </cell>
          <cell r="AM190" t="str">
            <v>Sum Amount</v>
          </cell>
          <cell r="AN190" t="str">
            <v>Trans</v>
          </cell>
          <cell r="AO190" t="str">
            <v>Product</v>
          </cell>
          <cell r="AP190" t="str">
            <v>Sum Stat Amt</v>
          </cell>
          <cell r="AQ190" t="str">
            <v>Period</v>
          </cell>
          <cell r="AR190" t="str">
            <v>Date</v>
          </cell>
          <cell r="AT190" t="str">
            <v>Account</v>
          </cell>
          <cell r="AU190" t="str">
            <v>Dept</v>
          </cell>
          <cell r="AV190" t="str">
            <v>Sum Amount</v>
          </cell>
          <cell r="AW190" t="str">
            <v>Trans</v>
          </cell>
          <cell r="AX190" t="str">
            <v>Product</v>
          </cell>
          <cell r="AY190" t="str">
            <v>Sum Stat Amt</v>
          </cell>
          <cell r="AZ190" t="str">
            <v>Period</v>
          </cell>
          <cell r="BA190" t="str">
            <v>Date</v>
          </cell>
          <cell r="BC190" t="str">
            <v>Account</v>
          </cell>
          <cell r="BD190" t="str">
            <v>Dept</v>
          </cell>
          <cell r="BE190" t="str">
            <v>Sum Amount</v>
          </cell>
          <cell r="BF190" t="str">
            <v>Trans</v>
          </cell>
          <cell r="BG190" t="str">
            <v>Product</v>
          </cell>
          <cell r="BH190" t="str">
            <v>Sum Stat Amt</v>
          </cell>
          <cell r="BI190" t="str">
            <v>Period</v>
          </cell>
          <cell r="BJ190" t="str">
            <v>Date</v>
          </cell>
          <cell r="BL190" t="str">
            <v>Account</v>
          </cell>
          <cell r="BM190" t="str">
            <v>Dept</v>
          </cell>
          <cell r="BN190" t="str">
            <v>Sum Amount</v>
          </cell>
          <cell r="BO190" t="str">
            <v>Trans</v>
          </cell>
          <cell r="BP190" t="str">
            <v>Product</v>
          </cell>
          <cell r="BQ190" t="str">
            <v>Sum Stat Amt</v>
          </cell>
          <cell r="BR190" t="str">
            <v>Period</v>
          </cell>
          <cell r="BS190" t="str">
            <v>Date</v>
          </cell>
          <cell r="BU190" t="str">
            <v>Account</v>
          </cell>
          <cell r="BV190" t="str">
            <v>Dept</v>
          </cell>
          <cell r="BW190" t="str">
            <v>Sum Amount</v>
          </cell>
          <cell r="BX190" t="str">
            <v>Trans</v>
          </cell>
          <cell r="BY190" t="str">
            <v>Product</v>
          </cell>
          <cell r="BZ190" t="str">
            <v>Sum Stat Amt</v>
          </cell>
          <cell r="CA190" t="str">
            <v>Period</v>
          </cell>
          <cell r="CB190" t="str">
            <v>Date</v>
          </cell>
          <cell r="CD190" t="str">
            <v>Account</v>
          </cell>
          <cell r="CE190" t="str">
            <v>Dept</v>
          </cell>
          <cell r="CF190" t="str">
            <v>Sum Amount</v>
          </cell>
          <cell r="CG190" t="str">
            <v>Trans</v>
          </cell>
          <cell r="CH190" t="str">
            <v>Product</v>
          </cell>
          <cell r="CI190" t="str">
            <v>Sum Stat Amt</v>
          </cell>
          <cell r="CJ190" t="str">
            <v>Period</v>
          </cell>
          <cell r="CK190" t="str">
            <v>Date</v>
          </cell>
          <cell r="CM190" t="str">
            <v>Account</v>
          </cell>
          <cell r="CN190" t="str">
            <v>Dept</v>
          </cell>
          <cell r="CO190" t="str">
            <v>Sum Amount</v>
          </cell>
          <cell r="CP190" t="str">
            <v>Trans</v>
          </cell>
          <cell r="CQ190" t="str">
            <v>Product</v>
          </cell>
          <cell r="CR190" t="str">
            <v>Sum Stat Amt</v>
          </cell>
          <cell r="CS190" t="str">
            <v>Period</v>
          </cell>
          <cell r="CT190" t="str">
            <v>Date</v>
          </cell>
          <cell r="CV190" t="str">
            <v>Account</v>
          </cell>
          <cell r="CW190" t="str">
            <v>Dept</v>
          </cell>
          <cell r="CX190" t="str">
            <v>Sum Amount</v>
          </cell>
          <cell r="CY190" t="str">
            <v>Trans</v>
          </cell>
          <cell r="CZ190" t="str">
            <v>Product</v>
          </cell>
          <cell r="DA190" t="str">
            <v>Sum Stat Amt</v>
          </cell>
          <cell r="DB190" t="str">
            <v>Period</v>
          </cell>
          <cell r="DC190" t="str">
            <v>Date</v>
          </cell>
          <cell r="DE190" t="str">
            <v>Account</v>
          </cell>
          <cell r="DF190" t="str">
            <v>Dept</v>
          </cell>
          <cell r="DG190" t="str">
            <v>Sum Amount</v>
          </cell>
          <cell r="DH190" t="str">
            <v>Trans</v>
          </cell>
          <cell r="DI190" t="str">
            <v>Product</v>
          </cell>
          <cell r="DJ190" t="str">
            <v>Sum Stat Amt</v>
          </cell>
          <cell r="DK190" t="str">
            <v>Period</v>
          </cell>
          <cell r="DL190" t="str">
            <v>Date</v>
          </cell>
        </row>
        <row r="191">
          <cell r="M191">
            <v>210</v>
          </cell>
          <cell r="N191">
            <v>407</v>
          </cell>
          <cell r="Q191">
            <v>40025</v>
          </cell>
          <cell r="V191">
            <v>210</v>
          </cell>
          <cell r="W191">
            <v>407</v>
          </cell>
          <cell r="Z191">
            <v>40056</v>
          </cell>
          <cell r="AE191">
            <v>210</v>
          </cell>
          <cell r="AF191">
            <v>407</v>
          </cell>
          <cell r="AI191">
            <v>40086</v>
          </cell>
          <cell r="AN191">
            <v>210</v>
          </cell>
          <cell r="AO191">
            <v>407</v>
          </cell>
          <cell r="AR191">
            <v>40117</v>
          </cell>
          <cell r="AW191">
            <v>210</v>
          </cell>
          <cell r="AX191">
            <v>407</v>
          </cell>
          <cell r="BA191">
            <v>40147</v>
          </cell>
          <cell r="BF191">
            <v>210</v>
          </cell>
          <cell r="BG191">
            <v>407</v>
          </cell>
          <cell r="BJ191">
            <v>40178</v>
          </cell>
          <cell r="BO191">
            <v>210</v>
          </cell>
          <cell r="BP191">
            <v>407</v>
          </cell>
          <cell r="BS191">
            <v>40209</v>
          </cell>
          <cell r="BX191">
            <v>210</v>
          </cell>
          <cell r="BY191">
            <v>407</v>
          </cell>
          <cell r="CB191">
            <v>40237</v>
          </cell>
          <cell r="CG191">
            <v>210</v>
          </cell>
          <cell r="CH191">
            <v>407</v>
          </cell>
          <cell r="CK191">
            <v>40268</v>
          </cell>
          <cell r="CP191">
            <v>210</v>
          </cell>
          <cell r="CQ191">
            <v>407</v>
          </cell>
          <cell r="CT191">
            <v>40298</v>
          </cell>
          <cell r="CY191">
            <v>210</v>
          </cell>
          <cell r="CZ191">
            <v>407</v>
          </cell>
          <cell r="DC191">
            <v>40329</v>
          </cell>
          <cell r="DH191">
            <v>210</v>
          </cell>
          <cell r="DI191">
            <v>407</v>
          </cell>
          <cell r="DL191">
            <v>40359</v>
          </cell>
        </row>
      </sheetData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YPE"/>
      <sheetName val="RATE CLASS"/>
      <sheetName val="PIVOT"/>
      <sheetName val="QUERY_FOR PIVOT"/>
      <sheetName val="NGV RATES"/>
      <sheetName val="NGV Query"/>
      <sheetName val="CRITERIA"/>
      <sheetName val="BOOKED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93">
          <cell r="J193" t="str">
            <v>Account</v>
          </cell>
          <cell r="K193" t="str">
            <v>Dept</v>
          </cell>
          <cell r="L193" t="str">
            <v>Sum Amount</v>
          </cell>
          <cell r="M193" t="str">
            <v>Trans</v>
          </cell>
          <cell r="N193" t="str">
            <v>Product</v>
          </cell>
          <cell r="O193" t="str">
            <v>Sum Stat Amt</v>
          </cell>
          <cell r="P193" t="str">
            <v>Period</v>
          </cell>
          <cell r="Q193" t="str">
            <v>Date</v>
          </cell>
          <cell r="S193" t="str">
            <v>Account</v>
          </cell>
          <cell r="T193" t="str">
            <v>Dept</v>
          </cell>
          <cell r="U193" t="str">
            <v>Sum Amount</v>
          </cell>
          <cell r="V193" t="str">
            <v>Trans</v>
          </cell>
          <cell r="W193" t="str">
            <v>Product</v>
          </cell>
          <cell r="X193" t="str">
            <v>Sum Stat Amt</v>
          </cell>
          <cell r="Y193" t="str">
            <v>Period</v>
          </cell>
          <cell r="Z193" t="str">
            <v>Date</v>
          </cell>
          <cell r="AB193" t="str">
            <v>Account</v>
          </cell>
          <cell r="AC193" t="str">
            <v>Dept</v>
          </cell>
          <cell r="AD193" t="str">
            <v>Sum Amount</v>
          </cell>
          <cell r="AE193" t="str">
            <v>Trans</v>
          </cell>
          <cell r="AF193" t="str">
            <v>Product</v>
          </cell>
          <cell r="AG193" t="str">
            <v>Sum Stat Amt</v>
          </cell>
          <cell r="AH193" t="str">
            <v>Period</v>
          </cell>
          <cell r="AI193" t="str">
            <v>Date</v>
          </cell>
          <cell r="AK193" t="str">
            <v>Account</v>
          </cell>
          <cell r="AL193" t="str">
            <v>Dept</v>
          </cell>
          <cell r="AM193" t="str">
            <v>Sum Amount</v>
          </cell>
          <cell r="AN193" t="str">
            <v>Trans</v>
          </cell>
          <cell r="AO193" t="str">
            <v>Product</v>
          </cell>
          <cell r="AP193" t="str">
            <v>Sum Stat Amt</v>
          </cell>
          <cell r="AQ193" t="str">
            <v>Period</v>
          </cell>
          <cell r="AR193" t="str">
            <v>Date</v>
          </cell>
          <cell r="AT193" t="str">
            <v>Account</v>
          </cell>
          <cell r="AU193" t="str">
            <v>Dept</v>
          </cell>
          <cell r="AV193" t="str">
            <v>Sum Amount</v>
          </cell>
          <cell r="AW193" t="str">
            <v>Trans</v>
          </cell>
          <cell r="AX193" t="str">
            <v>Product</v>
          </cell>
          <cell r="AY193" t="str">
            <v>Sum Stat Amt</v>
          </cell>
          <cell r="AZ193" t="str">
            <v>Period</v>
          </cell>
          <cell r="BA193" t="str">
            <v>Date</v>
          </cell>
          <cell r="BC193" t="str">
            <v>Account</v>
          </cell>
          <cell r="BD193" t="str">
            <v>Dept</v>
          </cell>
          <cell r="BE193" t="str">
            <v>Sum Amount</v>
          </cell>
          <cell r="BF193" t="str">
            <v>Trans</v>
          </cell>
          <cell r="BG193" t="str">
            <v>Product</v>
          </cell>
          <cell r="BH193" t="str">
            <v>Sum Stat Amt</v>
          </cell>
          <cell r="BI193" t="str">
            <v>Period</v>
          </cell>
          <cell r="BJ193" t="str">
            <v>Date</v>
          </cell>
          <cell r="BL193" t="str">
            <v>Account</v>
          </cell>
          <cell r="BM193" t="str">
            <v>Dept</v>
          </cell>
          <cell r="BN193" t="str">
            <v>Sum Amount</v>
          </cell>
          <cell r="BO193" t="str">
            <v>Trans</v>
          </cell>
          <cell r="BP193" t="str">
            <v>Product</v>
          </cell>
          <cell r="BQ193" t="str">
            <v>Sum Stat Amt</v>
          </cell>
          <cell r="BR193" t="str">
            <v>Period</v>
          </cell>
          <cell r="BS193" t="str">
            <v>Date</v>
          </cell>
          <cell r="BU193" t="str">
            <v>Account</v>
          </cell>
          <cell r="BV193" t="str">
            <v>Dept</v>
          </cell>
          <cell r="BW193" t="str">
            <v>Sum Amount</v>
          </cell>
          <cell r="BX193" t="str">
            <v>Trans</v>
          </cell>
          <cell r="BY193" t="str">
            <v>Product</v>
          </cell>
          <cell r="BZ193" t="str">
            <v>Sum Stat Amt</v>
          </cell>
          <cell r="CA193" t="str">
            <v>Period</v>
          </cell>
          <cell r="CB193" t="str">
            <v>Date</v>
          </cell>
          <cell r="CD193" t="str">
            <v>Account</v>
          </cell>
          <cell r="CE193" t="str">
            <v>Dept</v>
          </cell>
          <cell r="CF193" t="str">
            <v>Sum Amount</v>
          </cell>
          <cell r="CG193" t="str">
            <v>Trans</v>
          </cell>
          <cell r="CH193" t="str">
            <v>Product</v>
          </cell>
          <cell r="CI193" t="str">
            <v>Sum Stat Amt</v>
          </cell>
          <cell r="CJ193" t="str">
            <v>Period</v>
          </cell>
          <cell r="CK193" t="str">
            <v>Date</v>
          </cell>
          <cell r="CM193" t="str">
            <v>Account</v>
          </cell>
          <cell r="CN193" t="str">
            <v>Dept</v>
          </cell>
          <cell r="CO193" t="str">
            <v>Sum Amount</v>
          </cell>
          <cell r="CP193" t="str">
            <v>Trans</v>
          </cell>
          <cell r="CQ193" t="str">
            <v>Product</v>
          </cell>
          <cell r="CR193" t="str">
            <v>Sum Stat Amt</v>
          </cell>
          <cell r="CS193" t="str">
            <v>Period</v>
          </cell>
          <cell r="CT193" t="str">
            <v>Date</v>
          </cell>
          <cell r="CV193" t="str">
            <v>Account</v>
          </cell>
          <cell r="CW193" t="str">
            <v>Dept</v>
          </cell>
          <cell r="CX193" t="str">
            <v>Sum Amount</v>
          </cell>
          <cell r="CY193" t="str">
            <v>Trans</v>
          </cell>
          <cell r="CZ193" t="str">
            <v>Product</v>
          </cell>
          <cell r="DA193" t="str">
            <v>Sum Stat Amt</v>
          </cell>
          <cell r="DB193" t="str">
            <v>Period</v>
          </cell>
          <cell r="DC193" t="str">
            <v>Date</v>
          </cell>
          <cell r="DE193" t="str">
            <v>Account</v>
          </cell>
          <cell r="DF193" t="str">
            <v>Dept</v>
          </cell>
          <cell r="DG193" t="str">
            <v>Sum Amount</v>
          </cell>
          <cell r="DH193" t="str">
            <v>Trans</v>
          </cell>
          <cell r="DI193" t="str">
            <v>Product</v>
          </cell>
          <cell r="DJ193" t="str">
            <v>Sum Stat Amt</v>
          </cell>
          <cell r="DK193" t="str">
            <v>Period</v>
          </cell>
          <cell r="DL193" t="str">
            <v>Date</v>
          </cell>
        </row>
        <row r="194">
          <cell r="M194">
            <v>217</v>
          </cell>
          <cell r="N194">
            <v>407</v>
          </cell>
          <cell r="Q194">
            <v>40390</v>
          </cell>
          <cell r="V194">
            <v>217</v>
          </cell>
          <cell r="W194">
            <v>407</v>
          </cell>
          <cell r="Z194">
            <v>40421</v>
          </cell>
          <cell r="AE194">
            <v>217</v>
          </cell>
          <cell r="AF194">
            <v>407</v>
          </cell>
          <cell r="AI194">
            <v>40451</v>
          </cell>
          <cell r="AN194">
            <v>217</v>
          </cell>
          <cell r="AO194">
            <v>407</v>
          </cell>
          <cell r="AR194">
            <v>40482</v>
          </cell>
          <cell r="AW194">
            <v>217</v>
          </cell>
          <cell r="AX194">
            <v>407</v>
          </cell>
          <cell r="BA194">
            <v>40512</v>
          </cell>
          <cell r="BF194">
            <v>217</v>
          </cell>
          <cell r="BG194">
            <v>407</v>
          </cell>
          <cell r="BJ194">
            <v>40543</v>
          </cell>
          <cell r="BO194">
            <v>217</v>
          </cell>
          <cell r="BP194">
            <v>407</v>
          </cell>
          <cell r="BS194">
            <v>40574</v>
          </cell>
          <cell r="BX194">
            <v>217</v>
          </cell>
          <cell r="BY194">
            <v>407</v>
          </cell>
          <cell r="CB194">
            <v>40602</v>
          </cell>
          <cell r="CG194">
            <v>217</v>
          </cell>
          <cell r="CH194">
            <v>407</v>
          </cell>
          <cell r="CK194">
            <v>40633</v>
          </cell>
          <cell r="CP194">
            <v>217</v>
          </cell>
          <cell r="CQ194">
            <v>407</v>
          </cell>
          <cell r="CT194">
            <v>40663</v>
          </cell>
          <cell r="CY194">
            <v>217</v>
          </cell>
          <cell r="CZ194">
            <v>407</v>
          </cell>
          <cell r="DC194">
            <v>40694</v>
          </cell>
          <cell r="DH194">
            <v>217</v>
          </cell>
          <cell r="DI194">
            <v>407</v>
          </cell>
          <cell r="DL194">
            <v>40724</v>
          </cell>
        </row>
        <row r="196">
          <cell r="J196" t="str">
            <v>Account</v>
          </cell>
          <cell r="K196" t="str">
            <v>Dept</v>
          </cell>
          <cell r="L196" t="str">
            <v>Sum Amount</v>
          </cell>
          <cell r="M196" t="str">
            <v>Trans</v>
          </cell>
          <cell r="N196" t="str">
            <v>Product</v>
          </cell>
          <cell r="O196" t="str">
            <v>Sum Stat Amt</v>
          </cell>
          <cell r="P196" t="str">
            <v>Period</v>
          </cell>
          <cell r="Q196" t="str">
            <v>Date</v>
          </cell>
          <cell r="S196" t="str">
            <v>Account</v>
          </cell>
          <cell r="T196" t="str">
            <v>Dept</v>
          </cell>
          <cell r="U196" t="str">
            <v>Sum Amount</v>
          </cell>
          <cell r="V196" t="str">
            <v>Trans</v>
          </cell>
          <cell r="W196" t="str">
            <v>Product</v>
          </cell>
          <cell r="X196" t="str">
            <v>Sum Stat Amt</v>
          </cell>
          <cell r="Y196" t="str">
            <v>Period</v>
          </cell>
          <cell r="Z196" t="str">
            <v>Date</v>
          </cell>
          <cell r="AB196" t="str">
            <v>Account</v>
          </cell>
          <cell r="AC196" t="str">
            <v>Dept</v>
          </cell>
          <cell r="AD196" t="str">
            <v>Sum Amount</v>
          </cell>
          <cell r="AE196" t="str">
            <v>Trans</v>
          </cell>
          <cell r="AF196" t="str">
            <v>Product</v>
          </cell>
          <cell r="AG196" t="str">
            <v>Sum Stat Amt</v>
          </cell>
          <cell r="AH196" t="str">
            <v>Period</v>
          </cell>
          <cell r="AI196" t="str">
            <v>Date</v>
          </cell>
          <cell r="AK196" t="str">
            <v>Account</v>
          </cell>
          <cell r="AL196" t="str">
            <v>Dept</v>
          </cell>
          <cell r="AM196" t="str">
            <v>Sum Amount</v>
          </cell>
          <cell r="AN196" t="str">
            <v>Trans</v>
          </cell>
          <cell r="AO196" t="str">
            <v>Product</v>
          </cell>
          <cell r="AP196" t="str">
            <v>Sum Stat Amt</v>
          </cell>
          <cell r="AQ196" t="str">
            <v>Period</v>
          </cell>
          <cell r="AR196" t="str">
            <v>Date</v>
          </cell>
          <cell r="AT196" t="str">
            <v>Account</v>
          </cell>
          <cell r="AU196" t="str">
            <v>Dept</v>
          </cell>
          <cell r="AV196" t="str">
            <v>Sum Amount</v>
          </cell>
          <cell r="AW196" t="str">
            <v>Trans</v>
          </cell>
          <cell r="AX196" t="str">
            <v>Product</v>
          </cell>
          <cell r="AY196" t="str">
            <v>Sum Stat Amt</v>
          </cell>
          <cell r="AZ196" t="str">
            <v>Period</v>
          </cell>
          <cell r="BA196" t="str">
            <v>Date</v>
          </cell>
          <cell r="BC196" t="str">
            <v>Account</v>
          </cell>
          <cell r="BD196" t="str">
            <v>Dept</v>
          </cell>
          <cell r="BE196" t="str">
            <v>Sum Amount</v>
          </cell>
          <cell r="BF196" t="str">
            <v>Trans</v>
          </cell>
          <cell r="BG196" t="str">
            <v>Product</v>
          </cell>
          <cell r="BH196" t="str">
            <v>Sum Stat Amt</v>
          </cell>
          <cell r="BI196" t="str">
            <v>Period</v>
          </cell>
          <cell r="BJ196" t="str">
            <v>Date</v>
          </cell>
          <cell r="BL196" t="str">
            <v>Account</v>
          </cell>
          <cell r="BM196" t="str">
            <v>Dept</v>
          </cell>
          <cell r="BN196" t="str">
            <v>Sum Amount</v>
          </cell>
          <cell r="BO196" t="str">
            <v>Trans</v>
          </cell>
          <cell r="BP196" t="str">
            <v>Product</v>
          </cell>
          <cell r="BQ196" t="str">
            <v>Sum Stat Amt</v>
          </cell>
          <cell r="BR196" t="str">
            <v>Period</v>
          </cell>
          <cell r="BS196" t="str">
            <v>Date</v>
          </cell>
          <cell r="BU196" t="str">
            <v>Account</v>
          </cell>
          <cell r="BV196" t="str">
            <v>Dept</v>
          </cell>
          <cell r="BW196" t="str">
            <v>Sum Amount</v>
          </cell>
          <cell r="BX196" t="str">
            <v>Trans</v>
          </cell>
          <cell r="BY196" t="str">
            <v>Product</v>
          </cell>
          <cell r="BZ196" t="str">
            <v>Sum Stat Amt</v>
          </cell>
          <cell r="CA196" t="str">
            <v>Period</v>
          </cell>
          <cell r="CB196" t="str">
            <v>Date</v>
          </cell>
          <cell r="CD196" t="str">
            <v>Account</v>
          </cell>
          <cell r="CE196" t="str">
            <v>Dept</v>
          </cell>
          <cell r="CF196" t="str">
            <v>Sum Amount</v>
          </cell>
          <cell r="CG196" t="str">
            <v>Trans</v>
          </cell>
          <cell r="CH196" t="str">
            <v>Product</v>
          </cell>
          <cell r="CI196" t="str">
            <v>Sum Stat Amt</v>
          </cell>
          <cell r="CJ196" t="str">
            <v>Period</v>
          </cell>
          <cell r="CK196" t="str">
            <v>Date</v>
          </cell>
          <cell r="CM196" t="str">
            <v>Account</v>
          </cell>
          <cell r="CN196" t="str">
            <v>Dept</v>
          </cell>
          <cell r="CO196" t="str">
            <v>Sum Amount</v>
          </cell>
          <cell r="CP196" t="str">
            <v>Trans</v>
          </cell>
          <cell r="CQ196" t="str">
            <v>Product</v>
          </cell>
          <cell r="CR196" t="str">
            <v>Sum Stat Amt</v>
          </cell>
          <cell r="CS196" t="str">
            <v>Period</v>
          </cell>
          <cell r="CT196" t="str">
            <v>Date</v>
          </cell>
          <cell r="CV196" t="str">
            <v>Account</v>
          </cell>
          <cell r="CW196" t="str">
            <v>Dept</v>
          </cell>
          <cell r="CX196" t="str">
            <v>Sum Amount</v>
          </cell>
          <cell r="CY196" t="str">
            <v>Trans</v>
          </cell>
          <cell r="CZ196" t="str">
            <v>Product</v>
          </cell>
          <cell r="DA196" t="str">
            <v>Sum Stat Amt</v>
          </cell>
          <cell r="DB196" t="str">
            <v>Period</v>
          </cell>
          <cell r="DC196" t="str">
            <v>Date</v>
          </cell>
          <cell r="DE196" t="str">
            <v>Account</v>
          </cell>
          <cell r="DF196" t="str">
            <v>Dept</v>
          </cell>
          <cell r="DG196" t="str">
            <v>Sum Amount</v>
          </cell>
          <cell r="DH196" t="str">
            <v>Trans</v>
          </cell>
          <cell r="DI196" t="str">
            <v>Product</v>
          </cell>
          <cell r="DJ196" t="str">
            <v>Sum Stat Amt</v>
          </cell>
          <cell r="DK196" t="str">
            <v>Period</v>
          </cell>
          <cell r="DL196" t="str">
            <v>Date</v>
          </cell>
        </row>
        <row r="197">
          <cell r="M197">
            <v>217</v>
          </cell>
          <cell r="N197">
            <v>402</v>
          </cell>
          <cell r="Q197">
            <v>40390</v>
          </cell>
          <cell r="V197">
            <v>217</v>
          </cell>
          <cell r="W197">
            <v>402</v>
          </cell>
          <cell r="Z197">
            <v>40421</v>
          </cell>
          <cell r="AE197">
            <v>217</v>
          </cell>
          <cell r="AF197">
            <v>402</v>
          </cell>
          <cell r="AI197">
            <v>40451</v>
          </cell>
          <cell r="AN197">
            <v>217</v>
          </cell>
          <cell r="AO197">
            <v>402</v>
          </cell>
          <cell r="AR197">
            <v>40482</v>
          </cell>
          <cell r="AW197">
            <v>217</v>
          </cell>
          <cell r="AX197">
            <v>402</v>
          </cell>
          <cell r="BA197">
            <v>40512</v>
          </cell>
          <cell r="BF197">
            <v>217</v>
          </cell>
          <cell r="BG197">
            <v>402</v>
          </cell>
          <cell r="BJ197">
            <v>40543</v>
          </cell>
          <cell r="BO197">
            <v>217</v>
          </cell>
          <cell r="BP197">
            <v>402</v>
          </cell>
          <cell r="BS197">
            <v>40574</v>
          </cell>
          <cell r="BX197">
            <v>217</v>
          </cell>
          <cell r="BY197">
            <v>402</v>
          </cell>
          <cell r="CB197">
            <v>40602</v>
          </cell>
          <cell r="CG197">
            <v>217</v>
          </cell>
          <cell r="CH197">
            <v>402</v>
          </cell>
          <cell r="CK197">
            <v>40633</v>
          </cell>
          <cell r="CP197">
            <v>217</v>
          </cell>
          <cell r="CQ197">
            <v>402</v>
          </cell>
          <cell r="CT197">
            <v>40663</v>
          </cell>
          <cell r="CY197">
            <v>217</v>
          </cell>
          <cell r="CZ197">
            <v>402</v>
          </cell>
          <cell r="DC197">
            <v>40694</v>
          </cell>
          <cell r="DH197">
            <v>217</v>
          </cell>
          <cell r="DI197">
            <v>402</v>
          </cell>
          <cell r="DL197">
            <v>40724</v>
          </cell>
        </row>
        <row r="199">
          <cell r="J199" t="str">
            <v>Account</v>
          </cell>
          <cell r="K199" t="str">
            <v>Dept</v>
          </cell>
          <cell r="L199" t="str">
            <v>Sum Amount</v>
          </cell>
          <cell r="M199" t="str">
            <v>Trans</v>
          </cell>
          <cell r="N199" t="str">
            <v>Product</v>
          </cell>
          <cell r="O199" t="str">
            <v>Sum Stat Amt</v>
          </cell>
          <cell r="P199" t="str">
            <v>Period</v>
          </cell>
          <cell r="Q199" t="str">
            <v>Date</v>
          </cell>
          <cell r="S199" t="str">
            <v>Account</v>
          </cell>
          <cell r="T199" t="str">
            <v>Dept</v>
          </cell>
          <cell r="U199" t="str">
            <v>Sum Amount</v>
          </cell>
          <cell r="V199" t="str">
            <v>Trans</v>
          </cell>
          <cell r="W199" t="str">
            <v>Product</v>
          </cell>
          <cell r="X199" t="str">
            <v>Sum Stat Amt</v>
          </cell>
          <cell r="Y199" t="str">
            <v>Period</v>
          </cell>
          <cell r="Z199" t="str">
            <v>Date</v>
          </cell>
          <cell r="AB199" t="str">
            <v>Account</v>
          </cell>
          <cell r="AC199" t="str">
            <v>Dept</v>
          </cell>
          <cell r="AD199" t="str">
            <v>Sum Amount</v>
          </cell>
          <cell r="AE199" t="str">
            <v>Trans</v>
          </cell>
          <cell r="AF199" t="str">
            <v>Product</v>
          </cell>
          <cell r="AG199" t="str">
            <v>Sum Stat Amt</v>
          </cell>
          <cell r="AH199" t="str">
            <v>Period</v>
          </cell>
          <cell r="AI199" t="str">
            <v>Date</v>
          </cell>
          <cell r="AK199" t="str">
            <v>Account</v>
          </cell>
          <cell r="AL199" t="str">
            <v>Dept</v>
          </cell>
          <cell r="AM199" t="str">
            <v>Sum Amount</v>
          </cell>
          <cell r="AN199" t="str">
            <v>Trans</v>
          </cell>
          <cell r="AO199" t="str">
            <v>Product</v>
          </cell>
          <cell r="AP199" t="str">
            <v>Sum Stat Amt</v>
          </cell>
          <cell r="AQ199" t="str">
            <v>Period</v>
          </cell>
          <cell r="AR199" t="str">
            <v>Date</v>
          </cell>
          <cell r="AT199" t="str">
            <v>Account</v>
          </cell>
          <cell r="AU199" t="str">
            <v>Dept</v>
          </cell>
          <cell r="AV199" t="str">
            <v>Sum Amount</v>
          </cell>
          <cell r="AW199" t="str">
            <v>Trans</v>
          </cell>
          <cell r="AX199" t="str">
            <v>Product</v>
          </cell>
          <cell r="AY199" t="str">
            <v>Sum Stat Amt</v>
          </cell>
          <cell r="AZ199" t="str">
            <v>Period</v>
          </cell>
          <cell r="BA199" t="str">
            <v>Date</v>
          </cell>
          <cell r="BC199" t="str">
            <v>Account</v>
          </cell>
          <cell r="BD199" t="str">
            <v>Dept</v>
          </cell>
          <cell r="BE199" t="str">
            <v>Sum Amount</v>
          </cell>
          <cell r="BF199" t="str">
            <v>Trans</v>
          </cell>
          <cell r="BG199" t="str">
            <v>Product</v>
          </cell>
          <cell r="BH199" t="str">
            <v>Sum Stat Amt</v>
          </cell>
          <cell r="BI199" t="str">
            <v>Period</v>
          </cell>
          <cell r="BJ199" t="str">
            <v>Date</v>
          </cell>
          <cell r="BL199" t="str">
            <v>Account</v>
          </cell>
          <cell r="BM199" t="str">
            <v>Dept</v>
          </cell>
          <cell r="BN199" t="str">
            <v>Sum Amount</v>
          </cell>
          <cell r="BO199" t="str">
            <v>Trans</v>
          </cell>
          <cell r="BP199" t="str">
            <v>Product</v>
          </cell>
          <cell r="BQ199" t="str">
            <v>Sum Stat Amt</v>
          </cell>
          <cell r="BR199" t="str">
            <v>Period</v>
          </cell>
          <cell r="BS199" t="str">
            <v>Date</v>
          </cell>
          <cell r="BU199" t="str">
            <v>Account</v>
          </cell>
          <cell r="BV199" t="str">
            <v>Dept</v>
          </cell>
          <cell r="BW199" t="str">
            <v>Sum Amount</v>
          </cell>
          <cell r="BX199" t="str">
            <v>Trans</v>
          </cell>
          <cell r="BY199" t="str">
            <v>Product</v>
          </cell>
          <cell r="BZ199" t="str">
            <v>Sum Stat Amt</v>
          </cell>
          <cell r="CA199" t="str">
            <v>Period</v>
          </cell>
          <cell r="CB199" t="str">
            <v>Date</v>
          </cell>
          <cell r="CD199" t="str">
            <v>Account</v>
          </cell>
          <cell r="CE199" t="str">
            <v>Dept</v>
          </cell>
          <cell r="CF199" t="str">
            <v>Sum Amount</v>
          </cell>
          <cell r="CG199" t="str">
            <v>Trans</v>
          </cell>
          <cell r="CH199" t="str">
            <v>Product</v>
          </cell>
          <cell r="CI199" t="str">
            <v>Sum Stat Amt</v>
          </cell>
          <cell r="CJ199" t="str">
            <v>Period</v>
          </cell>
          <cell r="CK199" t="str">
            <v>Date</v>
          </cell>
          <cell r="CM199" t="str">
            <v>Account</v>
          </cell>
          <cell r="CN199" t="str">
            <v>Dept</v>
          </cell>
          <cell r="CO199" t="str">
            <v>Sum Amount</v>
          </cell>
          <cell r="CP199" t="str">
            <v>Trans</v>
          </cell>
          <cell r="CQ199" t="str">
            <v>Product</v>
          </cell>
          <cell r="CR199" t="str">
            <v>Sum Stat Amt</v>
          </cell>
          <cell r="CS199" t="str">
            <v>Period</v>
          </cell>
          <cell r="CT199" t="str">
            <v>Date</v>
          </cell>
          <cell r="CV199" t="str">
            <v>Account</v>
          </cell>
          <cell r="CW199" t="str">
            <v>Dept</v>
          </cell>
          <cell r="CX199" t="str">
            <v>Sum Amount</v>
          </cell>
          <cell r="CY199" t="str">
            <v>Trans</v>
          </cell>
          <cell r="CZ199" t="str">
            <v>Product</v>
          </cell>
          <cell r="DA199" t="str">
            <v>Sum Stat Amt</v>
          </cell>
          <cell r="DB199" t="str">
            <v>Period</v>
          </cell>
          <cell r="DC199" t="str">
            <v>Date</v>
          </cell>
          <cell r="DE199" t="str">
            <v>Account</v>
          </cell>
          <cell r="DF199" t="str">
            <v>Dept</v>
          </cell>
          <cell r="DG199" t="str">
            <v>Sum Amount</v>
          </cell>
          <cell r="DH199" t="str">
            <v>Trans</v>
          </cell>
          <cell r="DI199" t="str">
            <v>Product</v>
          </cell>
          <cell r="DJ199" t="str">
            <v>Sum Stat Amt</v>
          </cell>
          <cell r="DK199" t="str">
            <v>Period</v>
          </cell>
          <cell r="DL199" t="str">
            <v>Date</v>
          </cell>
        </row>
        <row r="200">
          <cell r="M200">
            <v>217</v>
          </cell>
          <cell r="N200">
            <v>411</v>
          </cell>
          <cell r="Q200">
            <v>40390</v>
          </cell>
          <cell r="V200">
            <v>217</v>
          </cell>
          <cell r="W200">
            <v>411</v>
          </cell>
          <cell r="Z200">
            <v>40421</v>
          </cell>
          <cell r="AE200">
            <v>217</v>
          </cell>
          <cell r="AF200">
            <v>411</v>
          </cell>
          <cell r="AI200">
            <v>40451</v>
          </cell>
          <cell r="AN200">
            <v>217</v>
          </cell>
          <cell r="AO200">
            <v>411</v>
          </cell>
          <cell r="AR200">
            <v>40482</v>
          </cell>
          <cell r="AW200">
            <v>217</v>
          </cell>
          <cell r="AX200">
            <v>411</v>
          </cell>
          <cell r="BA200">
            <v>40512</v>
          </cell>
          <cell r="BF200">
            <v>217</v>
          </cell>
          <cell r="BG200">
            <v>411</v>
          </cell>
          <cell r="BJ200">
            <v>40543</v>
          </cell>
          <cell r="BO200">
            <v>217</v>
          </cell>
          <cell r="BP200">
            <v>411</v>
          </cell>
          <cell r="BS200">
            <v>40574</v>
          </cell>
          <cell r="BX200">
            <v>217</v>
          </cell>
          <cell r="BY200">
            <v>411</v>
          </cell>
          <cell r="CB200">
            <v>40602</v>
          </cell>
          <cell r="CG200">
            <v>217</v>
          </cell>
          <cell r="CH200">
            <v>411</v>
          </cell>
          <cell r="CK200">
            <v>40633</v>
          </cell>
          <cell r="CP200">
            <v>217</v>
          </cell>
          <cell r="CQ200">
            <v>411</v>
          </cell>
          <cell r="CT200">
            <v>40663</v>
          </cell>
          <cell r="CY200">
            <v>217</v>
          </cell>
          <cell r="CZ200">
            <v>411</v>
          </cell>
          <cell r="DC200">
            <v>40694</v>
          </cell>
          <cell r="DH200">
            <v>217</v>
          </cell>
          <cell r="DI200">
            <v>411</v>
          </cell>
          <cell r="DL200">
            <v>40724</v>
          </cell>
        </row>
        <row r="202">
          <cell r="J202" t="str">
            <v>Account</v>
          </cell>
          <cell r="K202" t="str">
            <v>Dept</v>
          </cell>
          <cell r="L202" t="str">
            <v>Sum Amount</v>
          </cell>
          <cell r="M202" t="str">
            <v>Trans</v>
          </cell>
          <cell r="N202" t="str">
            <v>Product</v>
          </cell>
          <cell r="O202" t="str">
            <v>Sum Stat Amt</v>
          </cell>
          <cell r="P202" t="str">
            <v>Period</v>
          </cell>
          <cell r="Q202" t="str">
            <v>Date</v>
          </cell>
          <cell r="S202" t="str">
            <v>Account</v>
          </cell>
          <cell r="T202" t="str">
            <v>Dept</v>
          </cell>
          <cell r="U202" t="str">
            <v>Sum Amount</v>
          </cell>
          <cell r="V202" t="str">
            <v>Trans</v>
          </cell>
          <cell r="W202" t="str">
            <v>Product</v>
          </cell>
          <cell r="X202" t="str">
            <v>Sum Stat Amt</v>
          </cell>
          <cell r="Y202" t="str">
            <v>Period</v>
          </cell>
          <cell r="Z202" t="str">
            <v>Date</v>
          </cell>
          <cell r="AB202" t="str">
            <v>Account</v>
          </cell>
          <cell r="AC202" t="str">
            <v>Dept</v>
          </cell>
          <cell r="AD202" t="str">
            <v>Sum Amount</v>
          </cell>
          <cell r="AE202" t="str">
            <v>Trans</v>
          </cell>
          <cell r="AF202" t="str">
            <v>Product</v>
          </cell>
          <cell r="AG202" t="str">
            <v>Sum Stat Amt</v>
          </cell>
          <cell r="AH202" t="str">
            <v>Period</v>
          </cell>
          <cell r="AI202" t="str">
            <v>Date</v>
          </cell>
          <cell r="AK202" t="str">
            <v>Account</v>
          </cell>
          <cell r="AL202" t="str">
            <v>Dept</v>
          </cell>
          <cell r="AM202" t="str">
            <v>Sum Amount</v>
          </cell>
          <cell r="AN202" t="str">
            <v>Trans</v>
          </cell>
          <cell r="AO202" t="str">
            <v>Product</v>
          </cell>
          <cell r="AP202" t="str">
            <v>Sum Stat Amt</v>
          </cell>
          <cell r="AQ202" t="str">
            <v>Period</v>
          </cell>
          <cell r="AR202" t="str">
            <v>Date</v>
          </cell>
          <cell r="AT202" t="str">
            <v>Account</v>
          </cell>
          <cell r="AU202" t="str">
            <v>Dept</v>
          </cell>
          <cell r="AV202" t="str">
            <v>Sum Amount</v>
          </cell>
          <cell r="AW202" t="str">
            <v>Trans</v>
          </cell>
          <cell r="AX202" t="str">
            <v>Product</v>
          </cell>
          <cell r="AY202" t="str">
            <v>Sum Stat Amt</v>
          </cell>
          <cell r="AZ202" t="str">
            <v>Period</v>
          </cell>
          <cell r="BA202" t="str">
            <v>Date</v>
          </cell>
          <cell r="BC202" t="str">
            <v>Account</v>
          </cell>
          <cell r="BD202" t="str">
            <v>Dept</v>
          </cell>
          <cell r="BE202" t="str">
            <v>Sum Amount</v>
          </cell>
          <cell r="BF202" t="str">
            <v>Trans</v>
          </cell>
          <cell r="BG202" t="str">
            <v>Product</v>
          </cell>
          <cell r="BH202" t="str">
            <v>Sum Stat Amt</v>
          </cell>
          <cell r="BI202" t="str">
            <v>Period</v>
          </cell>
          <cell r="BJ202" t="str">
            <v>Date</v>
          </cell>
          <cell r="BL202" t="str">
            <v>Account</v>
          </cell>
          <cell r="BM202" t="str">
            <v>Dept</v>
          </cell>
          <cell r="BN202" t="str">
            <v>Sum Amount</v>
          </cell>
          <cell r="BO202" t="str">
            <v>Trans</v>
          </cell>
          <cell r="BP202" t="str">
            <v>Product</v>
          </cell>
          <cell r="BQ202" t="str">
            <v>Sum Stat Amt</v>
          </cell>
          <cell r="BR202" t="str">
            <v>Period</v>
          </cell>
          <cell r="BS202" t="str">
            <v>Date</v>
          </cell>
          <cell r="BU202" t="str">
            <v>Account</v>
          </cell>
          <cell r="BV202" t="str">
            <v>Dept</v>
          </cell>
          <cell r="BW202" t="str">
            <v>Sum Amount</v>
          </cell>
          <cell r="BX202" t="str">
            <v>Trans</v>
          </cell>
          <cell r="BY202" t="str">
            <v>Product</v>
          </cell>
          <cell r="BZ202" t="str">
            <v>Sum Stat Amt</v>
          </cell>
          <cell r="CA202" t="str">
            <v>Period</v>
          </cell>
          <cell r="CB202" t="str">
            <v>Date</v>
          </cell>
          <cell r="CD202" t="str">
            <v>Account</v>
          </cell>
          <cell r="CE202" t="str">
            <v>Dept</v>
          </cell>
          <cell r="CF202" t="str">
            <v>Sum Amount</v>
          </cell>
          <cell r="CG202" t="str">
            <v>Trans</v>
          </cell>
          <cell r="CH202" t="str">
            <v>Product</v>
          </cell>
          <cell r="CI202" t="str">
            <v>Sum Stat Amt</v>
          </cell>
          <cell r="CJ202" t="str">
            <v>Period</v>
          </cell>
          <cell r="CK202" t="str">
            <v>Date</v>
          </cell>
          <cell r="CM202" t="str">
            <v>Account</v>
          </cell>
          <cell r="CN202" t="str">
            <v>Dept</v>
          </cell>
          <cell r="CO202" t="str">
            <v>Sum Amount</v>
          </cell>
          <cell r="CP202" t="str">
            <v>Trans</v>
          </cell>
          <cell r="CQ202" t="str">
            <v>Product</v>
          </cell>
          <cell r="CR202" t="str">
            <v>Sum Stat Amt</v>
          </cell>
          <cell r="CS202" t="str">
            <v>Period</v>
          </cell>
          <cell r="CT202" t="str">
            <v>Date</v>
          </cell>
          <cell r="CV202" t="str">
            <v>Account</v>
          </cell>
          <cell r="CW202" t="str">
            <v>Dept</v>
          </cell>
          <cell r="CX202" t="str">
            <v>Sum Amount</v>
          </cell>
          <cell r="CY202" t="str">
            <v>Trans</v>
          </cell>
          <cell r="CZ202" t="str">
            <v>Product</v>
          </cell>
          <cell r="DA202" t="str">
            <v>Sum Stat Amt</v>
          </cell>
          <cell r="DB202" t="str">
            <v>Period</v>
          </cell>
          <cell r="DC202" t="str">
            <v>Date</v>
          </cell>
          <cell r="DE202" t="str">
            <v>Account</v>
          </cell>
          <cell r="DF202" t="str">
            <v>Dept</v>
          </cell>
          <cell r="DG202" t="str">
            <v>Sum Amount</v>
          </cell>
          <cell r="DH202" t="str">
            <v>Trans</v>
          </cell>
          <cell r="DI202" t="str">
            <v>Product</v>
          </cell>
          <cell r="DJ202" t="str">
            <v>Sum Stat Amt</v>
          </cell>
          <cell r="DK202" t="str">
            <v>Period</v>
          </cell>
          <cell r="DL202" t="str">
            <v>Date</v>
          </cell>
        </row>
        <row r="203">
          <cell r="M203">
            <v>217</v>
          </cell>
          <cell r="N203">
            <v>405</v>
          </cell>
          <cell r="Q203">
            <v>40390</v>
          </cell>
          <cell r="V203">
            <v>217</v>
          </cell>
          <cell r="W203">
            <v>405</v>
          </cell>
          <cell r="Z203">
            <v>40421</v>
          </cell>
          <cell r="AE203">
            <v>217</v>
          </cell>
          <cell r="AF203">
            <v>405</v>
          </cell>
          <cell r="AI203">
            <v>40451</v>
          </cell>
          <cell r="AN203">
            <v>217</v>
          </cell>
          <cell r="AO203">
            <v>405</v>
          </cell>
          <cell r="AR203">
            <v>40482</v>
          </cell>
          <cell r="AW203">
            <v>217</v>
          </cell>
          <cell r="AX203">
            <v>405</v>
          </cell>
          <cell r="BA203">
            <v>40512</v>
          </cell>
          <cell r="BF203">
            <v>217</v>
          </cell>
          <cell r="BG203">
            <v>405</v>
          </cell>
          <cell r="BJ203">
            <v>40543</v>
          </cell>
          <cell r="BO203">
            <v>217</v>
          </cell>
          <cell r="BP203">
            <v>405</v>
          </cell>
          <cell r="BS203">
            <v>40574</v>
          </cell>
          <cell r="BX203">
            <v>217</v>
          </cell>
          <cell r="BY203">
            <v>405</v>
          </cell>
          <cell r="CB203">
            <v>40602</v>
          </cell>
          <cell r="CG203">
            <v>217</v>
          </cell>
          <cell r="CH203">
            <v>405</v>
          </cell>
          <cell r="CK203">
            <v>40633</v>
          </cell>
          <cell r="CP203">
            <v>217</v>
          </cell>
          <cell r="CQ203">
            <v>405</v>
          </cell>
          <cell r="CT203">
            <v>40663</v>
          </cell>
          <cell r="CY203">
            <v>217</v>
          </cell>
          <cell r="CZ203">
            <v>405</v>
          </cell>
          <cell r="DC203">
            <v>40694</v>
          </cell>
          <cell r="DH203">
            <v>217</v>
          </cell>
          <cell r="DI203">
            <v>405</v>
          </cell>
          <cell r="DL203">
            <v>40724</v>
          </cell>
        </row>
        <row r="205">
          <cell r="J205" t="str">
            <v>Account</v>
          </cell>
          <cell r="K205" t="str">
            <v>Dept</v>
          </cell>
          <cell r="L205" t="str">
            <v>Sum Amount</v>
          </cell>
          <cell r="M205" t="str">
            <v>Trans</v>
          </cell>
          <cell r="N205" t="str">
            <v>Product</v>
          </cell>
          <cell r="O205" t="str">
            <v>Sum Stat Amt</v>
          </cell>
          <cell r="P205" t="str">
            <v>Period</v>
          </cell>
          <cell r="Q205" t="str">
            <v>Date</v>
          </cell>
          <cell r="S205" t="str">
            <v>Account</v>
          </cell>
          <cell r="T205" t="str">
            <v>Dept</v>
          </cell>
          <cell r="U205" t="str">
            <v>Sum Amount</v>
          </cell>
          <cell r="V205" t="str">
            <v>Trans</v>
          </cell>
          <cell r="W205" t="str">
            <v>Product</v>
          </cell>
          <cell r="X205" t="str">
            <v>Sum Stat Amt</v>
          </cell>
          <cell r="Y205" t="str">
            <v>Period</v>
          </cell>
          <cell r="Z205" t="str">
            <v>Date</v>
          </cell>
          <cell r="AB205" t="str">
            <v>Account</v>
          </cell>
          <cell r="AC205" t="str">
            <v>Dept</v>
          </cell>
          <cell r="AD205" t="str">
            <v>Sum Amount</v>
          </cell>
          <cell r="AE205" t="str">
            <v>Trans</v>
          </cell>
          <cell r="AF205" t="str">
            <v>Product</v>
          </cell>
          <cell r="AG205" t="str">
            <v>Sum Stat Amt</v>
          </cell>
          <cell r="AH205" t="str">
            <v>Period</v>
          </cell>
          <cell r="AI205" t="str">
            <v>Date</v>
          </cell>
          <cell r="AK205" t="str">
            <v>Account</v>
          </cell>
          <cell r="AL205" t="str">
            <v>Dept</v>
          </cell>
          <cell r="AM205" t="str">
            <v>Sum Amount</v>
          </cell>
          <cell r="AN205" t="str">
            <v>Trans</v>
          </cell>
          <cell r="AO205" t="str">
            <v>Product</v>
          </cell>
          <cell r="AP205" t="str">
            <v>Sum Stat Amt</v>
          </cell>
          <cell r="AQ205" t="str">
            <v>Period</v>
          </cell>
          <cell r="AR205" t="str">
            <v>Date</v>
          </cell>
          <cell r="AT205" t="str">
            <v>Account</v>
          </cell>
          <cell r="AU205" t="str">
            <v>Dept</v>
          </cell>
          <cell r="AV205" t="str">
            <v>Sum Amount</v>
          </cell>
          <cell r="AW205" t="str">
            <v>Trans</v>
          </cell>
          <cell r="AX205" t="str">
            <v>Product</v>
          </cell>
          <cell r="AY205" t="str">
            <v>Sum Stat Amt</v>
          </cell>
          <cell r="AZ205" t="str">
            <v>Period</v>
          </cell>
          <cell r="BA205" t="str">
            <v>Date</v>
          </cell>
          <cell r="BC205" t="str">
            <v>Account</v>
          </cell>
          <cell r="BD205" t="str">
            <v>Dept</v>
          </cell>
          <cell r="BE205" t="str">
            <v>Sum Amount</v>
          </cell>
          <cell r="BF205" t="str">
            <v>Trans</v>
          </cell>
          <cell r="BG205" t="str">
            <v>Product</v>
          </cell>
          <cell r="BH205" t="str">
            <v>Sum Stat Amt</v>
          </cell>
          <cell r="BI205" t="str">
            <v>Period</v>
          </cell>
          <cell r="BJ205" t="str">
            <v>Date</v>
          </cell>
          <cell r="BL205" t="str">
            <v>Account</v>
          </cell>
          <cell r="BM205" t="str">
            <v>Dept</v>
          </cell>
          <cell r="BN205" t="str">
            <v>Sum Amount</v>
          </cell>
          <cell r="BO205" t="str">
            <v>Trans</v>
          </cell>
          <cell r="BP205" t="str">
            <v>Product</v>
          </cell>
          <cell r="BQ205" t="str">
            <v>Sum Stat Amt</v>
          </cell>
          <cell r="BR205" t="str">
            <v>Period</v>
          </cell>
          <cell r="BS205" t="str">
            <v>Date</v>
          </cell>
          <cell r="BU205" t="str">
            <v>Account</v>
          </cell>
          <cell r="BV205" t="str">
            <v>Dept</v>
          </cell>
          <cell r="BW205" t="str">
            <v>Sum Amount</v>
          </cell>
          <cell r="BX205" t="str">
            <v>Trans</v>
          </cell>
          <cell r="BY205" t="str">
            <v>Product</v>
          </cell>
          <cell r="BZ205" t="str">
            <v>Sum Stat Amt</v>
          </cell>
          <cell r="CA205" t="str">
            <v>Period</v>
          </cell>
          <cell r="CB205" t="str">
            <v>Date</v>
          </cell>
          <cell r="CD205" t="str">
            <v>Account</v>
          </cell>
          <cell r="CE205" t="str">
            <v>Dept</v>
          </cell>
          <cell r="CF205" t="str">
            <v>Sum Amount</v>
          </cell>
          <cell r="CG205" t="str">
            <v>Trans</v>
          </cell>
          <cell r="CH205" t="str">
            <v>Product</v>
          </cell>
          <cell r="CI205" t="str">
            <v>Sum Stat Amt</v>
          </cell>
          <cell r="CJ205" t="str">
            <v>Period</v>
          </cell>
          <cell r="CK205" t="str">
            <v>Date</v>
          </cell>
          <cell r="CM205" t="str">
            <v>Account</v>
          </cell>
          <cell r="CN205" t="str">
            <v>Dept</v>
          </cell>
          <cell r="CO205" t="str">
            <v>Sum Amount</v>
          </cell>
          <cell r="CP205" t="str">
            <v>Trans</v>
          </cell>
          <cell r="CQ205" t="str">
            <v>Product</v>
          </cell>
          <cell r="CR205" t="str">
            <v>Sum Stat Amt</v>
          </cell>
          <cell r="CS205" t="str">
            <v>Period</v>
          </cell>
          <cell r="CT205" t="str">
            <v>Date</v>
          </cell>
          <cell r="CV205" t="str">
            <v>Account</v>
          </cell>
          <cell r="CW205" t="str">
            <v>Dept</v>
          </cell>
          <cell r="CX205" t="str">
            <v>Sum Amount</v>
          </cell>
          <cell r="CY205" t="str">
            <v>Trans</v>
          </cell>
          <cell r="CZ205" t="str">
            <v>Product</v>
          </cell>
          <cell r="DA205" t="str">
            <v>Sum Stat Amt</v>
          </cell>
          <cell r="DB205" t="str">
            <v>Period</v>
          </cell>
          <cell r="DC205" t="str">
            <v>Date</v>
          </cell>
          <cell r="DE205" t="str">
            <v>Account</v>
          </cell>
          <cell r="DF205" t="str">
            <v>Dept</v>
          </cell>
          <cell r="DG205" t="str">
            <v>Sum Amount</v>
          </cell>
          <cell r="DH205" t="str">
            <v>Trans</v>
          </cell>
          <cell r="DI205" t="str">
            <v>Product</v>
          </cell>
          <cell r="DJ205" t="str">
            <v>Sum Stat Amt</v>
          </cell>
          <cell r="DK205" t="str">
            <v>Period</v>
          </cell>
          <cell r="DL205" t="str">
            <v>Date</v>
          </cell>
        </row>
        <row r="206">
          <cell r="M206">
            <v>217</v>
          </cell>
          <cell r="N206">
            <v>406</v>
          </cell>
          <cell r="Q206">
            <v>40390</v>
          </cell>
          <cell r="V206">
            <v>217</v>
          </cell>
          <cell r="W206">
            <v>406</v>
          </cell>
          <cell r="Z206">
            <v>40421</v>
          </cell>
          <cell r="AE206">
            <v>217</v>
          </cell>
          <cell r="AF206">
            <v>406</v>
          </cell>
          <cell r="AI206">
            <v>40451</v>
          </cell>
          <cell r="AN206">
            <v>217</v>
          </cell>
          <cell r="AO206">
            <v>406</v>
          </cell>
          <cell r="AR206">
            <v>40482</v>
          </cell>
          <cell r="AW206">
            <v>217</v>
          </cell>
          <cell r="AX206">
            <v>406</v>
          </cell>
          <cell r="BA206">
            <v>40512</v>
          </cell>
          <cell r="BF206">
            <v>217</v>
          </cell>
          <cell r="BG206">
            <v>406</v>
          </cell>
          <cell r="BJ206">
            <v>40543</v>
          </cell>
          <cell r="BO206">
            <v>217</v>
          </cell>
          <cell r="BP206">
            <v>406</v>
          </cell>
          <cell r="BS206">
            <v>40574</v>
          </cell>
          <cell r="BX206">
            <v>217</v>
          </cell>
          <cell r="BY206">
            <v>406</v>
          </cell>
          <cell r="CB206">
            <v>40602</v>
          </cell>
          <cell r="CG206">
            <v>217</v>
          </cell>
          <cell r="CH206">
            <v>406</v>
          </cell>
          <cell r="CK206">
            <v>40633</v>
          </cell>
          <cell r="CP206">
            <v>217</v>
          </cell>
          <cell r="CQ206">
            <v>406</v>
          </cell>
          <cell r="CT206">
            <v>40663</v>
          </cell>
          <cell r="CY206">
            <v>217</v>
          </cell>
          <cell r="CZ206">
            <v>406</v>
          </cell>
          <cell r="DC206">
            <v>40694</v>
          </cell>
          <cell r="DH206">
            <v>217</v>
          </cell>
          <cell r="DI206">
            <v>406</v>
          </cell>
          <cell r="DL206">
            <v>40724</v>
          </cell>
        </row>
        <row r="208">
          <cell r="J208" t="str">
            <v>Account</v>
          </cell>
          <cell r="K208" t="str">
            <v>Dept</v>
          </cell>
          <cell r="L208" t="str">
            <v>Sum Amount</v>
          </cell>
          <cell r="M208" t="str">
            <v>Trans</v>
          </cell>
          <cell r="N208" t="str">
            <v>Product</v>
          </cell>
          <cell r="O208" t="str">
            <v>Sum Stat Amt</v>
          </cell>
          <cell r="P208" t="str">
            <v>Period</v>
          </cell>
          <cell r="Q208" t="str">
            <v>Date</v>
          </cell>
          <cell r="S208" t="str">
            <v>Account</v>
          </cell>
          <cell r="T208" t="str">
            <v>Dept</v>
          </cell>
          <cell r="U208" t="str">
            <v>Sum Amount</v>
          </cell>
          <cell r="V208" t="str">
            <v>Trans</v>
          </cell>
          <cell r="W208" t="str">
            <v>Product</v>
          </cell>
          <cell r="X208" t="str">
            <v>Sum Stat Amt</v>
          </cell>
          <cell r="Y208" t="str">
            <v>Period</v>
          </cell>
          <cell r="Z208" t="str">
            <v>Date</v>
          </cell>
          <cell r="AB208" t="str">
            <v>Account</v>
          </cell>
          <cell r="AC208" t="str">
            <v>Dept</v>
          </cell>
          <cell r="AD208" t="str">
            <v>Sum Amount</v>
          </cell>
          <cell r="AE208" t="str">
            <v>Trans</v>
          </cell>
          <cell r="AF208" t="str">
            <v>Product</v>
          </cell>
          <cell r="AG208" t="str">
            <v>Sum Stat Amt</v>
          </cell>
          <cell r="AH208" t="str">
            <v>Period</v>
          </cell>
          <cell r="AI208" t="str">
            <v>Date</v>
          </cell>
          <cell r="AK208" t="str">
            <v>Account</v>
          </cell>
          <cell r="AL208" t="str">
            <v>Dept</v>
          </cell>
          <cell r="AM208" t="str">
            <v>Sum Amount</v>
          </cell>
          <cell r="AN208" t="str">
            <v>Trans</v>
          </cell>
          <cell r="AO208" t="str">
            <v>Product</v>
          </cell>
          <cell r="AP208" t="str">
            <v>Sum Stat Amt</v>
          </cell>
          <cell r="AQ208" t="str">
            <v>Period</v>
          </cell>
          <cell r="AR208" t="str">
            <v>Date</v>
          </cell>
          <cell r="AT208" t="str">
            <v>Account</v>
          </cell>
          <cell r="AU208" t="str">
            <v>Dept</v>
          </cell>
          <cell r="AV208" t="str">
            <v>Sum Amount</v>
          </cell>
          <cell r="AW208" t="str">
            <v>Trans</v>
          </cell>
          <cell r="AX208" t="str">
            <v>Product</v>
          </cell>
          <cell r="AY208" t="str">
            <v>Sum Stat Amt</v>
          </cell>
          <cell r="AZ208" t="str">
            <v>Period</v>
          </cell>
          <cell r="BA208" t="str">
            <v>Date</v>
          </cell>
          <cell r="BC208" t="str">
            <v>Account</v>
          </cell>
          <cell r="BD208" t="str">
            <v>Dept</v>
          </cell>
          <cell r="BE208" t="str">
            <v>Sum Amount</v>
          </cell>
          <cell r="BF208" t="str">
            <v>Trans</v>
          </cell>
          <cell r="BG208" t="str">
            <v>Product</v>
          </cell>
          <cell r="BH208" t="str">
            <v>Sum Stat Amt</v>
          </cell>
          <cell r="BI208" t="str">
            <v>Period</v>
          </cell>
          <cell r="BJ208" t="str">
            <v>Date</v>
          </cell>
          <cell r="BL208" t="str">
            <v>Account</v>
          </cell>
          <cell r="BM208" t="str">
            <v>Dept</v>
          </cell>
          <cell r="BN208" t="str">
            <v>Sum Amount</v>
          </cell>
          <cell r="BO208" t="str">
            <v>Trans</v>
          </cell>
          <cell r="BP208" t="str">
            <v>Product</v>
          </cell>
          <cell r="BQ208" t="str">
            <v>Sum Stat Amt</v>
          </cell>
          <cell r="BR208" t="str">
            <v>Period</v>
          </cell>
          <cell r="BS208" t="str">
            <v>Date</v>
          </cell>
          <cell r="BU208" t="str">
            <v>Account</v>
          </cell>
          <cell r="BV208" t="str">
            <v>Dept</v>
          </cell>
          <cell r="BW208" t="str">
            <v>Sum Amount</v>
          </cell>
          <cell r="BX208" t="str">
            <v>Trans</v>
          </cell>
          <cell r="BY208" t="str">
            <v>Product</v>
          </cell>
          <cell r="BZ208" t="str">
            <v>Sum Stat Amt</v>
          </cell>
          <cell r="CA208" t="str">
            <v>Period</v>
          </cell>
          <cell r="CB208" t="str">
            <v>Date</v>
          </cell>
          <cell r="CD208" t="str">
            <v>Account</v>
          </cell>
          <cell r="CE208" t="str">
            <v>Dept</v>
          </cell>
          <cell r="CF208" t="str">
            <v>Sum Amount</v>
          </cell>
          <cell r="CG208" t="str">
            <v>Trans</v>
          </cell>
          <cell r="CH208" t="str">
            <v>Product</v>
          </cell>
          <cell r="CI208" t="str">
            <v>Sum Stat Amt</v>
          </cell>
          <cell r="CJ208" t="str">
            <v>Period</v>
          </cell>
          <cell r="CK208" t="str">
            <v>Date</v>
          </cell>
          <cell r="CM208" t="str">
            <v>Account</v>
          </cell>
          <cell r="CN208" t="str">
            <v>Dept</v>
          </cell>
          <cell r="CO208" t="str">
            <v>Sum Amount</v>
          </cell>
          <cell r="CP208" t="str">
            <v>Trans</v>
          </cell>
          <cell r="CQ208" t="str">
            <v>Product</v>
          </cell>
          <cell r="CR208" t="str">
            <v>Sum Stat Amt</v>
          </cell>
          <cell r="CS208" t="str">
            <v>Period</v>
          </cell>
          <cell r="CT208" t="str">
            <v>Date</v>
          </cell>
          <cell r="CV208" t="str">
            <v>Account</v>
          </cell>
          <cell r="CW208" t="str">
            <v>Dept</v>
          </cell>
          <cell r="CX208" t="str">
            <v>Sum Amount</v>
          </cell>
          <cell r="CY208" t="str">
            <v>Trans</v>
          </cell>
          <cell r="CZ208" t="str">
            <v>Product</v>
          </cell>
          <cell r="DA208" t="str">
            <v>Sum Stat Amt</v>
          </cell>
          <cell r="DB208" t="str">
            <v>Period</v>
          </cell>
          <cell r="DC208" t="str">
            <v>Date</v>
          </cell>
          <cell r="DE208" t="str">
            <v>Account</v>
          </cell>
          <cell r="DF208" t="str">
            <v>Dept</v>
          </cell>
          <cell r="DG208" t="str">
            <v>Sum Amount</v>
          </cell>
          <cell r="DH208" t="str">
            <v>Trans</v>
          </cell>
          <cell r="DI208" t="str">
            <v>Product</v>
          </cell>
          <cell r="DJ208" t="str">
            <v>Sum Stat Amt</v>
          </cell>
          <cell r="DK208" t="str">
            <v>Period</v>
          </cell>
          <cell r="DL208" t="str">
            <v>Date</v>
          </cell>
        </row>
        <row r="209">
          <cell r="M209">
            <v>217</v>
          </cell>
          <cell r="N209">
            <v>416</v>
          </cell>
          <cell r="Q209">
            <v>40390</v>
          </cell>
          <cell r="V209">
            <v>217</v>
          </cell>
          <cell r="W209">
            <v>416</v>
          </cell>
          <cell r="Z209">
            <v>40421</v>
          </cell>
          <cell r="AE209">
            <v>217</v>
          </cell>
          <cell r="AF209">
            <v>416</v>
          </cell>
          <cell r="AI209">
            <v>40451</v>
          </cell>
          <cell r="AN209">
            <v>217</v>
          </cell>
          <cell r="AO209">
            <v>416</v>
          </cell>
          <cell r="AR209">
            <v>40482</v>
          </cell>
          <cell r="AW209">
            <v>217</v>
          </cell>
          <cell r="AX209">
            <v>416</v>
          </cell>
          <cell r="BA209">
            <v>40512</v>
          </cell>
          <cell r="BF209">
            <v>217</v>
          </cell>
          <cell r="BG209">
            <v>416</v>
          </cell>
          <cell r="BJ209">
            <v>40543</v>
          </cell>
          <cell r="BO209">
            <v>217</v>
          </cell>
          <cell r="BP209">
            <v>416</v>
          </cell>
          <cell r="BS209">
            <v>40574</v>
          </cell>
          <cell r="BX209">
            <v>217</v>
          </cell>
          <cell r="BY209">
            <v>416</v>
          </cell>
          <cell r="CB209">
            <v>40602</v>
          </cell>
          <cell r="CG209">
            <v>217</v>
          </cell>
          <cell r="CH209">
            <v>416</v>
          </cell>
          <cell r="CK209">
            <v>40633</v>
          </cell>
          <cell r="CP209">
            <v>217</v>
          </cell>
          <cell r="CQ209">
            <v>416</v>
          </cell>
          <cell r="CT209">
            <v>40663</v>
          </cell>
          <cell r="CY209">
            <v>217</v>
          </cell>
          <cell r="CZ209">
            <v>416</v>
          </cell>
          <cell r="DC209">
            <v>40694</v>
          </cell>
          <cell r="DH209">
            <v>217</v>
          </cell>
          <cell r="DI209">
            <v>416</v>
          </cell>
          <cell r="DL209">
            <v>40724</v>
          </cell>
        </row>
        <row r="211">
          <cell r="J211" t="str">
            <v>Account</v>
          </cell>
          <cell r="K211" t="str">
            <v>Dept</v>
          </cell>
          <cell r="L211" t="str">
            <v>Sum Amount</v>
          </cell>
          <cell r="M211" t="str">
            <v>Trans</v>
          </cell>
          <cell r="N211" t="str">
            <v>Product</v>
          </cell>
          <cell r="O211" t="str">
            <v>Sum Stat Amt</v>
          </cell>
          <cell r="P211" t="str">
            <v>Period</v>
          </cell>
          <cell r="Q211" t="str">
            <v>Date</v>
          </cell>
          <cell r="S211" t="str">
            <v>Account</v>
          </cell>
          <cell r="T211" t="str">
            <v>Dept</v>
          </cell>
          <cell r="U211" t="str">
            <v>Sum Amount</v>
          </cell>
          <cell r="V211" t="str">
            <v>Trans</v>
          </cell>
          <cell r="W211" t="str">
            <v>Product</v>
          </cell>
          <cell r="X211" t="str">
            <v>Sum Stat Amt</v>
          </cell>
          <cell r="Y211" t="str">
            <v>Period</v>
          </cell>
          <cell r="Z211" t="str">
            <v>Date</v>
          </cell>
          <cell r="AB211" t="str">
            <v>Account</v>
          </cell>
          <cell r="AC211" t="str">
            <v>Dept</v>
          </cell>
          <cell r="AD211" t="str">
            <v>Sum Amount</v>
          </cell>
          <cell r="AE211" t="str">
            <v>Trans</v>
          </cell>
          <cell r="AF211" t="str">
            <v>Product</v>
          </cell>
          <cell r="AG211" t="str">
            <v>Sum Stat Amt</v>
          </cell>
          <cell r="AH211" t="str">
            <v>Period</v>
          </cell>
          <cell r="AI211" t="str">
            <v>Date</v>
          </cell>
          <cell r="AK211" t="str">
            <v>Account</v>
          </cell>
          <cell r="AL211" t="str">
            <v>Dept</v>
          </cell>
          <cell r="AM211" t="str">
            <v>Sum Amount</v>
          </cell>
          <cell r="AN211" t="str">
            <v>Trans</v>
          </cell>
          <cell r="AO211" t="str">
            <v>Product</v>
          </cell>
          <cell r="AP211" t="str">
            <v>Sum Stat Amt</v>
          </cell>
          <cell r="AQ211" t="str">
            <v>Period</v>
          </cell>
          <cell r="AR211" t="str">
            <v>Date</v>
          </cell>
          <cell r="AT211" t="str">
            <v>Account</v>
          </cell>
          <cell r="AU211" t="str">
            <v>Dept</v>
          </cell>
          <cell r="AV211" t="str">
            <v>Sum Amount</v>
          </cell>
          <cell r="AW211" t="str">
            <v>Trans</v>
          </cell>
          <cell r="AX211" t="str">
            <v>Product</v>
          </cell>
          <cell r="AY211" t="str">
            <v>Sum Stat Amt</v>
          </cell>
          <cell r="AZ211" t="str">
            <v>Period</v>
          </cell>
          <cell r="BA211" t="str">
            <v>Date</v>
          </cell>
          <cell r="BC211" t="str">
            <v>Account</v>
          </cell>
          <cell r="BD211" t="str">
            <v>Dept</v>
          </cell>
          <cell r="BE211" t="str">
            <v>Sum Amount</v>
          </cell>
          <cell r="BF211" t="str">
            <v>Trans</v>
          </cell>
          <cell r="BG211" t="str">
            <v>Product</v>
          </cell>
          <cell r="BH211" t="str">
            <v>Sum Stat Amt</v>
          </cell>
          <cell r="BI211" t="str">
            <v>Period</v>
          </cell>
          <cell r="BJ211" t="str">
            <v>Date</v>
          </cell>
          <cell r="BL211" t="str">
            <v>Account</v>
          </cell>
          <cell r="BM211" t="str">
            <v>Dept</v>
          </cell>
          <cell r="BN211" t="str">
            <v>Sum Amount</v>
          </cell>
          <cell r="BO211" t="str">
            <v>Trans</v>
          </cell>
          <cell r="BP211" t="str">
            <v>Product</v>
          </cell>
          <cell r="BQ211" t="str">
            <v>Sum Stat Amt</v>
          </cell>
          <cell r="BR211" t="str">
            <v>Period</v>
          </cell>
          <cell r="BS211" t="str">
            <v>Date</v>
          </cell>
          <cell r="BU211" t="str">
            <v>Account</v>
          </cell>
          <cell r="BV211" t="str">
            <v>Dept</v>
          </cell>
          <cell r="BW211" t="str">
            <v>Sum Amount</v>
          </cell>
          <cell r="BX211" t="str">
            <v>Trans</v>
          </cell>
          <cell r="BY211" t="str">
            <v>Product</v>
          </cell>
          <cell r="BZ211" t="str">
            <v>Sum Stat Amt</v>
          </cell>
          <cell r="CA211" t="str">
            <v>Period</v>
          </cell>
          <cell r="CB211" t="str">
            <v>Date</v>
          </cell>
          <cell r="CD211" t="str">
            <v>Account</v>
          </cell>
          <cell r="CE211" t="str">
            <v>Dept</v>
          </cell>
          <cell r="CF211" t="str">
            <v>Sum Amount</v>
          </cell>
          <cell r="CG211" t="str">
            <v>Trans</v>
          </cell>
          <cell r="CH211" t="str">
            <v>Product</v>
          </cell>
          <cell r="CI211" t="str">
            <v>Sum Stat Amt</v>
          </cell>
          <cell r="CJ211" t="str">
            <v>Period</v>
          </cell>
          <cell r="CK211" t="str">
            <v>Date</v>
          </cell>
          <cell r="CM211" t="str">
            <v>Account</v>
          </cell>
          <cell r="CN211" t="str">
            <v>Dept</v>
          </cell>
          <cell r="CO211" t="str">
            <v>Sum Amount</v>
          </cell>
          <cell r="CP211" t="str">
            <v>Trans</v>
          </cell>
          <cell r="CQ211" t="str">
            <v>Product</v>
          </cell>
          <cell r="CR211" t="str">
            <v>Sum Stat Amt</v>
          </cell>
          <cell r="CS211" t="str">
            <v>Period</v>
          </cell>
          <cell r="CT211" t="str">
            <v>Date</v>
          </cell>
          <cell r="CV211" t="str">
            <v>Account</v>
          </cell>
          <cell r="CW211" t="str">
            <v>Dept</v>
          </cell>
          <cell r="CX211" t="str">
            <v>Sum Amount</v>
          </cell>
          <cell r="CY211" t="str">
            <v>Trans</v>
          </cell>
          <cell r="CZ211" t="str">
            <v>Product</v>
          </cell>
          <cell r="DA211" t="str">
            <v>Sum Stat Amt</v>
          </cell>
          <cell r="DB211" t="str">
            <v>Period</v>
          </cell>
          <cell r="DC211" t="str">
            <v>Date</v>
          </cell>
          <cell r="DE211" t="str">
            <v>Account</v>
          </cell>
          <cell r="DF211" t="str">
            <v>Dept</v>
          </cell>
          <cell r="DG211" t="str">
            <v>Sum Amount</v>
          </cell>
          <cell r="DH211" t="str">
            <v>Trans</v>
          </cell>
          <cell r="DI211" t="str">
            <v>Product</v>
          </cell>
          <cell r="DJ211" t="str">
            <v>Sum Stat Amt</v>
          </cell>
          <cell r="DK211" t="str">
            <v>Period</v>
          </cell>
          <cell r="DL211" t="str">
            <v>Date</v>
          </cell>
        </row>
        <row r="212">
          <cell r="M212">
            <v>210</v>
          </cell>
          <cell r="N212">
            <v>453</v>
          </cell>
          <cell r="Q212">
            <v>40390</v>
          </cell>
          <cell r="V212">
            <v>210</v>
          </cell>
          <cell r="W212">
            <v>453</v>
          </cell>
          <cell r="Z212">
            <v>40421</v>
          </cell>
          <cell r="AE212">
            <v>210</v>
          </cell>
          <cell r="AF212">
            <v>453</v>
          </cell>
          <cell r="AI212">
            <v>40451</v>
          </cell>
          <cell r="AN212">
            <v>210</v>
          </cell>
          <cell r="AO212">
            <v>453</v>
          </cell>
          <cell r="AR212">
            <v>40482</v>
          </cell>
          <cell r="AW212">
            <v>210</v>
          </cell>
          <cell r="AX212">
            <v>453</v>
          </cell>
          <cell r="BA212">
            <v>40512</v>
          </cell>
          <cell r="BF212">
            <v>210</v>
          </cell>
          <cell r="BG212">
            <v>453</v>
          </cell>
          <cell r="BJ212">
            <v>40543</v>
          </cell>
          <cell r="BO212">
            <v>210</v>
          </cell>
          <cell r="BP212">
            <v>453</v>
          </cell>
          <cell r="BS212">
            <v>40574</v>
          </cell>
          <cell r="BX212">
            <v>210</v>
          </cell>
          <cell r="BY212">
            <v>453</v>
          </cell>
          <cell r="CB212">
            <v>40602</v>
          </cell>
          <cell r="CG212">
            <v>210</v>
          </cell>
          <cell r="CH212">
            <v>453</v>
          </cell>
          <cell r="CK212">
            <v>40633</v>
          </cell>
          <cell r="CP212">
            <v>210</v>
          </cell>
          <cell r="CQ212">
            <v>453</v>
          </cell>
          <cell r="CT212">
            <v>40663</v>
          </cell>
          <cell r="CY212">
            <v>210</v>
          </cell>
          <cell r="CZ212">
            <v>453</v>
          </cell>
          <cell r="DC212">
            <v>40694</v>
          </cell>
          <cell r="DH212">
            <v>210</v>
          </cell>
          <cell r="DI212">
            <v>453</v>
          </cell>
          <cell r="DL212">
            <v>40724</v>
          </cell>
        </row>
      </sheetData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ess080\AppData\Local\Microsoft\Windows\INetCache\Content.Outlook\M14IFMNU\EXTAFFRS.ALLOC7%20WBS%20Detail%202022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ke160" refreshedDate="45000.804099768517" createdVersion="8" refreshedVersion="8" minRefreshableVersion="3" recordCount="394" xr:uid="{6AFF83D1-6D43-41E4-9E08-382F3C9EAA57}">
  <cacheSource type="worksheet">
    <worksheetSource ref="A1:M395" sheet="2022" r:id="rId2"/>
  </cacheSource>
  <cacheFields count="13">
    <cacheField name="Object" numFmtId="0">
      <sharedItems count="1">
        <s v="EXTAFFRS.ALLOC7"/>
      </sharedItems>
    </cacheField>
    <cacheField name="Cost Element" numFmtId="0">
      <sharedItems count="23">
        <s v="5308090"/>
        <s v="5404081"/>
        <s v="5404261"/>
        <s v="5404264"/>
        <s v="5409201"/>
        <s v="5409202"/>
        <s v="5409203"/>
        <s v="5409210"/>
        <s v="5409214"/>
        <s v="5409216"/>
        <s v="5409230"/>
        <s v="5409261"/>
        <s v="5409262"/>
        <s v="5409263"/>
        <s v="5409264"/>
        <s v="5409302"/>
        <s v="5409310"/>
        <s v="5409350"/>
        <s v="5409997"/>
        <s v="5409999"/>
        <s v="6201030"/>
        <s v="6201040"/>
        <s v="8209044"/>
      </sharedItems>
    </cacheField>
    <cacheField name="Cost element name" numFmtId="0">
      <sharedItems count="23">
        <s v="Other Dues&amp;Membershp"/>
        <s v="CA-Payroll Taxes"/>
        <s v="CA-Other Ded-Donatio"/>
        <s v="CA-Other Ded-Civic/P"/>
        <s v="CA-Vacation Liabilit"/>
        <s v="CA-AIP"/>
        <s v="CA-LTIP/Restricted S"/>
        <s v="CA-Office Supplies &amp;"/>
        <s v="CA-Vehicle Expenses"/>
        <s v="CA - Material &amp; Supp"/>
        <s v="CA-Outside Services"/>
        <s v="CA-Emp Bfit-Medical"/>
        <s v="CA-Emp Bfit-Other"/>
        <s v="CA-Emp Bfit-OPEB"/>
        <s v="CA-Emp Bfit-Pensions"/>
        <s v="CA-Misc General Exp"/>
        <s v="CA-Rents/Facilities"/>
        <s v="CA-Maint-Elec Struc/"/>
        <s v="CA Salaries Accrl"/>
        <s v="CA-Labor Residual Tr"/>
        <s v="Donations- 501c3"/>
        <s v="Donations-Non 501c3"/>
        <s v="DES-Ext Affairs ST"/>
      </sharedItems>
    </cacheField>
    <cacheField name="Name of employee or applicant" numFmtId="0">
      <sharedItems/>
    </cacheField>
    <cacheField name="Name" numFmtId="0">
      <sharedItems/>
    </cacheField>
    <cacheField name="Vendor Name" numFmtId="0">
      <sharedItems/>
    </cacheField>
    <cacheField name="Dr/Cr indicator" numFmtId="0">
      <sharedItems/>
    </cacheField>
    <cacheField name="Period" numFmtId="0">
      <sharedItems/>
    </cacheField>
    <cacheField name="Partner-CCtr" numFmtId="0">
      <sharedItems/>
    </cacheField>
    <cacheField name="User Name" numFmtId="0">
      <sharedItems/>
    </cacheField>
    <cacheField name="Posting Date" numFmtId="14">
      <sharedItems containsSemiMixedTypes="0" containsNonDate="0" containsDate="1" containsString="0" minDate="2022-01-05T00:00:00" maxDate="2023-01-01T00:00:00"/>
    </cacheField>
    <cacheField name="Total quantity" numFmtId="189">
      <sharedItems containsSemiMixedTypes="0" containsString="0" containsNumber="1" containsInteger="1" minValue="0" maxValue="152"/>
    </cacheField>
    <cacheField name="Val/COArea Crcy" numFmtId="4">
      <sharedItems containsSemiMixedTypes="0" containsString="0" containsNumber="1" minValue="-5067.53" maxValue="645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4">
  <r>
    <x v="0"/>
    <x v="0"/>
    <x v="0"/>
    <s v=""/>
    <s v=""/>
    <s v="UTAH PETROLEUM ASSN"/>
    <s v="D"/>
    <s v="3"/>
    <s v=""/>
    <s v="SAP_WFRT"/>
    <d v="2022-03-29T00:00:00"/>
    <n v="0"/>
    <n v="6500"/>
  </r>
  <r>
    <x v="0"/>
    <x v="1"/>
    <x v="1"/>
    <s v=""/>
    <s v="DEPT COST ALLOC - 01/2022"/>
    <s v=""/>
    <s v="D"/>
    <s v="1"/>
    <s v="702006"/>
    <s v="SAPBATCH"/>
    <d v="2022-01-31T00:00:00"/>
    <n v="0"/>
    <n v="1377.13"/>
  </r>
  <r>
    <x v="0"/>
    <x v="1"/>
    <x v="1"/>
    <s v=""/>
    <s v="DEPT COST ALLOC - 01/2022"/>
    <s v=""/>
    <s v="D"/>
    <s v="1"/>
    <s v="702007"/>
    <s v="SAPBATCH"/>
    <d v="2022-01-31T00:00:00"/>
    <n v="0"/>
    <n v="919.04"/>
  </r>
  <r>
    <x v="0"/>
    <x v="1"/>
    <x v="1"/>
    <s v=""/>
    <s v="DEPT COST ALLOC - 02/2022"/>
    <s v=""/>
    <s v="D"/>
    <s v="2"/>
    <s v="701676"/>
    <s v="SAPBATCH"/>
    <d v="2022-02-28T00:00:00"/>
    <n v="0"/>
    <n v="30.72"/>
  </r>
  <r>
    <x v="0"/>
    <x v="1"/>
    <x v="1"/>
    <s v=""/>
    <s v="DEPT COST ALLOC - 02/2022"/>
    <s v=""/>
    <s v="D"/>
    <s v="2"/>
    <s v="702006"/>
    <s v="SAPBATCH"/>
    <d v="2022-02-28T00:00:00"/>
    <n v="0"/>
    <n v="6211.82"/>
  </r>
  <r>
    <x v="0"/>
    <x v="1"/>
    <x v="1"/>
    <s v=""/>
    <s v="DEPT COST ALLOC - 02/2022"/>
    <s v=""/>
    <s v="D"/>
    <s v="2"/>
    <s v="702007"/>
    <s v="SAPBATCH"/>
    <d v="2022-02-28T00:00:00"/>
    <n v="0"/>
    <n v="2700.12"/>
  </r>
  <r>
    <x v="0"/>
    <x v="1"/>
    <x v="1"/>
    <s v=""/>
    <s v="DEPT COST ALLOC - 03/2022"/>
    <s v=""/>
    <s v="D"/>
    <s v="3"/>
    <s v="702006"/>
    <s v="SAPBATCH"/>
    <d v="2022-03-31T00:00:00"/>
    <n v="0"/>
    <n v="1593.63"/>
  </r>
  <r>
    <x v="0"/>
    <x v="1"/>
    <x v="1"/>
    <s v=""/>
    <s v="DEPT COST ALLOC - 03/2022"/>
    <s v=""/>
    <s v="D"/>
    <s v="3"/>
    <s v="702007"/>
    <s v="SAPBATCH"/>
    <d v="2022-03-31T00:00:00"/>
    <n v="0"/>
    <n v="686.66"/>
  </r>
  <r>
    <x v="0"/>
    <x v="1"/>
    <x v="1"/>
    <s v=""/>
    <s v="DEPT COST ALLOC - 04/2022"/>
    <s v=""/>
    <s v="D"/>
    <s v="4"/>
    <s v="702006"/>
    <s v="SAPBATCH"/>
    <d v="2022-04-30T00:00:00"/>
    <n v="0"/>
    <n v="1330.09"/>
  </r>
  <r>
    <x v="0"/>
    <x v="1"/>
    <x v="1"/>
    <s v=""/>
    <s v="DEPT COST ALLOC - 04/2022"/>
    <s v=""/>
    <s v="D"/>
    <s v="4"/>
    <s v="702007"/>
    <s v="SAPBATCH"/>
    <d v="2022-04-30T00:00:00"/>
    <n v="0"/>
    <n v="29.91"/>
  </r>
  <r>
    <x v="0"/>
    <x v="1"/>
    <x v="1"/>
    <s v=""/>
    <s v="DEPT COST ALLOC - 05/2022"/>
    <s v=""/>
    <s v="D"/>
    <s v="5"/>
    <s v="702006"/>
    <s v="SAPBATCH"/>
    <d v="2022-05-31T00:00:00"/>
    <n v="0"/>
    <n v="981.22"/>
  </r>
  <r>
    <x v="0"/>
    <x v="1"/>
    <x v="1"/>
    <s v=""/>
    <s v="DEPT COST ALLOC - 05/2022"/>
    <s v=""/>
    <s v="D"/>
    <s v="5"/>
    <s v="702007"/>
    <s v="SAPBATCH"/>
    <d v="2022-05-31T00:00:00"/>
    <n v="0"/>
    <n v="1057.05"/>
  </r>
  <r>
    <x v="0"/>
    <x v="1"/>
    <x v="1"/>
    <s v=""/>
    <s v="DEPT COST ALLOC - 06/2022"/>
    <s v=""/>
    <s v="D"/>
    <s v="6"/>
    <s v="702006"/>
    <s v="SAPBATCH"/>
    <d v="2022-06-30T00:00:00"/>
    <n v="0"/>
    <n v="270.94"/>
  </r>
  <r>
    <x v="0"/>
    <x v="1"/>
    <x v="1"/>
    <s v=""/>
    <s v="DEPT COST ALLOC - 06/2022"/>
    <s v=""/>
    <s v="D"/>
    <s v="6"/>
    <s v="702007"/>
    <s v="SAPBATCH"/>
    <d v="2022-06-30T00:00:00"/>
    <n v="0"/>
    <n v="294.13"/>
  </r>
  <r>
    <x v="0"/>
    <x v="1"/>
    <x v="1"/>
    <s v=""/>
    <s v="DEPT COST ALLOC - 07/2022"/>
    <s v=""/>
    <s v="D"/>
    <s v="7"/>
    <s v="700631"/>
    <s v="SAPBATCH"/>
    <d v="2022-07-31T00:00:00"/>
    <n v="0"/>
    <n v="2668.17"/>
  </r>
  <r>
    <x v="0"/>
    <x v="1"/>
    <x v="1"/>
    <s v=""/>
    <s v="DEPT COST ALLOC - 07/2022"/>
    <s v=""/>
    <s v="D"/>
    <s v="7"/>
    <s v="702006"/>
    <s v="SAPBATCH"/>
    <d v="2022-07-31T00:00:00"/>
    <n v="0"/>
    <n v="502.79"/>
  </r>
  <r>
    <x v="0"/>
    <x v="1"/>
    <x v="1"/>
    <s v=""/>
    <s v="DEPT COST ALLOC - 07/2022"/>
    <s v=""/>
    <s v="D"/>
    <s v="7"/>
    <s v="702007"/>
    <s v="SAPBATCH"/>
    <d v="2022-07-31T00:00:00"/>
    <n v="0"/>
    <n v="306.06"/>
  </r>
  <r>
    <x v="0"/>
    <x v="1"/>
    <x v="1"/>
    <s v=""/>
    <s v="DEPT COST ALLOC - 08/2022"/>
    <s v=""/>
    <s v="D"/>
    <s v="8"/>
    <s v="700631"/>
    <s v="SAPBATCH"/>
    <d v="2022-08-31T00:00:00"/>
    <n v="0"/>
    <n v="1087.06"/>
  </r>
  <r>
    <x v="0"/>
    <x v="1"/>
    <x v="1"/>
    <s v=""/>
    <s v="DEPT COST ALLOC - 09/2022"/>
    <s v=""/>
    <s v="D"/>
    <s v="9"/>
    <s v="700631"/>
    <s v="SAPBATCH"/>
    <d v="2022-09-30T00:00:00"/>
    <n v="0"/>
    <n v="1208.4000000000001"/>
  </r>
  <r>
    <x v="0"/>
    <x v="1"/>
    <x v="1"/>
    <s v=""/>
    <s v="DEPT COST ALLOC - 10/2022"/>
    <s v=""/>
    <s v="D"/>
    <s v="10"/>
    <s v="700631"/>
    <s v="SAPBATCH"/>
    <d v="2022-10-31T00:00:00"/>
    <n v="0"/>
    <n v="1551.95"/>
  </r>
  <r>
    <x v="0"/>
    <x v="1"/>
    <x v="1"/>
    <s v=""/>
    <s v="DEPT COST ALLOC - 10/2022"/>
    <s v=""/>
    <s v="D"/>
    <s v="10"/>
    <s v="701676"/>
    <s v="SAPBATCH"/>
    <d v="2022-10-31T00:00:00"/>
    <n v="0"/>
    <n v="4.67"/>
  </r>
  <r>
    <x v="0"/>
    <x v="1"/>
    <x v="1"/>
    <s v=""/>
    <s v="DEPT COST ALLOC - 11/2022"/>
    <s v=""/>
    <s v="D"/>
    <s v="11"/>
    <s v="700631"/>
    <s v="SAPBATCH"/>
    <d v="2022-11-30T00:00:00"/>
    <n v="0"/>
    <n v="1453.49"/>
  </r>
  <r>
    <x v="0"/>
    <x v="1"/>
    <x v="1"/>
    <s v=""/>
    <s v="DEPT COST ALLOC - 12/2022"/>
    <s v=""/>
    <s v="D"/>
    <s v="12"/>
    <s v="700631"/>
    <s v="SAPBATCH"/>
    <d v="2022-12-31T00:00:00"/>
    <n v="0"/>
    <n v="770.84"/>
  </r>
  <r>
    <x v="0"/>
    <x v="2"/>
    <x v="2"/>
    <s v=""/>
    <s v="DEPT COST ALLOC - 04/2022"/>
    <s v=""/>
    <s v="D"/>
    <s v="4"/>
    <s v="702006"/>
    <s v="SAPBATCH"/>
    <d v="2022-04-30T00:00:00"/>
    <n v="0"/>
    <n v="500"/>
  </r>
  <r>
    <x v="0"/>
    <x v="3"/>
    <x v="3"/>
    <s v=""/>
    <s v="DEPT COST ALLOC - 01/2022"/>
    <s v=""/>
    <s v="D"/>
    <s v="1"/>
    <s v="702007"/>
    <s v="SAPBATCH"/>
    <d v="2022-01-31T00:00:00"/>
    <n v="0"/>
    <n v="5.88"/>
  </r>
  <r>
    <x v="0"/>
    <x v="3"/>
    <x v="3"/>
    <s v=""/>
    <s v="DEPT COST ALLOC - 03/2022"/>
    <s v=""/>
    <s v="D"/>
    <s v="3"/>
    <s v="702007"/>
    <s v="SAPBATCH"/>
    <d v="2022-03-31T00:00:00"/>
    <n v="0"/>
    <n v="5.94"/>
  </r>
  <r>
    <x v="0"/>
    <x v="3"/>
    <x v="3"/>
    <s v=""/>
    <s v="DEPT COST ALLOC - 04/2022"/>
    <s v=""/>
    <s v="D"/>
    <s v="4"/>
    <s v="702007"/>
    <s v="SAPBATCH"/>
    <d v="2022-04-30T00:00:00"/>
    <n v="0"/>
    <n v="2.0299999999999998"/>
  </r>
  <r>
    <x v="0"/>
    <x v="3"/>
    <x v="3"/>
    <s v=""/>
    <s v="DEPT COST ALLOC - 06/2022"/>
    <s v=""/>
    <s v="D"/>
    <s v="6"/>
    <s v="702007"/>
    <s v="SAPBATCH"/>
    <d v="2022-06-30T00:00:00"/>
    <n v="0"/>
    <n v="1.92"/>
  </r>
  <r>
    <x v="0"/>
    <x v="3"/>
    <x v="3"/>
    <s v=""/>
    <s v="DEPT COST ALLOC - 07/2022"/>
    <s v=""/>
    <s v="D"/>
    <s v="7"/>
    <s v="702007"/>
    <s v="SAPBATCH"/>
    <d v="2022-07-31T00:00:00"/>
    <n v="0"/>
    <n v="0.19"/>
  </r>
  <r>
    <x v="0"/>
    <x v="4"/>
    <x v="4"/>
    <s v=""/>
    <s v="DEPT COST ALLOC - 01/2022"/>
    <s v=""/>
    <s v="D"/>
    <s v="1"/>
    <s v="702006"/>
    <s v="SAPBATCH"/>
    <d v="2022-01-31T00:00:00"/>
    <n v="0"/>
    <n v="1987.95"/>
  </r>
  <r>
    <x v="0"/>
    <x v="4"/>
    <x v="4"/>
    <s v=""/>
    <s v="DEPT COST ALLOC - 01/2022"/>
    <s v=""/>
    <s v="D"/>
    <s v="1"/>
    <s v="702007"/>
    <s v="SAPBATCH"/>
    <d v="2022-01-31T00:00:00"/>
    <n v="0"/>
    <n v="1246.6400000000001"/>
  </r>
  <r>
    <x v="0"/>
    <x v="4"/>
    <x v="4"/>
    <s v=""/>
    <s v="DEPT COST ALLOC - 02/2022"/>
    <s v=""/>
    <s v="D"/>
    <s v="2"/>
    <s v="701676"/>
    <s v="SAPBATCH"/>
    <d v="2022-02-28T00:00:00"/>
    <n v="0"/>
    <n v="9.2799999999999994"/>
  </r>
  <r>
    <x v="0"/>
    <x v="4"/>
    <x v="4"/>
    <s v=""/>
    <s v="DEPT COST ALLOC - 02/2022"/>
    <s v=""/>
    <s v="D"/>
    <s v="2"/>
    <s v="702006"/>
    <s v="SAPBATCH"/>
    <d v="2022-02-28T00:00:00"/>
    <n v="0"/>
    <n v="2001.73"/>
  </r>
  <r>
    <x v="0"/>
    <x v="4"/>
    <x v="4"/>
    <s v=""/>
    <s v="DEPT COST ALLOC - 02/2022"/>
    <s v=""/>
    <s v="D"/>
    <s v="2"/>
    <s v="702007"/>
    <s v="SAPBATCH"/>
    <d v="2022-02-28T00:00:00"/>
    <n v="0"/>
    <n v="1033.51"/>
  </r>
  <r>
    <x v="0"/>
    <x v="4"/>
    <x v="4"/>
    <s v=""/>
    <s v="DEPT COST ALLOC - 03/2022"/>
    <s v=""/>
    <s v="D"/>
    <s v="3"/>
    <s v="702006"/>
    <s v="SAPBATCH"/>
    <d v="2022-03-31T00:00:00"/>
    <n v="0"/>
    <n v="2137.04"/>
  </r>
  <r>
    <x v="0"/>
    <x v="4"/>
    <x v="4"/>
    <s v=""/>
    <s v="DEPT COST ALLOC - 03/2022"/>
    <s v=""/>
    <s v="D"/>
    <s v="3"/>
    <s v="702007"/>
    <s v="SAPBATCH"/>
    <d v="2022-03-31T00:00:00"/>
    <n v="0"/>
    <n v="1256.83"/>
  </r>
  <r>
    <x v="0"/>
    <x v="4"/>
    <x v="4"/>
    <s v=""/>
    <s v="DEPT COST ALLOC - 04/2022"/>
    <s v=""/>
    <s v="D"/>
    <s v="4"/>
    <s v="702006"/>
    <s v="SAPBATCH"/>
    <d v="2022-04-30T00:00:00"/>
    <n v="0"/>
    <n v="210.22"/>
  </r>
  <r>
    <x v="0"/>
    <x v="4"/>
    <x v="4"/>
    <s v=""/>
    <s v="DEPT COST ALLOC - 04/2022"/>
    <s v=""/>
    <s v="D"/>
    <s v="4"/>
    <s v="702007"/>
    <s v="SAPBATCH"/>
    <d v="2022-04-30T00:00:00"/>
    <n v="0"/>
    <n v="5.5"/>
  </r>
  <r>
    <x v="0"/>
    <x v="4"/>
    <x v="4"/>
    <s v=""/>
    <s v="DEPT COST ALLOC - 05/2022"/>
    <s v=""/>
    <s v="D"/>
    <s v="5"/>
    <s v="702006"/>
    <s v="SAPBATCH"/>
    <d v="2022-05-31T00:00:00"/>
    <n v="0"/>
    <n v="208.74"/>
  </r>
  <r>
    <x v="0"/>
    <x v="4"/>
    <x v="4"/>
    <s v=""/>
    <s v="DEPT COST ALLOC - 05/2022"/>
    <s v=""/>
    <s v="D"/>
    <s v="5"/>
    <s v="702007"/>
    <s v="SAPBATCH"/>
    <d v="2022-05-31T00:00:00"/>
    <n v="0"/>
    <n v="252.47"/>
  </r>
  <r>
    <x v="0"/>
    <x v="4"/>
    <x v="4"/>
    <s v=""/>
    <s v="DEPT COST ALLOC - 06/2022"/>
    <s v=""/>
    <s v="D"/>
    <s v="6"/>
    <s v="702006"/>
    <s v="SAPBATCH"/>
    <d v="2022-06-30T00:00:00"/>
    <n v="0"/>
    <n v="206.88"/>
  </r>
  <r>
    <x v="0"/>
    <x v="4"/>
    <x v="4"/>
    <s v=""/>
    <s v="DEPT COST ALLOC - 06/2022"/>
    <s v=""/>
    <s v="D"/>
    <s v="6"/>
    <s v="702007"/>
    <s v="SAPBATCH"/>
    <d v="2022-06-30T00:00:00"/>
    <n v="0"/>
    <n v="57.21"/>
  </r>
  <r>
    <x v="0"/>
    <x v="4"/>
    <x v="4"/>
    <s v=""/>
    <s v="DEPT COST ALLOC - 07/2022"/>
    <s v=""/>
    <s v="D"/>
    <s v="7"/>
    <s v="700631"/>
    <s v="SAPBATCH"/>
    <d v="2022-07-31T00:00:00"/>
    <n v="0"/>
    <n v="-1286.58"/>
  </r>
  <r>
    <x v="0"/>
    <x v="4"/>
    <x v="4"/>
    <s v=""/>
    <s v="DEPT COST ALLOC - 07/2022"/>
    <s v=""/>
    <s v="D"/>
    <s v="7"/>
    <s v="702006"/>
    <s v="SAPBATCH"/>
    <d v="2022-07-31T00:00:00"/>
    <n v="0"/>
    <n v="-291.5"/>
  </r>
  <r>
    <x v="0"/>
    <x v="4"/>
    <x v="4"/>
    <s v=""/>
    <s v="DEPT COST ALLOC - 07/2022"/>
    <s v=""/>
    <s v="D"/>
    <s v="7"/>
    <s v="702007"/>
    <s v="SAPBATCH"/>
    <d v="2022-07-31T00:00:00"/>
    <n v="0"/>
    <n v="-190"/>
  </r>
  <r>
    <x v="0"/>
    <x v="4"/>
    <x v="4"/>
    <s v=""/>
    <s v="DEPT COST ALLOC - 08/2022"/>
    <s v=""/>
    <s v="D"/>
    <s v="8"/>
    <s v="700631"/>
    <s v="SAPBATCH"/>
    <d v="2022-08-31T00:00:00"/>
    <n v="0"/>
    <n v="-688.96"/>
  </r>
  <r>
    <x v="0"/>
    <x v="4"/>
    <x v="4"/>
    <s v=""/>
    <s v="DEPT COST ALLOC - 09/2022"/>
    <s v=""/>
    <s v="D"/>
    <s v="9"/>
    <s v="700631"/>
    <s v="SAPBATCH"/>
    <d v="2022-09-30T00:00:00"/>
    <n v="0"/>
    <n v="-758.69"/>
  </r>
  <r>
    <x v="0"/>
    <x v="4"/>
    <x v="4"/>
    <s v=""/>
    <s v="DEPT COST ALLOC - 10/2022"/>
    <s v=""/>
    <s v="D"/>
    <s v="10"/>
    <s v="700631"/>
    <s v="SAPBATCH"/>
    <d v="2022-10-31T00:00:00"/>
    <n v="0"/>
    <n v="-1923.41"/>
  </r>
  <r>
    <x v="0"/>
    <x v="4"/>
    <x v="4"/>
    <s v=""/>
    <s v="DEPT COST ALLOC - 10/2022"/>
    <s v=""/>
    <s v="D"/>
    <s v="10"/>
    <s v="701676"/>
    <s v="SAPBATCH"/>
    <d v="2022-10-31T00:00:00"/>
    <n v="0"/>
    <n v="-8.25"/>
  </r>
  <r>
    <x v="0"/>
    <x v="4"/>
    <x v="4"/>
    <s v=""/>
    <s v="DEPT COST ALLOC - 11/2022"/>
    <s v=""/>
    <s v="D"/>
    <s v="11"/>
    <s v="700631"/>
    <s v="SAPBATCH"/>
    <d v="2022-11-30T00:00:00"/>
    <n v="0"/>
    <n v="-1022.15"/>
  </r>
  <r>
    <x v="0"/>
    <x v="4"/>
    <x v="4"/>
    <s v=""/>
    <s v="DEPT COST ALLOC - 12/2022"/>
    <s v=""/>
    <s v="D"/>
    <s v="12"/>
    <s v="700631"/>
    <s v="SAPBATCH"/>
    <d v="2022-12-31T00:00:00"/>
    <n v="0"/>
    <n v="-1578.66"/>
  </r>
  <r>
    <x v="0"/>
    <x v="5"/>
    <x v="5"/>
    <s v=""/>
    <s v="DEPT COST ALLOC - 01/2022"/>
    <s v=""/>
    <s v="D"/>
    <s v="1"/>
    <s v="702006"/>
    <s v="SAPBATCH"/>
    <d v="2022-01-31T00:00:00"/>
    <n v="0"/>
    <n v="3765.27"/>
  </r>
  <r>
    <x v="0"/>
    <x v="5"/>
    <x v="5"/>
    <s v=""/>
    <s v="DEPT COST ALLOC - 01/2022"/>
    <s v=""/>
    <s v="D"/>
    <s v="1"/>
    <s v="702007"/>
    <s v="SAPBATCH"/>
    <d v="2022-01-31T00:00:00"/>
    <n v="0"/>
    <n v="2361.19"/>
  </r>
  <r>
    <x v="0"/>
    <x v="5"/>
    <x v="5"/>
    <s v=""/>
    <s v="DEPT COST ALLOC - 02/2022"/>
    <s v=""/>
    <s v="D"/>
    <s v="2"/>
    <s v="701676"/>
    <s v="SAPBATCH"/>
    <d v="2022-02-28T00:00:00"/>
    <n v="0"/>
    <n v="13.17"/>
  </r>
  <r>
    <x v="0"/>
    <x v="5"/>
    <x v="5"/>
    <s v=""/>
    <s v="DEPT COST ALLOC - 02/2022"/>
    <s v=""/>
    <s v="D"/>
    <s v="2"/>
    <s v="702006"/>
    <s v="SAPBATCH"/>
    <d v="2022-02-28T00:00:00"/>
    <n v="0"/>
    <n v="2840.25"/>
  </r>
  <r>
    <x v="0"/>
    <x v="5"/>
    <x v="5"/>
    <s v=""/>
    <s v="DEPT COST ALLOC - 02/2022"/>
    <s v=""/>
    <s v="D"/>
    <s v="2"/>
    <s v="702007"/>
    <s v="SAPBATCH"/>
    <d v="2022-02-28T00:00:00"/>
    <n v="0"/>
    <n v="1466.44"/>
  </r>
  <r>
    <x v="0"/>
    <x v="5"/>
    <x v="5"/>
    <s v=""/>
    <s v="DEPT COST ALLOC - 03/2022"/>
    <s v=""/>
    <s v="D"/>
    <s v="3"/>
    <s v="702006"/>
    <s v="SAPBATCH"/>
    <d v="2022-03-31T00:00:00"/>
    <n v="0"/>
    <n v="1898.43"/>
  </r>
  <r>
    <x v="0"/>
    <x v="5"/>
    <x v="5"/>
    <s v=""/>
    <s v="DEPT COST ALLOC - 03/2022"/>
    <s v=""/>
    <s v="D"/>
    <s v="3"/>
    <s v="702007"/>
    <s v="SAPBATCH"/>
    <d v="2022-03-31T00:00:00"/>
    <n v="0"/>
    <n v="1116.5"/>
  </r>
  <r>
    <x v="0"/>
    <x v="5"/>
    <x v="5"/>
    <s v=""/>
    <s v="DEPT COST ALLOC - 04/2022"/>
    <s v=""/>
    <s v="D"/>
    <s v="4"/>
    <s v="702006"/>
    <s v="SAPBATCH"/>
    <d v="2022-04-30T00:00:00"/>
    <n v="0"/>
    <n v="566.6"/>
  </r>
  <r>
    <x v="0"/>
    <x v="5"/>
    <x v="5"/>
    <s v=""/>
    <s v="DEPT COST ALLOC - 04/2022"/>
    <s v=""/>
    <s v="D"/>
    <s v="4"/>
    <s v="702007"/>
    <s v="SAPBATCH"/>
    <d v="2022-04-30T00:00:00"/>
    <n v="0"/>
    <n v="14.82"/>
  </r>
  <r>
    <x v="0"/>
    <x v="5"/>
    <x v="5"/>
    <s v=""/>
    <s v="DEPT COST ALLOC - 05/2022"/>
    <s v=""/>
    <s v="D"/>
    <s v="5"/>
    <s v="702006"/>
    <s v="SAPBATCH"/>
    <d v="2022-05-31T00:00:00"/>
    <n v="0"/>
    <n v="2251.44"/>
  </r>
  <r>
    <x v="0"/>
    <x v="5"/>
    <x v="5"/>
    <s v=""/>
    <s v="DEPT COST ALLOC - 05/2022"/>
    <s v=""/>
    <s v="D"/>
    <s v="5"/>
    <s v="702007"/>
    <s v="SAPBATCH"/>
    <d v="2022-05-31T00:00:00"/>
    <n v="0"/>
    <n v="2723.17"/>
  </r>
  <r>
    <x v="0"/>
    <x v="5"/>
    <x v="5"/>
    <s v=""/>
    <s v="DEPT COST ALLOC - 06/2022"/>
    <s v=""/>
    <s v="D"/>
    <s v="6"/>
    <s v="702006"/>
    <s v="SAPBATCH"/>
    <d v="2022-06-30T00:00:00"/>
    <n v="0"/>
    <n v="2232.04"/>
  </r>
  <r>
    <x v="0"/>
    <x v="5"/>
    <x v="5"/>
    <s v=""/>
    <s v="DEPT COST ALLOC - 06/2022"/>
    <s v=""/>
    <s v="D"/>
    <s v="6"/>
    <s v="702007"/>
    <s v="SAPBATCH"/>
    <d v="2022-06-30T00:00:00"/>
    <n v="0"/>
    <n v="617.27"/>
  </r>
  <r>
    <x v="0"/>
    <x v="5"/>
    <x v="5"/>
    <s v=""/>
    <s v="DEPT COST ALLOC - 07/2022"/>
    <s v=""/>
    <s v="D"/>
    <s v="7"/>
    <s v="700631"/>
    <s v="SAPBATCH"/>
    <d v="2022-07-31T00:00:00"/>
    <n v="0"/>
    <n v="5662.59"/>
  </r>
  <r>
    <x v="0"/>
    <x v="5"/>
    <x v="5"/>
    <s v=""/>
    <s v="DEPT COST ALLOC - 07/2022"/>
    <s v=""/>
    <s v="D"/>
    <s v="7"/>
    <s v="702006"/>
    <s v="SAPBATCH"/>
    <d v="2022-07-31T00:00:00"/>
    <n v="0"/>
    <n v="1282.95"/>
  </r>
  <r>
    <x v="0"/>
    <x v="5"/>
    <x v="5"/>
    <s v=""/>
    <s v="DEPT COST ALLOC - 07/2022"/>
    <s v=""/>
    <s v="D"/>
    <s v="7"/>
    <s v="702007"/>
    <s v="SAPBATCH"/>
    <d v="2022-07-31T00:00:00"/>
    <n v="0"/>
    <n v="836.24"/>
  </r>
  <r>
    <x v="0"/>
    <x v="5"/>
    <x v="5"/>
    <s v=""/>
    <s v="DEPT COST ALLOC - 08/2022"/>
    <s v=""/>
    <s v="D"/>
    <s v="8"/>
    <s v="700631"/>
    <s v="SAPBATCH"/>
    <d v="2022-08-31T00:00:00"/>
    <n v="0"/>
    <n v="3026.7"/>
  </r>
  <r>
    <x v="0"/>
    <x v="5"/>
    <x v="5"/>
    <s v=""/>
    <s v="DEPT COST ALLOC - 09/2022"/>
    <s v=""/>
    <s v="D"/>
    <s v="9"/>
    <s v="700631"/>
    <s v="SAPBATCH"/>
    <d v="2022-09-30T00:00:00"/>
    <n v="0"/>
    <n v="3338.14"/>
  </r>
  <r>
    <x v="0"/>
    <x v="5"/>
    <x v="5"/>
    <s v=""/>
    <s v="DEPT COST ALLOC - 10/2022"/>
    <s v=""/>
    <s v="D"/>
    <s v="10"/>
    <s v="700631"/>
    <s v="SAPBATCH"/>
    <d v="2022-10-31T00:00:00"/>
    <n v="0"/>
    <n v="3093.68"/>
  </r>
  <r>
    <x v="0"/>
    <x v="5"/>
    <x v="5"/>
    <s v=""/>
    <s v="DEPT COST ALLOC - 10/2022"/>
    <s v=""/>
    <s v="D"/>
    <s v="10"/>
    <s v="701676"/>
    <s v="SAPBATCH"/>
    <d v="2022-10-31T00:00:00"/>
    <n v="0"/>
    <n v="13.27"/>
  </r>
  <r>
    <x v="0"/>
    <x v="5"/>
    <x v="5"/>
    <s v=""/>
    <s v="DEPT COST ALLOC - 11/2022"/>
    <s v=""/>
    <s v="D"/>
    <s v="11"/>
    <s v="700631"/>
    <s v="SAPBATCH"/>
    <d v="2022-11-30T00:00:00"/>
    <n v="0"/>
    <n v="3376.43"/>
  </r>
  <r>
    <x v="0"/>
    <x v="5"/>
    <x v="5"/>
    <s v=""/>
    <s v="DEPT COST ALLOC - 12/2022"/>
    <s v=""/>
    <s v="D"/>
    <s v="12"/>
    <s v="700631"/>
    <s v="SAPBATCH"/>
    <d v="2022-12-31T00:00:00"/>
    <n v="0"/>
    <n v="13699.41"/>
  </r>
  <r>
    <x v="0"/>
    <x v="6"/>
    <x v="6"/>
    <s v=""/>
    <s v="DEPT COST ALLOC - 01/2022"/>
    <s v=""/>
    <s v="D"/>
    <s v="1"/>
    <s v="702006"/>
    <s v="SAPBATCH"/>
    <d v="2022-01-31T00:00:00"/>
    <n v="0"/>
    <n v="480.19"/>
  </r>
  <r>
    <x v="0"/>
    <x v="6"/>
    <x v="6"/>
    <s v=""/>
    <s v="DEPT COST ALLOC - 01/2022"/>
    <s v=""/>
    <s v="D"/>
    <s v="1"/>
    <s v="702007"/>
    <s v="SAPBATCH"/>
    <d v="2022-01-31T00:00:00"/>
    <n v="0"/>
    <n v="301.12"/>
  </r>
  <r>
    <x v="0"/>
    <x v="6"/>
    <x v="6"/>
    <s v=""/>
    <s v="DEPT COST ALLOC - 02/2022"/>
    <s v=""/>
    <s v="D"/>
    <s v="2"/>
    <s v="701676"/>
    <s v="SAPBATCH"/>
    <d v="2022-02-28T00:00:00"/>
    <n v="0"/>
    <n v="1.66"/>
  </r>
  <r>
    <x v="0"/>
    <x v="6"/>
    <x v="6"/>
    <s v=""/>
    <s v="DEPT COST ALLOC - 02/2022"/>
    <s v=""/>
    <s v="D"/>
    <s v="2"/>
    <s v="702006"/>
    <s v="SAPBATCH"/>
    <d v="2022-02-28T00:00:00"/>
    <n v="0"/>
    <n v="357.77"/>
  </r>
  <r>
    <x v="0"/>
    <x v="6"/>
    <x v="6"/>
    <s v=""/>
    <s v="DEPT COST ALLOC - 02/2022"/>
    <s v=""/>
    <s v="D"/>
    <s v="2"/>
    <s v="702007"/>
    <s v="SAPBATCH"/>
    <d v="2022-02-28T00:00:00"/>
    <n v="0"/>
    <n v="184.72"/>
  </r>
  <r>
    <x v="0"/>
    <x v="6"/>
    <x v="6"/>
    <s v=""/>
    <s v="DEPT COST ALLOC - 03/2022"/>
    <s v=""/>
    <s v="D"/>
    <s v="3"/>
    <s v="702006"/>
    <s v="SAPBATCH"/>
    <d v="2022-03-31T00:00:00"/>
    <n v="0"/>
    <n v="578.54999999999995"/>
  </r>
  <r>
    <x v="0"/>
    <x v="6"/>
    <x v="6"/>
    <s v=""/>
    <s v="DEPT COST ALLOC - 03/2022"/>
    <s v=""/>
    <s v="D"/>
    <s v="3"/>
    <s v="702007"/>
    <s v="SAPBATCH"/>
    <d v="2022-03-31T00:00:00"/>
    <n v="0"/>
    <n v="340.25"/>
  </r>
  <r>
    <x v="0"/>
    <x v="6"/>
    <x v="6"/>
    <s v=""/>
    <s v="DEPT COST ALLOC - 04/2022"/>
    <s v=""/>
    <s v="D"/>
    <s v="4"/>
    <s v="702006"/>
    <s v="SAPBATCH"/>
    <d v="2022-04-30T00:00:00"/>
    <n v="0"/>
    <n v="520.04999999999995"/>
  </r>
  <r>
    <x v="0"/>
    <x v="6"/>
    <x v="6"/>
    <s v=""/>
    <s v="DEPT COST ALLOC - 04/2022"/>
    <s v=""/>
    <s v="D"/>
    <s v="4"/>
    <s v="702007"/>
    <s v="SAPBATCH"/>
    <d v="2022-04-30T00:00:00"/>
    <n v="0"/>
    <n v="13.6"/>
  </r>
  <r>
    <x v="0"/>
    <x v="6"/>
    <x v="6"/>
    <s v=""/>
    <s v="DEPT COST ALLOC - 05/2022"/>
    <s v=""/>
    <s v="D"/>
    <s v="5"/>
    <s v="702006"/>
    <s v="SAPBATCH"/>
    <d v="2022-05-31T00:00:00"/>
    <n v="0"/>
    <n v="462.27"/>
  </r>
  <r>
    <x v="0"/>
    <x v="6"/>
    <x v="6"/>
    <s v=""/>
    <s v="DEPT COST ALLOC - 05/2022"/>
    <s v=""/>
    <s v="D"/>
    <s v="5"/>
    <s v="702007"/>
    <s v="SAPBATCH"/>
    <d v="2022-05-31T00:00:00"/>
    <n v="0"/>
    <n v="559.12"/>
  </r>
  <r>
    <x v="0"/>
    <x v="6"/>
    <x v="6"/>
    <s v=""/>
    <s v="DEPT COST ALLOC - 06/2022"/>
    <s v=""/>
    <s v="D"/>
    <s v="6"/>
    <s v="702006"/>
    <s v="SAPBATCH"/>
    <d v="2022-06-30T00:00:00"/>
    <n v="0"/>
    <n v="513.41999999999996"/>
  </r>
  <r>
    <x v="0"/>
    <x v="6"/>
    <x v="6"/>
    <s v=""/>
    <s v="DEPT COST ALLOC - 06/2022"/>
    <s v=""/>
    <s v="D"/>
    <s v="6"/>
    <s v="702007"/>
    <s v="SAPBATCH"/>
    <d v="2022-06-30T00:00:00"/>
    <n v="0"/>
    <n v="141.99"/>
  </r>
  <r>
    <x v="0"/>
    <x v="6"/>
    <x v="6"/>
    <s v=""/>
    <s v="DEPT COST ALLOC - 07/2022"/>
    <s v=""/>
    <s v="D"/>
    <s v="7"/>
    <s v="700631"/>
    <s v="SAPBATCH"/>
    <d v="2022-07-31T00:00:00"/>
    <n v="0"/>
    <n v="1356.24"/>
  </r>
  <r>
    <x v="0"/>
    <x v="6"/>
    <x v="6"/>
    <s v=""/>
    <s v="DEPT COST ALLOC - 07/2022"/>
    <s v=""/>
    <s v="D"/>
    <s v="7"/>
    <s v="702006"/>
    <s v="SAPBATCH"/>
    <d v="2022-07-31T00:00:00"/>
    <n v="0"/>
    <n v="307.27999999999997"/>
  </r>
  <r>
    <x v="0"/>
    <x v="6"/>
    <x v="6"/>
    <s v=""/>
    <s v="DEPT COST ALLOC - 07/2022"/>
    <s v=""/>
    <s v="D"/>
    <s v="7"/>
    <s v="702007"/>
    <s v="SAPBATCH"/>
    <d v="2022-07-31T00:00:00"/>
    <n v="0"/>
    <n v="200.29"/>
  </r>
  <r>
    <x v="0"/>
    <x v="6"/>
    <x v="6"/>
    <s v=""/>
    <s v="DEPT COST ALLOC - 08/2022"/>
    <s v=""/>
    <s v="D"/>
    <s v="8"/>
    <s v="700631"/>
    <s v="SAPBATCH"/>
    <d v="2022-08-31T00:00:00"/>
    <n v="0"/>
    <n v="704.19"/>
  </r>
  <r>
    <x v="0"/>
    <x v="6"/>
    <x v="6"/>
    <s v=""/>
    <s v="DEPT COST ALLOC - 09/2022"/>
    <s v=""/>
    <s v="D"/>
    <s v="9"/>
    <s v="700631"/>
    <s v="SAPBATCH"/>
    <d v="2022-09-30T00:00:00"/>
    <n v="0"/>
    <n v="764.19"/>
  </r>
  <r>
    <x v="0"/>
    <x v="6"/>
    <x v="6"/>
    <s v=""/>
    <s v="DEPT COST ALLOC - 10/2022"/>
    <s v=""/>
    <s v="D"/>
    <s v="10"/>
    <s v="700631"/>
    <s v="SAPBATCH"/>
    <d v="2022-10-31T00:00:00"/>
    <n v="0"/>
    <n v="787.45"/>
  </r>
  <r>
    <x v="0"/>
    <x v="6"/>
    <x v="6"/>
    <s v=""/>
    <s v="DEPT COST ALLOC - 10/2022"/>
    <s v=""/>
    <s v="D"/>
    <s v="10"/>
    <s v="701676"/>
    <s v="SAPBATCH"/>
    <d v="2022-10-31T00:00:00"/>
    <n v="0"/>
    <n v="3.38"/>
  </r>
  <r>
    <x v="0"/>
    <x v="6"/>
    <x v="6"/>
    <s v=""/>
    <s v="DEPT COST ALLOC - 11/2022"/>
    <s v=""/>
    <s v="D"/>
    <s v="11"/>
    <s v="700631"/>
    <s v="SAPBATCH"/>
    <d v="2022-11-30T00:00:00"/>
    <n v="0"/>
    <n v="811.54"/>
  </r>
  <r>
    <x v="0"/>
    <x v="6"/>
    <x v="6"/>
    <s v=""/>
    <s v="DEPT COST ALLOC - 12/2022"/>
    <s v=""/>
    <s v="D"/>
    <s v="12"/>
    <s v="700631"/>
    <s v="SAPBATCH"/>
    <d v="2022-12-31T00:00:00"/>
    <n v="0"/>
    <n v="852.09"/>
  </r>
  <r>
    <x v="0"/>
    <x v="7"/>
    <x v="7"/>
    <s v=""/>
    <s v="DEPT COST ALLOC - 01/2022"/>
    <s v=""/>
    <s v="D"/>
    <s v="1"/>
    <s v="702006"/>
    <s v="SAPBATCH"/>
    <d v="2022-01-31T00:00:00"/>
    <n v="0"/>
    <n v="85.37"/>
  </r>
  <r>
    <x v="0"/>
    <x v="7"/>
    <x v="7"/>
    <s v=""/>
    <s v="DEPT COST ALLOC - 01/2022"/>
    <s v=""/>
    <s v="D"/>
    <s v="1"/>
    <s v="702007"/>
    <s v="SAPBATCH"/>
    <d v="2022-01-31T00:00:00"/>
    <n v="0"/>
    <n v="70.650000000000006"/>
  </r>
  <r>
    <x v="0"/>
    <x v="7"/>
    <x v="7"/>
    <s v=""/>
    <s v="DEPT COST ALLOC - 02/2022"/>
    <s v=""/>
    <s v="D"/>
    <s v="2"/>
    <s v="701676"/>
    <s v="SAPBATCH"/>
    <d v="2022-02-28T00:00:00"/>
    <n v="0"/>
    <n v="4.0599999999999996"/>
  </r>
  <r>
    <x v="0"/>
    <x v="7"/>
    <x v="7"/>
    <s v=""/>
    <s v="DEPT COST ALLOC - 02/2022"/>
    <s v=""/>
    <s v="D"/>
    <s v="2"/>
    <s v="702006"/>
    <s v="SAPBATCH"/>
    <d v="2022-02-28T00:00:00"/>
    <n v="0"/>
    <n v="109.28"/>
  </r>
  <r>
    <x v="0"/>
    <x v="7"/>
    <x v="7"/>
    <s v=""/>
    <s v="DEPT COST ALLOC - 02/2022"/>
    <s v=""/>
    <s v="D"/>
    <s v="2"/>
    <s v="702007"/>
    <s v="SAPBATCH"/>
    <d v="2022-02-28T00:00:00"/>
    <n v="0"/>
    <n v="59.54"/>
  </r>
  <r>
    <x v="0"/>
    <x v="7"/>
    <x v="7"/>
    <s v=""/>
    <s v="DEPT COST ALLOC - 03/2022"/>
    <s v=""/>
    <s v="D"/>
    <s v="3"/>
    <s v="702006"/>
    <s v="SAPBATCH"/>
    <d v="2022-03-31T00:00:00"/>
    <n v="0"/>
    <n v="103.41"/>
  </r>
  <r>
    <x v="0"/>
    <x v="7"/>
    <x v="7"/>
    <s v=""/>
    <s v="DEPT COST ALLOC - 03/2022"/>
    <s v=""/>
    <s v="D"/>
    <s v="3"/>
    <s v="702007"/>
    <s v="SAPBATCH"/>
    <d v="2022-03-31T00:00:00"/>
    <n v="0"/>
    <n v="83.69"/>
  </r>
  <r>
    <x v="0"/>
    <x v="7"/>
    <x v="7"/>
    <s v=""/>
    <s v="DEPT COST ALLOC - 04/2022"/>
    <s v=""/>
    <s v="D"/>
    <s v="4"/>
    <s v="702006"/>
    <s v="SAPBATCH"/>
    <d v="2022-04-30T00:00:00"/>
    <n v="0"/>
    <n v="99.81"/>
  </r>
  <r>
    <x v="0"/>
    <x v="7"/>
    <x v="7"/>
    <s v=""/>
    <s v="DEPT COST ALLOC - 04/2022"/>
    <s v=""/>
    <s v="D"/>
    <s v="4"/>
    <s v="702007"/>
    <s v="SAPBATCH"/>
    <d v="2022-04-30T00:00:00"/>
    <n v="0"/>
    <n v="11.09"/>
  </r>
  <r>
    <x v="0"/>
    <x v="7"/>
    <x v="7"/>
    <s v=""/>
    <s v="DEPT COST ALLOC - 05/2022"/>
    <s v=""/>
    <s v="D"/>
    <s v="5"/>
    <s v="702006"/>
    <s v="SAPBATCH"/>
    <d v="2022-05-31T00:00:00"/>
    <n v="0"/>
    <n v="100.26"/>
  </r>
  <r>
    <x v="0"/>
    <x v="7"/>
    <x v="7"/>
    <s v=""/>
    <s v="DEPT COST ALLOC - 05/2022"/>
    <s v=""/>
    <s v="D"/>
    <s v="5"/>
    <s v="702007"/>
    <s v="SAPBATCH"/>
    <d v="2022-05-31T00:00:00"/>
    <n v="0"/>
    <n v="598.79999999999995"/>
  </r>
  <r>
    <x v="0"/>
    <x v="7"/>
    <x v="7"/>
    <s v=""/>
    <s v="DEPT COST ALLOC - 06/2022"/>
    <s v=""/>
    <s v="D"/>
    <s v="6"/>
    <s v="702006"/>
    <s v="SAPBATCH"/>
    <d v="2022-06-30T00:00:00"/>
    <n v="0"/>
    <n v="3262.7"/>
  </r>
  <r>
    <x v="0"/>
    <x v="7"/>
    <x v="7"/>
    <s v=""/>
    <s v="DEPT COST ALLOC - 06/2022"/>
    <s v=""/>
    <s v="D"/>
    <s v="6"/>
    <s v="702007"/>
    <s v="SAPBATCH"/>
    <d v="2022-06-30T00:00:00"/>
    <n v="0"/>
    <n v="64.36"/>
  </r>
  <r>
    <x v="0"/>
    <x v="7"/>
    <x v="7"/>
    <s v=""/>
    <s v="DEPT COST ALLOC - 07/2022"/>
    <s v=""/>
    <s v="D"/>
    <s v="7"/>
    <s v="700631"/>
    <s v="SAPBATCH"/>
    <d v="2022-07-31T00:00:00"/>
    <n v="0"/>
    <n v="1839.36"/>
  </r>
  <r>
    <x v="0"/>
    <x v="7"/>
    <x v="7"/>
    <s v=""/>
    <s v="DEPT COST ALLOC - 07/2022"/>
    <s v=""/>
    <s v="D"/>
    <s v="7"/>
    <s v="702006"/>
    <s v="SAPBATCH"/>
    <d v="2022-07-31T00:00:00"/>
    <n v="0"/>
    <n v="934.12"/>
  </r>
  <r>
    <x v="0"/>
    <x v="7"/>
    <x v="7"/>
    <s v=""/>
    <s v="DEPT COST ALLOC - 07/2022"/>
    <s v=""/>
    <s v="D"/>
    <s v="7"/>
    <s v="702007"/>
    <s v="SAPBATCH"/>
    <d v="2022-07-31T00:00:00"/>
    <n v="0"/>
    <n v="5.04"/>
  </r>
  <r>
    <x v="0"/>
    <x v="7"/>
    <x v="7"/>
    <s v=""/>
    <s v="DEPT COST ALLOC - 08/2022"/>
    <s v=""/>
    <s v="D"/>
    <s v="8"/>
    <s v="700631"/>
    <s v="SAPBATCH"/>
    <d v="2022-08-31T00:00:00"/>
    <n v="0"/>
    <n v="2841.91"/>
  </r>
  <r>
    <x v="0"/>
    <x v="7"/>
    <x v="7"/>
    <s v=""/>
    <s v="DEPT COST ALLOC - 09/2022"/>
    <s v=""/>
    <s v="D"/>
    <s v="9"/>
    <s v="700631"/>
    <s v="SAPBATCH"/>
    <d v="2022-09-30T00:00:00"/>
    <n v="0"/>
    <n v="1811.55"/>
  </r>
  <r>
    <x v="0"/>
    <x v="7"/>
    <x v="7"/>
    <s v=""/>
    <s v="DEPT COST ALLOC - 10/2022"/>
    <s v=""/>
    <s v="D"/>
    <s v="10"/>
    <s v="700631"/>
    <s v="SAPBATCH"/>
    <d v="2022-10-31T00:00:00"/>
    <n v="0"/>
    <n v="4414.41"/>
  </r>
  <r>
    <x v="0"/>
    <x v="7"/>
    <x v="7"/>
    <s v=""/>
    <s v="DEPT COST ALLOC - 10/2022"/>
    <s v=""/>
    <s v="D"/>
    <s v="10"/>
    <s v="701676"/>
    <s v="SAPBATCH"/>
    <d v="2022-10-31T00:00:00"/>
    <n v="0"/>
    <n v="16.309999999999999"/>
  </r>
  <r>
    <x v="0"/>
    <x v="7"/>
    <x v="7"/>
    <s v=""/>
    <s v="DEPT COST ALLOC - 11/2022"/>
    <s v=""/>
    <s v="D"/>
    <s v="11"/>
    <s v="700631"/>
    <s v="SAPBATCH"/>
    <d v="2022-11-30T00:00:00"/>
    <n v="0"/>
    <n v="576.70000000000005"/>
  </r>
  <r>
    <x v="0"/>
    <x v="7"/>
    <x v="7"/>
    <s v=""/>
    <s v="DEPT COST ALLOC - 12/2022"/>
    <s v=""/>
    <s v="D"/>
    <s v="12"/>
    <s v="700631"/>
    <s v="SAPBATCH"/>
    <d v="2022-12-31T00:00:00"/>
    <n v="0"/>
    <n v="3196.33"/>
  </r>
  <r>
    <x v="0"/>
    <x v="8"/>
    <x v="8"/>
    <s v=""/>
    <s v="DEPT COST ALLOC - 01/2022"/>
    <s v=""/>
    <s v="D"/>
    <s v="1"/>
    <s v="702007"/>
    <s v="SAPBATCH"/>
    <d v="2022-01-31T00:00:00"/>
    <n v="0"/>
    <n v="46.83"/>
  </r>
  <r>
    <x v="0"/>
    <x v="8"/>
    <x v="8"/>
    <s v=""/>
    <s v="DEPT COST ALLOC - 02/2022"/>
    <s v=""/>
    <s v="D"/>
    <s v="2"/>
    <s v="702007"/>
    <s v="SAPBATCH"/>
    <d v="2022-02-28T00:00:00"/>
    <n v="0"/>
    <n v="39.57"/>
  </r>
  <r>
    <x v="0"/>
    <x v="8"/>
    <x v="8"/>
    <s v=""/>
    <s v="DEPT COST ALLOC - 03/2022"/>
    <s v=""/>
    <s v="D"/>
    <s v="3"/>
    <s v="702007"/>
    <s v="SAPBATCH"/>
    <d v="2022-03-31T00:00:00"/>
    <n v="0"/>
    <n v="64.38"/>
  </r>
  <r>
    <x v="0"/>
    <x v="8"/>
    <x v="8"/>
    <s v=""/>
    <s v="DEPT COST ALLOC - 04/2022"/>
    <s v=""/>
    <s v="D"/>
    <s v="4"/>
    <s v="702007"/>
    <s v="SAPBATCH"/>
    <d v="2022-04-30T00:00:00"/>
    <n v="0"/>
    <n v="2.2799999999999998"/>
  </r>
  <r>
    <x v="0"/>
    <x v="8"/>
    <x v="8"/>
    <s v=""/>
    <s v="DEPT COST ALLOC - 05/2022"/>
    <s v=""/>
    <s v="D"/>
    <s v="5"/>
    <s v="702007"/>
    <s v="SAPBATCH"/>
    <d v="2022-05-31T00:00:00"/>
    <n v="0"/>
    <n v="103.35"/>
  </r>
  <r>
    <x v="0"/>
    <x v="8"/>
    <x v="8"/>
    <s v=""/>
    <s v="DEPT COST ALLOC - 06/2022"/>
    <s v=""/>
    <s v="D"/>
    <s v="6"/>
    <s v="702007"/>
    <s v="SAPBATCH"/>
    <d v="2022-06-30T00:00:00"/>
    <n v="0"/>
    <n v="27.69"/>
  </r>
  <r>
    <x v="0"/>
    <x v="8"/>
    <x v="8"/>
    <s v=""/>
    <s v="DEPT COST ALLOC - 07/2022"/>
    <s v=""/>
    <s v="D"/>
    <s v="7"/>
    <s v="702007"/>
    <s v="SAPBATCH"/>
    <d v="2022-07-31T00:00:00"/>
    <n v="0"/>
    <n v="21.69"/>
  </r>
  <r>
    <x v="0"/>
    <x v="9"/>
    <x v="9"/>
    <s v=""/>
    <s v="DEPT COST ALLOC - 01/2022"/>
    <s v=""/>
    <s v="D"/>
    <s v="1"/>
    <s v="702006"/>
    <s v="SAPBATCH"/>
    <d v="2022-01-31T00:00:00"/>
    <n v="0"/>
    <n v="2690.65"/>
  </r>
  <r>
    <x v="0"/>
    <x v="9"/>
    <x v="9"/>
    <s v=""/>
    <s v="DEPT COST ALLOC - 01/2022"/>
    <s v=""/>
    <s v="D"/>
    <s v="1"/>
    <s v="702007"/>
    <s v="SAPBATCH"/>
    <d v="2022-01-31T00:00:00"/>
    <n v="0"/>
    <n v="-953.33"/>
  </r>
  <r>
    <x v="0"/>
    <x v="9"/>
    <x v="9"/>
    <s v=""/>
    <s v="DEPT COST ALLOC - 02/2022"/>
    <s v=""/>
    <s v="D"/>
    <s v="2"/>
    <s v="701676"/>
    <s v="SAPBATCH"/>
    <d v="2022-02-28T00:00:00"/>
    <n v="0"/>
    <n v="-5.38"/>
  </r>
  <r>
    <x v="0"/>
    <x v="9"/>
    <x v="9"/>
    <s v=""/>
    <s v="DEPT COST ALLOC - 02/2022"/>
    <s v=""/>
    <s v="D"/>
    <s v="2"/>
    <s v="702006"/>
    <s v="SAPBATCH"/>
    <d v="2022-02-28T00:00:00"/>
    <n v="0"/>
    <n v="-1509.85"/>
  </r>
  <r>
    <x v="0"/>
    <x v="9"/>
    <x v="9"/>
    <s v=""/>
    <s v="DEPT COST ALLOC - 02/2022"/>
    <s v=""/>
    <s v="D"/>
    <s v="2"/>
    <s v="702007"/>
    <s v="SAPBATCH"/>
    <d v="2022-02-28T00:00:00"/>
    <n v="0"/>
    <n v="374.59"/>
  </r>
  <r>
    <x v="0"/>
    <x v="9"/>
    <x v="9"/>
    <s v=""/>
    <s v="DEPT COST ALLOC - 03/2022"/>
    <s v=""/>
    <s v="D"/>
    <s v="3"/>
    <s v="702006"/>
    <s v="SAPBATCH"/>
    <d v="2022-03-31T00:00:00"/>
    <n v="0"/>
    <n v="-842.77"/>
  </r>
  <r>
    <x v="0"/>
    <x v="9"/>
    <x v="9"/>
    <s v=""/>
    <s v="DEPT COST ALLOC - 03/2022"/>
    <s v=""/>
    <s v="D"/>
    <s v="3"/>
    <s v="702007"/>
    <s v="SAPBATCH"/>
    <d v="2022-03-31T00:00:00"/>
    <n v="0"/>
    <n v="180.34"/>
  </r>
  <r>
    <x v="0"/>
    <x v="9"/>
    <x v="9"/>
    <s v=""/>
    <s v="DEPT COST ALLOC - 04/2022"/>
    <s v=""/>
    <s v="D"/>
    <s v="4"/>
    <s v="702006"/>
    <s v="SAPBATCH"/>
    <d v="2022-04-30T00:00:00"/>
    <n v="0"/>
    <n v="1205.5999999999999"/>
  </r>
  <r>
    <x v="0"/>
    <x v="9"/>
    <x v="9"/>
    <s v=""/>
    <s v="DEPT COST ALLOC - 04/2022"/>
    <s v=""/>
    <s v="D"/>
    <s v="4"/>
    <s v="702007"/>
    <s v="SAPBATCH"/>
    <d v="2022-04-30T00:00:00"/>
    <n v="0"/>
    <n v="5.66"/>
  </r>
  <r>
    <x v="0"/>
    <x v="9"/>
    <x v="9"/>
    <s v=""/>
    <s v="DEPT COST ALLOC - 05/2022"/>
    <s v=""/>
    <s v="D"/>
    <s v="5"/>
    <s v="702006"/>
    <s v="SAPBATCH"/>
    <d v="2022-05-31T00:00:00"/>
    <n v="0"/>
    <n v="-606.38"/>
  </r>
  <r>
    <x v="0"/>
    <x v="9"/>
    <x v="9"/>
    <s v=""/>
    <s v="DEPT COST ALLOC - 05/2022"/>
    <s v=""/>
    <s v="D"/>
    <s v="5"/>
    <s v="702007"/>
    <s v="SAPBATCH"/>
    <d v="2022-05-31T00:00:00"/>
    <n v="0"/>
    <n v="2172.67"/>
  </r>
  <r>
    <x v="0"/>
    <x v="9"/>
    <x v="9"/>
    <s v=""/>
    <s v="DEPT COST ALLOC - 06/2022"/>
    <s v=""/>
    <s v="D"/>
    <s v="6"/>
    <s v="702006"/>
    <s v="SAPBATCH"/>
    <d v="2022-06-30T00:00:00"/>
    <n v="0"/>
    <n v="3109.6"/>
  </r>
  <r>
    <x v="0"/>
    <x v="9"/>
    <x v="9"/>
    <s v=""/>
    <s v="DEPT COST ALLOC - 06/2022"/>
    <s v=""/>
    <s v="D"/>
    <s v="6"/>
    <s v="702007"/>
    <s v="SAPBATCH"/>
    <d v="2022-06-30T00:00:00"/>
    <n v="0"/>
    <n v="-44.49"/>
  </r>
  <r>
    <x v="0"/>
    <x v="9"/>
    <x v="9"/>
    <s v=""/>
    <s v="DEPT COST ALLOC - 07/2022"/>
    <s v=""/>
    <s v="D"/>
    <s v="7"/>
    <s v="700631"/>
    <s v="SAPBATCH"/>
    <d v="2022-07-31T00:00:00"/>
    <n v="0"/>
    <n v="1788.96"/>
  </r>
  <r>
    <x v="0"/>
    <x v="9"/>
    <x v="9"/>
    <s v=""/>
    <s v="DEPT COST ALLOC - 07/2022"/>
    <s v=""/>
    <s v="D"/>
    <s v="7"/>
    <s v="702006"/>
    <s v="SAPBATCH"/>
    <d v="2022-07-31T00:00:00"/>
    <n v="0"/>
    <n v="-1926.08"/>
  </r>
  <r>
    <x v="0"/>
    <x v="9"/>
    <x v="9"/>
    <s v=""/>
    <s v="DEPT COST ALLOC - 07/2022"/>
    <s v=""/>
    <s v="D"/>
    <s v="7"/>
    <s v="702007"/>
    <s v="SAPBATCH"/>
    <d v="2022-07-31T00:00:00"/>
    <n v="0"/>
    <n v="31.22"/>
  </r>
  <r>
    <x v="0"/>
    <x v="9"/>
    <x v="9"/>
    <s v=""/>
    <s v="DEPT COST ALLOC - 08/2022"/>
    <s v=""/>
    <s v="D"/>
    <s v="8"/>
    <s v="700631"/>
    <s v="SAPBATCH"/>
    <d v="2022-08-31T00:00:00"/>
    <n v="0"/>
    <n v="-1020.31"/>
  </r>
  <r>
    <x v="0"/>
    <x v="9"/>
    <x v="9"/>
    <s v=""/>
    <s v="DEPT COST ALLOC - 09/2022"/>
    <s v=""/>
    <s v="D"/>
    <s v="9"/>
    <s v="700631"/>
    <s v="SAPBATCH"/>
    <d v="2022-09-30T00:00:00"/>
    <n v="0"/>
    <n v="1053.92"/>
  </r>
  <r>
    <x v="0"/>
    <x v="9"/>
    <x v="9"/>
    <s v=""/>
    <s v="DEPT COST ALLOC - 10/2022"/>
    <s v=""/>
    <s v="D"/>
    <s v="10"/>
    <s v="700631"/>
    <s v="SAPBATCH"/>
    <d v="2022-10-31T00:00:00"/>
    <n v="0"/>
    <n v="-801.38"/>
  </r>
  <r>
    <x v="0"/>
    <x v="9"/>
    <x v="9"/>
    <s v=""/>
    <s v="DEPT COST ALLOC - 10/2022"/>
    <s v=""/>
    <s v="D"/>
    <s v="10"/>
    <s v="701676"/>
    <s v="SAPBATCH"/>
    <d v="2022-10-31T00:00:00"/>
    <n v="0"/>
    <n v="-5.3"/>
  </r>
  <r>
    <x v="0"/>
    <x v="9"/>
    <x v="9"/>
    <s v=""/>
    <s v="DEPT COST ALLOC - 11/2022"/>
    <s v=""/>
    <s v="D"/>
    <s v="11"/>
    <s v="700631"/>
    <s v="SAPBATCH"/>
    <d v="2022-11-30T00:00:00"/>
    <n v="0"/>
    <n v="1311.37"/>
  </r>
  <r>
    <x v="0"/>
    <x v="9"/>
    <x v="9"/>
    <s v=""/>
    <s v="DEPT COST ALLOC - 12/2022"/>
    <s v=""/>
    <s v="D"/>
    <s v="12"/>
    <s v="700631"/>
    <s v="SAPBATCH"/>
    <d v="2022-12-31T00:00:00"/>
    <n v="0"/>
    <n v="-1874"/>
  </r>
  <r>
    <x v="0"/>
    <x v="10"/>
    <x v="10"/>
    <s v=""/>
    <s v="DEPT COST ALLOC - 01/2022"/>
    <s v=""/>
    <s v="D"/>
    <s v="1"/>
    <s v="702007"/>
    <s v="SAPBATCH"/>
    <d v="2022-01-31T00:00:00"/>
    <n v="0"/>
    <n v="33.67"/>
  </r>
  <r>
    <x v="0"/>
    <x v="10"/>
    <x v="10"/>
    <s v=""/>
    <s v="DEPT COST ALLOC - 02/2022"/>
    <s v=""/>
    <s v="D"/>
    <s v="2"/>
    <s v="701676"/>
    <s v="SAPBATCH"/>
    <d v="2022-02-28T00:00:00"/>
    <n v="0"/>
    <n v="3.57"/>
  </r>
  <r>
    <x v="0"/>
    <x v="10"/>
    <x v="10"/>
    <s v=""/>
    <s v="DEPT COST ALLOC - 02/2022"/>
    <s v=""/>
    <s v="D"/>
    <s v="2"/>
    <s v="702007"/>
    <s v="SAPBATCH"/>
    <d v="2022-02-28T00:00:00"/>
    <n v="0"/>
    <n v="30.42"/>
  </r>
  <r>
    <x v="0"/>
    <x v="10"/>
    <x v="10"/>
    <s v=""/>
    <s v="DEPT COST ALLOC - 03/2022"/>
    <s v=""/>
    <s v="D"/>
    <s v="3"/>
    <s v="702007"/>
    <s v="SAPBATCH"/>
    <d v="2022-03-31T00:00:00"/>
    <n v="0"/>
    <n v="40.81"/>
  </r>
  <r>
    <x v="0"/>
    <x v="10"/>
    <x v="10"/>
    <s v=""/>
    <s v="DEPT COST ALLOC - 04/2022"/>
    <s v=""/>
    <s v="D"/>
    <s v="4"/>
    <s v="702007"/>
    <s v="SAPBATCH"/>
    <d v="2022-04-30T00:00:00"/>
    <n v="0"/>
    <n v="11.91"/>
  </r>
  <r>
    <x v="0"/>
    <x v="10"/>
    <x v="10"/>
    <s v=""/>
    <s v="DEPT COST ALLOC - 05/2022"/>
    <s v=""/>
    <s v="D"/>
    <s v="5"/>
    <s v="702007"/>
    <s v="SAPBATCH"/>
    <d v="2022-05-31T00:00:00"/>
    <n v="0"/>
    <n v="143.97999999999999"/>
  </r>
  <r>
    <x v="0"/>
    <x v="10"/>
    <x v="10"/>
    <s v=""/>
    <s v="DEPT COST ALLOC - 06/2022"/>
    <s v=""/>
    <s v="D"/>
    <s v="6"/>
    <s v="702006"/>
    <s v="SAPBATCH"/>
    <d v="2022-06-30T00:00:00"/>
    <n v="0"/>
    <n v="325"/>
  </r>
  <r>
    <x v="0"/>
    <x v="10"/>
    <x v="10"/>
    <s v=""/>
    <s v="DEPT COST ALLOC - 06/2022"/>
    <s v=""/>
    <s v="D"/>
    <s v="6"/>
    <s v="702007"/>
    <s v="SAPBATCH"/>
    <d v="2022-06-30T00:00:00"/>
    <n v="0"/>
    <n v="11.14"/>
  </r>
  <r>
    <x v="0"/>
    <x v="10"/>
    <x v="10"/>
    <s v=""/>
    <s v="DEPT COST ALLOC - 07/2022"/>
    <s v=""/>
    <s v="D"/>
    <s v="7"/>
    <s v="702007"/>
    <s v="SAPBATCH"/>
    <d v="2022-07-31T00:00:00"/>
    <n v="0"/>
    <n v="9.6199999999999992"/>
  </r>
  <r>
    <x v="0"/>
    <x v="10"/>
    <x v="10"/>
    <s v=""/>
    <s v="DEPT COST ALLOC - 10/2022"/>
    <s v=""/>
    <s v="D"/>
    <s v="10"/>
    <s v="701676"/>
    <s v="SAPBATCH"/>
    <d v="2022-10-31T00:00:00"/>
    <n v="0"/>
    <n v="4.22"/>
  </r>
  <r>
    <x v="0"/>
    <x v="11"/>
    <x v="11"/>
    <s v=""/>
    <s v="DEPT COST ALLOC - 01/2022"/>
    <s v=""/>
    <s v="D"/>
    <s v="1"/>
    <s v="702006"/>
    <s v="SAPBATCH"/>
    <d v="2022-01-31T00:00:00"/>
    <n v="0"/>
    <n v="1001.33"/>
  </r>
  <r>
    <x v="0"/>
    <x v="11"/>
    <x v="11"/>
    <s v=""/>
    <s v="DEPT COST ALLOC - 01/2022"/>
    <s v=""/>
    <s v="D"/>
    <s v="1"/>
    <s v="702007"/>
    <s v="SAPBATCH"/>
    <d v="2022-01-31T00:00:00"/>
    <n v="0"/>
    <n v="1016.9"/>
  </r>
  <r>
    <x v="0"/>
    <x v="11"/>
    <x v="11"/>
    <s v=""/>
    <s v="DEPT COST ALLOC - 02/2022"/>
    <s v=""/>
    <s v="D"/>
    <s v="2"/>
    <s v="701676"/>
    <s v="SAPBATCH"/>
    <d v="2022-02-28T00:00:00"/>
    <n v="0"/>
    <n v="0.6"/>
  </r>
  <r>
    <x v="0"/>
    <x v="11"/>
    <x v="11"/>
    <s v=""/>
    <s v="DEPT COST ALLOC - 02/2022"/>
    <s v=""/>
    <s v="D"/>
    <s v="2"/>
    <s v="702006"/>
    <s v="SAPBATCH"/>
    <d v="2022-02-28T00:00:00"/>
    <n v="0"/>
    <n v="1000"/>
  </r>
  <r>
    <x v="0"/>
    <x v="11"/>
    <x v="11"/>
    <s v=""/>
    <s v="DEPT COST ALLOC - 02/2022"/>
    <s v=""/>
    <s v="D"/>
    <s v="2"/>
    <s v="702007"/>
    <s v="SAPBATCH"/>
    <d v="2022-02-28T00:00:00"/>
    <n v="0"/>
    <n v="89.63"/>
  </r>
  <r>
    <x v="0"/>
    <x v="11"/>
    <x v="11"/>
    <s v=""/>
    <s v="DEPT COST ALLOC - 03/2022"/>
    <s v=""/>
    <s v="D"/>
    <s v="3"/>
    <s v="702006"/>
    <s v="SAPBATCH"/>
    <d v="2022-03-31T00:00:00"/>
    <n v="0"/>
    <n v="1043.54"/>
  </r>
  <r>
    <x v="0"/>
    <x v="11"/>
    <x v="11"/>
    <s v=""/>
    <s v="DEPT COST ALLOC - 03/2022"/>
    <s v=""/>
    <s v="D"/>
    <s v="3"/>
    <s v="702007"/>
    <s v="SAPBATCH"/>
    <d v="2022-03-31T00:00:00"/>
    <n v="0"/>
    <n v="1098.57"/>
  </r>
  <r>
    <x v="0"/>
    <x v="11"/>
    <x v="11"/>
    <s v=""/>
    <s v="DEPT COST ALLOC - 04/2022"/>
    <s v=""/>
    <s v="D"/>
    <s v="4"/>
    <s v="702006"/>
    <s v="SAPBATCH"/>
    <d v="2022-04-30T00:00:00"/>
    <n v="0"/>
    <n v="655.43"/>
  </r>
  <r>
    <x v="0"/>
    <x v="11"/>
    <x v="11"/>
    <s v=""/>
    <s v="DEPT COST ALLOC - 04/2022"/>
    <s v=""/>
    <s v="D"/>
    <s v="4"/>
    <s v="702007"/>
    <s v="SAPBATCH"/>
    <d v="2022-04-30T00:00:00"/>
    <n v="0"/>
    <n v="26.32"/>
  </r>
  <r>
    <x v="0"/>
    <x v="11"/>
    <x v="11"/>
    <s v=""/>
    <s v="DEPT COST ALLOC - 05/2022"/>
    <s v=""/>
    <s v="D"/>
    <s v="5"/>
    <s v="702006"/>
    <s v="SAPBATCH"/>
    <d v="2022-05-31T00:00:00"/>
    <n v="0"/>
    <n v="830.17"/>
  </r>
  <r>
    <x v="0"/>
    <x v="11"/>
    <x v="11"/>
    <s v=""/>
    <s v="DEPT COST ALLOC - 05/2022"/>
    <s v=""/>
    <s v="D"/>
    <s v="5"/>
    <s v="702007"/>
    <s v="SAPBATCH"/>
    <d v="2022-05-31T00:00:00"/>
    <n v="0"/>
    <n v="1221.5"/>
  </r>
  <r>
    <x v="0"/>
    <x v="11"/>
    <x v="11"/>
    <s v=""/>
    <s v="DEPT COST ALLOC - 06/2022"/>
    <s v=""/>
    <s v="D"/>
    <s v="6"/>
    <s v="702006"/>
    <s v="SAPBATCH"/>
    <d v="2022-06-30T00:00:00"/>
    <n v="0"/>
    <n v="774.11"/>
  </r>
  <r>
    <x v="0"/>
    <x v="11"/>
    <x v="11"/>
    <s v=""/>
    <s v="DEPT COST ALLOC - 06/2022"/>
    <s v=""/>
    <s v="D"/>
    <s v="6"/>
    <s v="702007"/>
    <s v="SAPBATCH"/>
    <d v="2022-06-30T00:00:00"/>
    <n v="0"/>
    <n v="318.02"/>
  </r>
  <r>
    <x v="0"/>
    <x v="11"/>
    <x v="11"/>
    <s v=""/>
    <s v="DEPT COST ALLOC - 07/2022"/>
    <s v=""/>
    <s v="D"/>
    <s v="7"/>
    <s v="702006"/>
    <s v="SAPBATCH"/>
    <d v="2022-07-31T00:00:00"/>
    <n v="0"/>
    <n v="727.19"/>
  </r>
  <r>
    <x v="0"/>
    <x v="11"/>
    <x v="11"/>
    <s v=""/>
    <s v="DEPT COST ALLOC - 07/2022"/>
    <s v=""/>
    <s v="D"/>
    <s v="7"/>
    <s v="702007"/>
    <s v="SAPBATCH"/>
    <d v="2022-07-31T00:00:00"/>
    <n v="0"/>
    <n v="595.26"/>
  </r>
  <r>
    <x v="0"/>
    <x v="11"/>
    <x v="11"/>
    <s v=""/>
    <s v="DEPT COST ALLOC - 10/2022"/>
    <s v=""/>
    <s v="D"/>
    <s v="10"/>
    <s v="701676"/>
    <s v="SAPBATCH"/>
    <d v="2022-10-31T00:00:00"/>
    <n v="0"/>
    <n v="7.77"/>
  </r>
  <r>
    <x v="0"/>
    <x v="12"/>
    <x v="12"/>
    <s v=""/>
    <s v="DEPT COST ALLOC - 01/2022"/>
    <s v=""/>
    <s v="D"/>
    <s v="1"/>
    <s v="702006"/>
    <s v="SAPBATCH"/>
    <d v="2022-01-31T00:00:00"/>
    <n v="0"/>
    <n v="1327.01"/>
  </r>
  <r>
    <x v="0"/>
    <x v="12"/>
    <x v="12"/>
    <s v=""/>
    <s v="DEPT COST ALLOC - 01/2022"/>
    <s v=""/>
    <s v="D"/>
    <s v="1"/>
    <s v="702007"/>
    <s v="SAPBATCH"/>
    <d v="2022-01-31T00:00:00"/>
    <n v="0"/>
    <n v="555.53"/>
  </r>
  <r>
    <x v="0"/>
    <x v="12"/>
    <x v="12"/>
    <s v=""/>
    <s v="DEPT COST ALLOC - 02/2022"/>
    <s v=""/>
    <s v="D"/>
    <s v="2"/>
    <s v="701676"/>
    <s v="SAPBATCH"/>
    <d v="2022-02-28T00:00:00"/>
    <n v="0"/>
    <n v="2.93"/>
  </r>
  <r>
    <x v="0"/>
    <x v="12"/>
    <x v="12"/>
    <s v=""/>
    <s v="DEPT COST ALLOC - 02/2022"/>
    <s v=""/>
    <s v="D"/>
    <s v="2"/>
    <s v="702006"/>
    <s v="SAPBATCH"/>
    <d v="2022-02-28T00:00:00"/>
    <n v="0"/>
    <n v="1225.58"/>
  </r>
  <r>
    <x v="0"/>
    <x v="12"/>
    <x v="12"/>
    <s v=""/>
    <s v="DEPT COST ALLOC - 02/2022"/>
    <s v=""/>
    <s v="D"/>
    <s v="2"/>
    <s v="702007"/>
    <s v="SAPBATCH"/>
    <d v="2022-02-28T00:00:00"/>
    <n v="0"/>
    <n v="372.4"/>
  </r>
  <r>
    <x v="0"/>
    <x v="12"/>
    <x v="12"/>
    <s v=""/>
    <s v="DEPT COST ALLOC - 03/2022"/>
    <s v=""/>
    <s v="D"/>
    <s v="3"/>
    <s v="702006"/>
    <s v="SAPBATCH"/>
    <d v="2022-03-31T00:00:00"/>
    <n v="0"/>
    <n v="1964.14"/>
  </r>
  <r>
    <x v="0"/>
    <x v="12"/>
    <x v="12"/>
    <s v=""/>
    <s v="DEPT COST ALLOC - 03/2022"/>
    <s v=""/>
    <s v="D"/>
    <s v="3"/>
    <s v="702007"/>
    <s v="SAPBATCH"/>
    <d v="2022-03-31T00:00:00"/>
    <n v="0"/>
    <n v="1088.24"/>
  </r>
  <r>
    <x v="0"/>
    <x v="12"/>
    <x v="12"/>
    <s v=""/>
    <s v="DEPT COST ALLOC - 04/2022"/>
    <s v=""/>
    <s v="D"/>
    <s v="4"/>
    <s v="702006"/>
    <s v="SAPBATCH"/>
    <d v="2022-04-30T00:00:00"/>
    <n v="0"/>
    <n v="1475.7"/>
  </r>
  <r>
    <x v="0"/>
    <x v="12"/>
    <x v="12"/>
    <s v=""/>
    <s v="DEPT COST ALLOC - 04/2022"/>
    <s v=""/>
    <s v="D"/>
    <s v="4"/>
    <s v="702007"/>
    <s v="SAPBATCH"/>
    <d v="2022-04-30T00:00:00"/>
    <n v="0"/>
    <n v="27.91"/>
  </r>
  <r>
    <x v="0"/>
    <x v="12"/>
    <x v="12"/>
    <s v=""/>
    <s v="DEPT COST ALLOC - 05/2022"/>
    <s v=""/>
    <s v="D"/>
    <s v="5"/>
    <s v="702006"/>
    <s v="SAPBATCH"/>
    <d v="2022-05-31T00:00:00"/>
    <n v="0"/>
    <n v="1415.46"/>
  </r>
  <r>
    <x v="0"/>
    <x v="12"/>
    <x v="12"/>
    <s v=""/>
    <s v="DEPT COST ALLOC - 05/2022"/>
    <s v=""/>
    <s v="D"/>
    <s v="5"/>
    <s v="702007"/>
    <s v="SAPBATCH"/>
    <d v="2022-05-31T00:00:00"/>
    <n v="0"/>
    <n v="1066.56"/>
  </r>
  <r>
    <x v="0"/>
    <x v="12"/>
    <x v="12"/>
    <s v=""/>
    <s v="DEPT COST ALLOC - 06/2022"/>
    <s v=""/>
    <s v="D"/>
    <s v="6"/>
    <s v="702006"/>
    <s v="SAPBATCH"/>
    <d v="2022-06-30T00:00:00"/>
    <n v="0"/>
    <n v="1446.72"/>
  </r>
  <r>
    <x v="0"/>
    <x v="12"/>
    <x v="12"/>
    <s v=""/>
    <s v="DEPT COST ALLOC - 06/2022"/>
    <s v=""/>
    <s v="D"/>
    <s v="6"/>
    <s v="702007"/>
    <s v="SAPBATCH"/>
    <d v="2022-06-30T00:00:00"/>
    <n v="0"/>
    <n v="309.63"/>
  </r>
  <r>
    <x v="0"/>
    <x v="12"/>
    <x v="12"/>
    <s v=""/>
    <s v="DEPT COST ALLOC - 07/2022"/>
    <s v=""/>
    <s v="D"/>
    <s v="7"/>
    <s v="700631"/>
    <s v="SAPBATCH"/>
    <d v="2022-07-31T00:00:00"/>
    <n v="0"/>
    <n v="3420.53"/>
  </r>
  <r>
    <x v="0"/>
    <x v="12"/>
    <x v="12"/>
    <s v=""/>
    <s v="DEPT COST ALLOC - 07/2022"/>
    <s v=""/>
    <s v="D"/>
    <s v="7"/>
    <s v="702006"/>
    <s v="SAPBATCH"/>
    <d v="2022-07-31T00:00:00"/>
    <n v="0"/>
    <n v="120.3"/>
  </r>
  <r>
    <x v="0"/>
    <x v="12"/>
    <x v="12"/>
    <s v=""/>
    <s v="DEPT COST ALLOC - 07/2022"/>
    <s v=""/>
    <s v="D"/>
    <s v="7"/>
    <s v="702007"/>
    <s v="SAPBATCH"/>
    <d v="2022-07-31T00:00:00"/>
    <n v="0"/>
    <n v="514.1"/>
  </r>
  <r>
    <x v="0"/>
    <x v="12"/>
    <x v="12"/>
    <s v=""/>
    <s v="DEPT COST ALLOC - 08/2022"/>
    <s v=""/>
    <s v="D"/>
    <s v="8"/>
    <s v="700631"/>
    <s v="SAPBATCH"/>
    <d v="2022-08-31T00:00:00"/>
    <n v="0"/>
    <n v="1405.86"/>
  </r>
  <r>
    <x v="0"/>
    <x v="12"/>
    <x v="12"/>
    <s v=""/>
    <s v="DEPT COST ALLOC - 09/2022"/>
    <s v=""/>
    <s v="D"/>
    <s v="9"/>
    <s v="700631"/>
    <s v="SAPBATCH"/>
    <d v="2022-09-30T00:00:00"/>
    <n v="0"/>
    <n v="1535.74"/>
  </r>
  <r>
    <x v="0"/>
    <x v="12"/>
    <x v="12"/>
    <s v=""/>
    <s v="DEPT COST ALLOC - 10/2022"/>
    <s v=""/>
    <s v="D"/>
    <s v="10"/>
    <s v="700631"/>
    <s v="SAPBATCH"/>
    <d v="2022-10-31T00:00:00"/>
    <n v="0"/>
    <n v="1454.13"/>
  </r>
  <r>
    <x v="0"/>
    <x v="12"/>
    <x v="12"/>
    <s v=""/>
    <s v="DEPT COST ALLOC - 10/2022"/>
    <s v=""/>
    <s v="D"/>
    <s v="10"/>
    <s v="701676"/>
    <s v="SAPBATCH"/>
    <d v="2022-10-31T00:00:00"/>
    <n v="0"/>
    <n v="5.84"/>
  </r>
  <r>
    <x v="0"/>
    <x v="12"/>
    <x v="12"/>
    <s v=""/>
    <s v="DEPT COST ALLOC - 11/2022"/>
    <s v=""/>
    <s v="D"/>
    <s v="11"/>
    <s v="700631"/>
    <s v="SAPBATCH"/>
    <d v="2022-11-30T00:00:00"/>
    <n v="0"/>
    <n v="1583.71"/>
  </r>
  <r>
    <x v="0"/>
    <x v="12"/>
    <x v="12"/>
    <s v=""/>
    <s v="DEPT COST ALLOC - 12/2022"/>
    <s v=""/>
    <s v="D"/>
    <s v="12"/>
    <s v="700631"/>
    <s v="SAPBATCH"/>
    <d v="2022-12-31T00:00:00"/>
    <n v="0"/>
    <n v="1614.18"/>
  </r>
  <r>
    <x v="0"/>
    <x v="13"/>
    <x v="13"/>
    <s v=""/>
    <s v="DEPT COST ALLOC - 01/2022"/>
    <s v=""/>
    <s v="D"/>
    <s v="1"/>
    <s v="702006"/>
    <s v="SAPBATCH"/>
    <d v="2022-01-31T00:00:00"/>
    <n v="0"/>
    <n v="-1344.63"/>
  </r>
  <r>
    <x v="0"/>
    <x v="13"/>
    <x v="13"/>
    <s v=""/>
    <s v="DEPT COST ALLOC - 01/2022"/>
    <s v=""/>
    <s v="D"/>
    <s v="1"/>
    <s v="702007"/>
    <s v="SAPBATCH"/>
    <d v="2022-01-31T00:00:00"/>
    <n v="0"/>
    <n v="-682.77"/>
  </r>
  <r>
    <x v="0"/>
    <x v="13"/>
    <x v="13"/>
    <s v=""/>
    <s v="DEPT COST ALLOC - 02/2022"/>
    <s v=""/>
    <s v="D"/>
    <s v="2"/>
    <s v="701676"/>
    <s v="SAPBATCH"/>
    <d v="2022-02-28T00:00:00"/>
    <n v="0"/>
    <n v="-4.05"/>
  </r>
  <r>
    <x v="0"/>
    <x v="13"/>
    <x v="13"/>
    <s v=""/>
    <s v="DEPT COST ALLOC - 02/2022"/>
    <s v=""/>
    <s v="D"/>
    <s v="2"/>
    <s v="702006"/>
    <s v="SAPBATCH"/>
    <d v="2022-02-28T00:00:00"/>
    <n v="0"/>
    <n v="-1344.63"/>
  </r>
  <r>
    <x v="0"/>
    <x v="13"/>
    <x v="13"/>
    <s v=""/>
    <s v="DEPT COST ALLOC - 02/2022"/>
    <s v=""/>
    <s v="D"/>
    <s v="2"/>
    <s v="702007"/>
    <s v="SAPBATCH"/>
    <d v="2022-02-28T00:00:00"/>
    <n v="0"/>
    <n v="-572.47"/>
  </r>
  <r>
    <x v="0"/>
    <x v="13"/>
    <x v="13"/>
    <s v=""/>
    <s v="DEPT COST ALLOC - 03/2022"/>
    <s v=""/>
    <s v="D"/>
    <s v="3"/>
    <s v="702006"/>
    <s v="SAPBATCH"/>
    <d v="2022-03-31T00:00:00"/>
    <n v="0"/>
    <n v="-1575.04"/>
  </r>
  <r>
    <x v="0"/>
    <x v="13"/>
    <x v="13"/>
    <s v=""/>
    <s v="DEPT COST ALLOC - 03/2022"/>
    <s v=""/>
    <s v="D"/>
    <s v="3"/>
    <s v="702007"/>
    <s v="SAPBATCH"/>
    <d v="2022-03-31T00:00:00"/>
    <n v="0"/>
    <n v="-808.65"/>
  </r>
  <r>
    <x v="0"/>
    <x v="13"/>
    <x v="13"/>
    <s v=""/>
    <s v="DEPT COST ALLOC - 04/2022"/>
    <s v=""/>
    <s v="D"/>
    <s v="4"/>
    <s v="702006"/>
    <s v="SAPBATCH"/>
    <d v="2022-04-30T00:00:00"/>
    <n v="0"/>
    <n v="-715.93"/>
  </r>
  <r>
    <x v="0"/>
    <x v="13"/>
    <x v="13"/>
    <s v=""/>
    <s v="DEPT COST ALLOC - 04/2022"/>
    <s v=""/>
    <s v="D"/>
    <s v="4"/>
    <s v="702007"/>
    <s v="SAPBATCH"/>
    <d v="2022-04-30T00:00:00"/>
    <n v="0"/>
    <n v="-26.19"/>
  </r>
  <r>
    <x v="0"/>
    <x v="13"/>
    <x v="13"/>
    <s v=""/>
    <s v="DEPT COST ALLOC - 05/2022"/>
    <s v=""/>
    <s v="D"/>
    <s v="5"/>
    <s v="702006"/>
    <s v="SAPBATCH"/>
    <d v="2022-05-31T00:00:00"/>
    <n v="0"/>
    <n v="-715.93"/>
  </r>
  <r>
    <x v="0"/>
    <x v="13"/>
    <x v="13"/>
    <s v=""/>
    <s v="DEPT COST ALLOC - 05/2022"/>
    <s v=""/>
    <s v="D"/>
    <s v="5"/>
    <s v="702007"/>
    <s v="SAPBATCH"/>
    <d v="2022-05-31T00:00:00"/>
    <n v="0"/>
    <n v="-997.96"/>
  </r>
  <r>
    <x v="0"/>
    <x v="13"/>
    <x v="13"/>
    <s v=""/>
    <s v="DEPT COST ALLOC - 06/2022"/>
    <s v=""/>
    <s v="D"/>
    <s v="6"/>
    <s v="702006"/>
    <s v="SAPBATCH"/>
    <d v="2022-06-30T00:00:00"/>
    <n v="0"/>
    <n v="-715.93"/>
  </r>
  <r>
    <x v="0"/>
    <x v="13"/>
    <x v="13"/>
    <s v=""/>
    <s v="DEPT COST ALLOC - 06/2022"/>
    <s v=""/>
    <s v="D"/>
    <s v="6"/>
    <s v="702007"/>
    <s v="SAPBATCH"/>
    <d v="2022-06-30T00:00:00"/>
    <n v="0"/>
    <n v="-278.64"/>
  </r>
  <r>
    <x v="0"/>
    <x v="13"/>
    <x v="13"/>
    <s v=""/>
    <s v="DEPT COST ALLOC - 07/2022"/>
    <s v=""/>
    <s v="D"/>
    <s v="7"/>
    <s v="702006"/>
    <s v="SAPBATCH"/>
    <d v="2022-07-31T00:00:00"/>
    <n v="0"/>
    <n v="-384.48"/>
  </r>
  <r>
    <x v="0"/>
    <x v="13"/>
    <x v="13"/>
    <s v=""/>
    <s v="DEPT COST ALLOC - 07/2022"/>
    <s v=""/>
    <s v="D"/>
    <s v="7"/>
    <s v="702007"/>
    <s v="SAPBATCH"/>
    <d v="2022-07-31T00:00:00"/>
    <n v="0"/>
    <n v="-298.16000000000003"/>
  </r>
  <r>
    <x v="0"/>
    <x v="13"/>
    <x v="13"/>
    <s v=""/>
    <s v="DEPT COST ALLOC - 10/2022"/>
    <s v=""/>
    <s v="D"/>
    <s v="10"/>
    <s v="701676"/>
    <s v="SAPBATCH"/>
    <d v="2022-10-31T00:00:00"/>
    <n v="0"/>
    <n v="-5.53"/>
  </r>
  <r>
    <x v="0"/>
    <x v="14"/>
    <x v="14"/>
    <s v=""/>
    <s v="DEPT COST ALLOC - 01/2022"/>
    <s v=""/>
    <s v="D"/>
    <s v="1"/>
    <s v="702006"/>
    <s v="SAPBATCH"/>
    <d v="2022-01-31T00:00:00"/>
    <n v="0"/>
    <n v="-1147.6300000000001"/>
  </r>
  <r>
    <x v="0"/>
    <x v="14"/>
    <x v="14"/>
    <s v=""/>
    <s v="DEPT COST ALLOC - 01/2022"/>
    <s v=""/>
    <s v="D"/>
    <s v="1"/>
    <s v="702007"/>
    <s v="SAPBATCH"/>
    <d v="2022-01-31T00:00:00"/>
    <n v="0"/>
    <n v="-497.54"/>
  </r>
  <r>
    <x v="0"/>
    <x v="14"/>
    <x v="14"/>
    <s v=""/>
    <s v="DEPT COST ALLOC - 02/2022"/>
    <s v=""/>
    <s v="D"/>
    <s v="2"/>
    <s v="702006"/>
    <s v="SAPBATCH"/>
    <d v="2022-02-28T00:00:00"/>
    <n v="0"/>
    <n v="-2364"/>
  </r>
  <r>
    <x v="0"/>
    <x v="14"/>
    <x v="14"/>
    <s v=""/>
    <s v="DEPT COST ALLOC - 02/2022"/>
    <s v=""/>
    <s v="D"/>
    <s v="2"/>
    <s v="702007"/>
    <s v="SAPBATCH"/>
    <d v="2022-02-28T00:00:00"/>
    <n v="0"/>
    <n v="-859.31"/>
  </r>
  <r>
    <x v="0"/>
    <x v="14"/>
    <x v="14"/>
    <s v=""/>
    <s v="DEPT COST ALLOC - 03/2022"/>
    <s v=""/>
    <s v="D"/>
    <s v="3"/>
    <s v="702006"/>
    <s v="SAPBATCH"/>
    <d v="2022-03-31T00:00:00"/>
    <n v="0"/>
    <n v="-2161.12"/>
  </r>
  <r>
    <x v="0"/>
    <x v="14"/>
    <x v="14"/>
    <s v=""/>
    <s v="DEPT COST ALLOC - 03/2022"/>
    <s v=""/>
    <s v="D"/>
    <s v="3"/>
    <s v="702007"/>
    <s v="SAPBATCH"/>
    <d v="2022-03-31T00:00:00"/>
    <n v="0"/>
    <n v="-947.34"/>
  </r>
  <r>
    <x v="0"/>
    <x v="14"/>
    <x v="14"/>
    <s v=""/>
    <s v="DEPT COST ALLOC - 04/2022"/>
    <s v=""/>
    <s v="D"/>
    <s v="4"/>
    <s v="702006"/>
    <s v="SAPBATCH"/>
    <d v="2022-04-30T00:00:00"/>
    <n v="0"/>
    <n v="-1324.69"/>
  </r>
  <r>
    <x v="0"/>
    <x v="14"/>
    <x v="14"/>
    <s v=""/>
    <s v="DEPT COST ALLOC - 04/2022"/>
    <s v=""/>
    <s v="D"/>
    <s v="4"/>
    <s v="702007"/>
    <s v="SAPBATCH"/>
    <d v="2022-04-30T00:00:00"/>
    <n v="0"/>
    <n v="-30.96"/>
  </r>
  <r>
    <x v="0"/>
    <x v="14"/>
    <x v="14"/>
    <s v=""/>
    <s v="DEPT COST ALLOC - 05/2022"/>
    <s v=""/>
    <s v="D"/>
    <s v="5"/>
    <s v="702006"/>
    <s v="SAPBATCH"/>
    <d v="2022-05-31T00:00:00"/>
    <n v="0"/>
    <n v="-1314.03"/>
  </r>
  <r>
    <x v="0"/>
    <x v="14"/>
    <x v="14"/>
    <s v=""/>
    <s v="DEPT COST ALLOC - 05/2022"/>
    <s v=""/>
    <s v="D"/>
    <s v="5"/>
    <s v="702007"/>
    <s v="SAPBATCH"/>
    <d v="2022-05-31T00:00:00"/>
    <n v="0"/>
    <n v="-1170.24"/>
  </r>
  <r>
    <x v="0"/>
    <x v="14"/>
    <x v="14"/>
    <s v=""/>
    <s v="DEPT COST ALLOC - 06/2022"/>
    <s v=""/>
    <s v="D"/>
    <s v="6"/>
    <s v="702006"/>
    <s v="SAPBATCH"/>
    <d v="2022-06-30T00:00:00"/>
    <n v="0"/>
    <n v="-1314.03"/>
  </r>
  <r>
    <x v="0"/>
    <x v="14"/>
    <x v="14"/>
    <s v=""/>
    <s v="DEPT COST ALLOC - 06/2022"/>
    <s v=""/>
    <s v="D"/>
    <s v="6"/>
    <s v="702007"/>
    <s v="SAPBATCH"/>
    <d v="2022-06-30T00:00:00"/>
    <n v="0"/>
    <n v="-326.74"/>
  </r>
  <r>
    <x v="0"/>
    <x v="14"/>
    <x v="14"/>
    <s v=""/>
    <s v="DEPT COST ALLOC - 07/2022"/>
    <s v=""/>
    <s v="D"/>
    <s v="7"/>
    <s v="702006"/>
    <s v="SAPBATCH"/>
    <d v="2022-07-31T00:00:00"/>
    <n v="0"/>
    <n v="-705.68"/>
  </r>
  <r>
    <x v="0"/>
    <x v="14"/>
    <x v="14"/>
    <s v=""/>
    <s v="DEPT COST ALLOC - 07/2022"/>
    <s v=""/>
    <s v="D"/>
    <s v="7"/>
    <s v="702007"/>
    <s v="SAPBATCH"/>
    <d v="2022-07-31T00:00:00"/>
    <n v="0"/>
    <n v="-349.63"/>
  </r>
  <r>
    <x v="0"/>
    <x v="14"/>
    <x v="14"/>
    <s v=""/>
    <s v="DEPT COST ALLOC - 10/2022"/>
    <s v=""/>
    <s v="D"/>
    <s v="10"/>
    <s v="701676"/>
    <s v="SAPBATCH"/>
    <d v="2022-10-31T00:00:00"/>
    <n v="0"/>
    <n v="-7.85"/>
  </r>
  <r>
    <x v="0"/>
    <x v="15"/>
    <x v="15"/>
    <s v=""/>
    <s v="DEPT COST ALLOC - 02/2022"/>
    <s v=""/>
    <s v="D"/>
    <s v="2"/>
    <s v="702007"/>
    <s v="SAPBATCH"/>
    <d v="2022-02-28T00:00:00"/>
    <n v="0"/>
    <n v="2.2400000000000002"/>
  </r>
  <r>
    <x v="0"/>
    <x v="15"/>
    <x v="15"/>
    <s v=""/>
    <s v="DEPT COST ALLOC - 04/2022"/>
    <s v=""/>
    <s v="D"/>
    <s v="4"/>
    <s v="702007"/>
    <s v="SAPBATCH"/>
    <d v="2022-04-30T00:00:00"/>
    <n v="0"/>
    <n v="0.76"/>
  </r>
  <r>
    <x v="0"/>
    <x v="15"/>
    <x v="15"/>
    <s v=""/>
    <s v="DEPT COST ALLOC - 05/2022"/>
    <s v=""/>
    <s v="D"/>
    <s v="5"/>
    <s v="702007"/>
    <s v="SAPBATCH"/>
    <d v="2022-05-31T00:00:00"/>
    <n v="0"/>
    <n v="1.36"/>
  </r>
  <r>
    <x v="0"/>
    <x v="15"/>
    <x v="15"/>
    <s v=""/>
    <s v="DEPT COST ALLOC - 06/2022"/>
    <s v=""/>
    <s v="D"/>
    <s v="6"/>
    <s v="702007"/>
    <s v="SAPBATCH"/>
    <d v="2022-06-30T00:00:00"/>
    <n v="0"/>
    <n v="23.24"/>
  </r>
  <r>
    <x v="0"/>
    <x v="15"/>
    <x v="15"/>
    <s v=""/>
    <s v="DEPT COST ALLOC - 07/2022"/>
    <s v=""/>
    <s v="D"/>
    <s v="7"/>
    <s v="702006"/>
    <s v="SAPBATCH"/>
    <d v="2022-07-31T00:00:00"/>
    <n v="0"/>
    <n v="727.68"/>
  </r>
  <r>
    <x v="0"/>
    <x v="15"/>
    <x v="15"/>
    <s v=""/>
    <s v="DEPT COST ALLOC - 10/2022"/>
    <s v=""/>
    <s v="D"/>
    <s v="10"/>
    <s v="701676"/>
    <s v="SAPBATCH"/>
    <d v="2022-10-31T00:00:00"/>
    <n v="0"/>
    <n v="0.04"/>
  </r>
  <r>
    <x v="0"/>
    <x v="16"/>
    <x v="16"/>
    <s v=""/>
    <s v="DEPT COST ALLOC - 01/2022"/>
    <s v=""/>
    <s v="D"/>
    <s v="1"/>
    <s v="702006"/>
    <s v="SAPBATCH"/>
    <d v="2022-01-31T00:00:00"/>
    <n v="0"/>
    <n v="108.25"/>
  </r>
  <r>
    <x v="0"/>
    <x v="16"/>
    <x v="16"/>
    <s v=""/>
    <s v="DEPT COST ALLOC - 01/2022"/>
    <s v=""/>
    <s v="D"/>
    <s v="1"/>
    <s v="702007"/>
    <s v="SAPBATCH"/>
    <d v="2022-01-31T00:00:00"/>
    <n v="0"/>
    <n v="1176.4100000000001"/>
  </r>
  <r>
    <x v="0"/>
    <x v="16"/>
    <x v="16"/>
    <s v=""/>
    <s v="DEPT COST ALLOC - 02/2022"/>
    <s v=""/>
    <s v="D"/>
    <s v="2"/>
    <s v="701676"/>
    <s v="SAPBATCH"/>
    <d v="2022-02-28T00:00:00"/>
    <n v="0"/>
    <n v="46.68"/>
  </r>
  <r>
    <x v="0"/>
    <x v="16"/>
    <x v="16"/>
    <s v=""/>
    <s v="DEPT COST ALLOC - 02/2022"/>
    <s v=""/>
    <s v="D"/>
    <s v="2"/>
    <s v="702006"/>
    <s v="SAPBATCH"/>
    <d v="2022-02-28T00:00:00"/>
    <n v="0"/>
    <n v="158.88"/>
  </r>
  <r>
    <x v="0"/>
    <x v="16"/>
    <x v="16"/>
    <s v=""/>
    <s v="DEPT COST ALLOC - 02/2022"/>
    <s v=""/>
    <s v="D"/>
    <s v="2"/>
    <s v="702007"/>
    <s v="SAPBATCH"/>
    <d v="2022-02-28T00:00:00"/>
    <n v="0"/>
    <n v="1038.79"/>
  </r>
  <r>
    <x v="0"/>
    <x v="16"/>
    <x v="16"/>
    <s v=""/>
    <s v="DEPT COST ALLOC - 03/2022"/>
    <s v=""/>
    <s v="D"/>
    <s v="3"/>
    <s v="702006"/>
    <s v="SAPBATCH"/>
    <d v="2022-03-31T00:00:00"/>
    <n v="0"/>
    <n v="11.29"/>
  </r>
  <r>
    <x v="0"/>
    <x v="16"/>
    <x v="16"/>
    <s v=""/>
    <s v="DEPT COST ALLOC - 03/2022"/>
    <s v=""/>
    <s v="D"/>
    <s v="3"/>
    <s v="702007"/>
    <s v="SAPBATCH"/>
    <d v="2022-03-31T00:00:00"/>
    <n v="0"/>
    <n v="1085.83"/>
  </r>
  <r>
    <x v="0"/>
    <x v="16"/>
    <x v="16"/>
    <s v=""/>
    <s v="DEPT COST ALLOC - 04/2022"/>
    <s v=""/>
    <s v="D"/>
    <s v="4"/>
    <s v="702006"/>
    <s v="SAPBATCH"/>
    <d v="2022-04-30T00:00:00"/>
    <n v="0"/>
    <n v="75.650000000000006"/>
  </r>
  <r>
    <x v="0"/>
    <x v="16"/>
    <x v="16"/>
    <s v=""/>
    <s v="DEPT COST ALLOC - 04/2022"/>
    <s v=""/>
    <s v="D"/>
    <s v="4"/>
    <s v="702007"/>
    <s v="SAPBATCH"/>
    <d v="2022-04-30T00:00:00"/>
    <n v="0"/>
    <n v="44.94"/>
  </r>
  <r>
    <x v="0"/>
    <x v="16"/>
    <x v="16"/>
    <s v=""/>
    <s v="DEPT COST ALLOC - 05/2022"/>
    <s v=""/>
    <s v="D"/>
    <s v="5"/>
    <s v="702006"/>
    <s v="SAPBATCH"/>
    <d v="2022-05-31T00:00:00"/>
    <n v="0"/>
    <n v="75.91"/>
  </r>
  <r>
    <x v="0"/>
    <x v="16"/>
    <x v="16"/>
    <s v=""/>
    <s v="DEPT COST ALLOC - 05/2022"/>
    <s v=""/>
    <s v="D"/>
    <s v="5"/>
    <s v="702007"/>
    <s v="SAPBATCH"/>
    <d v="2022-05-31T00:00:00"/>
    <n v="0"/>
    <n v="1800.52"/>
  </r>
  <r>
    <x v="0"/>
    <x v="16"/>
    <x v="16"/>
    <s v=""/>
    <s v="DEPT COST ALLOC - 06/2022"/>
    <s v=""/>
    <s v="D"/>
    <s v="6"/>
    <s v="702006"/>
    <s v="SAPBATCH"/>
    <d v="2022-06-30T00:00:00"/>
    <n v="0"/>
    <n v="112.07"/>
  </r>
  <r>
    <x v="0"/>
    <x v="16"/>
    <x v="16"/>
    <s v=""/>
    <s v="DEPT COST ALLOC - 06/2022"/>
    <s v=""/>
    <s v="D"/>
    <s v="6"/>
    <s v="702007"/>
    <s v="SAPBATCH"/>
    <d v="2022-06-30T00:00:00"/>
    <n v="0"/>
    <n v="579.83000000000004"/>
  </r>
  <r>
    <x v="0"/>
    <x v="16"/>
    <x v="16"/>
    <s v=""/>
    <s v="DEPT COST ALLOC - 07/2022"/>
    <s v=""/>
    <s v="D"/>
    <s v="7"/>
    <s v="702006"/>
    <s v="SAPBATCH"/>
    <d v="2022-07-31T00:00:00"/>
    <n v="0"/>
    <n v="34.93"/>
  </r>
  <r>
    <x v="0"/>
    <x v="16"/>
    <x v="16"/>
    <s v=""/>
    <s v="DEPT COST ALLOC - 07/2022"/>
    <s v=""/>
    <s v="D"/>
    <s v="7"/>
    <s v="702007"/>
    <s v="SAPBATCH"/>
    <d v="2022-07-31T00:00:00"/>
    <n v="0"/>
    <n v="566.39"/>
  </r>
  <r>
    <x v="0"/>
    <x v="16"/>
    <x v="16"/>
    <s v=""/>
    <s v="DEPT COST ALLOC - 10/2022"/>
    <s v=""/>
    <s v="D"/>
    <s v="10"/>
    <s v="701676"/>
    <s v="SAPBATCH"/>
    <d v="2022-10-31T00:00:00"/>
    <n v="0"/>
    <n v="59.13"/>
  </r>
  <r>
    <x v="0"/>
    <x v="17"/>
    <x v="17"/>
    <s v=""/>
    <s v="DEPT COST ALLOC - 10/2022"/>
    <s v=""/>
    <s v="D"/>
    <s v="10"/>
    <s v="701676"/>
    <s v="SAPBATCH"/>
    <d v="2022-10-31T00:00:00"/>
    <n v="0"/>
    <n v="3.27"/>
  </r>
  <r>
    <x v="0"/>
    <x v="18"/>
    <x v="18"/>
    <s v=""/>
    <s v="DEPT COST ALLOC - 01/2022"/>
    <s v=""/>
    <s v="D"/>
    <s v="1"/>
    <s v="702007"/>
    <s v="SAPBATCH"/>
    <d v="2022-01-31T00:00:00"/>
    <n v="0"/>
    <n v="183.66"/>
  </r>
  <r>
    <x v="0"/>
    <x v="18"/>
    <x v="18"/>
    <s v=""/>
    <s v="DEPT COST ALLOC - 03/2022"/>
    <s v=""/>
    <s v="D"/>
    <s v="3"/>
    <s v="702007"/>
    <s v="SAPBATCH"/>
    <d v="2022-03-31T00:00:00"/>
    <n v="0"/>
    <n v="207.77"/>
  </r>
  <r>
    <x v="0"/>
    <x v="18"/>
    <x v="18"/>
    <s v=""/>
    <s v="DEPT COST ALLOC - 04/2022"/>
    <s v=""/>
    <s v="D"/>
    <s v="4"/>
    <s v="702007"/>
    <s v="SAPBATCH"/>
    <d v="2022-04-30T00:00:00"/>
    <n v="0"/>
    <n v="-0.33"/>
  </r>
  <r>
    <x v="0"/>
    <x v="18"/>
    <x v="18"/>
    <s v=""/>
    <s v="DEPT COST ALLOC - 05/2022"/>
    <s v=""/>
    <s v="D"/>
    <s v="5"/>
    <s v="702007"/>
    <s v="SAPBATCH"/>
    <d v="2022-05-31T00:00:00"/>
    <n v="0"/>
    <n v="232.16"/>
  </r>
  <r>
    <x v="0"/>
    <x v="18"/>
    <x v="18"/>
    <s v=""/>
    <s v="DEPT COST ALLOC - 06/2022"/>
    <s v=""/>
    <s v="D"/>
    <s v="6"/>
    <s v="702007"/>
    <s v="SAPBATCH"/>
    <d v="2022-06-30T00:00:00"/>
    <n v="0"/>
    <n v="43.21"/>
  </r>
  <r>
    <x v="0"/>
    <x v="18"/>
    <x v="18"/>
    <s v=""/>
    <s v="DEPT COST ALLOC - 07/2022"/>
    <s v=""/>
    <s v="D"/>
    <s v="7"/>
    <s v="702006"/>
    <s v="SAPBATCH"/>
    <d v="2022-07-31T00:00:00"/>
    <n v="0"/>
    <n v="2191.3000000000002"/>
  </r>
  <r>
    <x v="0"/>
    <x v="18"/>
    <x v="18"/>
    <s v=""/>
    <s v="DEPT COST ALLOC - 07/2022"/>
    <s v=""/>
    <s v="D"/>
    <s v="7"/>
    <s v="702007"/>
    <s v="SAPBATCH"/>
    <d v="2022-07-31T00:00:00"/>
    <n v="0"/>
    <n v="-349.44"/>
  </r>
  <r>
    <x v="0"/>
    <x v="18"/>
    <x v="18"/>
    <s v=""/>
    <s v="DEPT COST ALLOC - 10/2022"/>
    <s v=""/>
    <s v="D"/>
    <s v="10"/>
    <s v="701676"/>
    <s v="SAPBATCH"/>
    <d v="2022-10-31T00:00:00"/>
    <n v="0"/>
    <n v="1"/>
  </r>
  <r>
    <x v="0"/>
    <x v="19"/>
    <x v="19"/>
    <s v=""/>
    <s v="DEPT COST ALLOC - 01/2022"/>
    <s v=""/>
    <s v="D"/>
    <s v="1"/>
    <s v="702006"/>
    <s v="SAPBATCH"/>
    <d v="2022-01-31T00:00:00"/>
    <n v="0"/>
    <n v="-595.16999999999996"/>
  </r>
  <r>
    <x v="0"/>
    <x v="19"/>
    <x v="19"/>
    <s v=""/>
    <s v="DEPT COST ALLOC - 01/2022"/>
    <s v=""/>
    <s v="D"/>
    <s v="1"/>
    <s v="702007"/>
    <s v="SAPBATCH"/>
    <d v="2022-01-31T00:00:00"/>
    <n v="0"/>
    <n v="1668.81"/>
  </r>
  <r>
    <x v="0"/>
    <x v="19"/>
    <x v="19"/>
    <s v=""/>
    <s v="DEPT COST ALLOC - 02/2022"/>
    <s v=""/>
    <s v="D"/>
    <s v="2"/>
    <s v="701676"/>
    <s v="SAPBATCH"/>
    <d v="2022-02-28T00:00:00"/>
    <n v="0"/>
    <n v="-19.32"/>
  </r>
  <r>
    <x v="0"/>
    <x v="19"/>
    <x v="19"/>
    <s v=""/>
    <s v="DEPT COST ALLOC - 02/2022"/>
    <s v=""/>
    <s v="D"/>
    <s v="2"/>
    <s v="702006"/>
    <s v="SAPBATCH"/>
    <d v="2022-02-28T00:00:00"/>
    <n v="0"/>
    <n v="-1547.99"/>
  </r>
  <r>
    <x v="0"/>
    <x v="19"/>
    <x v="19"/>
    <s v=""/>
    <s v="DEPT COST ALLOC - 02/2022"/>
    <s v=""/>
    <s v="D"/>
    <s v="2"/>
    <s v="702007"/>
    <s v="SAPBATCH"/>
    <d v="2022-02-28T00:00:00"/>
    <n v="0"/>
    <n v="811.58"/>
  </r>
  <r>
    <x v="0"/>
    <x v="19"/>
    <x v="19"/>
    <s v=""/>
    <s v="DEPT COST ALLOC - 03/2022"/>
    <s v=""/>
    <s v="D"/>
    <s v="3"/>
    <s v="702006"/>
    <s v="SAPBATCH"/>
    <d v="2022-03-31T00:00:00"/>
    <n v="0"/>
    <n v="1923.19"/>
  </r>
  <r>
    <x v="0"/>
    <x v="19"/>
    <x v="19"/>
    <s v=""/>
    <s v="DEPT COST ALLOC - 03/2022"/>
    <s v=""/>
    <s v="D"/>
    <s v="3"/>
    <s v="702007"/>
    <s v="SAPBATCH"/>
    <d v="2022-03-31T00:00:00"/>
    <n v="0"/>
    <n v="1484.01"/>
  </r>
  <r>
    <x v="0"/>
    <x v="19"/>
    <x v="19"/>
    <s v=""/>
    <s v="DEPT COST ALLOC - 04/2022"/>
    <s v=""/>
    <s v="D"/>
    <s v="4"/>
    <s v="702006"/>
    <s v="SAPBATCH"/>
    <d v="2022-04-30T00:00:00"/>
    <n v="0"/>
    <n v="320.19"/>
  </r>
  <r>
    <x v="0"/>
    <x v="19"/>
    <x v="19"/>
    <s v=""/>
    <s v="DEPT COST ALLOC - 04/2022"/>
    <s v=""/>
    <s v="D"/>
    <s v="4"/>
    <s v="702007"/>
    <s v="SAPBATCH"/>
    <d v="2022-04-30T00:00:00"/>
    <n v="0"/>
    <n v="7.88"/>
  </r>
  <r>
    <x v="0"/>
    <x v="19"/>
    <x v="19"/>
    <s v=""/>
    <s v="DEPT COST ALLOC - 05/2022"/>
    <s v=""/>
    <s v="D"/>
    <s v="5"/>
    <s v="702006"/>
    <s v="SAPBATCH"/>
    <d v="2022-05-31T00:00:00"/>
    <n v="0"/>
    <n v="-1633.12"/>
  </r>
  <r>
    <x v="0"/>
    <x v="19"/>
    <x v="19"/>
    <s v=""/>
    <s v="DEPT COST ALLOC - 05/2022"/>
    <s v=""/>
    <s v="D"/>
    <s v="5"/>
    <s v="702007"/>
    <s v="SAPBATCH"/>
    <d v="2022-05-31T00:00:00"/>
    <n v="0"/>
    <n v="3572.76"/>
  </r>
  <r>
    <x v="0"/>
    <x v="19"/>
    <x v="19"/>
    <s v=""/>
    <s v="DEPT COST ALLOC - 06/2022"/>
    <s v=""/>
    <s v="D"/>
    <s v="6"/>
    <s v="702006"/>
    <s v="SAPBATCH"/>
    <d v="2022-06-30T00:00:00"/>
    <n v="0"/>
    <n v="-3586.43"/>
  </r>
  <r>
    <x v="0"/>
    <x v="19"/>
    <x v="19"/>
    <s v=""/>
    <s v="DEPT COST ALLOC - 06/2022"/>
    <s v=""/>
    <s v="D"/>
    <s v="6"/>
    <s v="702007"/>
    <s v="SAPBATCH"/>
    <d v="2022-06-30T00:00:00"/>
    <n v="0"/>
    <n v="722.11"/>
  </r>
  <r>
    <x v="0"/>
    <x v="19"/>
    <x v="19"/>
    <s v=""/>
    <s v="DEPT COST ALLOC - 07/2022"/>
    <s v=""/>
    <s v="D"/>
    <s v="7"/>
    <s v="700631"/>
    <s v="SAPBATCH"/>
    <d v="2022-07-31T00:00:00"/>
    <n v="0"/>
    <n v="27797.55"/>
  </r>
  <r>
    <x v="0"/>
    <x v="19"/>
    <x v="19"/>
    <s v=""/>
    <s v="DEPT COST ALLOC - 07/2022"/>
    <s v=""/>
    <s v="D"/>
    <s v="7"/>
    <s v="702006"/>
    <s v="SAPBATCH"/>
    <d v="2022-07-31T00:00:00"/>
    <n v="0"/>
    <n v="3300.65"/>
  </r>
  <r>
    <x v="0"/>
    <x v="19"/>
    <x v="19"/>
    <s v=""/>
    <s v="DEPT COST ALLOC - 07/2022"/>
    <s v=""/>
    <s v="D"/>
    <s v="7"/>
    <s v="702007"/>
    <s v="SAPBATCH"/>
    <d v="2022-07-31T00:00:00"/>
    <n v="0"/>
    <n v="3317.92"/>
  </r>
  <r>
    <x v="0"/>
    <x v="19"/>
    <x v="19"/>
    <s v=""/>
    <s v="DEPT COST ALLOC - 08/2022"/>
    <s v=""/>
    <s v="D"/>
    <s v="8"/>
    <s v="700631"/>
    <s v="SAPBATCH"/>
    <d v="2022-08-31T00:00:00"/>
    <n v="0"/>
    <n v="-1432.02"/>
  </r>
  <r>
    <x v="0"/>
    <x v="19"/>
    <x v="19"/>
    <s v=""/>
    <s v="DEPT COST ALLOC - 09/2022"/>
    <s v=""/>
    <s v="D"/>
    <s v="9"/>
    <s v="700631"/>
    <s v="SAPBATCH"/>
    <d v="2022-09-30T00:00:00"/>
    <n v="0"/>
    <n v="-5067.53"/>
  </r>
  <r>
    <x v="0"/>
    <x v="19"/>
    <x v="19"/>
    <s v=""/>
    <s v="DEPT COST ALLOC - 10/2022"/>
    <s v=""/>
    <s v="D"/>
    <s v="10"/>
    <s v="700631"/>
    <s v="SAPBATCH"/>
    <d v="2022-10-31T00:00:00"/>
    <n v="0"/>
    <n v="-1169.8699999999999"/>
  </r>
  <r>
    <x v="0"/>
    <x v="19"/>
    <x v="19"/>
    <s v=""/>
    <s v="DEPT COST ALLOC - 10/2022"/>
    <s v=""/>
    <s v="D"/>
    <s v="10"/>
    <s v="701676"/>
    <s v="SAPBATCH"/>
    <d v="2022-10-31T00:00:00"/>
    <n v="0"/>
    <n v="4.96"/>
  </r>
  <r>
    <x v="0"/>
    <x v="19"/>
    <x v="19"/>
    <s v=""/>
    <s v="DEPT COST ALLOC - 11/2022"/>
    <s v=""/>
    <s v="D"/>
    <s v="11"/>
    <s v="700631"/>
    <s v="SAPBATCH"/>
    <d v="2022-11-30T00:00:00"/>
    <n v="0"/>
    <n v="5845.24"/>
  </r>
  <r>
    <x v="0"/>
    <x v="19"/>
    <x v="19"/>
    <s v=""/>
    <s v="DEPT COST ALLOC - 12/2022"/>
    <s v=""/>
    <s v="D"/>
    <s v="12"/>
    <s v="700631"/>
    <s v="SAPBATCH"/>
    <d v="2022-12-31T00:00:00"/>
    <n v="0"/>
    <n v="7047.92"/>
  </r>
  <r>
    <x v="0"/>
    <x v="20"/>
    <x v="20"/>
    <s v=""/>
    <s v="WBS EXTAFFRS.ALLOC7"/>
    <s v=""/>
    <s v="D"/>
    <s v="9"/>
    <s v=""/>
    <s v="JULIA43"/>
    <d v="2022-09-30T00:00:00"/>
    <n v="0"/>
    <n v="1000"/>
  </r>
  <r>
    <x v="0"/>
    <x v="20"/>
    <x v="20"/>
    <s v=""/>
    <s v="WBS EXTAFFRS.ALLOC7"/>
    <s v=""/>
    <s v="D"/>
    <s v="10"/>
    <s v=""/>
    <s v="JULIA43"/>
    <d v="2022-10-31T00:00:00"/>
    <n v="0"/>
    <n v="5000"/>
  </r>
  <r>
    <x v="0"/>
    <x v="20"/>
    <x v="20"/>
    <s v=""/>
    <s v="WBS EXTAFFRS.ALLOC7"/>
    <s v=""/>
    <s v="D"/>
    <s v="10"/>
    <s v=""/>
    <s v="JULIA43"/>
    <d v="2022-10-31T00:00:00"/>
    <n v="0"/>
    <n v="64500"/>
  </r>
  <r>
    <x v="0"/>
    <x v="20"/>
    <x v="20"/>
    <s v=""/>
    <s v="WBS EXTAFFRS.ALLOC7"/>
    <s v=""/>
    <s v="D"/>
    <s v="11"/>
    <s v=""/>
    <s v="EKATER2"/>
    <d v="2022-11-30T00:00:00"/>
    <n v="0"/>
    <n v="10000"/>
  </r>
  <r>
    <x v="0"/>
    <x v="21"/>
    <x v="21"/>
    <s v=""/>
    <s v="WBS EXTAFFRS.ALLOC7"/>
    <s v=""/>
    <s v="D"/>
    <s v="10"/>
    <s v=""/>
    <s v="JULIA43"/>
    <d v="2022-10-31T00:00:00"/>
    <n v="0"/>
    <n v="8000"/>
  </r>
  <r>
    <x v="0"/>
    <x v="21"/>
    <x v="21"/>
    <s v=""/>
    <s v="WBS EXTAFFRS.ALLOC7"/>
    <s v=""/>
    <s v="D"/>
    <s v="12"/>
    <s v=""/>
    <s v="EKATER2"/>
    <d v="2022-12-31T00:00:00"/>
    <n v="0"/>
    <n v="32500"/>
  </r>
  <r>
    <x v="0"/>
    <x v="21"/>
    <x v="21"/>
    <s v=""/>
    <s v="WBS EXTAFFRS.ALLOC7"/>
    <s v=""/>
    <s v="D"/>
    <s v="12"/>
    <s v=""/>
    <s v="EKATER2"/>
    <d v="2022-12-31T00:00:00"/>
    <n v="0"/>
    <n v="12500"/>
  </r>
  <r>
    <x v="0"/>
    <x v="22"/>
    <x v="22"/>
    <s v="Rey Butcher"/>
    <s v=""/>
    <s v=""/>
    <s v="D"/>
    <s v="1"/>
    <s v="702006"/>
    <s v="TRACIE4"/>
    <d v="2022-01-05T00:00:00"/>
    <n v="24"/>
    <n v="2858.45"/>
  </r>
  <r>
    <x v="0"/>
    <x v="22"/>
    <x v="22"/>
    <s v="Rey Butcher"/>
    <s v=""/>
    <s v=""/>
    <s v="D"/>
    <s v="1"/>
    <s v="702006"/>
    <s v="TRACIE4"/>
    <d v="2022-01-08T00:00:00"/>
    <n v="16"/>
    <n v="1905.63"/>
  </r>
  <r>
    <x v="0"/>
    <x v="22"/>
    <x v="22"/>
    <s v="Jill M Burton"/>
    <s v=""/>
    <s v=""/>
    <s v="D"/>
    <s v="1"/>
    <s v="702007"/>
    <s v="TRACIE4"/>
    <d v="2022-01-08T00:00:00"/>
    <n v="40"/>
    <n v="2071.4299999999998"/>
  </r>
  <r>
    <x v="0"/>
    <x v="22"/>
    <x v="22"/>
    <s v="Rey Butcher"/>
    <s v=""/>
    <s v=""/>
    <s v="D"/>
    <s v="1"/>
    <s v="702006"/>
    <s v="TRACIE4"/>
    <d v="2022-01-15T00:00:00"/>
    <n v="40"/>
    <n v="4764.08"/>
  </r>
  <r>
    <x v="0"/>
    <x v="22"/>
    <x v="22"/>
    <s v="Jill M Burton"/>
    <s v=""/>
    <s v=""/>
    <s v="D"/>
    <s v="1"/>
    <s v="702007"/>
    <s v="TRACIE4"/>
    <d v="2022-01-15T00:00:00"/>
    <n v="40"/>
    <n v="2071.4299999999998"/>
  </r>
  <r>
    <x v="0"/>
    <x v="22"/>
    <x v="22"/>
    <s v="Rey Butcher"/>
    <s v=""/>
    <s v=""/>
    <s v="D"/>
    <s v="1"/>
    <s v="702006"/>
    <s v="TRACIE4"/>
    <d v="2022-01-22T00:00:00"/>
    <n v="32"/>
    <n v="3811.26"/>
  </r>
  <r>
    <x v="0"/>
    <x v="22"/>
    <x v="22"/>
    <s v="Jill M Burton"/>
    <s v=""/>
    <s v=""/>
    <s v="D"/>
    <s v="1"/>
    <s v="702007"/>
    <s v="TRACIE4"/>
    <d v="2022-01-22T00:00:00"/>
    <n v="32"/>
    <n v="1657.14"/>
  </r>
  <r>
    <x v="0"/>
    <x v="22"/>
    <x v="22"/>
    <s v="Rey Butcher"/>
    <s v=""/>
    <s v=""/>
    <s v="D"/>
    <s v="1"/>
    <s v="702006"/>
    <s v="SAPBATCH"/>
    <d v="2022-01-31T00:00:00"/>
    <n v="40"/>
    <n v="4764.08"/>
  </r>
  <r>
    <x v="0"/>
    <x v="22"/>
    <x v="22"/>
    <s v="Jill M Burton"/>
    <s v=""/>
    <s v=""/>
    <s v="D"/>
    <s v="1"/>
    <s v="702007"/>
    <s v="SAPBATCH"/>
    <d v="2022-01-31T00:00:00"/>
    <n v="48"/>
    <n v="2485.71"/>
  </r>
  <r>
    <x v="0"/>
    <x v="22"/>
    <x v="22"/>
    <s v="Rey Butcher"/>
    <s v=""/>
    <s v=""/>
    <s v="D"/>
    <s v="2"/>
    <s v="702006"/>
    <s v="ALAMEL1"/>
    <d v="2022-02-02T00:00:00"/>
    <n v="16"/>
    <n v="1905.63"/>
  </r>
  <r>
    <x v="0"/>
    <x v="22"/>
    <x v="22"/>
    <s v="Jill M Burton"/>
    <s v=""/>
    <s v=""/>
    <s v="D"/>
    <s v="2"/>
    <s v="702007"/>
    <s v="ALAMEL1"/>
    <d v="2022-02-02T00:00:00"/>
    <n v="16"/>
    <n v="828.57"/>
  </r>
  <r>
    <x v="0"/>
    <x v="22"/>
    <x v="22"/>
    <s v="Rey Butcher"/>
    <s v=""/>
    <s v=""/>
    <s v="D"/>
    <s v="2"/>
    <s v="702006"/>
    <s v="ALAMEL1"/>
    <d v="2022-02-01T00:00:00"/>
    <n v="8"/>
    <n v="952.82"/>
  </r>
  <r>
    <x v="0"/>
    <x v="22"/>
    <x v="22"/>
    <s v="Rey Butcher"/>
    <s v=""/>
    <s v=""/>
    <s v="D"/>
    <s v="2"/>
    <s v="702006"/>
    <s v="ALAMEL1"/>
    <d v="2022-02-05T00:00:00"/>
    <n v="16"/>
    <n v="1905.63"/>
  </r>
  <r>
    <x v="0"/>
    <x v="22"/>
    <x v="22"/>
    <s v="Jill M Burton"/>
    <s v=""/>
    <s v=""/>
    <s v="D"/>
    <s v="2"/>
    <s v="702007"/>
    <s v="ALAMEL1"/>
    <d v="2022-02-05T00:00:00"/>
    <n v="16"/>
    <n v="828.57"/>
  </r>
  <r>
    <x v="0"/>
    <x v="22"/>
    <x v="22"/>
    <s v="Rey Butcher"/>
    <s v=""/>
    <s v=""/>
    <s v="D"/>
    <s v="2"/>
    <s v="702006"/>
    <s v="ALAMEL1"/>
    <d v="2022-02-12T00:00:00"/>
    <n v="40"/>
    <n v="4764.08"/>
  </r>
  <r>
    <x v="0"/>
    <x v="22"/>
    <x v="22"/>
    <s v="Jill M Burton"/>
    <s v=""/>
    <s v=""/>
    <s v="D"/>
    <s v="2"/>
    <s v="702007"/>
    <s v="ALAMEL1"/>
    <d v="2022-02-12T00:00:00"/>
    <n v="40"/>
    <n v="2071.4299999999998"/>
  </r>
  <r>
    <x v="0"/>
    <x v="22"/>
    <x v="22"/>
    <s v="Rey Butcher"/>
    <s v=""/>
    <s v=""/>
    <s v="D"/>
    <s v="2"/>
    <s v="702006"/>
    <s v="ALAMEL1"/>
    <d v="2022-02-19T00:00:00"/>
    <n v="40"/>
    <n v="4764.08"/>
  </r>
  <r>
    <x v="0"/>
    <x v="22"/>
    <x v="22"/>
    <s v="Jill M Burton"/>
    <s v=""/>
    <s v=""/>
    <s v="D"/>
    <s v="2"/>
    <s v="702007"/>
    <s v="ALAMEL1"/>
    <d v="2022-02-19T00:00:00"/>
    <n v="40"/>
    <n v="2071.4299999999998"/>
  </r>
  <r>
    <x v="0"/>
    <x v="22"/>
    <x v="22"/>
    <s v="Jill M Burton"/>
    <s v=""/>
    <s v=""/>
    <s v="D"/>
    <s v="3"/>
    <s v="702007"/>
    <s v="ALEX159"/>
    <d v="2022-03-01T00:00:00"/>
    <n v="16"/>
    <n v="849.31"/>
  </r>
  <r>
    <x v="0"/>
    <x v="22"/>
    <x v="22"/>
    <s v="Rey Butcher"/>
    <s v=""/>
    <s v=""/>
    <s v="D"/>
    <s v="2"/>
    <s v="702006"/>
    <s v="SAPBATCH"/>
    <d v="2022-02-28T00:00:00"/>
    <n v="40"/>
    <n v="4764.08"/>
  </r>
  <r>
    <x v="0"/>
    <x v="22"/>
    <x v="22"/>
    <s v="Jill M Burton"/>
    <s v=""/>
    <s v=""/>
    <s v="D"/>
    <s v="2"/>
    <s v="702007"/>
    <s v="SAPBATCH"/>
    <d v="2022-02-28T00:00:00"/>
    <n v="48"/>
    <n v="2485.71"/>
  </r>
  <r>
    <x v="0"/>
    <x v="22"/>
    <x v="22"/>
    <s v="Carolyn Perry"/>
    <s v=""/>
    <s v=""/>
    <s v="D"/>
    <s v="2"/>
    <s v="701676"/>
    <s v="SAPBATCH"/>
    <d v="2022-02-01T00:00:00"/>
    <n v="1"/>
    <n v="104.05"/>
  </r>
  <r>
    <x v="0"/>
    <x v="22"/>
    <x v="22"/>
    <s v="Rey Butcher"/>
    <s v=""/>
    <s v=""/>
    <s v="D"/>
    <s v="3"/>
    <s v="702006"/>
    <s v="ALEX159"/>
    <d v="2022-03-01T00:00:00"/>
    <n v="8"/>
    <n v="976.66"/>
  </r>
  <r>
    <x v="0"/>
    <x v="22"/>
    <x v="22"/>
    <s v="Rey Butcher"/>
    <s v=""/>
    <s v=""/>
    <s v="D"/>
    <s v="3"/>
    <s v="702006"/>
    <s v="ALEX159"/>
    <d v="2022-03-05T00:00:00"/>
    <n v="32"/>
    <n v="3906.62"/>
  </r>
  <r>
    <x v="0"/>
    <x v="22"/>
    <x v="22"/>
    <s v="Jill M Burton"/>
    <s v=""/>
    <s v=""/>
    <s v="D"/>
    <s v="3"/>
    <s v="702007"/>
    <s v="ALEX159"/>
    <d v="2022-03-05T00:00:00"/>
    <n v="16"/>
    <n v="849.31"/>
  </r>
  <r>
    <x v="0"/>
    <x v="22"/>
    <x v="22"/>
    <s v="Jill M Burton"/>
    <s v=""/>
    <s v=""/>
    <s v="D"/>
    <s v="3"/>
    <s v="702007"/>
    <s v="ALEX159"/>
    <d v="2022-03-12T00:00:00"/>
    <n v="40"/>
    <n v="2123.2600000000002"/>
  </r>
  <r>
    <x v="0"/>
    <x v="22"/>
    <x v="22"/>
    <s v="Rey Butcher"/>
    <s v=""/>
    <s v=""/>
    <s v="D"/>
    <s v="3"/>
    <s v="702006"/>
    <s v="TRACIE4"/>
    <d v="2022-03-19T00:00:00"/>
    <n v="48"/>
    <n v="5859.94"/>
  </r>
  <r>
    <x v="0"/>
    <x v="22"/>
    <x v="22"/>
    <s v="Rey Butcher"/>
    <s v=""/>
    <s v=""/>
    <s v="D"/>
    <s v="3"/>
    <s v="702006"/>
    <s v="ALEX159"/>
    <d v="2022-03-26T00:00:00"/>
    <n v="24"/>
    <n v="2929.97"/>
  </r>
  <r>
    <x v="0"/>
    <x v="22"/>
    <x v="22"/>
    <s v="Jill M Burton"/>
    <s v=""/>
    <s v=""/>
    <s v="D"/>
    <s v="3"/>
    <s v="702007"/>
    <s v="ALEX159"/>
    <d v="2022-03-26T00:00:00"/>
    <n v="80"/>
    <n v="4246.53"/>
  </r>
  <r>
    <x v="0"/>
    <x v="22"/>
    <x v="22"/>
    <s v="Rey Butcher"/>
    <s v=""/>
    <s v=""/>
    <s v="D"/>
    <s v="3"/>
    <s v="702006"/>
    <s v="SAPBATCH"/>
    <d v="2022-03-31T00:00:00"/>
    <n v="32"/>
    <n v="3906.62"/>
  </r>
  <r>
    <x v="0"/>
    <x v="22"/>
    <x v="22"/>
    <s v="Jill M Burton"/>
    <s v=""/>
    <s v=""/>
    <s v="D"/>
    <s v="3"/>
    <s v="702007"/>
    <s v="SAPBATCH"/>
    <d v="2022-03-31T00:00:00"/>
    <n v="32"/>
    <n v="1698.61"/>
  </r>
  <r>
    <x v="0"/>
    <x v="22"/>
    <x v="22"/>
    <s v="Rey Butcher"/>
    <s v=""/>
    <s v=""/>
    <s v="D"/>
    <s v="4"/>
    <s v="702006"/>
    <s v="TINA083"/>
    <d v="2022-04-02T00:00:00"/>
    <n v="8"/>
    <n v="976.66"/>
  </r>
  <r>
    <x v="0"/>
    <x v="22"/>
    <x v="22"/>
    <s v="Jill M Burton"/>
    <s v=""/>
    <s v=""/>
    <s v="D"/>
    <s v="4"/>
    <s v="702007"/>
    <s v="TINA083"/>
    <d v="2022-04-02T00:00:00"/>
    <n v="8"/>
    <n v="424.65"/>
  </r>
  <r>
    <x v="0"/>
    <x v="22"/>
    <x v="22"/>
    <s v="Rey Butcher"/>
    <s v=""/>
    <s v=""/>
    <s v="D"/>
    <s v="4"/>
    <s v="702006"/>
    <s v="ALEX159"/>
    <d v="2022-04-16T00:00:00"/>
    <n v="56"/>
    <n v="6836.59"/>
  </r>
  <r>
    <x v="0"/>
    <x v="22"/>
    <x v="22"/>
    <s v="Rey Butcher"/>
    <s v=""/>
    <s v=""/>
    <s v="D"/>
    <s v="4"/>
    <s v="702006"/>
    <s v="TRACIE4"/>
    <d v="2022-04-23T00:00:00"/>
    <n v="40"/>
    <n v="4883.28"/>
  </r>
  <r>
    <x v="0"/>
    <x v="22"/>
    <x v="22"/>
    <s v="Rey Butcher"/>
    <s v=""/>
    <s v=""/>
    <s v="D"/>
    <s v="4"/>
    <s v="702006"/>
    <s v="SAPBATCH"/>
    <d v="2022-04-30T00:00:00"/>
    <n v="40"/>
    <n v="4883.28"/>
  </r>
  <r>
    <x v="0"/>
    <x v="22"/>
    <x v="22"/>
    <s v="Rey Butcher"/>
    <s v=""/>
    <s v=""/>
    <s v="D"/>
    <s v="5"/>
    <s v="702006"/>
    <s v="ALAMEL1"/>
    <d v="2022-05-07T00:00:00"/>
    <n v="40"/>
    <n v="4883.28"/>
  </r>
  <r>
    <x v="0"/>
    <x v="22"/>
    <x v="22"/>
    <s v="Jill M Burton"/>
    <s v=""/>
    <s v=""/>
    <s v="D"/>
    <s v="5"/>
    <s v="702007"/>
    <s v="ALAMEL1"/>
    <d v="2022-05-01T00:00:00"/>
    <n v="152"/>
    <n v="8068.4"/>
  </r>
  <r>
    <x v="0"/>
    <x v="22"/>
    <x v="22"/>
    <s v="Jill M Burton"/>
    <s v=""/>
    <s v=""/>
    <s v="D"/>
    <s v="5"/>
    <s v="702007"/>
    <s v="TINA083"/>
    <d v="2022-05-07T00:00:00"/>
    <n v="40"/>
    <n v="2123.2600000000002"/>
  </r>
  <r>
    <x v="0"/>
    <x v="22"/>
    <x v="22"/>
    <s v="Rey Butcher"/>
    <s v=""/>
    <s v=""/>
    <s v="D"/>
    <s v="5"/>
    <s v="702006"/>
    <s v="ALEX159"/>
    <d v="2022-05-14T00:00:00"/>
    <n v="32"/>
    <n v="3906.62"/>
  </r>
  <r>
    <x v="0"/>
    <x v="22"/>
    <x v="22"/>
    <s v="Jill M Burton"/>
    <s v=""/>
    <s v=""/>
    <s v="D"/>
    <s v="5"/>
    <s v="702007"/>
    <s v="ALEX159"/>
    <d v="2022-05-14T00:00:00"/>
    <n v="40"/>
    <n v="2123.2600000000002"/>
  </r>
  <r>
    <x v="0"/>
    <x v="22"/>
    <x v="22"/>
    <s v="Rey Butcher"/>
    <s v=""/>
    <s v=""/>
    <s v="D"/>
    <s v="5"/>
    <s v="702006"/>
    <s v="ALEX159"/>
    <d v="2022-05-21T00:00:00"/>
    <n v="40"/>
    <n v="4883.28"/>
  </r>
  <r>
    <x v="0"/>
    <x v="22"/>
    <x v="22"/>
    <s v="Rey Butcher"/>
    <s v=""/>
    <s v=""/>
    <s v="D"/>
    <s v="5"/>
    <s v="702006"/>
    <s v="SAPBATCH"/>
    <d v="2022-05-31T00:00:00"/>
    <n v="48"/>
    <n v="5859.94"/>
  </r>
  <r>
    <x v="0"/>
    <x v="22"/>
    <x v="22"/>
    <s v="Jill M Burton"/>
    <s v=""/>
    <s v=""/>
    <s v="D"/>
    <s v="5"/>
    <s v="702007"/>
    <s v="SAPBATCH"/>
    <d v="2022-05-31T00:00:00"/>
    <n v="80"/>
    <n v="4246.53"/>
  </r>
  <r>
    <x v="0"/>
    <x v="22"/>
    <x v="22"/>
    <s v="Rey Butcher"/>
    <s v=""/>
    <s v=""/>
    <s v="D"/>
    <s v="6"/>
    <s v="702006"/>
    <s v="ALEX159"/>
    <d v="2022-06-04T00:00:00"/>
    <n v="24"/>
    <n v="2929.97"/>
  </r>
  <r>
    <x v="0"/>
    <x v="22"/>
    <x v="22"/>
    <s v="Rey Butcher"/>
    <s v=""/>
    <s v=""/>
    <s v="D"/>
    <s v="6"/>
    <s v="702006"/>
    <s v="ALAMEL1"/>
    <d v="2022-06-11T00:00:00"/>
    <n v="40"/>
    <n v="4883.28"/>
  </r>
  <r>
    <x v="0"/>
    <x v="22"/>
    <x v="22"/>
    <s v="Rey Butcher"/>
    <s v=""/>
    <s v=""/>
    <s v="D"/>
    <s v="6"/>
    <s v="702006"/>
    <s v="ALAMEL1"/>
    <d v="2022-06-18T00:00:00"/>
    <n v="40"/>
    <n v="4883.28"/>
  </r>
  <r>
    <x v="0"/>
    <x v="22"/>
    <x v="22"/>
    <s v="Jill M Burton"/>
    <s v=""/>
    <s v=""/>
    <s v="D"/>
    <s v="6"/>
    <s v="702007"/>
    <s v="ALAMEL1"/>
    <d v="2022-06-18T00:00:00"/>
    <n v="40"/>
    <n v="2123.2600000000002"/>
  </r>
  <r>
    <x v="0"/>
    <x v="22"/>
    <x v="22"/>
    <s v="Rey Butcher"/>
    <s v=""/>
    <s v=""/>
    <s v="D"/>
    <s v="6"/>
    <s v="702006"/>
    <s v="ALAMEL1"/>
    <d v="2022-06-25T00:00:00"/>
    <n v="40"/>
    <n v="4883.28"/>
  </r>
  <r>
    <x v="0"/>
    <x v="22"/>
    <x v="22"/>
    <s v="Jill M Burton"/>
    <s v=""/>
    <s v=""/>
    <s v="D"/>
    <s v="6"/>
    <s v="702007"/>
    <s v="ALAMEL1"/>
    <d v="2022-06-25T00:00:00"/>
    <n v="40"/>
    <n v="2123.2600000000002"/>
  </r>
  <r>
    <x v="0"/>
    <x v="22"/>
    <x v="22"/>
    <s v="Rey Butcher"/>
    <s v=""/>
    <s v=""/>
    <s v="D"/>
    <s v="6"/>
    <s v="702006"/>
    <s v="SAPBATCH"/>
    <d v="2022-06-30T00:00:00"/>
    <n v="32"/>
    <n v="3906.62"/>
  </r>
  <r>
    <x v="0"/>
    <x v="22"/>
    <x v="22"/>
    <s v="Rey Butcher"/>
    <s v=""/>
    <s v=""/>
    <s v="D"/>
    <s v="7"/>
    <s v="702006"/>
    <s v="ALEX159"/>
    <d v="2022-07-02T00:00:00"/>
    <n v="8"/>
    <n v="976.66"/>
  </r>
  <r>
    <x v="0"/>
    <x v="22"/>
    <x v="22"/>
    <s v="Jill M Burton"/>
    <s v=""/>
    <s v=""/>
    <s v="D"/>
    <s v="7"/>
    <s v="702007"/>
    <s v="ALEX159"/>
    <d v="2022-07-02T00:00:00"/>
    <n v="8"/>
    <n v="424.65"/>
  </r>
  <r>
    <x v="0"/>
    <x v="22"/>
    <x v="22"/>
    <s v="Jill M Burton"/>
    <s v=""/>
    <s v=""/>
    <s v="D"/>
    <s v="7"/>
    <s v="702007"/>
    <s v="ALEX159"/>
    <d v="2022-07-01T00:00:00"/>
    <n v="32"/>
    <n v="1698.61"/>
  </r>
  <r>
    <x v="0"/>
    <x v="22"/>
    <x v="22"/>
    <s v="Rey Butcher"/>
    <s v=""/>
    <s v=""/>
    <s v="D"/>
    <s v="7"/>
    <s v="702006"/>
    <s v="ALEX159"/>
    <d v="2022-07-09T00:00:00"/>
    <n v="32"/>
    <n v="3906.62"/>
  </r>
  <r>
    <x v="0"/>
    <x v="22"/>
    <x v="22"/>
    <s v="Jill M Burton"/>
    <s v=""/>
    <s v=""/>
    <s v="D"/>
    <s v="7"/>
    <s v="702007"/>
    <s v="ALEX159"/>
    <d v="2022-07-09T00:00:00"/>
    <n v="32"/>
    <n v="1698.61"/>
  </r>
  <r>
    <x v="0"/>
    <x v="22"/>
    <x v="22"/>
    <s v="Rey Butcher"/>
    <s v=""/>
    <s v=""/>
    <s v="D"/>
    <s v="7"/>
    <s v="700631"/>
    <s v="ALEX159"/>
    <d v="2022-07-16T00:00:00"/>
    <n v="16"/>
    <n v="1948.3"/>
  </r>
  <r>
    <x v="0"/>
    <x v="22"/>
    <x v="22"/>
    <s v="Rey Butcher"/>
    <s v=""/>
    <s v=""/>
    <s v="D"/>
    <s v="8"/>
    <s v="700631"/>
    <s v="ALAMEL1"/>
    <d v="2022-08-01T00:00:00"/>
    <n v="8"/>
    <n v="974.15"/>
  </r>
  <r>
    <x v="0"/>
    <x v="22"/>
    <x v="22"/>
    <s v="Rey Butcher"/>
    <s v=""/>
    <s v=""/>
    <s v="D"/>
    <s v="7"/>
    <s v="700631"/>
    <s v="ALEX159"/>
    <d v="2022-07-23T00:00:00"/>
    <n v="40"/>
    <n v="4870.76"/>
  </r>
  <r>
    <x v="0"/>
    <x v="22"/>
    <x v="22"/>
    <s v="Rey Butcher"/>
    <s v=""/>
    <s v=""/>
    <s v="D"/>
    <s v="7"/>
    <s v="700631"/>
    <s v="SAPBATCH"/>
    <d v="2022-07-31T00:00:00"/>
    <n v="40"/>
    <n v="4870.76"/>
  </r>
  <r>
    <x v="0"/>
    <x v="22"/>
    <x v="22"/>
    <s v="Jill M Burton"/>
    <s v=""/>
    <s v=""/>
    <s v="D"/>
    <s v="7"/>
    <s v="700631"/>
    <s v="SAPBATCH"/>
    <d v="2022-07-31T00:00:00"/>
    <n v="120"/>
    <n v="6306.12"/>
  </r>
  <r>
    <x v="0"/>
    <x v="22"/>
    <x v="22"/>
    <s v="Jill M Burton"/>
    <s v=""/>
    <s v=""/>
    <s v="D"/>
    <s v="8"/>
    <s v="700631"/>
    <s v="ALAMEL1"/>
    <d v="2022-08-01T00:00:00"/>
    <n v="8"/>
    <n v="420.41"/>
  </r>
  <r>
    <x v="0"/>
    <x v="22"/>
    <x v="22"/>
    <s v="Rey Butcher"/>
    <s v=""/>
    <s v=""/>
    <s v="D"/>
    <s v="8"/>
    <s v="700631"/>
    <s v="ALAMEL1"/>
    <d v="2022-08-06T00:00:00"/>
    <n v="32"/>
    <n v="3896.61"/>
  </r>
  <r>
    <x v="0"/>
    <x v="22"/>
    <x v="22"/>
    <s v="Jill M Burton"/>
    <s v=""/>
    <s v=""/>
    <s v="D"/>
    <s v="8"/>
    <s v="700631"/>
    <s v="ALAMEL1"/>
    <d v="2022-08-06T00:00:00"/>
    <n v="32"/>
    <n v="1681.63"/>
  </r>
  <r>
    <x v="0"/>
    <x v="22"/>
    <x v="22"/>
    <s v="Rey Butcher"/>
    <s v=""/>
    <s v=""/>
    <s v="D"/>
    <s v="8"/>
    <s v="700631"/>
    <s v="ALAMEL1"/>
    <d v="2022-08-13T00:00:00"/>
    <n v="40"/>
    <n v="4870.76"/>
  </r>
  <r>
    <x v="0"/>
    <x v="22"/>
    <x v="22"/>
    <s v="Jill M Burton"/>
    <s v=""/>
    <s v=""/>
    <s v="D"/>
    <s v="8"/>
    <s v="700631"/>
    <s v="ALAMEL1"/>
    <d v="2022-08-13T00:00:00"/>
    <n v="40"/>
    <n v="2102.04"/>
  </r>
  <r>
    <x v="0"/>
    <x v="22"/>
    <x v="22"/>
    <s v="Rey Butcher"/>
    <s v=""/>
    <s v=""/>
    <s v="D"/>
    <s v="8"/>
    <s v="700631"/>
    <s v="ALAMEL1"/>
    <d v="2022-08-20T00:00:00"/>
    <n v="40"/>
    <n v="4870.76"/>
  </r>
  <r>
    <x v="0"/>
    <x v="22"/>
    <x v="22"/>
    <s v="Jill M Burton"/>
    <s v=""/>
    <s v=""/>
    <s v="D"/>
    <s v="8"/>
    <s v="700631"/>
    <s v="ALAMEL1"/>
    <d v="2022-08-20T00:00:00"/>
    <n v="40"/>
    <n v="2102.04"/>
  </r>
  <r>
    <x v="0"/>
    <x v="22"/>
    <x v="22"/>
    <s v="Rey Butcher"/>
    <s v=""/>
    <s v=""/>
    <s v="D"/>
    <s v="8"/>
    <s v="700631"/>
    <s v="ALAMEL1"/>
    <d v="2022-08-27T00:00:00"/>
    <n v="16"/>
    <n v="1948.3"/>
  </r>
  <r>
    <x v="0"/>
    <x v="22"/>
    <x v="22"/>
    <s v="Jill M Burton"/>
    <s v=""/>
    <s v=""/>
    <s v="D"/>
    <s v="9"/>
    <s v="700631"/>
    <s v="ALEX159"/>
    <d v="2022-09-03T00:00:00"/>
    <n v="16"/>
    <n v="840.82"/>
  </r>
  <r>
    <x v="0"/>
    <x v="22"/>
    <x v="22"/>
    <s v="Rey Butcher"/>
    <s v=""/>
    <s v=""/>
    <s v="D"/>
    <s v="8"/>
    <s v="700631"/>
    <s v="SAPBATCH"/>
    <d v="2022-08-31T00:00:00"/>
    <n v="24"/>
    <n v="2922.46"/>
  </r>
  <r>
    <x v="0"/>
    <x v="22"/>
    <x v="22"/>
    <s v="Rey Butcher"/>
    <s v=""/>
    <s v=""/>
    <s v="D"/>
    <s v="9"/>
    <s v="700631"/>
    <s v="ALEX159"/>
    <d v="2022-09-03T00:00:00"/>
    <n v="16"/>
    <n v="1948.3"/>
  </r>
  <r>
    <x v="0"/>
    <x v="22"/>
    <x v="22"/>
    <s v="Jill M Burton"/>
    <s v=""/>
    <s v=""/>
    <s v="D"/>
    <s v="9"/>
    <s v="700631"/>
    <s v="ALEX159"/>
    <d v="2022-09-01T00:00:00"/>
    <n v="64"/>
    <n v="3363.26"/>
  </r>
  <r>
    <x v="0"/>
    <x v="22"/>
    <x v="22"/>
    <s v="Jill M Burton"/>
    <s v=""/>
    <s v=""/>
    <s v="D"/>
    <s v="9"/>
    <s v="700631"/>
    <s v="ALEX159"/>
    <d v="2022-09-10T00:00:00"/>
    <n v="32"/>
    <n v="1681.63"/>
  </r>
  <r>
    <x v="0"/>
    <x v="22"/>
    <x v="22"/>
    <s v="Rey Butcher"/>
    <s v=""/>
    <s v=""/>
    <s v="D"/>
    <s v="9"/>
    <s v="700631"/>
    <s v="ALEX159"/>
    <d v="2022-09-10T00:00:00"/>
    <n v="32"/>
    <n v="3896.61"/>
  </r>
  <r>
    <x v="0"/>
    <x v="22"/>
    <x v="22"/>
    <s v="Jill M Burton"/>
    <s v=""/>
    <s v=""/>
    <s v="D"/>
    <s v="9"/>
    <s v="700631"/>
    <s v="ALEX159"/>
    <d v="2022-09-17T00:00:00"/>
    <n v="40"/>
    <n v="2102.04"/>
  </r>
  <r>
    <x v="0"/>
    <x v="22"/>
    <x v="22"/>
    <s v="Rey Butcher"/>
    <s v=""/>
    <s v=""/>
    <s v="D"/>
    <s v="9"/>
    <s v="700631"/>
    <s v="ALEX159"/>
    <d v="2022-09-17T00:00:00"/>
    <n v="40"/>
    <n v="4870.76"/>
  </r>
  <r>
    <x v="0"/>
    <x v="22"/>
    <x v="22"/>
    <s v="Rey Butcher"/>
    <s v=""/>
    <s v=""/>
    <s v="D"/>
    <s v="9"/>
    <s v="700631"/>
    <s v="ALEX159"/>
    <d v="2022-09-24T00:00:00"/>
    <n v="32"/>
    <n v="3896.61"/>
  </r>
  <r>
    <x v="0"/>
    <x v="22"/>
    <x v="22"/>
    <s v="Jill M Burton"/>
    <s v=""/>
    <s v=""/>
    <s v="D"/>
    <s v="9"/>
    <s v="700631"/>
    <s v="ALEX159"/>
    <d v="2022-09-24T00:00:00"/>
    <n v="40"/>
    <n v="2102.04"/>
  </r>
  <r>
    <x v="0"/>
    <x v="22"/>
    <x v="22"/>
    <s v="Rey Butcher"/>
    <s v=""/>
    <s v=""/>
    <s v="D"/>
    <s v="9"/>
    <s v="700631"/>
    <s v="SAPBATCH"/>
    <d v="2022-09-30T00:00:00"/>
    <n v="40"/>
    <n v="4870.76"/>
  </r>
  <r>
    <x v="0"/>
    <x v="22"/>
    <x v="22"/>
    <s v="Jill M Burton"/>
    <s v=""/>
    <s v=""/>
    <s v="D"/>
    <s v="9"/>
    <s v="700631"/>
    <s v="SAPBATCH"/>
    <d v="2022-09-30T00:00:00"/>
    <n v="40"/>
    <n v="2102.04"/>
  </r>
  <r>
    <x v="0"/>
    <x v="22"/>
    <x v="22"/>
    <s v="Carolyn Perry"/>
    <s v=""/>
    <s v=""/>
    <s v="D"/>
    <s v="10"/>
    <s v="701676"/>
    <s v="LUCY016"/>
    <d v="2022-10-01T00:00:00"/>
    <n v="1"/>
    <n v="106.65"/>
  </r>
  <r>
    <x v="0"/>
    <x v="22"/>
    <x v="22"/>
    <s v="Rey Butcher"/>
    <s v=""/>
    <s v=""/>
    <s v="D"/>
    <s v="10"/>
    <s v="700631"/>
    <s v="ALAMEL1"/>
    <d v="2022-10-03T00:00:00"/>
    <n v="8"/>
    <n v="974.15"/>
  </r>
  <r>
    <x v="0"/>
    <x v="22"/>
    <x v="22"/>
    <s v="Rey Butcher"/>
    <s v=""/>
    <s v=""/>
    <s v="D"/>
    <s v="10"/>
    <s v="700631"/>
    <s v="LUCY016"/>
    <d v="2022-10-08T00:00:00"/>
    <n v="32"/>
    <n v="3896.61"/>
  </r>
  <r>
    <x v="0"/>
    <x v="22"/>
    <x v="22"/>
    <s v="Jill M Burton"/>
    <s v=""/>
    <s v=""/>
    <s v="D"/>
    <s v="10"/>
    <s v="700631"/>
    <s v="LUCY016"/>
    <d v="2022-10-03T00:00:00"/>
    <n v="80"/>
    <n v="4204.08"/>
  </r>
  <r>
    <x v="0"/>
    <x v="22"/>
    <x v="22"/>
    <s v="Rey Butcher"/>
    <s v=""/>
    <s v=""/>
    <s v="D"/>
    <s v="10"/>
    <s v="700631"/>
    <s v="LUCY016"/>
    <d v="2022-10-03T00:00:00"/>
    <n v="32"/>
    <n v="3896.61"/>
  </r>
  <r>
    <x v="0"/>
    <x v="22"/>
    <x v="22"/>
    <s v="Rey Butcher"/>
    <s v=""/>
    <s v=""/>
    <s v="D"/>
    <s v="10"/>
    <s v="700631"/>
    <s v="LUCY016"/>
    <d v="2022-10-22T00:00:00"/>
    <n v="40"/>
    <n v="4870.76"/>
  </r>
  <r>
    <x v="0"/>
    <x v="22"/>
    <x v="22"/>
    <s v="Jill M Burton"/>
    <s v=""/>
    <s v=""/>
    <s v="D"/>
    <s v="10"/>
    <s v="700631"/>
    <s v="LUCY016"/>
    <d v="2022-10-22T00:00:00"/>
    <n v="40"/>
    <n v="2102.04"/>
  </r>
  <r>
    <x v="0"/>
    <x v="22"/>
    <x v="22"/>
    <s v="Rey Butcher"/>
    <s v=""/>
    <s v=""/>
    <s v="D"/>
    <s v="10"/>
    <s v="700631"/>
    <s v="SAPBATCH"/>
    <d v="2022-10-31T00:00:00"/>
    <n v="32"/>
    <n v="3896.61"/>
  </r>
  <r>
    <x v="0"/>
    <x v="22"/>
    <x v="22"/>
    <s v="Jill M Burton"/>
    <s v=""/>
    <s v=""/>
    <s v="D"/>
    <s v="10"/>
    <s v="700631"/>
    <s v="SAPBATCH"/>
    <d v="2022-10-31T00:00:00"/>
    <n v="48"/>
    <n v="2522.4499999999998"/>
  </r>
  <r>
    <x v="0"/>
    <x v="22"/>
    <x v="22"/>
    <s v="Jill M Burton"/>
    <s v=""/>
    <s v=""/>
    <s v="D"/>
    <s v="11"/>
    <s v="700631"/>
    <s v="LUCY016"/>
    <d v="2022-11-02T00:00:00"/>
    <n v="16"/>
    <n v="840.82"/>
  </r>
  <r>
    <x v="0"/>
    <x v="22"/>
    <x v="22"/>
    <s v="Rey Butcher"/>
    <s v=""/>
    <s v=""/>
    <s v="D"/>
    <s v="11"/>
    <s v="700631"/>
    <s v="LUCY016"/>
    <d v="2022-11-02T00:00:00"/>
    <n v="16"/>
    <n v="1948.3"/>
  </r>
  <r>
    <x v="0"/>
    <x v="22"/>
    <x v="22"/>
    <s v="Jill M Burton"/>
    <s v=""/>
    <s v=""/>
    <s v="D"/>
    <s v="11"/>
    <s v="700631"/>
    <s v="LUCY016"/>
    <d v="2022-11-05T00:00:00"/>
    <n v="16"/>
    <n v="840.82"/>
  </r>
  <r>
    <x v="0"/>
    <x v="22"/>
    <x v="22"/>
    <s v="Rey Butcher"/>
    <s v=""/>
    <s v=""/>
    <s v="D"/>
    <s v="11"/>
    <s v="700631"/>
    <s v="LUCY016"/>
    <d v="2022-11-05T00:00:00"/>
    <n v="16"/>
    <n v="1948.3"/>
  </r>
  <r>
    <x v="0"/>
    <x v="22"/>
    <x v="22"/>
    <s v="Rey Butcher"/>
    <s v=""/>
    <s v=""/>
    <s v="D"/>
    <s v="11"/>
    <s v="700631"/>
    <s v="LUCY016"/>
    <d v="2022-11-12T00:00:00"/>
    <n v="32"/>
    <n v="3896.61"/>
  </r>
  <r>
    <x v="0"/>
    <x v="22"/>
    <x v="22"/>
    <s v="Jill M Burton"/>
    <s v=""/>
    <s v=""/>
    <s v="D"/>
    <s v="11"/>
    <s v="700631"/>
    <s v="SAPBATCH"/>
    <d v="2022-11-30T00:00:00"/>
    <n v="24"/>
    <n v="1261.22"/>
  </r>
  <r>
    <x v="0"/>
    <x v="22"/>
    <x v="22"/>
    <s v="Rey Butcher"/>
    <s v=""/>
    <s v=""/>
    <s v="D"/>
    <s v="11"/>
    <s v="700631"/>
    <s v="SAPBATCH"/>
    <d v="2022-11-30T00:00:00"/>
    <n v="24"/>
    <n v="2922.46"/>
  </r>
  <r>
    <x v="0"/>
    <x v="22"/>
    <x v="22"/>
    <s v="Jill M Burton"/>
    <s v=""/>
    <s v=""/>
    <s v="D"/>
    <s v="11"/>
    <s v="700631"/>
    <s v="LUCY016"/>
    <d v="2022-11-19T00:00:00"/>
    <n v="72"/>
    <n v="3783.67"/>
  </r>
  <r>
    <x v="0"/>
    <x v="22"/>
    <x v="22"/>
    <s v="Rey Butcher"/>
    <s v=""/>
    <s v=""/>
    <s v="D"/>
    <s v="11"/>
    <s v="700631"/>
    <s v="LUCY016"/>
    <d v="2022-11-19T00:00:00"/>
    <n v="40"/>
    <n v="4870.76"/>
  </r>
  <r>
    <x v="0"/>
    <x v="22"/>
    <x v="22"/>
    <s v="Rey Butcher"/>
    <s v=""/>
    <s v=""/>
    <s v="D"/>
    <s v="11"/>
    <s v="700631"/>
    <s v="LUCY016"/>
    <d v="2022-11-26T00:00:00"/>
    <n v="24"/>
    <n v="2922.46"/>
  </r>
  <r>
    <x v="0"/>
    <x v="22"/>
    <x v="22"/>
    <s v="Jill M Burton"/>
    <s v=""/>
    <s v=""/>
    <s v="D"/>
    <s v="11"/>
    <s v="700631"/>
    <s v="LUCY016"/>
    <d v="2022-11-26T00:00:00"/>
    <n v="24"/>
    <n v="1261.22"/>
  </r>
  <r>
    <x v="0"/>
    <x v="22"/>
    <x v="22"/>
    <s v="Rey Butcher"/>
    <s v=""/>
    <s v=""/>
    <s v="D"/>
    <s v="12"/>
    <s v="700631"/>
    <s v="LUCY016"/>
    <d v="2022-12-03T00:00:00"/>
    <n v="8"/>
    <n v="974.15"/>
  </r>
  <r>
    <x v="0"/>
    <x v="22"/>
    <x v="22"/>
    <s v="Jill M Burton"/>
    <s v=""/>
    <s v=""/>
    <s v="D"/>
    <s v="12"/>
    <s v="700631"/>
    <s v="LUCY016"/>
    <d v="2022-12-03T00:00:00"/>
    <n v="16"/>
    <n v="840.82"/>
  </r>
  <r>
    <x v="0"/>
    <x v="22"/>
    <x v="22"/>
    <s v="Rey Butcher"/>
    <s v=""/>
    <s v=""/>
    <s v="D"/>
    <s v="12"/>
    <s v="700631"/>
    <s v="LUCY016"/>
    <d v="2022-12-10T00:00:00"/>
    <n v="40"/>
    <n v="4870.76"/>
  </r>
  <r>
    <x v="0"/>
    <x v="22"/>
    <x v="22"/>
    <s v="Jill M Burton"/>
    <s v=""/>
    <s v=""/>
    <s v="D"/>
    <s v="12"/>
    <s v="700631"/>
    <s v="LUCY016"/>
    <d v="2022-12-10T00:00:00"/>
    <n v="40"/>
    <n v="2102.04"/>
  </r>
  <r>
    <x v="0"/>
    <x v="22"/>
    <x v="22"/>
    <s v="Rey Butcher"/>
    <s v=""/>
    <s v=""/>
    <s v="D"/>
    <s v="12"/>
    <s v="700631"/>
    <s v="LUCY016"/>
    <d v="2022-12-17T00:00:00"/>
    <n v="40"/>
    <n v="4870.76"/>
  </r>
  <r>
    <x v="0"/>
    <x v="22"/>
    <x v="22"/>
    <s v="Jill M Burton"/>
    <s v=""/>
    <s v=""/>
    <s v="D"/>
    <s v="12"/>
    <s v="700631"/>
    <s v="LUCY016"/>
    <d v="2022-12-17T00:00:00"/>
    <n v="40"/>
    <n v="2102.04"/>
  </r>
  <r>
    <x v="0"/>
    <x v="22"/>
    <x v="22"/>
    <s v="Rey Butcher"/>
    <s v=""/>
    <s v=""/>
    <s v="D"/>
    <s v="12"/>
    <s v="700631"/>
    <s v="LUCY016"/>
    <d v="2022-12-24T00:00:00"/>
    <n v="32"/>
    <n v="3896.61"/>
  </r>
  <r>
    <x v="0"/>
    <x v="22"/>
    <x v="22"/>
    <s v="Jill M Burton"/>
    <s v=""/>
    <s v=""/>
    <s v="D"/>
    <s v="12"/>
    <s v="700631"/>
    <s v="LUCY016"/>
    <d v="2022-12-24T00:00:00"/>
    <n v="24"/>
    <n v="1261.2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F81825-71C9-4E20-9EC3-1A1B9BEC5C3E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G17:AH65" firstHeaderRow="1" firstDataRow="1" firstDataCol="1"/>
  <pivotFields count="13">
    <pivotField axis="axisRow" showAll="0">
      <items count="2">
        <item x="0"/>
        <item t="default"/>
      </items>
    </pivotField>
    <pivotField axis="axisRow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axis="axisRow" showAll="0">
      <items count="24">
        <item x="9"/>
        <item x="18"/>
        <item x="5"/>
        <item x="11"/>
        <item x="13"/>
        <item x="12"/>
        <item x="14"/>
        <item x="19"/>
        <item x="6"/>
        <item x="17"/>
        <item x="15"/>
        <item x="7"/>
        <item x="3"/>
        <item x="2"/>
        <item x="10"/>
        <item x="1"/>
        <item x="16"/>
        <item x="4"/>
        <item x="8"/>
        <item x="22"/>
        <item x="20"/>
        <item x="2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numFmtId="14" showAll="0"/>
    <pivotField numFmtId="189" showAll="0"/>
    <pivotField dataField="1" numFmtId="4" showAll="0"/>
  </pivotFields>
  <rowFields count="3">
    <field x="0"/>
    <field x="1"/>
    <field x="2"/>
  </rowFields>
  <rowItems count="48">
    <i>
      <x/>
    </i>
    <i r="1">
      <x/>
    </i>
    <i r="2">
      <x v="22"/>
    </i>
    <i r="1">
      <x v="1"/>
    </i>
    <i r="2">
      <x v="15"/>
    </i>
    <i r="1">
      <x v="2"/>
    </i>
    <i r="2">
      <x v="13"/>
    </i>
    <i r="1">
      <x v="3"/>
    </i>
    <i r="2">
      <x v="12"/>
    </i>
    <i r="1">
      <x v="4"/>
    </i>
    <i r="2">
      <x v="17"/>
    </i>
    <i r="1">
      <x v="5"/>
    </i>
    <i r="2">
      <x v="2"/>
    </i>
    <i r="1">
      <x v="6"/>
    </i>
    <i r="2">
      <x v="8"/>
    </i>
    <i r="1">
      <x v="7"/>
    </i>
    <i r="2">
      <x v="11"/>
    </i>
    <i r="1">
      <x v="8"/>
    </i>
    <i r="2">
      <x v="18"/>
    </i>
    <i r="1">
      <x v="9"/>
    </i>
    <i r="2">
      <x/>
    </i>
    <i r="1">
      <x v="10"/>
    </i>
    <i r="2">
      <x v="14"/>
    </i>
    <i r="1">
      <x v="11"/>
    </i>
    <i r="2">
      <x v="3"/>
    </i>
    <i r="1">
      <x v="12"/>
    </i>
    <i r="2">
      <x v="5"/>
    </i>
    <i r="1">
      <x v="13"/>
    </i>
    <i r="2">
      <x v="4"/>
    </i>
    <i r="1">
      <x v="14"/>
    </i>
    <i r="2">
      <x v="6"/>
    </i>
    <i r="1">
      <x v="15"/>
    </i>
    <i r="2">
      <x v="10"/>
    </i>
    <i r="1">
      <x v="16"/>
    </i>
    <i r="2">
      <x v="16"/>
    </i>
    <i r="1">
      <x v="17"/>
    </i>
    <i r="2">
      <x v="9"/>
    </i>
    <i r="1">
      <x v="18"/>
    </i>
    <i r="2">
      <x v="1"/>
    </i>
    <i r="1">
      <x v="19"/>
    </i>
    <i r="2">
      <x v="7"/>
    </i>
    <i r="1">
      <x v="20"/>
    </i>
    <i r="2">
      <x v="20"/>
    </i>
    <i r="1">
      <x v="21"/>
    </i>
    <i r="2">
      <x v="21"/>
    </i>
    <i r="1">
      <x v="22"/>
    </i>
    <i r="2">
      <x v="19"/>
    </i>
    <i t="grand">
      <x/>
    </i>
  </rowItems>
  <colItems count="1">
    <i/>
  </colItems>
  <dataFields count="1">
    <dataField name="Sum of Val/COArea Crcy" fld="12" baseField="0" baseItem="0" numFmtId="43"/>
  </dataFields>
  <formats count="2">
    <format dxfId="1">
      <pivotArea outline="0" collapsedLevelsAreSubtotals="1" fieldPosition="0"/>
    </format>
    <format dxfId="0">
      <pivotArea collapsedLevelsAreSubtotals="1" fieldPosition="0">
        <references count="3">
          <reference field="0" count="0" selected="0"/>
          <reference field="1" count="1" selected="0">
            <x v="22"/>
          </reference>
          <reference field="2" count="1">
            <x v="1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Relationship Id="rId4" Type="http://schemas.openxmlformats.org/officeDocument/2006/relationships/ctrlProp" Target="../ctrlProps/ctrlProp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1.xml"/><Relationship Id="rId4" Type="http://schemas.openxmlformats.org/officeDocument/2006/relationships/comments" Target="../comments2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7.xml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1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10.xml"/><Relationship Id="rId5" Type="http://schemas.openxmlformats.org/officeDocument/2006/relationships/ctrlProp" Target="../ctrlProps/ctrlProp9.xml"/><Relationship Id="rId4" Type="http://schemas.openxmlformats.org/officeDocument/2006/relationships/ctrlProp" Target="../ctrlProps/ctrlProp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Q52"/>
  <sheetViews>
    <sheetView tabSelected="1" zoomScale="80" zoomScaleNormal="80" workbookViewId="0">
      <selection activeCell="J27" sqref="J27"/>
    </sheetView>
  </sheetViews>
  <sheetFormatPr defaultColWidth="9.140625" defaultRowHeight="12.75"/>
  <cols>
    <col min="1" max="1" width="6.42578125" bestFit="1" customWidth="1"/>
    <col min="2" max="2" width="44.42578125" customWidth="1"/>
    <col min="3" max="3" width="26" customWidth="1"/>
    <col min="4" max="4" width="7.85546875" customWidth="1"/>
    <col min="5" max="5" width="8.85546875" customWidth="1"/>
    <col min="6" max="6" width="45.5703125" customWidth="1"/>
    <col min="7" max="7" width="9.5703125" customWidth="1"/>
    <col min="8" max="8" width="43.5703125" customWidth="1"/>
    <col min="9" max="9" width="9.7109375" customWidth="1"/>
    <col min="10" max="10" width="40.42578125" customWidth="1"/>
    <col min="11" max="11" width="13.28515625" customWidth="1"/>
    <col min="12" max="12" width="40.42578125" customWidth="1"/>
    <col min="13" max="13" width="13.28515625" customWidth="1"/>
    <col min="14" max="14" width="40.42578125" customWidth="1"/>
    <col min="15" max="15" width="13.28515625" customWidth="1"/>
    <col min="16" max="16" width="9.140625" customWidth="1"/>
    <col min="17" max="17" width="7.7109375" customWidth="1"/>
    <col min="18" max="18" width="9.140625" customWidth="1"/>
    <col min="19" max="19" width="20.140625" bestFit="1" customWidth="1"/>
    <col min="20" max="20" width="27.28515625" customWidth="1"/>
    <col min="21" max="21" width="34.5703125" customWidth="1"/>
    <col min="22" max="22" width="57.42578125" customWidth="1"/>
    <col min="23" max="23" width="61.5703125" customWidth="1"/>
    <col min="24" max="25" width="9.140625" customWidth="1"/>
  </cols>
  <sheetData>
    <row r="1" spans="1:17" ht="13.5" thickBot="1">
      <c r="A1" s="271">
        <v>2</v>
      </c>
      <c r="B1" s="383" t="s">
        <v>1043</v>
      </c>
      <c r="C1" s="100"/>
      <c r="D1" s="63"/>
      <c r="E1" s="70"/>
      <c r="F1" s="102" t="s">
        <v>737</v>
      </c>
      <c r="H1" s="3"/>
      <c r="I1" s="63"/>
      <c r="J1" s="1"/>
      <c r="L1" s="1"/>
      <c r="N1" s="1"/>
      <c r="Q1" s="63"/>
    </row>
    <row r="2" spans="1:17" ht="13.5" thickBot="1">
      <c r="A2" s="159"/>
      <c r="B2" s="272" t="str">
        <f>F11&amp;" - "&amp;F16</f>
        <v>Utah - June 2023 Adjusted Avg Results</v>
      </c>
      <c r="C2" s="100"/>
      <c r="D2" s="63"/>
      <c r="E2" s="70"/>
      <c r="F2" s="380">
        <f>Report!K13</f>
        <v>7100691.4356456865</v>
      </c>
      <c r="H2" s="157"/>
      <c r="I2" s="63"/>
      <c r="J2" s="1055"/>
      <c r="L2" s="157"/>
      <c r="N2" s="157"/>
      <c r="Q2" s="63"/>
    </row>
    <row r="3" spans="1:17" ht="13.5" thickBot="1">
      <c r="A3" s="159"/>
      <c r="B3" s="383" t="str">
        <f>"12 Months Ended"&amp;" : "&amp; TEXT(F12,"mmm-yyyy")</f>
        <v>12 Months Ended : Jun-2023</v>
      </c>
      <c r="C3" s="63"/>
      <c r="D3" s="2"/>
      <c r="E3" s="70"/>
      <c r="F3" s="102" t="s">
        <v>462</v>
      </c>
      <c r="I3" s="63"/>
      <c r="Q3" s="63"/>
    </row>
    <row r="4" spans="1:17" ht="13.5" thickBot="1">
      <c r="A4" s="159"/>
      <c r="B4" s="381" t="str">
        <f>"Capital Structure"&amp;" : "&amp;F43</f>
        <v>Capital Structure : AVG CAP STR</v>
      </c>
      <c r="C4" s="63"/>
      <c r="D4" s="360"/>
      <c r="E4" s="70"/>
      <c r="F4" s="381">
        <f>+Report!J79</f>
        <v>9.1955645381653114E-2</v>
      </c>
      <c r="H4" s="1">
        <v>7032432.3704381026</v>
      </c>
      <c r="J4" s="1056"/>
      <c r="L4" s="81"/>
      <c r="N4" s="81"/>
      <c r="Q4" s="63"/>
    </row>
    <row r="5" spans="1:17">
      <c r="C5" s="63"/>
      <c r="D5" s="598"/>
      <c r="E5" s="70"/>
      <c r="F5" s="463"/>
      <c r="Q5" s="63"/>
    </row>
    <row r="6" spans="1:17">
      <c r="B6" s="73"/>
      <c r="C6" s="63"/>
      <c r="D6" s="63"/>
      <c r="E6" s="63"/>
      <c r="F6" s="100"/>
      <c r="Q6" s="63"/>
    </row>
    <row r="7" spans="1:17">
      <c r="A7" s="63"/>
      <c r="B7" s="73"/>
      <c r="D7" s="63"/>
      <c r="E7" s="63"/>
      <c r="F7" s="905"/>
      <c r="Q7" s="63"/>
    </row>
    <row r="8" spans="1:17" ht="13.5" thickBot="1">
      <c r="A8" s="63"/>
      <c r="B8" s="73"/>
      <c r="C8" s="63"/>
      <c r="D8" s="309"/>
      <c r="E8" s="70"/>
      <c r="F8" s="63"/>
      <c r="H8" s="63"/>
      <c r="I8" s="63"/>
      <c r="J8" s="63"/>
      <c r="K8" s="63"/>
      <c r="L8" s="63"/>
      <c r="M8" s="63"/>
      <c r="N8" s="63"/>
      <c r="O8" s="63"/>
      <c r="Q8" s="63"/>
    </row>
    <row r="9" spans="1:17" ht="13.5" thickBot="1">
      <c r="A9" s="63"/>
      <c r="B9" s="45" t="s">
        <v>594</v>
      </c>
      <c r="C9" s="382" t="str">
        <f>IF((SUM(Report!F13:H74)-SUM(Report!I13:I74))&lt;1,"0","ERROR")</f>
        <v>0</v>
      </c>
      <c r="D9" s="309"/>
      <c r="E9" s="432"/>
      <c r="F9" s="892"/>
      <c r="H9" s="595" t="s">
        <v>1493</v>
      </c>
      <c r="I9" s="595"/>
      <c r="J9" s="595" t="s">
        <v>1494</v>
      </c>
      <c r="K9" s="595"/>
      <c r="L9" s="595" t="s">
        <v>1493</v>
      </c>
      <c r="M9" s="595"/>
      <c r="N9" s="595" t="s">
        <v>1494</v>
      </c>
      <c r="O9" s="595"/>
      <c r="Q9" s="214" t="s">
        <v>260</v>
      </c>
    </row>
    <row r="10" spans="1:17" ht="13.5" thickBot="1">
      <c r="A10" s="63"/>
      <c r="B10" s="383"/>
      <c r="D10" s="214"/>
      <c r="E10" s="433" t="str">
        <f>F10&amp;" - "&amp;"A"</f>
        <v>2 - A</v>
      </c>
      <c r="F10" s="893">
        <v>2</v>
      </c>
      <c r="H10" s="794">
        <v>1</v>
      </c>
      <c r="I10" s="795" t="str">
        <f>H10&amp;" - "&amp;"A"</f>
        <v>1 - A</v>
      </c>
      <c r="J10" s="794">
        <v>2</v>
      </c>
      <c r="K10" s="795" t="str">
        <f>J10&amp;" - "&amp;"A"</f>
        <v>2 - A</v>
      </c>
      <c r="L10" s="794">
        <v>3</v>
      </c>
      <c r="M10" s="795" t="str">
        <f>L10&amp;" - "&amp;"A"</f>
        <v>3 - A</v>
      </c>
      <c r="N10" s="794">
        <v>4</v>
      </c>
      <c r="O10" s="795" t="str">
        <f>N10&amp;" - "&amp;"A"</f>
        <v>4 - A</v>
      </c>
      <c r="Q10" s="102">
        <v>1</v>
      </c>
    </row>
    <row r="11" spans="1:17" ht="14.25" customHeight="1" thickBot="1">
      <c r="A11" s="63"/>
      <c r="B11" s="595" t="s">
        <v>45</v>
      </c>
      <c r="D11" s="416"/>
      <c r="E11" s="434"/>
      <c r="F11" s="595" t="str">
        <f>HLOOKUP($F$10,Scenarios,Q11,FALSE)</f>
        <v>Utah</v>
      </c>
      <c r="H11" s="595" t="s">
        <v>12</v>
      </c>
      <c r="I11" s="595"/>
      <c r="J11" s="595" t="s">
        <v>12</v>
      </c>
      <c r="K11" s="595"/>
      <c r="L11" s="595" t="s">
        <v>23</v>
      </c>
      <c r="M11" s="595"/>
      <c r="N11" s="595" t="s">
        <v>23</v>
      </c>
      <c r="O11" s="595"/>
      <c r="Q11" s="104">
        <f>Q10+1</f>
        <v>2</v>
      </c>
    </row>
    <row r="12" spans="1:17" ht="15.75" customHeight="1" thickBot="1">
      <c r="A12" s="63"/>
      <c r="B12" s="596" t="s">
        <v>695</v>
      </c>
      <c r="D12" s="190"/>
      <c r="E12" s="434"/>
      <c r="F12" s="597">
        <f>HLOOKUP($F$10,Scenarios,Q12,FALSE)</f>
        <v>45107</v>
      </c>
      <c r="G12" s="796"/>
      <c r="H12" s="796">
        <v>45107</v>
      </c>
      <c r="I12" s="796"/>
      <c r="J12" s="796">
        <v>45107</v>
      </c>
      <c r="K12" s="796"/>
      <c r="L12" s="796">
        <v>45107</v>
      </c>
      <c r="M12" s="796"/>
      <c r="N12" s="796">
        <v>45107</v>
      </c>
      <c r="O12" s="796"/>
      <c r="Q12" s="104">
        <f t="shared" ref="Q12:Q43" si="0">Q11+1</f>
        <v>3</v>
      </c>
    </row>
    <row r="13" spans="1:17" ht="13.5" customHeight="1" thickBot="1">
      <c r="A13" s="5"/>
      <c r="B13" s="599"/>
      <c r="D13" s="63"/>
      <c r="E13" s="449"/>
      <c r="F13" s="597"/>
      <c r="H13" s="797"/>
      <c r="I13" s="797"/>
      <c r="J13" s="797"/>
      <c r="K13" s="797"/>
      <c r="L13" s="797"/>
      <c r="M13" s="797"/>
      <c r="N13" s="797"/>
      <c r="O13" s="797"/>
      <c r="Q13" s="104">
        <f t="shared" si="0"/>
        <v>4</v>
      </c>
    </row>
    <row r="14" spans="1:17" ht="15.75" customHeight="1">
      <c r="A14" s="63"/>
      <c r="B14" s="385"/>
      <c r="D14" s="63"/>
      <c r="E14" s="434"/>
      <c r="F14" s="894"/>
      <c r="H14" s="798"/>
      <c r="I14" s="798"/>
      <c r="J14" s="798"/>
      <c r="K14" s="798"/>
      <c r="L14" s="798"/>
      <c r="M14" s="798"/>
      <c r="N14" s="798"/>
      <c r="O14" s="798"/>
      <c r="Q14" s="104">
        <f t="shared" si="0"/>
        <v>5</v>
      </c>
    </row>
    <row r="15" spans="1:17" ht="21.75" customHeight="1" thickBot="1">
      <c r="A15" s="63"/>
      <c r="B15" s="460"/>
      <c r="C15" s="128"/>
      <c r="D15" s="128"/>
      <c r="E15" s="434"/>
      <c r="F15" s="460"/>
      <c r="H15" s="799"/>
      <c r="I15" s="799"/>
      <c r="J15" s="799"/>
      <c r="K15" s="799"/>
      <c r="L15" s="799"/>
      <c r="M15" s="799"/>
      <c r="N15" s="799"/>
      <c r="O15" s="799"/>
      <c r="Q15" s="104">
        <f t="shared" si="0"/>
        <v>6</v>
      </c>
    </row>
    <row r="16" spans="1:17" ht="14.25" customHeight="1" thickBot="1">
      <c r="A16" s="5"/>
      <c r="B16" s="384" t="s">
        <v>696</v>
      </c>
      <c r="C16" s="306"/>
      <c r="D16" s="70"/>
      <c r="E16" s="434"/>
      <c r="F16" s="384" t="str">
        <f>HLOOKUP($F$10,Scenarios,Q16,FALSE)</f>
        <v>June 2023 Adjusted Avg Results</v>
      </c>
      <c r="H16" s="800" t="str">
        <f>+H9</f>
        <v>June 2023 Unadjusted Avg Results</v>
      </c>
      <c r="I16" s="801"/>
      <c r="J16" s="800" t="str">
        <f>+J9</f>
        <v>June 2023 Adjusted Avg Results</v>
      </c>
      <c r="K16" s="801"/>
      <c r="L16" s="800" t="str">
        <f>+L9</f>
        <v>June 2023 Unadjusted Avg Results</v>
      </c>
      <c r="M16" s="801"/>
      <c r="N16" s="800" t="str">
        <f>+N9</f>
        <v>June 2023 Adjusted Avg Results</v>
      </c>
      <c r="O16" s="801"/>
      <c r="Q16" s="104">
        <f t="shared" si="0"/>
        <v>7</v>
      </c>
    </row>
    <row r="17" spans="1:17" ht="12.75" customHeight="1">
      <c r="A17" s="63"/>
      <c r="B17" s="597" t="s">
        <v>184</v>
      </c>
      <c r="C17" s="84"/>
      <c r="D17" s="63"/>
      <c r="E17" s="434"/>
      <c r="F17" s="597"/>
      <c r="H17" s="797"/>
      <c r="I17" s="797"/>
      <c r="J17" s="797"/>
      <c r="K17" s="797"/>
      <c r="L17" s="797"/>
      <c r="M17" s="797"/>
      <c r="N17" s="797"/>
      <c r="O17" s="797"/>
      <c r="Q17" s="104">
        <f t="shared" si="0"/>
        <v>8</v>
      </c>
    </row>
    <row r="18" spans="1:17" ht="12.75" customHeight="1">
      <c r="A18" s="63"/>
      <c r="B18" s="597"/>
      <c r="C18" s="84"/>
      <c r="D18" s="63"/>
      <c r="E18" s="434"/>
      <c r="F18" s="597"/>
      <c r="H18" s="797"/>
      <c r="I18" s="797"/>
      <c r="J18" s="797"/>
      <c r="K18" s="797"/>
      <c r="L18" s="797"/>
      <c r="M18" s="797"/>
      <c r="N18" s="797"/>
      <c r="O18" s="797"/>
      <c r="Q18" s="104">
        <f t="shared" si="0"/>
        <v>9</v>
      </c>
    </row>
    <row r="19" spans="1:17" ht="12.75" customHeight="1">
      <c r="A19" s="63"/>
      <c r="B19" s="597" t="s">
        <v>303</v>
      </c>
      <c r="C19" s="84"/>
      <c r="D19" s="63"/>
      <c r="E19" s="434"/>
      <c r="F19" s="797">
        <f>HLOOKUP($F$10,Scenarios,Q19,FALSE)</f>
        <v>9.6000000000000002E-2</v>
      </c>
      <c r="H19" s="797">
        <v>9.6000000000000002E-2</v>
      </c>
      <c r="I19" s="797"/>
      <c r="J19" s="797">
        <v>9.6000000000000002E-2</v>
      </c>
      <c r="K19" s="797"/>
      <c r="L19" s="797">
        <v>9.35E-2</v>
      </c>
      <c r="M19" s="797"/>
      <c r="N19" s="797">
        <v>9.35E-2</v>
      </c>
      <c r="O19" s="797"/>
      <c r="Q19" s="104">
        <f t="shared" si="0"/>
        <v>10</v>
      </c>
    </row>
    <row r="20" spans="1:17" ht="12.75" customHeight="1">
      <c r="A20" s="5"/>
      <c r="B20" s="599"/>
      <c r="C20" s="84"/>
      <c r="D20" s="84"/>
      <c r="E20" s="434"/>
      <c r="F20" s="599"/>
      <c r="H20" s="599"/>
      <c r="I20" s="599"/>
      <c r="J20" s="599"/>
      <c r="K20" s="123"/>
      <c r="L20" s="599"/>
      <c r="M20" s="123"/>
      <c r="N20" s="599"/>
      <c r="O20" s="123"/>
      <c r="Q20" s="104">
        <f t="shared" si="0"/>
        <v>11</v>
      </c>
    </row>
    <row r="21" spans="1:17">
      <c r="A21" s="5"/>
      <c r="B21" s="600" t="s">
        <v>760</v>
      </c>
      <c r="C21" s="84"/>
      <c r="D21" s="84"/>
      <c r="E21" s="434"/>
      <c r="F21" s="600">
        <f>HLOOKUP($F$10,Scenarios,Q21,FALSE)</f>
        <v>8.35</v>
      </c>
      <c r="H21" s="1047">
        <v>8.35</v>
      </c>
      <c r="I21" s="601"/>
      <c r="J21" s="1047">
        <v>8.35</v>
      </c>
      <c r="K21" s="601"/>
      <c r="L21" s="601">
        <v>-0.89800000000000002</v>
      </c>
      <c r="M21" s="601"/>
      <c r="N21" s="601">
        <v>-0.89800000000000002</v>
      </c>
      <c r="O21" s="601"/>
      <c r="Q21" s="104">
        <f t="shared" si="0"/>
        <v>12</v>
      </c>
    </row>
    <row r="22" spans="1:17" ht="13.5" thickBot="1">
      <c r="A22" s="5"/>
      <c r="B22" s="602" t="s">
        <v>153</v>
      </c>
      <c r="C22" s="84"/>
      <c r="D22" s="84"/>
      <c r="E22" s="434"/>
      <c r="F22" s="602">
        <f>HLOOKUP($F$10,Scenarios,Q22,FALSE)</f>
        <v>2.1165001451361365E-3</v>
      </c>
      <c r="H22" s="602">
        <f>+'Bad Debt'!$F$17</f>
        <v>2.1165001451361365E-3</v>
      </c>
      <c r="I22" s="602"/>
      <c r="J22" s="602">
        <f>+'Bad Debt'!$F$17</f>
        <v>2.1165001451361365E-3</v>
      </c>
      <c r="K22" s="602"/>
      <c r="L22" s="602">
        <f>+'Bad Debt'!$F$17</f>
        <v>2.1165001451361365E-3</v>
      </c>
      <c r="M22" s="602"/>
      <c r="N22" s="602">
        <f>+'Bad Debt'!$F$17</f>
        <v>2.1165001451361365E-3</v>
      </c>
      <c r="O22" s="602"/>
      <c r="Q22" s="104">
        <f t="shared" si="0"/>
        <v>13</v>
      </c>
    </row>
    <row r="23" spans="1:17">
      <c r="A23" s="5"/>
      <c r="B23" s="599"/>
      <c r="C23" s="603"/>
      <c r="D23" s="604"/>
      <c r="E23" s="434"/>
      <c r="F23" s="599"/>
      <c r="H23" s="802"/>
      <c r="I23" s="599"/>
      <c r="J23" s="802"/>
      <c r="K23" s="599"/>
      <c r="L23" s="802"/>
      <c r="M23" s="599"/>
      <c r="N23" s="802"/>
      <c r="O23" s="599"/>
      <c r="Q23" s="104">
        <f t="shared" si="0"/>
        <v>14</v>
      </c>
    </row>
    <row r="24" spans="1:17" ht="12.75" customHeight="1">
      <c r="A24" s="5"/>
      <c r="B24" s="601"/>
      <c r="C24" s="605"/>
      <c r="D24" s="606"/>
      <c r="E24" s="434"/>
      <c r="F24" s="601"/>
      <c r="H24" s="459"/>
      <c r="I24" s="601"/>
      <c r="J24" s="459"/>
      <c r="K24" s="601"/>
      <c r="L24" s="459"/>
      <c r="M24" s="601"/>
      <c r="N24" s="459"/>
      <c r="O24" s="601"/>
      <c r="Q24" s="104">
        <f t="shared" si="0"/>
        <v>15</v>
      </c>
    </row>
    <row r="25" spans="1:17" ht="13.5" thickBot="1">
      <c r="A25" s="63"/>
      <c r="B25" s="607" t="s">
        <v>37</v>
      </c>
      <c r="C25" s="291" t="s">
        <v>151</v>
      </c>
      <c r="D25" s="390"/>
      <c r="E25" s="434"/>
      <c r="F25" s="607"/>
      <c r="H25" s="607"/>
      <c r="I25" s="607"/>
      <c r="J25" s="607"/>
      <c r="K25" s="607"/>
      <c r="L25" s="607"/>
      <c r="M25" s="607"/>
      <c r="N25" s="607"/>
      <c r="O25" s="607"/>
      <c r="Q25" s="104">
        <f t="shared" si="0"/>
        <v>16</v>
      </c>
    </row>
    <row r="26" spans="1:17">
      <c r="A26" s="63"/>
      <c r="B26" s="608"/>
      <c r="C26" s="63"/>
      <c r="D26" s="63"/>
      <c r="E26" s="434"/>
      <c r="F26" s="895"/>
      <c r="H26" s="386"/>
      <c r="I26" s="63"/>
      <c r="J26" s="386"/>
      <c r="K26" s="63"/>
      <c r="L26" s="386"/>
      <c r="M26" s="63"/>
      <c r="N26" s="386"/>
      <c r="O26" s="63"/>
      <c r="Q26" s="104">
        <f t="shared" si="0"/>
        <v>17</v>
      </c>
    </row>
    <row r="27" spans="1:17">
      <c r="A27" s="639">
        <v>1</v>
      </c>
      <c r="B27" s="608" t="str">
        <f t="shared" ref="B27:B38" si="1">+F27</f>
        <v>AVG RB June 2023</v>
      </c>
      <c r="C27" s="609" t="s">
        <v>165</v>
      </c>
      <c r="D27" s="609"/>
      <c r="E27" s="386" t="str">
        <f t="shared" ref="E27:E40" si="2">HLOOKUP($E$10,Scenarios,Q27,FALSE)</f>
        <v>Y</v>
      </c>
      <c r="F27" s="386" t="str">
        <f t="shared" ref="F27:F41" si="3">HLOOKUP($F$10,Scenarios,Q27,FALSE)</f>
        <v>AVG RB June 2023</v>
      </c>
      <c r="H27" s="804" t="s">
        <v>1490</v>
      </c>
      <c r="I27" s="123" t="s">
        <v>655</v>
      </c>
      <c r="J27" s="804" t="s">
        <v>1490</v>
      </c>
      <c r="K27" s="803" t="s">
        <v>655</v>
      </c>
      <c r="L27" s="804" t="s">
        <v>1490</v>
      </c>
      <c r="M27" s="803" t="s">
        <v>655</v>
      </c>
      <c r="N27" s="804" t="s">
        <v>1490</v>
      </c>
      <c r="O27" s="803" t="s">
        <v>655</v>
      </c>
      <c r="Q27" s="104">
        <f t="shared" si="0"/>
        <v>18</v>
      </c>
    </row>
    <row r="28" spans="1:17">
      <c r="A28" s="639">
        <f>+A27+1</f>
        <v>2</v>
      </c>
      <c r="B28" s="608" t="str">
        <f t="shared" si="1"/>
        <v xml:space="preserve"> Energy Efficiency &amp; STEP Dec 2022</v>
      </c>
      <c r="C28" s="698" t="s">
        <v>926</v>
      </c>
      <c r="D28" s="609"/>
      <c r="E28" s="386" t="str">
        <f t="shared" si="2"/>
        <v>Y</v>
      </c>
      <c r="F28" s="386" t="str">
        <f t="shared" si="3"/>
        <v xml:space="preserve"> Energy Efficiency &amp; STEP Dec 2022</v>
      </c>
      <c r="H28" s="804" t="s">
        <v>1277</v>
      </c>
      <c r="I28" s="123" t="s">
        <v>655</v>
      </c>
      <c r="J28" s="804" t="s">
        <v>1277</v>
      </c>
      <c r="K28" s="803" t="s">
        <v>655</v>
      </c>
      <c r="L28" s="804" t="s">
        <v>1277</v>
      </c>
      <c r="M28" s="803" t="s">
        <v>655</v>
      </c>
      <c r="N28" s="804" t="s">
        <v>1277</v>
      </c>
      <c r="O28" s="803" t="s">
        <v>655</v>
      </c>
      <c r="Q28" s="104">
        <f t="shared" si="0"/>
        <v>19</v>
      </c>
    </row>
    <row r="29" spans="1:17">
      <c r="A29" s="639">
        <f t="shared" ref="A29:A41" si="4">+A28+1</f>
        <v>3</v>
      </c>
      <c r="B29" s="608" t="str">
        <f t="shared" si="1"/>
        <v>Underground Storage</v>
      </c>
      <c r="C29" s="609" t="s">
        <v>70</v>
      </c>
      <c r="D29" s="609"/>
      <c r="E29" s="386" t="str">
        <f t="shared" si="2"/>
        <v>Y</v>
      </c>
      <c r="F29" s="386" t="str">
        <f t="shared" si="3"/>
        <v>Underground Storage</v>
      </c>
      <c r="H29" s="804" t="s">
        <v>70</v>
      </c>
      <c r="I29" s="123" t="s">
        <v>655</v>
      </c>
      <c r="J29" s="804" t="s">
        <v>70</v>
      </c>
      <c r="K29" s="803" t="s">
        <v>655</v>
      </c>
      <c r="L29" s="804" t="s">
        <v>70</v>
      </c>
      <c r="M29" s="803" t="s">
        <v>655</v>
      </c>
      <c r="N29" s="804" t="s">
        <v>70</v>
      </c>
      <c r="O29" s="803" t="s">
        <v>655</v>
      </c>
      <c r="Q29" s="104">
        <f t="shared" si="0"/>
        <v>20</v>
      </c>
    </row>
    <row r="30" spans="1:17">
      <c r="A30" s="639">
        <f t="shared" si="4"/>
        <v>4</v>
      </c>
      <c r="B30" s="608" t="str">
        <f t="shared" si="1"/>
        <v>Wexpro</v>
      </c>
      <c r="C30" s="609" t="s">
        <v>630</v>
      </c>
      <c r="D30" s="609"/>
      <c r="E30" s="386" t="str">
        <f t="shared" si="2"/>
        <v>Y</v>
      </c>
      <c r="F30" s="386" t="str">
        <f t="shared" si="3"/>
        <v>Wexpro</v>
      </c>
      <c r="H30" s="804" t="s">
        <v>630</v>
      </c>
      <c r="I30" s="123" t="s">
        <v>655</v>
      </c>
      <c r="J30" s="804" t="s">
        <v>630</v>
      </c>
      <c r="K30" s="803" t="s">
        <v>655</v>
      </c>
      <c r="L30" s="804" t="s">
        <v>630</v>
      </c>
      <c r="M30" s="803" t="s">
        <v>655</v>
      </c>
      <c r="N30" s="804" t="s">
        <v>630</v>
      </c>
      <c r="O30" s="803" t="s">
        <v>655</v>
      </c>
      <c r="Q30" s="104">
        <f t="shared" si="0"/>
        <v>21</v>
      </c>
    </row>
    <row r="31" spans="1:17">
      <c r="A31" s="639">
        <f t="shared" si="4"/>
        <v>5</v>
      </c>
      <c r="B31" s="608" t="str">
        <f t="shared" ref="B31" si="5">+F31</f>
        <v>Transition Costs</v>
      </c>
      <c r="C31" s="609"/>
      <c r="D31" s="609"/>
      <c r="E31" s="386" t="str">
        <f t="shared" ref="E31" si="6">HLOOKUP($E$10,Scenarios,Q31,FALSE)</f>
        <v>N</v>
      </c>
      <c r="F31" s="386" t="str">
        <f t="shared" ref="F31" si="7">HLOOKUP($F$10,Scenarios,Q31,FALSE)</f>
        <v>Transition Costs</v>
      </c>
      <c r="H31" s="980" t="s">
        <v>978</v>
      </c>
      <c r="I31" s="123" t="s">
        <v>302</v>
      </c>
      <c r="J31" s="980" t="s">
        <v>978</v>
      </c>
      <c r="K31" s="803" t="s">
        <v>302</v>
      </c>
      <c r="L31" s="980" t="s">
        <v>978</v>
      </c>
      <c r="M31" s="803" t="s">
        <v>302</v>
      </c>
      <c r="N31" s="980" t="s">
        <v>978</v>
      </c>
      <c r="O31" s="803" t="s">
        <v>302</v>
      </c>
      <c r="Q31" s="104">
        <f t="shared" si="0"/>
        <v>22</v>
      </c>
    </row>
    <row r="32" spans="1:17">
      <c r="A32" s="639">
        <f t="shared" si="4"/>
        <v>6</v>
      </c>
      <c r="B32" s="608">
        <f>+F32</f>
        <v>0</v>
      </c>
      <c r="C32" s="988"/>
      <c r="D32" s="609"/>
      <c r="E32" s="386" t="str">
        <f>HLOOKUP($E$10,Scenarios,Q32,FALSE)</f>
        <v>N</v>
      </c>
      <c r="F32" s="386">
        <f>HLOOKUP($F$10,Scenarios,Q32,FALSE)</f>
        <v>0</v>
      </c>
      <c r="H32" s="980"/>
      <c r="I32" s="123" t="s">
        <v>302</v>
      </c>
      <c r="J32" s="980"/>
      <c r="K32" s="803" t="s">
        <v>302</v>
      </c>
      <c r="L32" s="980" t="s">
        <v>1182</v>
      </c>
      <c r="M32" s="123" t="s">
        <v>655</v>
      </c>
      <c r="N32" s="980" t="s">
        <v>1182</v>
      </c>
      <c r="O32" s="803" t="s">
        <v>655</v>
      </c>
      <c r="Q32" s="104">
        <f t="shared" si="0"/>
        <v>23</v>
      </c>
    </row>
    <row r="33" spans="1:17">
      <c r="A33" s="639">
        <f t="shared" si="4"/>
        <v>7</v>
      </c>
      <c r="B33" s="608" t="str">
        <f t="shared" si="1"/>
        <v>Bad Debt</v>
      </c>
      <c r="C33" s="698" t="s">
        <v>859</v>
      </c>
      <c r="D33" s="609"/>
      <c r="E33" s="386" t="str">
        <f t="shared" si="2"/>
        <v>Y</v>
      </c>
      <c r="F33" s="386" t="str">
        <f t="shared" si="3"/>
        <v>Bad Debt</v>
      </c>
      <c r="H33" s="980" t="s">
        <v>859</v>
      </c>
      <c r="I33" s="123" t="s">
        <v>302</v>
      </c>
      <c r="J33" s="980" t="s">
        <v>859</v>
      </c>
      <c r="K33" s="803" t="s">
        <v>655</v>
      </c>
      <c r="L33" s="980" t="s">
        <v>859</v>
      </c>
      <c r="M33" s="123" t="s">
        <v>302</v>
      </c>
      <c r="N33" s="980" t="s">
        <v>859</v>
      </c>
      <c r="O33" s="803" t="s">
        <v>302</v>
      </c>
      <c r="Q33" s="104">
        <f t="shared" si="0"/>
        <v>24</v>
      </c>
    </row>
    <row r="34" spans="1:17">
      <c r="A34" s="639">
        <f t="shared" si="4"/>
        <v>8</v>
      </c>
      <c r="B34" s="608" t="str">
        <f t="shared" si="1"/>
        <v xml:space="preserve"> Incentives</v>
      </c>
      <c r="C34" s="609" t="s">
        <v>141</v>
      </c>
      <c r="D34" s="609"/>
      <c r="E34" s="386" t="str">
        <f t="shared" si="2"/>
        <v>Y</v>
      </c>
      <c r="F34" s="386" t="str">
        <f t="shared" si="3"/>
        <v xml:space="preserve"> Incentives</v>
      </c>
      <c r="H34" s="980" t="s">
        <v>1044</v>
      </c>
      <c r="I34" s="123" t="s">
        <v>302</v>
      </c>
      <c r="J34" s="980" t="s">
        <v>1044</v>
      </c>
      <c r="K34" s="803" t="s">
        <v>655</v>
      </c>
      <c r="L34" s="980" t="s">
        <v>1044</v>
      </c>
      <c r="M34" s="123" t="s">
        <v>302</v>
      </c>
      <c r="N34" s="980" t="s">
        <v>1044</v>
      </c>
      <c r="O34" s="803" t="s">
        <v>302</v>
      </c>
      <c r="Q34" s="104">
        <f t="shared" si="0"/>
        <v>25</v>
      </c>
    </row>
    <row r="35" spans="1:17">
      <c r="A35" s="639">
        <f t="shared" si="4"/>
        <v>9</v>
      </c>
      <c r="B35" s="608" t="str">
        <f t="shared" si="1"/>
        <v xml:space="preserve"> Sporting Events </v>
      </c>
      <c r="C35" s="609" t="s">
        <v>590</v>
      </c>
      <c r="D35" s="609"/>
      <c r="E35" s="386" t="str">
        <f t="shared" si="2"/>
        <v>Y</v>
      </c>
      <c r="F35" s="386" t="str">
        <f t="shared" si="3"/>
        <v xml:space="preserve"> Sporting Events </v>
      </c>
      <c r="H35" s="980" t="s">
        <v>1045</v>
      </c>
      <c r="I35" s="123" t="s">
        <v>302</v>
      </c>
      <c r="J35" s="980" t="s">
        <v>1045</v>
      </c>
      <c r="K35" s="803" t="s">
        <v>655</v>
      </c>
      <c r="L35" s="980" t="s">
        <v>1045</v>
      </c>
      <c r="M35" s="123" t="s">
        <v>302</v>
      </c>
      <c r="N35" s="980" t="s">
        <v>1045</v>
      </c>
      <c r="O35" s="803" t="s">
        <v>302</v>
      </c>
      <c r="Q35" s="104">
        <f t="shared" si="0"/>
        <v>26</v>
      </c>
    </row>
    <row r="36" spans="1:17">
      <c r="A36" s="639">
        <f t="shared" si="4"/>
        <v>10</v>
      </c>
      <c r="B36" s="608" t="str">
        <f t="shared" si="1"/>
        <v xml:space="preserve"> Advertising </v>
      </c>
      <c r="C36" s="609" t="s">
        <v>5</v>
      </c>
      <c r="D36" s="609"/>
      <c r="E36" s="386" t="str">
        <f t="shared" si="2"/>
        <v>Y</v>
      </c>
      <c r="F36" s="386" t="str">
        <f t="shared" si="3"/>
        <v xml:space="preserve"> Advertising </v>
      </c>
      <c r="H36" s="980" t="s">
        <v>1046</v>
      </c>
      <c r="I36" s="123" t="s">
        <v>302</v>
      </c>
      <c r="J36" s="980" t="s">
        <v>1046</v>
      </c>
      <c r="K36" s="803" t="s">
        <v>655</v>
      </c>
      <c r="L36" s="980" t="s">
        <v>1046</v>
      </c>
      <c r="M36" s="123" t="s">
        <v>302</v>
      </c>
      <c r="N36" s="980" t="s">
        <v>1046</v>
      </c>
      <c r="O36" s="803" t="s">
        <v>302</v>
      </c>
      <c r="Q36" s="104">
        <f t="shared" si="0"/>
        <v>27</v>
      </c>
    </row>
    <row r="37" spans="1:17">
      <c r="A37" s="639">
        <f t="shared" si="4"/>
        <v>11</v>
      </c>
      <c r="B37" s="608" t="str">
        <f t="shared" si="1"/>
        <v xml:space="preserve"> Don &amp; Membership </v>
      </c>
      <c r="C37" s="609" t="s">
        <v>830</v>
      </c>
      <c r="D37" s="609"/>
      <c r="E37" s="386" t="str">
        <f t="shared" si="2"/>
        <v>Y</v>
      </c>
      <c r="F37" s="386" t="str">
        <f t="shared" si="3"/>
        <v xml:space="preserve"> Don &amp; Membership </v>
      </c>
      <c r="H37" s="980" t="s">
        <v>1047</v>
      </c>
      <c r="I37" s="123" t="s">
        <v>302</v>
      </c>
      <c r="J37" s="980" t="s">
        <v>1047</v>
      </c>
      <c r="K37" s="803" t="s">
        <v>655</v>
      </c>
      <c r="L37" s="980" t="s">
        <v>1047</v>
      </c>
      <c r="M37" s="123" t="s">
        <v>302</v>
      </c>
      <c r="N37" s="980" t="s">
        <v>1047</v>
      </c>
      <c r="O37" s="803" t="s">
        <v>302</v>
      </c>
      <c r="Q37" s="104">
        <f t="shared" si="0"/>
        <v>28</v>
      </c>
    </row>
    <row r="38" spans="1:17">
      <c r="A38" s="639">
        <f t="shared" si="4"/>
        <v>12</v>
      </c>
      <c r="B38" s="608" t="str">
        <f t="shared" si="1"/>
        <v xml:space="preserve"> Reserve accrual </v>
      </c>
      <c r="C38" s="609" t="s">
        <v>140</v>
      </c>
      <c r="D38" s="609"/>
      <c r="E38" s="386" t="str">
        <f t="shared" si="2"/>
        <v>Y</v>
      </c>
      <c r="F38" s="386" t="str">
        <f t="shared" si="3"/>
        <v xml:space="preserve"> Reserve accrual </v>
      </c>
      <c r="H38" s="980" t="s">
        <v>1048</v>
      </c>
      <c r="I38" s="123" t="s">
        <v>302</v>
      </c>
      <c r="J38" s="980" t="s">
        <v>1048</v>
      </c>
      <c r="K38" s="803" t="s">
        <v>655</v>
      </c>
      <c r="L38" s="980" t="s">
        <v>1048</v>
      </c>
      <c r="M38" s="123" t="s">
        <v>302</v>
      </c>
      <c r="N38" s="980" t="s">
        <v>1048</v>
      </c>
      <c r="O38" s="803" t="s">
        <v>302</v>
      </c>
      <c r="Q38" s="104">
        <f t="shared" si="0"/>
        <v>29</v>
      </c>
    </row>
    <row r="39" spans="1:17">
      <c r="A39" s="639">
        <f t="shared" si="4"/>
        <v>13</v>
      </c>
      <c r="B39" s="608" t="str">
        <f>+F39</f>
        <v xml:space="preserve"> Labor Adj </v>
      </c>
      <c r="C39" s="609" t="s">
        <v>813</v>
      </c>
      <c r="D39" s="609"/>
      <c r="E39" s="386" t="str">
        <f t="shared" si="2"/>
        <v>Y</v>
      </c>
      <c r="F39" s="386" t="str">
        <f t="shared" si="3"/>
        <v xml:space="preserve"> Labor Adj </v>
      </c>
      <c r="H39" s="980" t="s">
        <v>1049</v>
      </c>
      <c r="I39" s="123" t="s">
        <v>302</v>
      </c>
      <c r="J39" s="980" t="s">
        <v>1049</v>
      </c>
      <c r="K39" s="803" t="s">
        <v>655</v>
      </c>
      <c r="L39" s="980" t="s">
        <v>1049</v>
      </c>
      <c r="M39" s="123" t="s">
        <v>302</v>
      </c>
      <c r="N39" s="980" t="s">
        <v>1049</v>
      </c>
      <c r="O39" s="803" t="s">
        <v>302</v>
      </c>
      <c r="Q39" s="104">
        <f t="shared" si="0"/>
        <v>30</v>
      </c>
    </row>
    <row r="40" spans="1:17">
      <c r="A40" s="639">
        <f t="shared" si="4"/>
        <v>14</v>
      </c>
      <c r="B40" s="608" t="str">
        <f>+F40</f>
        <v>Pension</v>
      </c>
      <c r="C40" s="988" t="s">
        <v>1273</v>
      </c>
      <c r="D40" s="609"/>
      <c r="E40" s="386" t="str">
        <f t="shared" si="2"/>
        <v>Y</v>
      </c>
      <c r="F40" s="386" t="str">
        <f t="shared" si="3"/>
        <v>Pension</v>
      </c>
      <c r="H40" s="980" t="s">
        <v>1200</v>
      </c>
      <c r="I40" s="803" t="s">
        <v>302</v>
      </c>
      <c r="J40" s="980" t="s">
        <v>1200</v>
      </c>
      <c r="K40" s="803" t="s">
        <v>655</v>
      </c>
      <c r="L40" s="980" t="s">
        <v>1200</v>
      </c>
      <c r="M40" s="123" t="s">
        <v>302</v>
      </c>
      <c r="N40" s="980" t="s">
        <v>1200</v>
      </c>
      <c r="O40" s="803" t="s">
        <v>655</v>
      </c>
      <c r="Q40" s="104">
        <f t="shared" si="0"/>
        <v>31</v>
      </c>
    </row>
    <row r="41" spans="1:17" ht="13.5" thickBot="1">
      <c r="A41" s="639">
        <f t="shared" si="4"/>
        <v>15</v>
      </c>
      <c r="B41" s="608" t="str">
        <f>+F41</f>
        <v>Distrigas 2017</v>
      </c>
      <c r="C41" s="698" t="s">
        <v>959</v>
      </c>
      <c r="D41" s="609"/>
      <c r="E41" s="386"/>
      <c r="F41" s="386" t="str">
        <f t="shared" si="3"/>
        <v>Distrigas 2017</v>
      </c>
      <c r="H41" s="981" t="s">
        <v>984</v>
      </c>
      <c r="I41" s="123"/>
      <c r="J41" s="981" t="s">
        <v>984</v>
      </c>
      <c r="K41" s="803"/>
      <c r="L41" s="981" t="s">
        <v>984</v>
      </c>
      <c r="M41" s="803"/>
      <c r="N41" s="981" t="s">
        <v>984</v>
      </c>
      <c r="O41" s="803"/>
      <c r="Q41" s="104">
        <f t="shared" si="0"/>
        <v>32</v>
      </c>
    </row>
    <row r="42" spans="1:17">
      <c r="A42" s="639"/>
      <c r="B42" s="608"/>
      <c r="C42" s="609"/>
      <c r="D42" s="609"/>
      <c r="E42" s="386"/>
      <c r="F42" s="386"/>
      <c r="H42" s="804"/>
      <c r="I42" s="123"/>
      <c r="J42" s="804"/>
      <c r="K42" s="803"/>
      <c r="L42" s="804"/>
      <c r="M42" s="803"/>
      <c r="N42" s="804"/>
      <c r="O42" s="803"/>
      <c r="Q42" s="104">
        <f t="shared" si="0"/>
        <v>33</v>
      </c>
    </row>
    <row r="43" spans="1:17">
      <c r="A43" s="639">
        <f>+A41+1</f>
        <v>16</v>
      </c>
      <c r="B43" s="608" t="str">
        <f>+F43</f>
        <v>AVG CAP STR</v>
      </c>
      <c r="C43" s="698" t="s">
        <v>135</v>
      </c>
      <c r="D43" s="609"/>
      <c r="E43" s="386"/>
      <c r="F43" s="386" t="str">
        <f>HLOOKUP($F$10,Scenarios,Q43,FALSE)</f>
        <v>AVG CAP STR</v>
      </c>
      <c r="H43" s="804" t="s">
        <v>924</v>
      </c>
      <c r="I43" s="123"/>
      <c r="J43" s="804" t="s">
        <v>924</v>
      </c>
      <c r="K43" s="803"/>
      <c r="L43" s="804" t="s">
        <v>1243</v>
      </c>
      <c r="M43" s="803"/>
      <c r="N43" s="804" t="s">
        <v>1243</v>
      </c>
      <c r="O43" s="803"/>
      <c r="Q43" s="104">
        <f t="shared" si="0"/>
        <v>34</v>
      </c>
    </row>
    <row r="47" spans="1:17">
      <c r="J47" s="696"/>
      <c r="L47" s="696"/>
      <c r="N47" s="696"/>
    </row>
    <row r="52" spans="10:10">
      <c r="J52" s="63"/>
    </row>
  </sheetData>
  <dataConsolidate/>
  <phoneticPr fontId="0" type="noConversion"/>
  <dataValidations count="8">
    <dataValidation type="list" showInputMessage="1" showErrorMessage="1" sqref="H42 J42 L42 N42" xr:uid="{00000000-0002-0000-0000-000000000000}">
      <formula1>"Dist Gas Jun 09"</formula1>
    </dataValidation>
    <dataValidation type="whole" operator="equal" allowBlank="1" showInputMessage="1" showErrorMessage="1" sqref="E10:E31 F11:F31 E32:F43 B27:B43" xr:uid="{00000000-0002-0000-0000-000001000000}">
      <formula1>999</formula1>
    </dataValidation>
    <dataValidation showInputMessage="1" showErrorMessage="1" sqref="H29:H31" xr:uid="{00000000-0002-0000-0000-000002000000}"/>
    <dataValidation type="whole" operator="equal" allowBlank="1" showInputMessage="1" showErrorMessage="1" sqref="H10" xr:uid="{00000000-0002-0000-0000-000003000000}">
      <formula1>1</formula1>
    </dataValidation>
    <dataValidation type="whole" operator="equal" allowBlank="1" showInputMessage="1" showErrorMessage="1" sqref="J10" xr:uid="{00000000-0002-0000-0000-000004000000}">
      <formula1>2</formula1>
    </dataValidation>
    <dataValidation type="list" showInputMessage="1" showErrorMessage="1" sqref="H23:O23" xr:uid="{00000000-0002-0000-0000-000005000000}">
      <formula1>"Average,Actual 2004"</formula1>
    </dataValidation>
    <dataValidation type="whole" operator="equal" allowBlank="1" showInputMessage="1" showErrorMessage="1" sqref="L10" xr:uid="{00000000-0002-0000-0000-000008000000}">
      <formula1>3</formula1>
    </dataValidation>
    <dataValidation type="whole" operator="equal" allowBlank="1" showInputMessage="1" showErrorMessage="1" sqref="N10" xr:uid="{00000000-0002-0000-0000-000009000000}">
      <formula1>4</formula1>
    </dataValidation>
  </dataValidations>
  <hyperlinks>
    <hyperlink ref="C33" location="'Bad Debt'!Print_Area" display="Bad Debt" xr:uid="{00000000-0004-0000-0000-000000000000}"/>
    <hyperlink ref="C30" location="Wexpro!Print_Area" display="3-Wexpro'!A1" xr:uid="{00000000-0004-0000-0000-000001000000}"/>
    <hyperlink ref="C27" location="'Rate Base'!A1" display="RATE BASE" xr:uid="{00000000-0004-0000-0000-000002000000}"/>
    <hyperlink ref="C36" location="Advertising!A1" display="Advertising" xr:uid="{00000000-0004-0000-0000-000003000000}"/>
    <hyperlink ref="C29" location="UNDERGROUND_STORAGE" display="Underground Storage" xr:uid="{00000000-0004-0000-0000-000004000000}"/>
    <hyperlink ref="C34" location="INCENTIVESUMMARY" display="Incentives" xr:uid="{00000000-0004-0000-0000-000005000000}"/>
    <hyperlink ref="C38" location="'RESERVE ACCRUAL'!Print_Area" display="RESERVE ACCRUAL" xr:uid="{00000000-0004-0000-0000-000006000000}"/>
    <hyperlink ref="C39" location="'Lab Adj'!LABORSCENARIO" display="Labor Adjustment" xr:uid="{00000000-0004-0000-0000-000007000000}"/>
    <hyperlink ref="C37" location="Donations!A1" display="Donations" xr:uid="{00000000-0004-0000-0000-000008000000}"/>
    <hyperlink ref="C35" location="'Sporting Events'!A1" display="Sporting Events" xr:uid="{00000000-0004-0000-0000-000009000000}"/>
    <hyperlink ref="C28" location="'ENERGY EFFICIENCY SERVICES ADJ'!A1" display="Energy Efficiency Adj" xr:uid="{00000000-0004-0000-0000-00000A000000}"/>
    <hyperlink ref="C43" location="'Capital Str'!A1" display="Capital Structure" xr:uid="{00000000-0004-0000-0000-00000B000000}"/>
    <hyperlink ref="C41" location="'ALLOCATIONS&amp;PRETAX'!A1" display="Distrigas &amp; Pretax" xr:uid="{00000000-0004-0000-0000-00000C000000}"/>
    <hyperlink ref="C40" location="'Pension Adjustment'!A1" display="'Pension Adjustment'!A1" xr:uid="{2D1469B9-AA29-4B9B-8A33-2F17DF806663}"/>
  </hyperlinks>
  <pageMargins left="0" right="0" top="0" bottom="0" header="0" footer="0"/>
  <pageSetup scale="37" orientation="landscape" r:id="rId1"/>
  <headerFooter alignWithMargins="0">
    <oddFooter>&amp;C&amp;Z&amp;F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showInputMessage="1" showErrorMessage="1" xr:uid="{00000000-0002-0000-0000-00000A000000}">
          <x14:formula1>
            <xm:f>'Rate Base'!$Y$8:$AB$8</xm:f>
          </x14:formula1>
          <xm:sqref>N27 J27 L27 H27</xm:sqref>
        </x14:dataValidation>
        <x14:dataValidation type="list" showInputMessage="1" showErrorMessage="1" xr:uid="{00000000-0002-0000-0000-00000B000000}">
          <x14:formula1>
            <xm:f>'ALLOCATIONS&amp;PRETAX'!$B$6:$E$6</xm:f>
          </x14:formula1>
          <xm:sqref>J41 H41 L41 N41</xm:sqref>
        </x14:dataValidation>
        <x14:dataValidation type="list" showInputMessage="1" showErrorMessage="1" xr:uid="{7F7E3B99-BD21-4375-8E17-F668A602EA6A}">
          <x14:formula1>
            <xm:f>'Capital Str'!$C$22:$G$22</xm:f>
          </x14:formula1>
          <xm:sqref>H43 J43 L43 N43</xm:sqref>
        </x14:dataValidation>
        <x14:dataValidation type="list" showInputMessage="1" showErrorMessage="1" xr:uid="{88E5591A-BD46-4092-89E9-39BBC495E51E}">
          <x14:formula1>
            <xm:f>'ENERGY EFFICIENCY SERVICES ADJ'!$E$7</xm:f>
          </x14:formula1>
          <xm:sqref>J28 L28 H28 N28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  <pageSetUpPr fitToPage="1"/>
  </sheetPr>
  <dimension ref="A1:N143"/>
  <sheetViews>
    <sheetView topLeftCell="A6" workbookViewId="0">
      <selection activeCell="H23" sqref="H23"/>
    </sheetView>
  </sheetViews>
  <sheetFormatPr defaultColWidth="9.140625" defaultRowHeight="12.75"/>
  <cols>
    <col min="1" max="1" width="5.85546875" customWidth="1"/>
    <col min="2" max="2" width="5.5703125" customWidth="1"/>
    <col min="3" max="3" width="5.28515625" customWidth="1"/>
    <col min="4" max="4" width="29.7109375" customWidth="1"/>
    <col min="5" max="6" width="18.140625" customWidth="1"/>
    <col min="7" max="7" width="14.28515625" customWidth="1"/>
    <col min="8" max="8" width="17.7109375" bestFit="1" customWidth="1"/>
    <col min="9" max="9" width="3.85546875" customWidth="1"/>
    <col min="10" max="10" width="14.5703125" bestFit="1" customWidth="1"/>
    <col min="11" max="11" width="5" customWidth="1"/>
    <col min="12" max="12" width="10.140625" customWidth="1"/>
    <col min="14" max="14" width="11.28515625" customWidth="1"/>
  </cols>
  <sheetData>
    <row r="1" spans="2:9">
      <c r="B1" s="12"/>
      <c r="C1" s="12"/>
      <c r="D1" s="12"/>
      <c r="E1" s="12"/>
      <c r="F1" s="12"/>
      <c r="G1" s="63"/>
      <c r="H1" s="63"/>
      <c r="I1" s="63"/>
    </row>
    <row r="2" spans="2:9">
      <c r="B2" s="1118" t="s">
        <v>978</v>
      </c>
      <c r="C2" s="1118"/>
      <c r="D2" s="1118"/>
      <c r="E2" s="1118"/>
      <c r="F2" s="1118"/>
      <c r="G2" s="1118"/>
      <c r="H2" s="1118"/>
      <c r="I2" s="1118"/>
    </row>
    <row r="3" spans="2:9">
      <c r="B3" s="12" t="str">
        <f>'Control Panel'!$B$1</f>
        <v>Dominion Energy</v>
      </c>
      <c r="C3" s="12"/>
      <c r="D3" s="682"/>
      <c r="E3" s="63"/>
      <c r="F3" s="63"/>
    </row>
    <row r="4" spans="2:9">
      <c r="B4" s="12" t="str">
        <f>'Control Panel'!$B$2</f>
        <v>Utah - June 2023 Adjusted Avg Results</v>
      </c>
      <c r="C4" s="12"/>
      <c r="D4" s="12"/>
      <c r="E4" s="63"/>
      <c r="F4" s="63"/>
    </row>
    <row r="5" spans="2:9">
      <c r="B5" s="12" t="str">
        <f>'Control Panel'!$B$3</f>
        <v>12 Months Ended : Jun-2023</v>
      </c>
      <c r="C5" s="12"/>
      <c r="D5" s="12"/>
      <c r="E5" s="63"/>
      <c r="F5" s="63"/>
      <c r="G5" s="22"/>
      <c r="H5" s="22"/>
      <c r="I5" s="22"/>
    </row>
    <row r="6" spans="2:9">
      <c r="B6" s="45"/>
      <c r="C6" s="63"/>
      <c r="E6" s="63"/>
      <c r="F6" s="63"/>
      <c r="G6" s="22"/>
      <c r="H6" s="22"/>
      <c r="I6" s="22"/>
    </row>
    <row r="7" spans="2:9">
      <c r="B7" s="63"/>
      <c r="C7" s="63"/>
      <c r="D7" s="63"/>
      <c r="E7" s="63"/>
      <c r="F7" s="63"/>
      <c r="G7" s="63"/>
      <c r="H7" s="63"/>
      <c r="I7" s="63"/>
    </row>
    <row r="8" spans="2:9">
      <c r="B8" s="63"/>
      <c r="C8" s="63"/>
      <c r="D8" s="63"/>
      <c r="E8" s="63"/>
      <c r="F8" s="63"/>
      <c r="G8" s="63"/>
      <c r="H8" s="63"/>
      <c r="I8" s="63"/>
    </row>
    <row r="9" spans="2:9">
      <c r="B9" s="1119" t="s">
        <v>978</v>
      </c>
      <c r="C9" s="1119"/>
      <c r="D9" s="1119"/>
      <c r="E9" s="1119"/>
      <c r="F9" s="1119"/>
      <c r="G9" s="1119"/>
      <c r="H9" s="1119"/>
      <c r="I9" s="1119"/>
    </row>
    <row r="10" spans="2:9">
      <c r="B10" s="1119" t="str">
        <f>+B5</f>
        <v>12 Months Ended : Jun-2023</v>
      </c>
      <c r="C10" s="1119"/>
      <c r="D10" s="1119"/>
      <c r="E10" s="1119"/>
      <c r="F10" s="1119"/>
      <c r="G10" s="1119"/>
      <c r="H10" s="1119"/>
      <c r="I10" s="1119"/>
    </row>
    <row r="12" spans="2:9">
      <c r="D12" s="2" t="s">
        <v>732</v>
      </c>
      <c r="E12" s="2" t="s">
        <v>733</v>
      </c>
      <c r="F12" s="2" t="s">
        <v>734</v>
      </c>
      <c r="G12" s="861" t="s">
        <v>735</v>
      </c>
      <c r="H12" s="2" t="s">
        <v>720</v>
      </c>
      <c r="I12" s="214"/>
    </row>
    <row r="13" spans="2:9">
      <c r="D13" s="2"/>
      <c r="E13" s="2"/>
      <c r="F13" s="214"/>
      <c r="H13" s="214" t="s">
        <v>860</v>
      </c>
    </row>
    <row r="14" spans="2:9">
      <c r="E14" s="214"/>
      <c r="F14" s="84"/>
      <c r="H14" s="214" t="s">
        <v>937</v>
      </c>
    </row>
    <row r="15" spans="2:9">
      <c r="B15" s="218"/>
      <c r="C15" s="218"/>
      <c r="D15" s="683"/>
      <c r="E15" s="684"/>
      <c r="F15" s="684"/>
      <c r="G15" s="684"/>
      <c r="H15" s="684"/>
      <c r="I15" s="684"/>
    </row>
    <row r="16" spans="2:9" ht="13.5" thickBot="1">
      <c r="C16" s="1120" t="s">
        <v>979</v>
      </c>
      <c r="D16" s="1121"/>
      <c r="E16" s="685"/>
      <c r="F16" s="685"/>
      <c r="G16" s="685"/>
      <c r="H16" s="686" t="s">
        <v>40</v>
      </c>
    </row>
    <row r="17" spans="2:10">
      <c r="C17" s="3"/>
      <c r="D17" s="44"/>
      <c r="E17" s="687"/>
      <c r="F17" s="687"/>
      <c r="H17" s="687"/>
    </row>
    <row r="18" spans="2:10">
      <c r="B18" s="3">
        <v>1</v>
      </c>
      <c r="C18" s="84"/>
      <c r="D18" s="240" t="s">
        <v>980</v>
      </c>
      <c r="E18" s="3"/>
      <c r="F18" s="3"/>
      <c r="H18" s="47">
        <v>0</v>
      </c>
      <c r="I18" t="s">
        <v>411</v>
      </c>
    </row>
    <row r="19" spans="2:10">
      <c r="B19" s="3">
        <v>2</v>
      </c>
      <c r="C19" s="3"/>
      <c r="D19" s="240" t="s">
        <v>981</v>
      </c>
      <c r="E19" s="482"/>
      <c r="F19" s="339"/>
      <c r="G19" s="482"/>
      <c r="H19" s="47">
        <v>0</v>
      </c>
      <c r="I19" t="s">
        <v>411</v>
      </c>
    </row>
    <row r="20" spans="2:10">
      <c r="B20" s="3">
        <v>3</v>
      </c>
      <c r="C20" s="3"/>
      <c r="D20" s="1" t="s">
        <v>1067</v>
      </c>
      <c r="E20" s="482"/>
      <c r="F20" s="339"/>
      <c r="G20" s="482"/>
      <c r="H20" s="1">
        <v>0</v>
      </c>
    </row>
    <row r="21" spans="2:10" ht="13.5" thickBot="1">
      <c r="B21" s="3">
        <v>4</v>
      </c>
      <c r="C21" s="3"/>
      <c r="D21" s="240" t="s">
        <v>982</v>
      </c>
      <c r="E21" s="482"/>
      <c r="F21" s="339"/>
      <c r="G21" s="482"/>
      <c r="H21" s="978">
        <f>SUM(H18:H20)</f>
        <v>0</v>
      </c>
    </row>
    <row r="22" spans="2:10" ht="13.5" thickTop="1">
      <c r="D22" s="44"/>
      <c r="E22" s="63"/>
      <c r="F22" s="100"/>
      <c r="G22" s="265"/>
      <c r="H22" s="265"/>
      <c r="I22" s="265"/>
    </row>
    <row r="23" spans="2:10">
      <c r="D23" s="44"/>
      <c r="E23" s="63"/>
      <c r="F23" s="100"/>
      <c r="G23" s="265"/>
      <c r="H23" s="265"/>
      <c r="I23" s="265"/>
    </row>
    <row r="24" spans="2:10">
      <c r="D24" s="240" t="s">
        <v>588</v>
      </c>
      <c r="E24" s="63"/>
      <c r="F24" s="100"/>
      <c r="G24" s="265"/>
      <c r="H24" s="265">
        <f>H21*'ROR-Model'!$M$2</f>
        <v>0</v>
      </c>
      <c r="I24" s="265"/>
    </row>
    <row r="25" spans="2:10">
      <c r="D25" s="240" t="s">
        <v>589</v>
      </c>
      <c r="E25" s="63"/>
      <c r="F25" s="100"/>
      <c r="G25" s="265"/>
      <c r="H25" s="265">
        <f>H21-H24</f>
        <v>0</v>
      </c>
      <c r="I25" s="265"/>
    </row>
    <row r="26" spans="2:10">
      <c r="D26" s="159" t="s">
        <v>145</v>
      </c>
      <c r="E26" s="63"/>
      <c r="F26" s="100"/>
      <c r="G26" s="265"/>
      <c r="H26" s="265">
        <f>SUM(H24:H25)</f>
        <v>0</v>
      </c>
      <c r="I26" s="265"/>
    </row>
    <row r="27" spans="2:10">
      <c r="D27" s="44"/>
      <c r="E27" s="63"/>
      <c r="F27" s="100"/>
      <c r="G27" s="265"/>
      <c r="H27" s="265"/>
      <c r="I27" s="265"/>
    </row>
    <row r="28" spans="2:10">
      <c r="D28" s="44"/>
      <c r="E28" s="63"/>
      <c r="F28" s="100"/>
      <c r="G28" s="265"/>
      <c r="H28" s="265"/>
      <c r="I28" s="265"/>
    </row>
    <row r="29" spans="2:10">
      <c r="B29" s="3" t="s">
        <v>411</v>
      </c>
      <c r="D29" s="128" t="s">
        <v>983</v>
      </c>
    </row>
    <row r="30" spans="2:10">
      <c r="H30" s="1"/>
    </row>
    <row r="31" spans="2:10">
      <c r="J31" s="1"/>
    </row>
    <row r="32" spans="2:10">
      <c r="J32" s="1"/>
    </row>
    <row r="143" spans="1:14" s="3" customFormat="1">
      <c r="A143" s="1108"/>
      <c r="B143" s="1108"/>
      <c r="C143" s="682"/>
      <c r="D143" s="682"/>
      <c r="E143" s="682"/>
      <c r="F143" s="682"/>
      <c r="G143" s="682"/>
      <c r="H143" s="682"/>
      <c r="I143" s="682"/>
      <c r="J143" s="682"/>
      <c r="K143" s="682"/>
      <c r="L143" s="682"/>
      <c r="M143"/>
      <c r="N143" s="127"/>
    </row>
  </sheetData>
  <mergeCells count="5">
    <mergeCell ref="B2:I2"/>
    <mergeCell ref="B9:I9"/>
    <mergeCell ref="B10:I10"/>
    <mergeCell ref="C16:D16"/>
    <mergeCell ref="A143:B143"/>
  </mergeCells>
  <pageMargins left="0.25" right="0.25" top="0.75" bottom="0.75" header="0.3" footer="0.3"/>
  <pageSetup scale="87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5">
    <tabColor rgb="FFFFFF00"/>
    <pageSetUpPr fitToPage="1"/>
  </sheetPr>
  <dimension ref="A1:Q450"/>
  <sheetViews>
    <sheetView topLeftCell="A355" zoomScale="80" zoomScaleNormal="80" workbookViewId="0">
      <selection activeCell="F390" sqref="F390"/>
    </sheetView>
  </sheetViews>
  <sheetFormatPr defaultColWidth="9.140625" defaultRowHeight="12.75"/>
  <cols>
    <col min="1" max="1" width="7.5703125" bestFit="1" customWidth="1"/>
    <col min="2" max="2" width="12.140625" customWidth="1"/>
    <col min="3" max="3" width="5.7109375" customWidth="1"/>
    <col min="4" max="4" width="5.28515625" customWidth="1"/>
    <col min="5" max="5" width="25.7109375" customWidth="1"/>
    <col min="6" max="7" width="18.5703125" customWidth="1"/>
    <col min="8" max="8" width="2.5703125" customWidth="1"/>
    <col min="9" max="9" width="18" customWidth="1"/>
    <col min="10" max="10" width="17.42578125" customWidth="1"/>
    <col min="11" max="11" width="7.85546875" customWidth="1"/>
    <col min="13" max="13" width="3.28515625" customWidth="1"/>
    <col min="14" max="14" width="15.42578125" customWidth="1"/>
    <col min="15" max="15" width="15.42578125" bestFit="1" customWidth="1"/>
    <col min="16" max="16" width="15.42578125" customWidth="1"/>
    <col min="17" max="17" width="13" customWidth="1"/>
    <col min="24" max="24" width="5.7109375" customWidth="1"/>
    <col min="25" max="25" width="32.42578125" bestFit="1" customWidth="1"/>
    <col min="26" max="26" width="11.7109375" bestFit="1" customWidth="1"/>
    <col min="27" max="27" width="12.85546875" bestFit="1" customWidth="1"/>
    <col min="28" max="28" width="10.28515625" bestFit="1" customWidth="1"/>
  </cols>
  <sheetData>
    <row r="1" spans="1:15">
      <c r="B1" s="70" t="s">
        <v>801</v>
      </c>
      <c r="C1" s="53"/>
      <c r="D1" s="53"/>
      <c r="E1" s="53"/>
      <c r="F1" s="332"/>
      <c r="G1" s="332"/>
      <c r="I1" s="332"/>
      <c r="J1" s="332"/>
      <c r="K1" s="6"/>
    </row>
    <row r="2" spans="1:15">
      <c r="B2" s="70" t="str">
        <f>'Control Panel'!$B$1</f>
        <v>Dominion Energy</v>
      </c>
      <c r="C2" s="53"/>
      <c r="D2" s="53"/>
      <c r="E2" s="53"/>
      <c r="F2" s="333"/>
      <c r="G2" s="333"/>
      <c r="I2" s="333"/>
      <c r="J2" s="333"/>
      <c r="K2" s="6"/>
    </row>
    <row r="3" spans="1:15">
      <c r="B3" s="70" t="str">
        <f>'Control Panel'!$B$2</f>
        <v>Utah - June 2023 Adjusted Avg Results</v>
      </c>
      <c r="C3" s="15"/>
      <c r="D3" s="14"/>
      <c r="E3" s="53"/>
      <c r="F3" s="334"/>
      <c r="G3" s="334"/>
      <c r="I3" s="334"/>
      <c r="J3" s="334"/>
      <c r="K3" s="6"/>
    </row>
    <row r="4" spans="1:15">
      <c r="B4" s="70" t="str">
        <f>'Control Panel'!$B$3</f>
        <v>12 Months Ended : Jun-2023</v>
      </c>
      <c r="C4" s="15"/>
      <c r="D4" s="15"/>
      <c r="E4" s="15"/>
      <c r="F4" s="332"/>
      <c r="G4" s="332"/>
      <c r="I4" s="332"/>
      <c r="J4" s="332"/>
      <c r="K4" s="6"/>
    </row>
    <row r="5" spans="1:15">
      <c r="A5" s="45"/>
      <c r="B5" s="15"/>
      <c r="C5" s="15"/>
      <c r="D5" s="15"/>
      <c r="E5" s="15"/>
      <c r="F5" s="335"/>
      <c r="G5" s="335"/>
      <c r="I5" s="335" t="s">
        <v>712</v>
      </c>
      <c r="J5" s="335"/>
      <c r="K5" s="6"/>
    </row>
    <row r="6" spans="1:15" s="218" customFormat="1" ht="45" customHeight="1">
      <c r="A6" s="329"/>
      <c r="B6" s="330"/>
      <c r="C6" s="330"/>
      <c r="D6" s="330"/>
      <c r="E6" s="331"/>
      <c r="F6" s="717" t="s">
        <v>1488</v>
      </c>
      <c r="G6" s="717" t="s">
        <v>1275</v>
      </c>
      <c r="H6" s="331"/>
      <c r="I6" s="717" t="s">
        <v>1488</v>
      </c>
      <c r="J6" s="331" t="s">
        <v>40</v>
      </c>
      <c r="K6" s="354">
        <v>1</v>
      </c>
    </row>
    <row r="7" spans="1:15">
      <c r="A7" s="3"/>
      <c r="B7" s="116"/>
      <c r="C7" s="53"/>
      <c r="D7" s="53"/>
      <c r="E7" s="12"/>
      <c r="F7" s="336"/>
      <c r="G7" s="336"/>
      <c r="I7" s="336"/>
      <c r="J7" s="335"/>
      <c r="K7" s="216">
        <f>+K6+1</f>
        <v>2</v>
      </c>
    </row>
    <row r="8" spans="1:15">
      <c r="A8" s="3"/>
      <c r="B8" s="116"/>
      <c r="C8" s="53"/>
      <c r="D8" s="53"/>
      <c r="E8" s="53"/>
      <c r="F8" s="336"/>
      <c r="G8" s="336"/>
      <c r="I8" s="336"/>
      <c r="J8" s="455"/>
      <c r="K8" s="216">
        <f t="shared" ref="K8:K71" si="0">+K7+1</f>
        <v>3</v>
      </c>
    </row>
    <row r="9" spans="1:15" ht="13.5" thickBot="1">
      <c r="A9" s="906" t="s">
        <v>260</v>
      </c>
      <c r="B9" s="134" t="s">
        <v>775</v>
      </c>
      <c r="C9" s="135"/>
      <c r="D9" s="1111" t="s">
        <v>776</v>
      </c>
      <c r="E9" s="1111"/>
      <c r="F9" s="338"/>
      <c r="G9" s="338"/>
      <c r="I9" s="338" t="s">
        <v>40</v>
      </c>
      <c r="J9" s="338"/>
      <c r="K9" s="216">
        <f t="shared" si="0"/>
        <v>4</v>
      </c>
    </row>
    <row r="10" spans="1:15">
      <c r="A10" s="149">
        <v>510</v>
      </c>
      <c r="B10" s="1112" t="s">
        <v>307</v>
      </c>
      <c r="C10" s="1112"/>
      <c r="D10" s="1112"/>
      <c r="E10" s="1112"/>
      <c r="F10" s="339"/>
      <c r="G10" s="339"/>
      <c r="I10" s="339"/>
      <c r="J10" s="339"/>
      <c r="K10" s="216">
        <f t="shared" si="0"/>
        <v>5</v>
      </c>
    </row>
    <row r="11" spans="1:15">
      <c r="A11" s="149">
        <f t="shared" ref="A11:A75" si="1">+A10+1</f>
        <v>511</v>
      </c>
      <c r="B11" s="116" t="s">
        <v>308</v>
      </c>
      <c r="C11" s="47"/>
      <c r="D11" s="47"/>
      <c r="E11" s="47"/>
      <c r="F11" s="891">
        <f>SUM($F$380,$F$323,$F$295,$F$241)/$F$383</f>
        <v>0.97045860029444897</v>
      </c>
      <c r="G11" s="891">
        <v>0.96891820865388922</v>
      </c>
      <c r="I11" s="339"/>
      <c r="J11" s="339"/>
      <c r="K11" s="216">
        <f t="shared" si="0"/>
        <v>6</v>
      </c>
    </row>
    <row r="12" spans="1:15">
      <c r="A12" s="149">
        <f t="shared" si="1"/>
        <v>512</v>
      </c>
      <c r="B12" s="136"/>
      <c r="C12" s="47"/>
      <c r="D12" s="47"/>
      <c r="E12" s="47"/>
      <c r="F12" s="891">
        <f>1-$F$11</f>
        <v>2.954139970555103E-2</v>
      </c>
      <c r="G12" s="891">
        <v>3.1081791346110776E-2</v>
      </c>
      <c r="I12" s="339"/>
      <c r="J12" s="339"/>
      <c r="K12" s="216">
        <f t="shared" si="0"/>
        <v>7</v>
      </c>
    </row>
    <row r="13" spans="1:15">
      <c r="A13" s="149">
        <f t="shared" si="1"/>
        <v>513</v>
      </c>
      <c r="B13" s="137"/>
      <c r="C13" s="47" t="s">
        <v>143</v>
      </c>
      <c r="D13" s="47"/>
      <c r="E13" s="47"/>
      <c r="F13" s="339"/>
      <c r="G13" s="339"/>
      <c r="I13" s="339"/>
      <c r="J13" s="339"/>
      <c r="K13" s="216">
        <f t="shared" si="0"/>
        <v>8</v>
      </c>
    </row>
    <row r="14" spans="1:15">
      <c r="A14" s="149">
        <f t="shared" si="1"/>
        <v>514</v>
      </c>
      <c r="B14" s="137"/>
      <c r="C14" s="47"/>
      <c r="D14" s="47"/>
      <c r="E14" s="47"/>
      <c r="F14" s="339"/>
      <c r="G14" s="339"/>
      <c r="I14" s="339"/>
      <c r="J14" s="339"/>
      <c r="K14" s="216">
        <f t="shared" si="0"/>
        <v>9</v>
      </c>
    </row>
    <row r="15" spans="1:15">
      <c r="A15" s="149">
        <f t="shared" si="1"/>
        <v>515</v>
      </c>
      <c r="B15" s="137">
        <v>758</v>
      </c>
      <c r="C15" s="47" t="s">
        <v>309</v>
      </c>
      <c r="D15" s="47"/>
      <c r="E15" s="47"/>
      <c r="F15" s="339"/>
      <c r="G15" s="339"/>
      <c r="I15" s="339"/>
      <c r="J15" s="339"/>
      <c r="K15" s="216">
        <f t="shared" si="0"/>
        <v>10</v>
      </c>
    </row>
    <row r="16" spans="1:15">
      <c r="A16" s="149">
        <f t="shared" si="1"/>
        <v>516</v>
      </c>
      <c r="B16" s="137"/>
      <c r="C16" s="47"/>
      <c r="D16" s="47" t="s">
        <v>12</v>
      </c>
      <c r="E16" s="47"/>
      <c r="F16" s="339">
        <f>[17]EXPENSES.XNV!$S$17</f>
        <v>77597269.268456995</v>
      </c>
      <c r="G16" s="339">
        <v>55712205.253137</v>
      </c>
      <c r="I16" s="339">
        <f>HLOOKUP($I$6,$F$6:$G$431,K16,FALSE)</f>
        <v>77597269.268456995</v>
      </c>
      <c r="J16" s="339">
        <f>+I16-F16</f>
        <v>0</v>
      </c>
      <c r="K16" s="216">
        <f t="shared" si="0"/>
        <v>11</v>
      </c>
      <c r="N16" s="339">
        <v>32600916.838951997</v>
      </c>
      <c r="O16" s="1">
        <v>43114905.922283001</v>
      </c>
    </row>
    <row r="17" spans="1:15">
      <c r="A17" s="149">
        <f t="shared" si="1"/>
        <v>517</v>
      </c>
      <c r="B17" s="137"/>
      <c r="C17" s="47"/>
      <c r="D17" s="47" t="s">
        <v>23</v>
      </c>
      <c r="E17" s="47"/>
      <c r="F17" s="339">
        <f>[17]EXPENSES.XNV!S18</f>
        <v>2477385.0915429983</v>
      </c>
      <c r="G17" s="339">
        <v>1805926.6468629991</v>
      </c>
      <c r="I17" s="339">
        <f t="shared" ref="I17:I80" si="2">HLOOKUP($I$6,$F$6:$G$431,K17,FALSE)</f>
        <v>2477385.0915429983</v>
      </c>
      <c r="J17" s="339">
        <f>+I17-F17</f>
        <v>0</v>
      </c>
      <c r="K17" s="216">
        <f t="shared" si="0"/>
        <v>12</v>
      </c>
      <c r="N17" s="339">
        <v>1133159.691048</v>
      </c>
      <c r="O17" s="1">
        <v>1450021.9677169998</v>
      </c>
    </row>
    <row r="18" spans="1:15" ht="13.5" thickBot="1">
      <c r="A18" s="149">
        <f t="shared" si="1"/>
        <v>518</v>
      </c>
      <c r="B18" s="137"/>
      <c r="C18" s="47"/>
      <c r="D18" s="47" t="s">
        <v>145</v>
      </c>
      <c r="E18" s="47"/>
      <c r="F18" s="340">
        <f>SUM(F16:F17)</f>
        <v>80074654.359999999</v>
      </c>
      <c r="G18" s="340">
        <v>57518131.899999999</v>
      </c>
      <c r="I18" s="340">
        <f t="shared" si="2"/>
        <v>80074654.359999999</v>
      </c>
      <c r="J18" s="340">
        <f>+I18-F18</f>
        <v>0</v>
      </c>
      <c r="K18" s="216">
        <f t="shared" si="0"/>
        <v>13</v>
      </c>
      <c r="N18" s="340">
        <v>33734076.530000001</v>
      </c>
      <c r="O18" s="1">
        <v>44564927.890000001</v>
      </c>
    </row>
    <row r="19" spans="1:15" ht="13.5" thickTop="1">
      <c r="A19" s="149">
        <f t="shared" si="1"/>
        <v>519</v>
      </c>
      <c r="B19" s="137"/>
      <c r="C19" s="47"/>
      <c r="D19" s="47"/>
      <c r="E19" s="47"/>
      <c r="F19" s="339"/>
      <c r="G19" s="339"/>
      <c r="I19" s="339">
        <f t="shared" si="2"/>
        <v>0</v>
      </c>
      <c r="J19" s="339"/>
      <c r="K19" s="216">
        <f t="shared" si="0"/>
        <v>14</v>
      </c>
      <c r="N19" s="339"/>
      <c r="O19" s="1"/>
    </row>
    <row r="20" spans="1:15">
      <c r="A20" s="149">
        <f t="shared" si="1"/>
        <v>520</v>
      </c>
      <c r="B20" s="137" t="s">
        <v>646</v>
      </c>
      <c r="C20" s="47" t="s">
        <v>310</v>
      </c>
      <c r="D20" s="47"/>
      <c r="E20" s="47"/>
      <c r="F20" s="339"/>
      <c r="G20" s="339"/>
      <c r="I20" s="339">
        <f t="shared" si="2"/>
        <v>0</v>
      </c>
      <c r="J20" s="339"/>
      <c r="K20" s="216">
        <f t="shared" si="0"/>
        <v>15</v>
      </c>
      <c r="N20" s="339"/>
      <c r="O20" s="1"/>
    </row>
    <row r="21" spans="1:15">
      <c r="A21" s="149">
        <f t="shared" si="1"/>
        <v>521</v>
      </c>
      <c r="B21" s="137"/>
      <c r="C21" s="47"/>
      <c r="D21" s="47" t="s">
        <v>12</v>
      </c>
      <c r="E21" s="47"/>
      <c r="F21" s="339">
        <f>[14]EXPENSES.XNV!S22</f>
        <v>0</v>
      </c>
      <c r="G21" s="339">
        <v>0</v>
      </c>
      <c r="I21" s="339">
        <f t="shared" si="2"/>
        <v>0</v>
      </c>
      <c r="J21" s="339">
        <f>+I21-F21</f>
        <v>0</v>
      </c>
      <c r="K21" s="216">
        <f t="shared" si="0"/>
        <v>16</v>
      </c>
      <c r="N21" s="339">
        <v>0</v>
      </c>
      <c r="O21" s="1">
        <v>0</v>
      </c>
    </row>
    <row r="22" spans="1:15">
      <c r="A22" s="149">
        <f t="shared" si="1"/>
        <v>522</v>
      </c>
      <c r="B22" s="137"/>
      <c r="C22" s="47"/>
      <c r="D22" s="47" t="s">
        <v>23</v>
      </c>
      <c r="E22" s="47"/>
      <c r="F22" s="339">
        <f>[14]EXPENSES.XNV!S23</f>
        <v>0</v>
      </c>
      <c r="G22" s="339">
        <v>0</v>
      </c>
      <c r="I22" s="339">
        <f t="shared" si="2"/>
        <v>0</v>
      </c>
      <c r="J22" s="339">
        <f>+I22-F22</f>
        <v>0</v>
      </c>
      <c r="K22" s="216">
        <f t="shared" si="0"/>
        <v>17</v>
      </c>
      <c r="N22" s="339">
        <v>0</v>
      </c>
      <c r="O22" s="1">
        <v>0</v>
      </c>
    </row>
    <row r="23" spans="1:15" ht="13.5" thickBot="1">
      <c r="A23" s="149">
        <f t="shared" si="1"/>
        <v>523</v>
      </c>
      <c r="B23" s="137"/>
      <c r="C23" s="47"/>
      <c r="D23" s="47" t="s">
        <v>145</v>
      </c>
      <c r="E23" s="47"/>
      <c r="F23" s="340">
        <f>SUM(F21:F22)</f>
        <v>0</v>
      </c>
      <c r="G23" s="340">
        <v>0</v>
      </c>
      <c r="I23" s="340">
        <f t="shared" si="2"/>
        <v>0</v>
      </c>
      <c r="J23" s="340">
        <f>+I23-F23</f>
        <v>0</v>
      </c>
      <c r="K23" s="216">
        <f t="shared" si="0"/>
        <v>18</v>
      </c>
      <c r="N23" s="340">
        <v>0</v>
      </c>
      <c r="O23" s="1">
        <v>0</v>
      </c>
    </row>
    <row r="24" spans="1:15" ht="13.5" thickTop="1">
      <c r="A24" s="149">
        <f t="shared" si="1"/>
        <v>524</v>
      </c>
      <c r="B24" s="137"/>
      <c r="C24" s="47"/>
      <c r="D24" s="47"/>
      <c r="E24" s="47"/>
      <c r="F24" s="339"/>
      <c r="G24" s="339"/>
      <c r="I24" s="339">
        <f t="shared" si="2"/>
        <v>0</v>
      </c>
      <c r="J24" s="339"/>
      <c r="K24" s="216">
        <f t="shared" si="0"/>
        <v>19</v>
      </c>
      <c r="N24" s="339"/>
      <c r="O24" s="1"/>
    </row>
    <row r="25" spans="1:15">
      <c r="A25" s="149">
        <f t="shared" si="1"/>
        <v>525</v>
      </c>
      <c r="B25" s="137">
        <v>759</v>
      </c>
      <c r="C25" s="47" t="s">
        <v>669</v>
      </c>
      <c r="D25" s="47"/>
      <c r="E25" s="47"/>
      <c r="F25" s="339"/>
      <c r="G25" s="339"/>
      <c r="I25" s="339">
        <f t="shared" si="2"/>
        <v>0</v>
      </c>
      <c r="J25" s="339"/>
      <c r="K25" s="216">
        <f t="shared" si="0"/>
        <v>20</v>
      </c>
      <c r="N25" s="339"/>
      <c r="O25" s="1"/>
    </row>
    <row r="26" spans="1:15">
      <c r="A26" s="149">
        <f t="shared" si="1"/>
        <v>526</v>
      </c>
      <c r="B26" s="137"/>
      <c r="C26" s="47"/>
      <c r="D26" s="47" t="s">
        <v>12</v>
      </c>
      <c r="E26" s="47"/>
      <c r="F26" s="339">
        <f>[17]EXPENSES.XNV!S27</f>
        <v>7016802.1791709997</v>
      </c>
      <c r="G26" s="339">
        <v>6935060.7128749993</v>
      </c>
      <c r="I26" s="339">
        <f t="shared" si="2"/>
        <v>7016802.1791709997</v>
      </c>
      <c r="J26" s="339">
        <f>+I26-F26</f>
        <v>0</v>
      </c>
      <c r="K26" s="216">
        <f t="shared" si="0"/>
        <v>21</v>
      </c>
      <c r="N26" s="339">
        <v>16610191.004796999</v>
      </c>
      <c r="O26" s="1">
        <v>11320902.898559999</v>
      </c>
    </row>
    <row r="27" spans="1:15">
      <c r="A27" s="149">
        <f t="shared" si="1"/>
        <v>527</v>
      </c>
      <c r="B27" s="137"/>
      <c r="C27" s="47"/>
      <c r="D27" s="47" t="s">
        <v>23</v>
      </c>
      <c r="E27" s="47"/>
      <c r="F27" s="339">
        <f>[17]EXPENSES.XNV!S28</f>
        <v>232631.1308289998</v>
      </c>
      <c r="G27" s="339">
        <v>226032.80712499996</v>
      </c>
      <c r="I27" s="339">
        <f t="shared" si="2"/>
        <v>232631.1308289998</v>
      </c>
      <c r="J27" s="339">
        <f>+I27-F27</f>
        <v>0</v>
      </c>
      <c r="K27" s="216">
        <f t="shared" si="0"/>
        <v>22</v>
      </c>
      <c r="N27" s="339">
        <v>572460.9352030002</v>
      </c>
      <c r="O27" s="1">
        <v>366732.94144000008</v>
      </c>
    </row>
    <row r="28" spans="1:15" ht="13.5" thickBot="1">
      <c r="A28" s="149">
        <f t="shared" si="1"/>
        <v>528</v>
      </c>
      <c r="B28" s="137"/>
      <c r="C28" s="47"/>
      <c r="D28" s="47" t="s">
        <v>145</v>
      </c>
      <c r="E28" s="47"/>
      <c r="F28" s="340">
        <f>SUM(F26:F27)</f>
        <v>7249433.3099999996</v>
      </c>
      <c r="G28" s="340">
        <v>7161093.5199999996</v>
      </c>
      <c r="I28" s="340">
        <f t="shared" si="2"/>
        <v>7249433.3099999996</v>
      </c>
      <c r="J28" s="340">
        <f>+I28-F28</f>
        <v>0</v>
      </c>
      <c r="K28" s="216">
        <f t="shared" si="0"/>
        <v>23</v>
      </c>
      <c r="N28" s="340">
        <v>17182651.939999998</v>
      </c>
      <c r="O28" s="1">
        <v>11687635.84</v>
      </c>
    </row>
    <row r="29" spans="1:15" ht="13.5" thickTop="1">
      <c r="A29" s="149">
        <f t="shared" si="1"/>
        <v>529</v>
      </c>
      <c r="B29" s="137"/>
      <c r="C29" s="47"/>
      <c r="D29" s="47"/>
      <c r="E29" s="47"/>
      <c r="F29" s="339"/>
      <c r="G29" s="339"/>
      <c r="I29" s="339">
        <f t="shared" si="2"/>
        <v>0</v>
      </c>
      <c r="J29" s="339"/>
      <c r="K29" s="216">
        <f t="shared" si="0"/>
        <v>24</v>
      </c>
      <c r="N29" s="339"/>
      <c r="O29" s="1"/>
    </row>
    <row r="30" spans="1:15">
      <c r="A30" s="149">
        <f t="shared" si="1"/>
        <v>530</v>
      </c>
      <c r="B30" s="137">
        <v>759</v>
      </c>
      <c r="C30" s="47" t="s">
        <v>312</v>
      </c>
      <c r="D30" s="47"/>
      <c r="E30" s="47"/>
      <c r="F30" s="339"/>
      <c r="G30" s="339"/>
      <c r="I30" s="339">
        <f t="shared" si="2"/>
        <v>0</v>
      </c>
      <c r="J30" s="339"/>
      <c r="K30" s="216">
        <f t="shared" si="0"/>
        <v>25</v>
      </c>
      <c r="N30" s="339"/>
      <c r="O30" s="1"/>
    </row>
    <row r="31" spans="1:15">
      <c r="A31" s="149">
        <f t="shared" si="1"/>
        <v>531</v>
      </c>
      <c r="B31" s="137"/>
      <c r="C31" s="47"/>
      <c r="D31" s="47" t="s">
        <v>12</v>
      </c>
      <c r="E31" s="47"/>
      <c r="F31" s="339">
        <f>[17]EXPENSES.XNV!S32</f>
        <v>0</v>
      </c>
      <c r="G31" s="339">
        <v>0</v>
      </c>
      <c r="I31" s="339">
        <f t="shared" si="2"/>
        <v>0</v>
      </c>
      <c r="J31" s="339">
        <f>+I31-F31</f>
        <v>0</v>
      </c>
      <c r="K31" s="216">
        <f t="shared" si="0"/>
        <v>26</v>
      </c>
      <c r="N31" s="339">
        <v>0</v>
      </c>
      <c r="O31" s="1">
        <v>0</v>
      </c>
    </row>
    <row r="32" spans="1:15">
      <c r="A32" s="149">
        <f t="shared" si="1"/>
        <v>532</v>
      </c>
      <c r="B32" s="137"/>
      <c r="C32" s="47"/>
      <c r="D32" s="47"/>
      <c r="E32" s="47" t="s">
        <v>259</v>
      </c>
      <c r="F32" s="339"/>
      <c r="G32" s="339"/>
      <c r="I32" s="339">
        <f t="shared" si="2"/>
        <v>0</v>
      </c>
      <c r="J32" s="339">
        <f>+I32-F32</f>
        <v>0</v>
      </c>
      <c r="K32" s="216">
        <f t="shared" si="0"/>
        <v>27</v>
      </c>
      <c r="N32" s="339"/>
      <c r="O32" s="1">
        <v>0</v>
      </c>
    </row>
    <row r="33" spans="1:15">
      <c r="A33" s="149">
        <f t="shared" si="1"/>
        <v>533</v>
      </c>
      <c r="B33" s="137"/>
      <c r="C33" s="47"/>
      <c r="D33" s="47"/>
      <c r="E33" s="47" t="s">
        <v>132</v>
      </c>
      <c r="F33" s="339"/>
      <c r="G33" s="339"/>
      <c r="I33" s="339">
        <f t="shared" si="2"/>
        <v>0</v>
      </c>
      <c r="J33" s="339">
        <f>+I33-F33</f>
        <v>0</v>
      </c>
      <c r="K33" s="216">
        <f t="shared" si="0"/>
        <v>28</v>
      </c>
      <c r="N33" s="339"/>
      <c r="O33" s="1">
        <v>0</v>
      </c>
    </row>
    <row r="34" spans="1:15">
      <c r="A34" s="149">
        <f t="shared" si="1"/>
        <v>534</v>
      </c>
      <c r="B34" s="137"/>
      <c r="C34" s="47"/>
      <c r="D34" s="47" t="s">
        <v>23</v>
      </c>
      <c r="E34" s="47"/>
      <c r="F34" s="339">
        <f>[17]EXPENSES.XNV!S35</f>
        <v>0</v>
      </c>
      <c r="G34" s="339">
        <v>0</v>
      </c>
      <c r="I34" s="339">
        <f t="shared" si="2"/>
        <v>0</v>
      </c>
      <c r="J34" s="339">
        <f>+I34-F34</f>
        <v>0</v>
      </c>
      <c r="K34" s="216">
        <f t="shared" si="0"/>
        <v>29</v>
      </c>
      <c r="N34" s="339">
        <v>0</v>
      </c>
      <c r="O34" s="1"/>
    </row>
    <row r="35" spans="1:15" ht="13.5" thickBot="1">
      <c r="A35" s="149">
        <f t="shared" si="1"/>
        <v>535</v>
      </c>
      <c r="B35" s="137"/>
      <c r="C35" s="47"/>
      <c r="D35" s="47" t="s">
        <v>145</v>
      </c>
      <c r="E35" s="47"/>
      <c r="F35" s="340">
        <v>0</v>
      </c>
      <c r="G35" s="340">
        <v>0</v>
      </c>
      <c r="I35" s="340">
        <f t="shared" si="2"/>
        <v>0</v>
      </c>
      <c r="J35" s="340">
        <f>+I35-F35</f>
        <v>0</v>
      </c>
      <c r="K35" s="216">
        <f t="shared" si="0"/>
        <v>30</v>
      </c>
      <c r="N35" s="340">
        <v>0</v>
      </c>
      <c r="O35" s="1"/>
    </row>
    <row r="36" spans="1:15" ht="13.5" thickTop="1">
      <c r="A36" s="149">
        <f t="shared" si="1"/>
        <v>536</v>
      </c>
      <c r="B36" s="137"/>
      <c r="C36" s="47"/>
      <c r="D36" s="47"/>
      <c r="E36" s="47"/>
      <c r="F36" s="339"/>
      <c r="G36" s="339"/>
      <c r="I36" s="339">
        <f t="shared" si="2"/>
        <v>0</v>
      </c>
      <c r="J36" s="339"/>
      <c r="K36" s="216">
        <f t="shared" si="0"/>
        <v>31</v>
      </c>
      <c r="N36" s="339"/>
      <c r="O36" s="1">
        <v>0</v>
      </c>
    </row>
    <row r="37" spans="1:15">
      <c r="A37" s="149">
        <f t="shared" si="1"/>
        <v>537</v>
      </c>
      <c r="B37" s="137">
        <v>800</v>
      </c>
      <c r="C37" s="47" t="s">
        <v>313</v>
      </c>
      <c r="D37" s="47"/>
      <c r="E37" s="47"/>
      <c r="F37" s="339"/>
      <c r="G37" s="339"/>
      <c r="I37" s="339">
        <f t="shared" si="2"/>
        <v>0</v>
      </c>
      <c r="J37" s="339"/>
      <c r="K37" s="216">
        <f t="shared" si="0"/>
        <v>32</v>
      </c>
      <c r="N37" s="339"/>
      <c r="O37" s="1">
        <v>0</v>
      </c>
    </row>
    <row r="38" spans="1:15">
      <c r="A38" s="149">
        <f t="shared" si="1"/>
        <v>538</v>
      </c>
      <c r="B38" s="137"/>
      <c r="C38" s="47"/>
      <c r="D38" s="47" t="s">
        <v>12</v>
      </c>
      <c r="E38" s="47"/>
      <c r="F38" s="339">
        <f>[17]EXPENSES.XNV!S37</f>
        <v>0</v>
      </c>
      <c r="G38" s="339">
        <v>0</v>
      </c>
      <c r="I38" s="339">
        <f t="shared" si="2"/>
        <v>0</v>
      </c>
      <c r="J38" s="339">
        <f>+I38-F38</f>
        <v>0</v>
      </c>
      <c r="K38" s="216">
        <f t="shared" si="0"/>
        <v>33</v>
      </c>
      <c r="N38" s="339">
        <v>0</v>
      </c>
      <c r="O38" s="1">
        <v>0</v>
      </c>
    </row>
    <row r="39" spans="1:15">
      <c r="A39" s="149">
        <f t="shared" si="1"/>
        <v>539</v>
      </c>
      <c r="B39" s="137"/>
      <c r="C39" s="47"/>
      <c r="D39" s="47" t="s">
        <v>23</v>
      </c>
      <c r="E39" s="47"/>
      <c r="F39" s="339">
        <f>[17]EXPENSES.XNV!S38</f>
        <v>0</v>
      </c>
      <c r="G39" s="339">
        <v>0</v>
      </c>
      <c r="I39" s="339">
        <f t="shared" si="2"/>
        <v>0</v>
      </c>
      <c r="J39" s="339">
        <f>+I39-F39</f>
        <v>0</v>
      </c>
      <c r="K39" s="216">
        <f t="shared" si="0"/>
        <v>34</v>
      </c>
      <c r="N39" s="339">
        <v>0</v>
      </c>
      <c r="O39" s="1"/>
    </row>
    <row r="40" spans="1:15" ht="13.5" thickBot="1">
      <c r="A40" s="149">
        <f t="shared" si="1"/>
        <v>540</v>
      </c>
      <c r="B40" s="137"/>
      <c r="C40" s="47"/>
      <c r="D40" s="47" t="s">
        <v>145</v>
      </c>
      <c r="E40" s="47"/>
      <c r="F40" s="340">
        <f>SUM(F38:F39)</f>
        <v>0</v>
      </c>
      <c r="G40" s="340">
        <v>0</v>
      </c>
      <c r="I40" s="340">
        <f t="shared" si="2"/>
        <v>0</v>
      </c>
      <c r="J40" s="340">
        <f>+I40-F40</f>
        <v>0</v>
      </c>
      <c r="K40" s="216">
        <f t="shared" si="0"/>
        <v>35</v>
      </c>
      <c r="N40" s="340">
        <v>0</v>
      </c>
      <c r="O40" s="1"/>
    </row>
    <row r="41" spans="1:15" ht="13.5" thickTop="1">
      <c r="A41" s="149">
        <f t="shared" si="1"/>
        <v>541</v>
      </c>
      <c r="B41" s="137"/>
      <c r="C41" s="47"/>
      <c r="D41" s="47"/>
      <c r="E41" s="47"/>
      <c r="F41" s="339"/>
      <c r="G41" s="339"/>
      <c r="I41" s="339">
        <f t="shared" si="2"/>
        <v>0</v>
      </c>
      <c r="J41" s="339"/>
      <c r="K41" s="216">
        <f t="shared" si="0"/>
        <v>36</v>
      </c>
      <c r="N41" s="339"/>
      <c r="O41" s="1">
        <v>0</v>
      </c>
    </row>
    <row r="42" spans="1:15">
      <c r="A42" s="149">
        <f t="shared" si="1"/>
        <v>542</v>
      </c>
      <c r="B42" s="137">
        <v>801</v>
      </c>
      <c r="C42" s="47" t="s">
        <v>314</v>
      </c>
      <c r="D42" s="47"/>
      <c r="E42" s="47"/>
      <c r="F42" s="339"/>
      <c r="G42" s="339"/>
      <c r="I42" s="339">
        <f t="shared" si="2"/>
        <v>0</v>
      </c>
      <c r="J42" s="339"/>
      <c r="K42" s="216">
        <f t="shared" si="0"/>
        <v>37</v>
      </c>
      <c r="N42" s="339"/>
      <c r="O42" s="1">
        <v>0</v>
      </c>
    </row>
    <row r="43" spans="1:15">
      <c r="A43" s="149">
        <f t="shared" si="1"/>
        <v>543</v>
      </c>
      <c r="B43" s="137"/>
      <c r="C43" s="47"/>
      <c r="D43" s="47" t="s">
        <v>12</v>
      </c>
      <c r="E43" s="47"/>
      <c r="F43" s="339">
        <f>[17]EXPENSES.XNV!S42</f>
        <v>0</v>
      </c>
      <c r="G43" s="339">
        <v>0</v>
      </c>
      <c r="I43" s="339">
        <f t="shared" si="2"/>
        <v>0</v>
      </c>
      <c r="J43" s="339">
        <f>+I43-F43</f>
        <v>0</v>
      </c>
      <c r="K43" s="216">
        <f t="shared" si="0"/>
        <v>38</v>
      </c>
      <c r="N43" s="339">
        <v>0</v>
      </c>
      <c r="O43" s="1">
        <v>0</v>
      </c>
    </row>
    <row r="44" spans="1:15">
      <c r="A44" s="149">
        <f t="shared" si="1"/>
        <v>544</v>
      </c>
      <c r="B44" s="137"/>
      <c r="C44" s="47"/>
      <c r="D44" s="47" t="s">
        <v>23</v>
      </c>
      <c r="E44" s="47"/>
      <c r="F44" s="339">
        <f>[17]EXPENSES.XNV!S43</f>
        <v>0</v>
      </c>
      <c r="G44" s="339">
        <v>0</v>
      </c>
      <c r="I44" s="339">
        <f t="shared" si="2"/>
        <v>0</v>
      </c>
      <c r="J44" s="339">
        <f>+I44-F44</f>
        <v>0</v>
      </c>
      <c r="K44" s="216">
        <f t="shared" si="0"/>
        <v>39</v>
      </c>
      <c r="N44" s="339">
        <v>0</v>
      </c>
      <c r="O44" s="1"/>
    </row>
    <row r="45" spans="1:15" ht="13.5" thickBot="1">
      <c r="A45" s="149">
        <f t="shared" si="1"/>
        <v>545</v>
      </c>
      <c r="B45" s="137"/>
      <c r="C45" s="47"/>
      <c r="D45" s="47" t="s">
        <v>145</v>
      </c>
      <c r="E45" s="47"/>
      <c r="F45" s="340">
        <f>SUM(F43:F44)</f>
        <v>0</v>
      </c>
      <c r="G45" s="340">
        <v>0</v>
      </c>
      <c r="I45" s="340">
        <f t="shared" si="2"/>
        <v>0</v>
      </c>
      <c r="J45" s="340">
        <f>+I45-F45</f>
        <v>0</v>
      </c>
      <c r="K45" s="216">
        <f t="shared" si="0"/>
        <v>40</v>
      </c>
      <c r="N45" s="340">
        <v>0</v>
      </c>
      <c r="O45" s="1"/>
    </row>
    <row r="46" spans="1:15" ht="13.5" thickTop="1">
      <c r="A46" s="149">
        <f t="shared" si="1"/>
        <v>546</v>
      </c>
      <c r="B46" s="137"/>
      <c r="C46" s="47"/>
      <c r="D46" s="47"/>
      <c r="E46" s="47"/>
      <c r="F46" s="339"/>
      <c r="G46" s="339"/>
      <c r="I46" s="339">
        <f t="shared" si="2"/>
        <v>0</v>
      </c>
      <c r="J46" s="339"/>
      <c r="K46" s="216">
        <f t="shared" si="0"/>
        <v>41</v>
      </c>
      <c r="N46" s="339"/>
      <c r="O46" s="1">
        <v>0</v>
      </c>
    </row>
    <row r="47" spans="1:15">
      <c r="A47" s="149">
        <f t="shared" si="1"/>
        <v>547</v>
      </c>
      <c r="B47" s="137">
        <v>802</v>
      </c>
      <c r="C47" s="47" t="s">
        <v>668</v>
      </c>
      <c r="D47" s="47"/>
      <c r="E47" s="47"/>
      <c r="F47" s="339"/>
      <c r="G47" s="339"/>
      <c r="I47" s="339">
        <f t="shared" si="2"/>
        <v>0</v>
      </c>
      <c r="J47" s="339"/>
      <c r="K47" s="216">
        <f t="shared" si="0"/>
        <v>42</v>
      </c>
      <c r="N47" s="339"/>
      <c r="O47" s="1">
        <v>0</v>
      </c>
    </row>
    <row r="48" spans="1:15">
      <c r="A48" s="149">
        <f t="shared" si="1"/>
        <v>548</v>
      </c>
      <c r="B48" s="137"/>
      <c r="C48" s="47"/>
      <c r="D48" s="47" t="s">
        <v>12</v>
      </c>
      <c r="E48" s="47"/>
      <c r="F48" s="339">
        <f>[17]EXPENSES.XNV!S47</f>
        <v>0</v>
      </c>
      <c r="G48" s="339">
        <v>0</v>
      </c>
      <c r="I48" s="339">
        <f t="shared" si="2"/>
        <v>0</v>
      </c>
      <c r="J48" s="339">
        <f>+I48-F48</f>
        <v>0</v>
      </c>
      <c r="K48" s="216">
        <f t="shared" si="0"/>
        <v>43</v>
      </c>
      <c r="N48" s="339">
        <v>0</v>
      </c>
      <c r="O48" s="1">
        <v>0</v>
      </c>
    </row>
    <row r="49" spans="1:15">
      <c r="A49" s="149">
        <f t="shared" si="1"/>
        <v>549</v>
      </c>
      <c r="B49" s="137"/>
      <c r="C49" s="47"/>
      <c r="D49" s="47" t="s">
        <v>23</v>
      </c>
      <c r="E49" s="47"/>
      <c r="F49" s="339">
        <f>[17]EXPENSES.XNV!S48</f>
        <v>0</v>
      </c>
      <c r="G49" s="339">
        <v>0</v>
      </c>
      <c r="I49" s="339">
        <f t="shared" si="2"/>
        <v>0</v>
      </c>
      <c r="J49" s="339">
        <f>+I49-F49</f>
        <v>0</v>
      </c>
      <c r="K49" s="216">
        <f t="shared" si="0"/>
        <v>44</v>
      </c>
      <c r="N49" s="339">
        <v>0</v>
      </c>
      <c r="O49" s="1"/>
    </row>
    <row r="50" spans="1:15" ht="13.5" thickBot="1">
      <c r="A50" s="149">
        <f t="shared" si="1"/>
        <v>550</v>
      </c>
      <c r="B50" s="137"/>
      <c r="C50" s="47"/>
      <c r="D50" s="47" t="s">
        <v>145</v>
      </c>
      <c r="E50" s="47"/>
      <c r="F50" s="340">
        <f>SUM(F48:F49)</f>
        <v>0</v>
      </c>
      <c r="G50" s="340">
        <v>0</v>
      </c>
      <c r="I50" s="340">
        <f t="shared" si="2"/>
        <v>0</v>
      </c>
      <c r="J50" s="340">
        <f>+I50-F50</f>
        <v>0</v>
      </c>
      <c r="K50" s="216">
        <f t="shared" si="0"/>
        <v>45</v>
      </c>
      <c r="N50" s="340">
        <v>0</v>
      </c>
      <c r="O50" s="1"/>
    </row>
    <row r="51" spans="1:15" ht="13.5" thickTop="1">
      <c r="A51" s="149">
        <f t="shared" si="1"/>
        <v>551</v>
      </c>
      <c r="B51" s="137"/>
      <c r="C51" s="47"/>
      <c r="D51" s="47"/>
      <c r="E51" s="47"/>
      <c r="F51" s="339"/>
      <c r="G51" s="339"/>
      <c r="I51" s="339">
        <f t="shared" si="2"/>
        <v>0</v>
      </c>
      <c r="J51" s="339"/>
      <c r="K51" s="216">
        <f t="shared" si="0"/>
        <v>46</v>
      </c>
      <c r="N51" s="339"/>
    </row>
    <row r="52" spans="1:15">
      <c r="A52" s="149">
        <f t="shared" si="1"/>
        <v>552</v>
      </c>
      <c r="B52" s="137">
        <v>803</v>
      </c>
      <c r="C52" s="47" t="s">
        <v>654</v>
      </c>
      <c r="D52" s="47"/>
      <c r="E52" s="47"/>
      <c r="F52" s="339"/>
      <c r="G52" s="339"/>
      <c r="I52" s="339">
        <f t="shared" si="2"/>
        <v>0</v>
      </c>
      <c r="J52" s="339"/>
      <c r="K52" s="216">
        <f t="shared" si="0"/>
        <v>47</v>
      </c>
      <c r="N52" s="339"/>
    </row>
    <row r="53" spans="1:15">
      <c r="A53" s="149">
        <f t="shared" si="1"/>
        <v>553</v>
      </c>
      <c r="B53" s="137"/>
      <c r="C53" s="47"/>
      <c r="D53" s="47" t="s">
        <v>12</v>
      </c>
      <c r="E53" s="47"/>
      <c r="F53" s="339">
        <f>[17]EXPENSES.XNV!S52</f>
        <v>981511934.55607605</v>
      </c>
      <c r="G53" s="339">
        <v>565604870.01683795</v>
      </c>
      <c r="I53" s="339">
        <f t="shared" si="2"/>
        <v>981511934.55607605</v>
      </c>
      <c r="J53" s="339">
        <f>+I53-F53</f>
        <v>0</v>
      </c>
      <c r="K53" s="216">
        <f t="shared" si="0"/>
        <v>48</v>
      </c>
      <c r="N53" s="339">
        <v>268146960.39922601</v>
      </c>
      <c r="O53" s="1">
        <v>318372831.48490405</v>
      </c>
    </row>
    <row r="54" spans="1:15">
      <c r="A54" s="149">
        <f t="shared" si="1"/>
        <v>554</v>
      </c>
      <c r="B54" s="137"/>
      <c r="C54" s="47"/>
      <c r="D54" s="47" t="s">
        <v>23</v>
      </c>
      <c r="E54" s="47"/>
      <c r="F54" s="339">
        <f>[17]EXPENSES.XNV!S53</f>
        <v>32255664.833923984</v>
      </c>
      <c r="G54" s="339">
        <v>18605386.233162008</v>
      </c>
      <c r="I54" s="339">
        <f t="shared" si="2"/>
        <v>32255664.833923984</v>
      </c>
      <c r="J54" s="339">
        <f>+I54-F54</f>
        <v>0</v>
      </c>
      <c r="K54" s="216">
        <f t="shared" si="0"/>
        <v>49</v>
      </c>
      <c r="N54" s="339">
        <v>9353121.7107739896</v>
      </c>
      <c r="O54" s="1">
        <v>10593044.85509599</v>
      </c>
    </row>
    <row r="55" spans="1:15" ht="13.5" thickBot="1">
      <c r="A55" s="149">
        <f t="shared" si="1"/>
        <v>555</v>
      </c>
      <c r="B55" s="137"/>
      <c r="C55" s="47"/>
      <c r="D55" s="47" t="s">
        <v>145</v>
      </c>
      <c r="E55" s="47"/>
      <c r="F55" s="340">
        <f>SUM(F53:F54)</f>
        <v>1013767599.39</v>
      </c>
      <c r="G55" s="340">
        <v>584210256.25</v>
      </c>
      <c r="I55" s="340">
        <f t="shared" si="2"/>
        <v>1013767599.39</v>
      </c>
      <c r="J55" s="340">
        <f>+I55-F55</f>
        <v>0</v>
      </c>
      <c r="K55" s="216">
        <f t="shared" si="0"/>
        <v>50</v>
      </c>
      <c r="N55" s="340">
        <v>277500082.11000001</v>
      </c>
      <c r="O55" s="1">
        <v>328965876.34000003</v>
      </c>
    </row>
    <row r="56" spans="1:15" ht="13.5" thickTop="1">
      <c r="A56" s="149">
        <f t="shared" si="1"/>
        <v>556</v>
      </c>
      <c r="B56" s="137"/>
      <c r="C56" s="47"/>
      <c r="D56" s="47"/>
      <c r="E56" s="47"/>
      <c r="F56" s="339"/>
      <c r="G56" s="339"/>
      <c r="I56" s="339">
        <f t="shared" si="2"/>
        <v>0</v>
      </c>
      <c r="J56" s="339"/>
      <c r="K56" s="216">
        <f t="shared" si="0"/>
        <v>51</v>
      </c>
      <c r="N56" s="339"/>
      <c r="O56" s="1"/>
    </row>
    <row r="57" spans="1:15">
      <c r="A57" s="149">
        <f t="shared" si="1"/>
        <v>557</v>
      </c>
      <c r="B57" s="137">
        <v>804</v>
      </c>
      <c r="C57" s="47" t="s">
        <v>656</v>
      </c>
      <c r="D57" s="47"/>
      <c r="E57" s="47"/>
      <c r="F57" s="339"/>
      <c r="G57" s="339"/>
      <c r="I57" s="339">
        <f t="shared" si="2"/>
        <v>0</v>
      </c>
      <c r="J57" s="339"/>
      <c r="K57" s="216">
        <f t="shared" si="0"/>
        <v>52</v>
      </c>
      <c r="N57" s="339"/>
      <c r="O57" s="1"/>
    </row>
    <row r="58" spans="1:15">
      <c r="A58" s="149">
        <f t="shared" si="1"/>
        <v>558</v>
      </c>
      <c r="B58" s="137"/>
      <c r="C58" s="47"/>
      <c r="D58" s="47" t="s">
        <v>12</v>
      </c>
      <c r="E58" s="47"/>
      <c r="F58" s="339">
        <f>[17]EXPENSES.XNV!S57</f>
        <v>15805820.911920998</v>
      </c>
      <c r="G58" s="339">
        <v>10112047.503975</v>
      </c>
      <c r="I58" s="339">
        <f t="shared" si="2"/>
        <v>15805820.911920998</v>
      </c>
      <c r="J58" s="339">
        <f>+I58-F58</f>
        <v>0</v>
      </c>
      <c r="K58" s="216">
        <f t="shared" si="0"/>
        <v>53</v>
      </c>
      <c r="N58" s="339">
        <v>3786908.9816839998</v>
      </c>
      <c r="O58" s="1">
        <v>4087207.0633879998</v>
      </c>
    </row>
    <row r="59" spans="1:15">
      <c r="A59" s="149">
        <f t="shared" si="1"/>
        <v>559</v>
      </c>
      <c r="B59" s="137"/>
      <c r="C59" s="47"/>
      <c r="D59" s="47" t="s">
        <v>23</v>
      </c>
      <c r="E59" s="47"/>
      <c r="F59" s="339">
        <f>[17]EXPENSES.XNV!S58</f>
        <v>526144.7780789996</v>
      </c>
      <c r="G59" s="339">
        <v>341734.52602499997</v>
      </c>
      <c r="I59" s="339">
        <f t="shared" si="2"/>
        <v>526144.7780789996</v>
      </c>
      <c r="J59" s="339">
        <f>+I59-F59</f>
        <v>0</v>
      </c>
      <c r="K59" s="216">
        <f t="shared" si="0"/>
        <v>54</v>
      </c>
      <c r="N59" s="339">
        <v>133498.08831600018</v>
      </c>
      <c r="O59" s="1">
        <v>143462.28661200005</v>
      </c>
    </row>
    <row r="60" spans="1:15" ht="13.5" thickBot="1">
      <c r="A60" s="149">
        <f t="shared" si="1"/>
        <v>560</v>
      </c>
      <c r="B60" s="137"/>
      <c r="C60" s="47"/>
      <c r="D60" s="47" t="s">
        <v>145</v>
      </c>
      <c r="E60" s="47"/>
      <c r="F60" s="340">
        <f>SUM(F58:F59)</f>
        <v>16331965.689999998</v>
      </c>
      <c r="G60" s="340">
        <v>10453782.029999999</v>
      </c>
      <c r="I60" s="340">
        <f t="shared" si="2"/>
        <v>16331965.689999998</v>
      </c>
      <c r="J60" s="340">
        <f>+I60-F60</f>
        <v>0</v>
      </c>
      <c r="K60" s="216">
        <f t="shared" si="0"/>
        <v>55</v>
      </c>
      <c r="N60" s="340">
        <v>3920407.07</v>
      </c>
      <c r="O60" s="1">
        <v>4230669.3499999996</v>
      </c>
    </row>
    <row r="61" spans="1:15" ht="13.5" thickTop="1">
      <c r="A61" s="149">
        <f t="shared" si="1"/>
        <v>561</v>
      </c>
      <c r="B61" s="137"/>
      <c r="C61" s="47"/>
      <c r="D61" s="47"/>
      <c r="E61" s="47"/>
      <c r="F61" s="339"/>
      <c r="G61" s="339"/>
      <c r="I61" s="339">
        <f t="shared" si="2"/>
        <v>0</v>
      </c>
      <c r="J61" s="339"/>
      <c r="K61" s="216">
        <f t="shared" si="0"/>
        <v>56</v>
      </c>
      <c r="N61" s="339"/>
      <c r="O61" s="1"/>
    </row>
    <row r="62" spans="1:15">
      <c r="A62" s="149">
        <f t="shared" si="1"/>
        <v>562</v>
      </c>
      <c r="B62" s="137" t="s">
        <v>647</v>
      </c>
      <c r="C62" s="47" t="s">
        <v>661</v>
      </c>
      <c r="D62" s="47"/>
      <c r="E62" s="47"/>
      <c r="F62" s="339"/>
      <c r="G62" s="339"/>
      <c r="I62" s="339">
        <f t="shared" si="2"/>
        <v>0</v>
      </c>
      <c r="J62" s="339"/>
      <c r="K62" s="216">
        <f t="shared" si="0"/>
        <v>57</v>
      </c>
      <c r="N62" s="339"/>
      <c r="O62" s="1"/>
    </row>
    <row r="63" spans="1:15">
      <c r="A63" s="149">
        <f t="shared" si="1"/>
        <v>563</v>
      </c>
      <c r="B63" s="137"/>
      <c r="C63" s="47"/>
      <c r="D63" s="47" t="s">
        <v>12</v>
      </c>
      <c r="E63" s="47"/>
      <c r="F63" s="339">
        <f>[17]EXPENSES.XNV!S62</f>
        <v>0</v>
      </c>
      <c r="G63" s="339">
        <v>0</v>
      </c>
      <c r="I63" s="339">
        <f t="shared" si="2"/>
        <v>0</v>
      </c>
      <c r="J63" s="339">
        <f>+I63-F63</f>
        <v>0</v>
      </c>
      <c r="K63" s="216">
        <f t="shared" si="0"/>
        <v>58</v>
      </c>
      <c r="N63" s="339">
        <v>0</v>
      </c>
      <c r="O63" s="1">
        <v>0</v>
      </c>
    </row>
    <row r="64" spans="1:15">
      <c r="A64" s="149">
        <f t="shared" si="1"/>
        <v>564</v>
      </c>
      <c r="B64" s="137"/>
      <c r="C64" s="47"/>
      <c r="D64" s="47" t="s">
        <v>23</v>
      </c>
      <c r="E64" s="47"/>
      <c r="F64" s="339">
        <f>[17]EXPENSES.XNV!S63</f>
        <v>0</v>
      </c>
      <c r="G64" s="339">
        <v>0</v>
      </c>
      <c r="I64" s="339">
        <f t="shared" si="2"/>
        <v>0</v>
      </c>
      <c r="J64" s="339">
        <f>+I64-F64</f>
        <v>0</v>
      </c>
      <c r="K64" s="216">
        <f t="shared" si="0"/>
        <v>59</v>
      </c>
      <c r="N64" s="339">
        <v>0</v>
      </c>
      <c r="O64" s="1">
        <v>0</v>
      </c>
    </row>
    <row r="65" spans="1:15" ht="13.5" thickBot="1">
      <c r="A65" s="149">
        <f t="shared" si="1"/>
        <v>565</v>
      </c>
      <c r="B65" s="137"/>
      <c r="C65" s="47"/>
      <c r="D65" s="47" t="s">
        <v>145</v>
      </c>
      <c r="E65" s="47"/>
      <c r="F65" s="340">
        <f>SUM(F63:F64)</f>
        <v>0</v>
      </c>
      <c r="G65" s="340">
        <v>0</v>
      </c>
      <c r="I65" s="340">
        <f t="shared" si="2"/>
        <v>0</v>
      </c>
      <c r="J65" s="340">
        <f>+I65-F65</f>
        <v>0</v>
      </c>
      <c r="K65" s="216">
        <f t="shared" si="0"/>
        <v>60</v>
      </c>
      <c r="N65" s="340">
        <v>0</v>
      </c>
      <c r="O65" s="1">
        <v>0</v>
      </c>
    </row>
    <row r="66" spans="1:15" ht="13.5" thickTop="1">
      <c r="A66" s="149">
        <f t="shared" si="1"/>
        <v>566</v>
      </c>
      <c r="B66" s="137"/>
      <c r="C66" s="47"/>
      <c r="D66" s="47"/>
      <c r="E66" s="47"/>
      <c r="F66" s="339"/>
      <c r="G66" s="339"/>
      <c r="I66" s="339">
        <f t="shared" si="2"/>
        <v>0</v>
      </c>
      <c r="J66" s="339"/>
      <c r="K66" s="216">
        <f t="shared" si="0"/>
        <v>61</v>
      </c>
      <c r="N66" s="339"/>
      <c r="O66" s="1"/>
    </row>
    <row r="67" spans="1:15">
      <c r="A67" s="149">
        <f t="shared" si="1"/>
        <v>567</v>
      </c>
      <c r="B67" s="137">
        <v>805</v>
      </c>
      <c r="C67" s="47" t="s">
        <v>664</v>
      </c>
      <c r="D67" s="47"/>
      <c r="E67" s="47"/>
      <c r="F67" s="339"/>
      <c r="G67" s="339"/>
      <c r="I67" s="339">
        <f t="shared" si="2"/>
        <v>0</v>
      </c>
      <c r="J67" s="339"/>
      <c r="K67" s="216">
        <f t="shared" si="0"/>
        <v>62</v>
      </c>
      <c r="N67" s="339"/>
      <c r="O67" s="1"/>
    </row>
    <row r="68" spans="1:15">
      <c r="A68" s="149">
        <f t="shared" si="1"/>
        <v>568</v>
      </c>
      <c r="B68" s="137"/>
      <c r="C68" s="47"/>
      <c r="D68" s="47" t="s">
        <v>12</v>
      </c>
      <c r="E68" s="47"/>
      <c r="F68" s="339">
        <f>[17]EXPENSES.XNV!S67</f>
        <v>0</v>
      </c>
      <c r="G68" s="339">
        <v>0</v>
      </c>
      <c r="I68" s="339">
        <f t="shared" si="2"/>
        <v>0</v>
      </c>
      <c r="J68" s="339">
        <f>+I68-F68</f>
        <v>0</v>
      </c>
      <c r="K68" s="216">
        <f t="shared" si="0"/>
        <v>63</v>
      </c>
      <c r="N68" s="339">
        <v>0</v>
      </c>
      <c r="O68" s="1">
        <v>0</v>
      </c>
    </row>
    <row r="69" spans="1:15">
      <c r="A69" s="149">
        <f t="shared" si="1"/>
        <v>569</v>
      </c>
      <c r="B69" s="137"/>
      <c r="C69" s="47"/>
      <c r="D69" s="47" t="s">
        <v>23</v>
      </c>
      <c r="E69" s="47"/>
      <c r="F69" s="339">
        <f>[17]EXPENSES.XNV!S68</f>
        <v>0</v>
      </c>
      <c r="G69" s="339">
        <v>0</v>
      </c>
      <c r="I69" s="339">
        <f t="shared" si="2"/>
        <v>0</v>
      </c>
      <c r="J69" s="339">
        <f>+I69-F69</f>
        <v>0</v>
      </c>
      <c r="K69" s="216">
        <f t="shared" si="0"/>
        <v>64</v>
      </c>
      <c r="N69" s="339">
        <v>0</v>
      </c>
      <c r="O69" s="1">
        <v>0</v>
      </c>
    </row>
    <row r="70" spans="1:15" ht="13.5" thickBot="1">
      <c r="A70" s="149">
        <f t="shared" si="1"/>
        <v>570</v>
      </c>
      <c r="B70" s="137"/>
      <c r="C70" s="47"/>
      <c r="D70" s="47" t="s">
        <v>145</v>
      </c>
      <c r="E70" s="47"/>
      <c r="F70" s="340">
        <f>SUM(F68:F69)</f>
        <v>0</v>
      </c>
      <c r="G70" s="340">
        <v>0</v>
      </c>
      <c r="I70" s="340">
        <f t="shared" si="2"/>
        <v>0</v>
      </c>
      <c r="J70" s="340">
        <f>+I70-F70</f>
        <v>0</v>
      </c>
      <c r="K70" s="216">
        <f t="shared" si="0"/>
        <v>65</v>
      </c>
      <c r="N70" s="340">
        <v>0</v>
      </c>
      <c r="O70" s="1">
        <v>0</v>
      </c>
    </row>
    <row r="71" spans="1:15" ht="13.5" thickTop="1">
      <c r="A71" s="149">
        <f t="shared" si="1"/>
        <v>571</v>
      </c>
      <c r="B71" s="137"/>
      <c r="C71" s="47"/>
      <c r="D71" s="47"/>
      <c r="E71" s="47"/>
      <c r="F71" s="339"/>
      <c r="G71" s="339"/>
      <c r="I71" s="339">
        <f t="shared" si="2"/>
        <v>0</v>
      </c>
      <c r="J71" s="339"/>
      <c r="K71" s="216">
        <f t="shared" si="0"/>
        <v>66</v>
      </c>
      <c r="N71" s="339"/>
      <c r="O71" s="1"/>
    </row>
    <row r="72" spans="1:15">
      <c r="A72" s="149">
        <f t="shared" si="1"/>
        <v>572</v>
      </c>
      <c r="B72" s="137" t="s">
        <v>648</v>
      </c>
      <c r="C72" s="47" t="s">
        <v>666</v>
      </c>
      <c r="D72" s="47"/>
      <c r="E72" s="47"/>
      <c r="F72" s="339"/>
      <c r="G72" s="339"/>
      <c r="I72" s="339">
        <f t="shared" si="2"/>
        <v>0</v>
      </c>
      <c r="J72" s="339"/>
      <c r="K72" s="216">
        <f t="shared" ref="K72:K135" si="3">+K71+1</f>
        <v>67</v>
      </c>
      <c r="N72" s="339"/>
      <c r="O72" s="1"/>
    </row>
    <row r="73" spans="1:15">
      <c r="A73" s="149">
        <f t="shared" si="1"/>
        <v>573</v>
      </c>
      <c r="B73" s="137"/>
      <c r="C73" s="47"/>
      <c r="D73" s="47" t="s">
        <v>12</v>
      </c>
      <c r="E73" s="47"/>
      <c r="F73" s="339">
        <f>[17]EXPENSES.XNV!S72</f>
        <v>-347806111.51721603</v>
      </c>
      <c r="G73" s="339">
        <v>-133171010.61907803</v>
      </c>
      <c r="I73" s="339">
        <f t="shared" si="2"/>
        <v>-347806111.51721603</v>
      </c>
      <c r="J73" s="339">
        <f>+I73-F73</f>
        <v>0</v>
      </c>
      <c r="K73" s="216">
        <f t="shared" si="3"/>
        <v>68</v>
      </c>
      <c r="N73" s="339">
        <v>-65114120.237848006</v>
      </c>
      <c r="O73" s="1">
        <v>5153416.2025020011</v>
      </c>
    </row>
    <row r="74" spans="1:15">
      <c r="A74" s="149">
        <f t="shared" si="1"/>
        <v>574</v>
      </c>
      <c r="B74" s="137"/>
      <c r="C74" s="47"/>
      <c r="D74" s="47" t="s">
        <v>23</v>
      </c>
      <c r="E74" s="47"/>
      <c r="F74" s="339">
        <f>[17]EXPENSES.XNV!S73</f>
        <v>-10877949.372783961</v>
      </c>
      <c r="G74" s="339">
        <v>-4272000.180921983</v>
      </c>
      <c r="I74" s="339">
        <f t="shared" si="2"/>
        <v>-10877949.372783961</v>
      </c>
      <c r="J74" s="339">
        <f>+I74-F74</f>
        <v>0</v>
      </c>
      <c r="K74" s="216">
        <f t="shared" si="3"/>
        <v>69</v>
      </c>
      <c r="N74" s="339">
        <v>-2028163.7621520015</v>
      </c>
      <c r="O74" s="1">
        <v>389148.18749799998</v>
      </c>
    </row>
    <row r="75" spans="1:15" ht="13.5" thickBot="1">
      <c r="A75" s="149">
        <f t="shared" si="1"/>
        <v>575</v>
      </c>
      <c r="B75" s="137"/>
      <c r="C75" s="47"/>
      <c r="D75" s="47" t="s">
        <v>145</v>
      </c>
      <c r="E75" s="47"/>
      <c r="F75" s="340">
        <f>SUM(F73:F74)</f>
        <v>-358684060.88999999</v>
      </c>
      <c r="G75" s="340">
        <v>-137443010.80000001</v>
      </c>
      <c r="I75" s="340">
        <f t="shared" si="2"/>
        <v>-358684060.88999999</v>
      </c>
      <c r="J75" s="340">
        <f>+I75-F75</f>
        <v>0</v>
      </c>
      <c r="K75" s="216">
        <f t="shared" si="3"/>
        <v>70</v>
      </c>
      <c r="N75" s="340">
        <v>-67142284.000000015</v>
      </c>
      <c r="O75" s="1">
        <v>5542564.3900000015</v>
      </c>
    </row>
    <row r="76" spans="1:15" ht="13.5" thickTop="1">
      <c r="A76" s="149">
        <f t="shared" ref="A76:A139" si="4">+A75+1</f>
        <v>576</v>
      </c>
      <c r="B76" s="137"/>
      <c r="C76" s="47"/>
      <c r="D76" s="47"/>
      <c r="E76" s="47"/>
      <c r="F76" s="339"/>
      <c r="G76" s="339"/>
      <c r="I76" s="339">
        <f t="shared" si="2"/>
        <v>0</v>
      </c>
      <c r="J76" s="339"/>
      <c r="K76" s="216">
        <f t="shared" si="3"/>
        <v>71</v>
      </c>
      <c r="N76" s="339"/>
      <c r="O76" s="1"/>
    </row>
    <row r="77" spans="1:15">
      <c r="A77" s="149">
        <f t="shared" si="4"/>
        <v>577</v>
      </c>
      <c r="B77" s="137">
        <v>806</v>
      </c>
      <c r="C77" s="47" t="s">
        <v>322</v>
      </c>
      <c r="D77" s="47"/>
      <c r="E77" s="47"/>
      <c r="F77" s="339"/>
      <c r="G77" s="339"/>
      <c r="I77" s="339">
        <f t="shared" si="2"/>
        <v>0</v>
      </c>
      <c r="J77" s="339"/>
      <c r="K77" s="216">
        <f t="shared" si="3"/>
        <v>72</v>
      </c>
      <c r="N77" s="339"/>
      <c r="O77" s="1"/>
    </row>
    <row r="78" spans="1:15">
      <c r="A78" s="149">
        <f t="shared" si="4"/>
        <v>578</v>
      </c>
      <c r="B78" s="137"/>
      <c r="C78" s="47"/>
      <c r="D78" s="47" t="s">
        <v>12</v>
      </c>
      <c r="E78" s="47"/>
      <c r="F78" s="339">
        <f>[17]EXPENSES.XNV!S77</f>
        <v>1493809.1367120021</v>
      </c>
      <c r="G78" s="339">
        <v>6557968.3947130013</v>
      </c>
      <c r="I78" s="339">
        <f t="shared" si="2"/>
        <v>1493809.1367120021</v>
      </c>
      <c r="J78" s="339">
        <f>+I78-F78</f>
        <v>0</v>
      </c>
      <c r="K78" s="216">
        <f t="shared" si="3"/>
        <v>73</v>
      </c>
      <c r="N78" s="339">
        <v>1486409.8366780002</v>
      </c>
      <c r="O78" s="1">
        <v>459895.50248799968</v>
      </c>
    </row>
    <row r="79" spans="1:15">
      <c r="A79" s="149">
        <f t="shared" si="4"/>
        <v>579</v>
      </c>
      <c r="B79" s="137"/>
      <c r="C79" s="47"/>
      <c r="D79" s="47" t="s">
        <v>23</v>
      </c>
      <c r="E79" s="47"/>
      <c r="F79" s="339">
        <f>[17]EXPENSES.XNV!S78</f>
        <v>8871.663287998992</v>
      </c>
      <c r="G79" s="339">
        <v>213523.29528699961</v>
      </c>
      <c r="I79" s="339">
        <f t="shared" si="2"/>
        <v>8871.663287998992</v>
      </c>
      <c r="J79" s="339">
        <f>+I79-F79</f>
        <v>0</v>
      </c>
      <c r="K79" s="216">
        <f t="shared" si="3"/>
        <v>74</v>
      </c>
      <c r="N79" s="339">
        <v>41758.723321999991</v>
      </c>
      <c r="O79" s="1">
        <v>4198.1775120000711</v>
      </c>
    </row>
    <row r="80" spans="1:15" ht="13.5" thickBot="1">
      <c r="A80" s="149">
        <f t="shared" si="4"/>
        <v>580</v>
      </c>
      <c r="B80" s="137"/>
      <c r="C80" s="47"/>
      <c r="D80" s="47" t="s">
        <v>145</v>
      </c>
      <c r="E80" s="47"/>
      <c r="F80" s="340">
        <f>SUM(F78:F79)</f>
        <v>1502680.8000000012</v>
      </c>
      <c r="G80" s="340">
        <v>6771491.6900000013</v>
      </c>
      <c r="I80" s="340">
        <f t="shared" si="2"/>
        <v>1502680.8000000012</v>
      </c>
      <c r="J80" s="340">
        <f>+I80-F80</f>
        <v>0</v>
      </c>
      <c r="K80" s="216">
        <f t="shared" si="3"/>
        <v>75</v>
      </c>
      <c r="N80" s="340">
        <v>1528168.56</v>
      </c>
      <c r="O80" s="1">
        <v>464093.67999999953</v>
      </c>
    </row>
    <row r="81" spans="1:15" ht="13.5" thickTop="1">
      <c r="A81" s="149">
        <f t="shared" si="4"/>
        <v>581</v>
      </c>
      <c r="B81" s="137"/>
      <c r="C81" s="47"/>
      <c r="D81" s="47"/>
      <c r="E81" s="47"/>
      <c r="F81" s="339"/>
      <c r="G81" s="339"/>
      <c r="I81" s="339">
        <f t="shared" ref="I81:I144" si="5">HLOOKUP($I$6,$F$6:$G$431,K81,FALSE)</f>
        <v>0</v>
      </c>
      <c r="J81" s="339"/>
      <c r="K81" s="216">
        <f t="shared" si="3"/>
        <v>76</v>
      </c>
      <c r="N81" s="339"/>
      <c r="O81" s="1"/>
    </row>
    <row r="82" spans="1:15">
      <c r="A82" s="149">
        <f t="shared" si="4"/>
        <v>582</v>
      </c>
      <c r="B82" s="137" t="s">
        <v>649</v>
      </c>
      <c r="C82" s="47" t="s">
        <v>667</v>
      </c>
      <c r="D82" s="47"/>
      <c r="E82" s="47"/>
      <c r="F82" s="339"/>
      <c r="G82" s="339"/>
      <c r="I82" s="339">
        <f t="shared" si="5"/>
        <v>0</v>
      </c>
      <c r="J82" s="339"/>
      <c r="K82" s="216">
        <f t="shared" si="3"/>
        <v>77</v>
      </c>
      <c r="N82" s="339"/>
      <c r="O82" s="1"/>
    </row>
    <row r="83" spans="1:15">
      <c r="A83" s="149">
        <f t="shared" si="4"/>
        <v>583</v>
      </c>
      <c r="B83" s="137"/>
      <c r="C83" s="47"/>
      <c r="D83" s="47" t="s">
        <v>12</v>
      </c>
      <c r="E83" s="47"/>
      <c r="F83" s="339">
        <f>[17]EXPENSES.XNV!S82</f>
        <v>82048414.268302992</v>
      </c>
      <c r="G83" s="339">
        <v>71015916.547311991</v>
      </c>
      <c r="I83" s="339">
        <f t="shared" si="5"/>
        <v>82048414.268302992</v>
      </c>
      <c r="J83" s="339">
        <f>+I83-F83</f>
        <v>0</v>
      </c>
      <c r="K83" s="216">
        <f t="shared" si="3"/>
        <v>78</v>
      </c>
      <c r="N83" s="339">
        <v>52058607.269253992</v>
      </c>
      <c r="O83" s="1">
        <v>62709411.197324</v>
      </c>
    </row>
    <row r="84" spans="1:15">
      <c r="A84" s="149">
        <f t="shared" si="4"/>
        <v>584</v>
      </c>
      <c r="B84" s="137"/>
      <c r="C84" s="47"/>
      <c r="D84" s="47" t="s">
        <v>23</v>
      </c>
      <c r="E84" s="47"/>
      <c r="F84" s="339">
        <f>[17]EXPENSES.XNV!S83</f>
        <v>2749344.6916970019</v>
      </c>
      <c r="G84" s="339">
        <v>2408140.9026880008</v>
      </c>
      <c r="I84" s="339">
        <f t="shared" si="5"/>
        <v>2749344.6916970019</v>
      </c>
      <c r="J84" s="339">
        <f>+I84-F84</f>
        <v>0</v>
      </c>
      <c r="K84" s="216">
        <f t="shared" si="3"/>
        <v>79</v>
      </c>
      <c r="N84" s="339">
        <v>1860822.6707460003</v>
      </c>
      <c r="O84" s="1">
        <v>2162122.6526760003</v>
      </c>
    </row>
    <row r="85" spans="1:15" ht="13.5" thickBot="1">
      <c r="A85" s="149">
        <f t="shared" si="4"/>
        <v>585</v>
      </c>
      <c r="B85" s="137"/>
      <c r="C85" s="47"/>
      <c r="D85" s="47" t="s">
        <v>145</v>
      </c>
      <c r="E85" s="47"/>
      <c r="F85" s="340">
        <f>SUM(F83:F84)</f>
        <v>84797758.959999993</v>
      </c>
      <c r="G85" s="340">
        <v>73424057.449999988</v>
      </c>
      <c r="I85" s="340">
        <f t="shared" si="5"/>
        <v>84797758.959999993</v>
      </c>
      <c r="J85" s="340">
        <f>+I85-F85</f>
        <v>0</v>
      </c>
      <c r="K85" s="216">
        <f t="shared" si="3"/>
        <v>80</v>
      </c>
      <c r="N85" s="340">
        <v>53919429.93999999</v>
      </c>
      <c r="O85" s="1">
        <v>64871533.850000001</v>
      </c>
    </row>
    <row r="86" spans="1:15" ht="13.5" thickTop="1">
      <c r="A86" s="149">
        <f t="shared" si="4"/>
        <v>586</v>
      </c>
      <c r="B86" s="137"/>
      <c r="C86" s="47"/>
      <c r="D86" s="47"/>
      <c r="E86" s="47"/>
      <c r="F86" s="339"/>
      <c r="G86" s="339"/>
      <c r="I86" s="339">
        <f t="shared" si="5"/>
        <v>0</v>
      </c>
      <c r="J86" s="339"/>
      <c r="K86" s="216">
        <f t="shared" si="3"/>
        <v>81</v>
      </c>
      <c r="N86" s="339"/>
      <c r="O86" s="1"/>
    </row>
    <row r="87" spans="1:15">
      <c r="A87" s="149">
        <f t="shared" si="4"/>
        <v>587</v>
      </c>
      <c r="B87" s="137" t="s">
        <v>650</v>
      </c>
      <c r="C87" s="47" t="s">
        <v>324</v>
      </c>
      <c r="D87" s="47"/>
      <c r="E87" s="47"/>
      <c r="F87" s="339"/>
      <c r="G87" s="339"/>
      <c r="I87" s="339">
        <f t="shared" si="5"/>
        <v>0</v>
      </c>
      <c r="J87" s="339"/>
      <c r="K87" s="216">
        <f t="shared" si="3"/>
        <v>82</v>
      </c>
      <c r="N87" s="339"/>
      <c r="O87" s="1"/>
    </row>
    <row r="88" spans="1:15">
      <c r="A88" s="149">
        <f t="shared" si="4"/>
        <v>588</v>
      </c>
      <c r="B88" s="137"/>
      <c r="C88" s="47"/>
      <c r="D88" s="47" t="s">
        <v>12</v>
      </c>
      <c r="E88" s="47"/>
      <c r="F88" s="339">
        <f>[17]EXPENSES.XNV!S87</f>
        <v>-92716351.565326005</v>
      </c>
      <c r="G88" s="339">
        <v>-74269722.968854994</v>
      </c>
      <c r="I88" s="339">
        <f t="shared" si="5"/>
        <v>-92716351.565326005</v>
      </c>
      <c r="J88" s="339">
        <f>+I88-F88</f>
        <v>0</v>
      </c>
      <c r="K88" s="216">
        <f t="shared" si="3"/>
        <v>83</v>
      </c>
      <c r="N88" s="339">
        <v>-51307867.258450001</v>
      </c>
      <c r="O88" s="1">
        <v>-48904944.872469001</v>
      </c>
    </row>
    <row r="89" spans="1:15">
      <c r="A89" s="149">
        <f t="shared" si="4"/>
        <v>589</v>
      </c>
      <c r="B89" s="137"/>
      <c r="C89" s="47"/>
      <c r="D89" s="47" t="s">
        <v>23</v>
      </c>
      <c r="E89" s="47"/>
      <c r="F89" s="339">
        <f>[17]EXPENSES.XNV!S88</f>
        <v>-2997636.4746739985</v>
      </c>
      <c r="G89" s="339">
        <v>-2345466.8911449993</v>
      </c>
      <c r="I89" s="339">
        <f t="shared" si="5"/>
        <v>-2997636.4746739985</v>
      </c>
      <c r="J89" s="339">
        <f>+I89-F89</f>
        <v>0</v>
      </c>
      <c r="K89" s="216">
        <f t="shared" si="3"/>
        <v>84</v>
      </c>
      <c r="N89" s="339">
        <v>-1717547.1315499987</v>
      </c>
      <c r="O89" s="1">
        <v>-1593997.6775309993</v>
      </c>
    </row>
    <row r="90" spans="1:15" ht="13.5" thickBot="1">
      <c r="A90" s="149">
        <f t="shared" si="4"/>
        <v>590</v>
      </c>
      <c r="B90" s="137"/>
      <c r="C90" s="47"/>
      <c r="D90" s="47" t="s">
        <v>145</v>
      </c>
      <c r="E90" s="47"/>
      <c r="F90" s="340">
        <f>SUM(F88:F89)</f>
        <v>-95713988.040000007</v>
      </c>
      <c r="G90" s="340">
        <v>-76615189.859999999</v>
      </c>
      <c r="I90" s="340">
        <f t="shared" si="5"/>
        <v>-95713988.040000007</v>
      </c>
      <c r="J90" s="340">
        <f>+I90-F90</f>
        <v>0</v>
      </c>
      <c r="K90" s="216">
        <f t="shared" si="3"/>
        <v>85</v>
      </c>
      <c r="N90" s="340">
        <v>-53025414.390000001</v>
      </c>
      <c r="O90" s="1">
        <v>-50498942.549999997</v>
      </c>
    </row>
    <row r="91" spans="1:15" ht="13.5" thickTop="1">
      <c r="A91" s="149">
        <f t="shared" si="4"/>
        <v>591</v>
      </c>
      <c r="B91" s="137"/>
      <c r="C91" s="47"/>
      <c r="D91" s="47"/>
      <c r="E91" s="47"/>
      <c r="F91" s="339"/>
      <c r="G91" s="339"/>
      <c r="I91" s="339">
        <f t="shared" si="5"/>
        <v>0</v>
      </c>
      <c r="J91" s="339"/>
      <c r="K91" s="216">
        <f t="shared" si="3"/>
        <v>86</v>
      </c>
      <c r="N91" s="339"/>
      <c r="O91" s="1"/>
    </row>
    <row r="92" spans="1:15">
      <c r="A92" s="149">
        <f t="shared" si="4"/>
        <v>592</v>
      </c>
      <c r="B92" s="137" t="s">
        <v>651</v>
      </c>
      <c r="C92" s="47" t="s">
        <v>322</v>
      </c>
      <c r="D92" s="47"/>
      <c r="E92" s="47"/>
      <c r="F92" s="339"/>
      <c r="G92" s="339"/>
      <c r="I92" s="339">
        <f t="shared" si="5"/>
        <v>0</v>
      </c>
      <c r="J92" s="339"/>
      <c r="K92" s="216">
        <f t="shared" si="3"/>
        <v>87</v>
      </c>
      <c r="N92" s="339"/>
      <c r="O92" s="1"/>
    </row>
    <row r="93" spans="1:15">
      <c r="A93" s="149">
        <f t="shared" si="4"/>
        <v>593</v>
      </c>
      <c r="B93" s="137"/>
      <c r="C93" s="47"/>
      <c r="D93" s="47" t="s">
        <v>12</v>
      </c>
      <c r="E93" s="47"/>
      <c r="F93" s="339">
        <f>[17]EXPENSES.XNV!S92</f>
        <v>2345106.1950559998</v>
      </c>
      <c r="G93" s="339">
        <v>2444562.0457449998</v>
      </c>
      <c r="I93" s="339">
        <f t="shared" si="5"/>
        <v>2345106.1950559998</v>
      </c>
      <c r="J93" s="339">
        <f>+I93-F93</f>
        <v>0</v>
      </c>
      <c r="K93" s="216">
        <f t="shared" si="3"/>
        <v>88</v>
      </c>
      <c r="N93" s="339">
        <v>2725778.0775830001</v>
      </c>
      <c r="O93" s="1">
        <v>2649429.2875669999</v>
      </c>
    </row>
    <row r="94" spans="1:15">
      <c r="A94" s="149">
        <f t="shared" si="4"/>
        <v>594</v>
      </c>
      <c r="B94" s="137"/>
      <c r="C94" s="47"/>
      <c r="D94" s="47" t="s">
        <v>23</v>
      </c>
      <c r="E94" s="47"/>
      <c r="F94" s="339">
        <f>[17]EXPENSES.XNV!S93</f>
        <v>77264.574943999993</v>
      </c>
      <c r="G94" s="339">
        <v>80434.104255000042</v>
      </c>
      <c r="I94" s="339">
        <f t="shared" si="5"/>
        <v>77264.574943999993</v>
      </c>
      <c r="J94" s="339">
        <f>+I94-F94</f>
        <v>0</v>
      </c>
      <c r="K94" s="216">
        <f t="shared" si="3"/>
        <v>89</v>
      </c>
      <c r="N94" s="339">
        <v>94236.582417000027</v>
      </c>
      <c r="O94" s="1">
        <v>88299.622433000011</v>
      </c>
    </row>
    <row r="95" spans="1:15" ht="13.5" thickBot="1">
      <c r="A95" s="149">
        <f t="shared" si="4"/>
        <v>595</v>
      </c>
      <c r="B95" s="137"/>
      <c r="C95" s="47"/>
      <c r="D95" s="47" t="s">
        <v>145</v>
      </c>
      <c r="E95" s="47"/>
      <c r="F95" s="340">
        <f>SUM(F93:F94)</f>
        <v>2422370.7699999996</v>
      </c>
      <c r="G95" s="340">
        <v>2524996.15</v>
      </c>
      <c r="I95" s="340">
        <f t="shared" si="5"/>
        <v>2422370.7699999996</v>
      </c>
      <c r="J95" s="340">
        <f>+I95-F95</f>
        <v>0</v>
      </c>
      <c r="K95" s="216">
        <f t="shared" si="3"/>
        <v>90</v>
      </c>
      <c r="N95" s="340">
        <v>2820014.66</v>
      </c>
      <c r="O95" s="1">
        <v>2737728.9099999997</v>
      </c>
    </row>
    <row r="96" spans="1:15" ht="13.5" thickTop="1">
      <c r="A96" s="149">
        <f t="shared" si="4"/>
        <v>596</v>
      </c>
      <c r="B96" s="137"/>
      <c r="C96" s="47"/>
      <c r="D96" s="47"/>
      <c r="E96" s="47"/>
      <c r="F96" s="339"/>
      <c r="G96" s="339"/>
      <c r="I96" s="339">
        <f t="shared" si="5"/>
        <v>0</v>
      </c>
      <c r="J96" s="339"/>
      <c r="K96" s="216">
        <f t="shared" si="3"/>
        <v>91</v>
      </c>
      <c r="N96" s="339"/>
      <c r="O96" s="1"/>
    </row>
    <row r="97" spans="1:15">
      <c r="A97" s="149">
        <f t="shared" si="4"/>
        <v>597</v>
      </c>
      <c r="B97" s="137">
        <v>813</v>
      </c>
      <c r="C97" s="47" t="s">
        <v>325</v>
      </c>
      <c r="D97" s="47"/>
      <c r="E97" s="47"/>
      <c r="F97" s="339"/>
      <c r="G97" s="339"/>
      <c r="I97" s="339">
        <f t="shared" si="5"/>
        <v>0</v>
      </c>
      <c r="J97" s="339"/>
      <c r="K97" s="216">
        <f t="shared" si="3"/>
        <v>92</v>
      </c>
      <c r="N97" s="339"/>
      <c r="O97" s="1"/>
    </row>
    <row r="98" spans="1:15">
      <c r="A98" s="149">
        <f t="shared" si="4"/>
        <v>598</v>
      </c>
      <c r="B98" s="137"/>
      <c r="C98" s="47"/>
      <c r="D98" s="47" t="s">
        <v>12</v>
      </c>
      <c r="E98" s="47"/>
      <c r="F98" s="339">
        <f>[17]EXPENSES.XNV!S97</f>
        <v>257215711.09163699</v>
      </c>
      <c r="G98" s="339">
        <v>234770650.02574998</v>
      </c>
      <c r="I98" s="339">
        <f t="shared" si="5"/>
        <v>257215711.09163699</v>
      </c>
      <c r="J98" s="339">
        <f>+I98-F98</f>
        <v>0</v>
      </c>
      <c r="K98" s="216">
        <f t="shared" si="3"/>
        <v>93</v>
      </c>
      <c r="N98" s="339">
        <v>211175292.14531398</v>
      </c>
      <c r="O98" s="1">
        <v>201742815.63687503</v>
      </c>
    </row>
    <row r="99" spans="1:15">
      <c r="A99" s="149">
        <f t="shared" si="4"/>
        <v>599</v>
      </c>
      <c r="B99" s="137"/>
      <c r="C99" s="47"/>
      <c r="D99" s="47" t="s">
        <v>23</v>
      </c>
      <c r="E99" s="47"/>
      <c r="F99" s="339">
        <f>[17]EXPENSES.XNV!S98</f>
        <v>8403829.5183629971</v>
      </c>
      <c r="G99" s="339">
        <v>7626610.2942500003</v>
      </c>
      <c r="I99" s="339">
        <f t="shared" si="5"/>
        <v>8403829.5183629971</v>
      </c>
      <c r="J99" s="339">
        <f>+I99-F99</f>
        <v>0</v>
      </c>
      <c r="K99" s="216">
        <f t="shared" si="3"/>
        <v>94</v>
      </c>
      <c r="N99" s="339">
        <v>7317193.3646859974</v>
      </c>
      <c r="O99" s="1">
        <v>6737418.0131249987</v>
      </c>
    </row>
    <row r="100" spans="1:15" ht="13.5" thickBot="1">
      <c r="A100" s="149">
        <f t="shared" si="4"/>
        <v>600</v>
      </c>
      <c r="B100" s="137"/>
      <c r="C100" s="47"/>
      <c r="D100" s="47" t="s">
        <v>145</v>
      </c>
      <c r="E100" s="47"/>
      <c r="F100" s="340">
        <f>SUM(F98:F99)</f>
        <v>265619540.60999998</v>
      </c>
      <c r="G100" s="340">
        <v>242397260.31999999</v>
      </c>
      <c r="I100" s="340">
        <f t="shared" si="5"/>
        <v>265619540.60999998</v>
      </c>
      <c r="J100" s="340">
        <f>+I100-F100</f>
        <v>0</v>
      </c>
      <c r="K100" s="216">
        <f t="shared" si="3"/>
        <v>95</v>
      </c>
      <c r="N100" s="340">
        <v>218492485.50999999</v>
      </c>
      <c r="O100" s="1">
        <v>208480233.65000001</v>
      </c>
    </row>
    <row r="101" spans="1:15" ht="13.5" thickTop="1">
      <c r="A101" s="149">
        <f t="shared" si="4"/>
        <v>601</v>
      </c>
      <c r="B101" s="137"/>
      <c r="C101" s="47"/>
      <c r="D101" s="47"/>
      <c r="E101" s="47"/>
      <c r="F101" s="339"/>
      <c r="G101" s="339"/>
      <c r="I101" s="339">
        <f t="shared" si="5"/>
        <v>0</v>
      </c>
      <c r="J101" s="339"/>
      <c r="K101" s="216">
        <f t="shared" si="3"/>
        <v>96</v>
      </c>
      <c r="N101" s="339"/>
      <c r="O101" s="1"/>
    </row>
    <row r="102" spans="1:15">
      <c r="A102" s="149">
        <f t="shared" si="4"/>
        <v>602</v>
      </c>
      <c r="B102" s="137">
        <v>813</v>
      </c>
      <c r="C102" s="47" t="s">
        <v>326</v>
      </c>
      <c r="D102" s="47"/>
      <c r="E102" s="47"/>
      <c r="F102" s="339"/>
      <c r="G102" s="339"/>
      <c r="I102" s="339">
        <f t="shared" si="5"/>
        <v>0</v>
      </c>
      <c r="J102" s="339"/>
      <c r="K102" s="216">
        <f t="shared" si="3"/>
        <v>97</v>
      </c>
      <c r="N102" s="339"/>
      <c r="O102" s="1"/>
    </row>
    <row r="103" spans="1:15">
      <c r="A103" s="149">
        <f t="shared" si="4"/>
        <v>603</v>
      </c>
      <c r="B103" s="137"/>
      <c r="C103" s="47"/>
      <c r="D103" s="47" t="s">
        <v>12</v>
      </c>
      <c r="E103" s="47"/>
      <c r="F103" s="339">
        <f>[17]EXPENSES.XNV!S102</f>
        <v>0</v>
      </c>
      <c r="G103" s="339">
        <v>0</v>
      </c>
      <c r="I103" s="339">
        <f t="shared" si="5"/>
        <v>0</v>
      </c>
      <c r="J103" s="339">
        <f>+I103-F103</f>
        <v>0</v>
      </c>
      <c r="K103" s="216">
        <f t="shared" si="3"/>
        <v>98</v>
      </c>
      <c r="N103" s="339">
        <v>0</v>
      </c>
      <c r="O103" s="1">
        <v>0</v>
      </c>
    </row>
    <row r="104" spans="1:15">
      <c r="A104" s="149">
        <f t="shared" si="4"/>
        <v>604</v>
      </c>
      <c r="B104" s="137"/>
      <c r="C104" s="47"/>
      <c r="D104" s="47" t="s">
        <v>23</v>
      </c>
      <c r="E104" s="47"/>
      <c r="F104" s="339">
        <f>[17]EXPENSES.XNV!S103</f>
        <v>0</v>
      </c>
      <c r="G104" s="339">
        <v>0</v>
      </c>
      <c r="I104" s="339">
        <f t="shared" si="5"/>
        <v>0</v>
      </c>
      <c r="J104" s="339">
        <f>+I104-F104</f>
        <v>0</v>
      </c>
      <c r="K104" s="216">
        <f t="shared" si="3"/>
        <v>99</v>
      </c>
      <c r="N104" s="339">
        <v>0</v>
      </c>
      <c r="O104" s="1">
        <v>0</v>
      </c>
    </row>
    <row r="105" spans="1:15" ht="13.5" thickBot="1">
      <c r="A105" s="149">
        <f t="shared" si="4"/>
        <v>605</v>
      </c>
      <c r="B105" s="137"/>
      <c r="C105" s="47"/>
      <c r="D105" s="47" t="s">
        <v>145</v>
      </c>
      <c r="E105" s="47"/>
      <c r="F105" s="340">
        <f>SUM(F103:F104)</f>
        <v>0</v>
      </c>
      <c r="G105" s="340">
        <v>0</v>
      </c>
      <c r="I105" s="340">
        <f t="shared" si="5"/>
        <v>0</v>
      </c>
      <c r="J105" s="340">
        <f>+I105-F105</f>
        <v>0</v>
      </c>
      <c r="K105" s="216">
        <f t="shared" si="3"/>
        <v>100</v>
      </c>
      <c r="N105" s="340">
        <v>0</v>
      </c>
      <c r="O105" s="1">
        <v>0</v>
      </c>
    </row>
    <row r="106" spans="1:15" ht="13.5" thickTop="1">
      <c r="A106" s="149">
        <f t="shared" si="4"/>
        <v>606</v>
      </c>
      <c r="B106" s="137"/>
      <c r="C106" s="47"/>
      <c r="D106" s="47"/>
      <c r="E106" s="47"/>
      <c r="F106" s="339"/>
      <c r="G106" s="339"/>
      <c r="I106" s="339">
        <f t="shared" si="5"/>
        <v>0</v>
      </c>
      <c r="J106" s="339"/>
      <c r="K106" s="216">
        <f t="shared" si="3"/>
        <v>101</v>
      </c>
      <c r="N106" s="339"/>
      <c r="O106" s="1"/>
    </row>
    <row r="107" spans="1:15">
      <c r="A107" s="149">
        <f t="shared" si="4"/>
        <v>607</v>
      </c>
      <c r="B107" s="137" t="s">
        <v>652</v>
      </c>
      <c r="C107" s="47" t="s">
        <v>327</v>
      </c>
      <c r="D107" s="47"/>
      <c r="E107" s="47"/>
      <c r="F107" s="339"/>
      <c r="G107" s="339"/>
      <c r="I107" s="339">
        <f t="shared" si="5"/>
        <v>0</v>
      </c>
      <c r="J107" s="339"/>
      <c r="K107" s="216">
        <f t="shared" si="3"/>
        <v>102</v>
      </c>
      <c r="N107" s="339"/>
      <c r="O107" s="1"/>
    </row>
    <row r="108" spans="1:15">
      <c r="A108" s="149">
        <f t="shared" si="4"/>
        <v>608</v>
      </c>
      <c r="B108" s="137"/>
      <c r="C108" s="47"/>
      <c r="D108" s="47" t="s">
        <v>12</v>
      </c>
      <c r="E108" s="47"/>
      <c r="F108" s="339">
        <f>[17]EXPENSES.XNV!S107</f>
        <v>0</v>
      </c>
      <c r="G108" s="339">
        <v>0</v>
      </c>
      <c r="I108" s="339">
        <f t="shared" si="5"/>
        <v>0</v>
      </c>
      <c r="J108" s="339">
        <f>+I108-F108</f>
        <v>0</v>
      </c>
      <c r="K108" s="216">
        <f t="shared" si="3"/>
        <v>103</v>
      </c>
      <c r="N108" s="339">
        <v>0</v>
      </c>
      <c r="O108" s="1">
        <v>0</v>
      </c>
    </row>
    <row r="109" spans="1:15">
      <c r="A109" s="149">
        <f t="shared" si="4"/>
        <v>609</v>
      </c>
      <c r="B109" s="137"/>
      <c r="C109" s="47"/>
      <c r="D109" s="47" t="s">
        <v>23</v>
      </c>
      <c r="E109" s="47"/>
      <c r="F109" s="339">
        <f>[17]EXPENSES.XNV!S108</f>
        <v>0</v>
      </c>
      <c r="G109" s="339">
        <v>0</v>
      </c>
      <c r="I109" s="339">
        <f t="shared" si="5"/>
        <v>0</v>
      </c>
      <c r="J109" s="339">
        <f>+I109-F109</f>
        <v>0</v>
      </c>
      <c r="K109" s="216">
        <f t="shared" si="3"/>
        <v>104</v>
      </c>
      <c r="N109" s="339">
        <v>0</v>
      </c>
      <c r="O109" s="1">
        <v>0</v>
      </c>
    </row>
    <row r="110" spans="1:15" ht="13.5" thickBot="1">
      <c r="A110" s="149">
        <f t="shared" si="4"/>
        <v>610</v>
      </c>
      <c r="B110" s="137"/>
      <c r="C110" s="47"/>
      <c r="D110" s="47" t="s">
        <v>145</v>
      </c>
      <c r="E110" s="47"/>
      <c r="F110" s="340">
        <f>SUM(F108:F109)</f>
        <v>0</v>
      </c>
      <c r="G110" s="340">
        <v>0</v>
      </c>
      <c r="I110" s="340">
        <f t="shared" si="5"/>
        <v>0</v>
      </c>
      <c r="J110" s="340">
        <f>+I110-F110</f>
        <v>0</v>
      </c>
      <c r="K110" s="216">
        <f t="shared" si="3"/>
        <v>105</v>
      </c>
      <c r="N110" s="340">
        <v>0</v>
      </c>
      <c r="O110" s="1">
        <v>0</v>
      </c>
    </row>
    <row r="111" spans="1:15" ht="13.5" thickTop="1">
      <c r="A111" s="149">
        <f t="shared" si="4"/>
        <v>611</v>
      </c>
      <c r="B111" s="137"/>
      <c r="C111" s="47"/>
      <c r="D111" s="47"/>
      <c r="E111" s="47"/>
      <c r="F111" s="339"/>
      <c r="G111" s="339"/>
      <c r="I111" s="339">
        <f t="shared" si="5"/>
        <v>0</v>
      </c>
      <c r="J111" s="339"/>
      <c r="K111" s="216">
        <f t="shared" si="3"/>
        <v>106</v>
      </c>
      <c r="N111" s="339"/>
      <c r="O111" s="1"/>
    </row>
    <row r="112" spans="1:15">
      <c r="A112" s="149">
        <f t="shared" si="4"/>
        <v>612</v>
      </c>
      <c r="B112" s="137">
        <v>858</v>
      </c>
      <c r="C112" s="47" t="s">
        <v>328</v>
      </c>
      <c r="D112" s="47"/>
      <c r="E112" s="47"/>
      <c r="F112" s="339"/>
      <c r="G112" s="339"/>
      <c r="I112" s="339">
        <f t="shared" si="5"/>
        <v>0</v>
      </c>
      <c r="J112" s="339"/>
      <c r="K112" s="216">
        <f t="shared" si="3"/>
        <v>107</v>
      </c>
      <c r="N112" s="339"/>
      <c r="O112" s="1"/>
    </row>
    <row r="113" spans="1:15">
      <c r="A113" s="149">
        <f t="shared" si="4"/>
        <v>613</v>
      </c>
      <c r="B113" s="137"/>
      <c r="C113" s="47"/>
      <c r="D113" s="47" t="s">
        <v>12</v>
      </c>
      <c r="E113" s="47"/>
      <c r="F113" s="339">
        <f>[17]EXPENSES.XNV!S112</f>
        <v>69778342.640221998</v>
      </c>
      <c r="G113" s="339">
        <v>70316491.134747997</v>
      </c>
      <c r="I113" s="339">
        <f t="shared" si="5"/>
        <v>69778342.640221998</v>
      </c>
      <c r="J113" s="339">
        <f>+I113-F113</f>
        <v>0</v>
      </c>
      <c r="K113" s="216">
        <f t="shared" si="3"/>
        <v>108</v>
      </c>
      <c r="N113" s="339">
        <v>69262983.882890999</v>
      </c>
      <c r="O113" s="1">
        <v>70389646.585259005</v>
      </c>
    </row>
    <row r="114" spans="1:15">
      <c r="A114" s="149">
        <f t="shared" si="4"/>
        <v>614</v>
      </c>
      <c r="B114" s="137"/>
      <c r="C114" s="47"/>
      <c r="D114" s="47" t="s">
        <v>23</v>
      </c>
      <c r="E114" s="47"/>
      <c r="F114" s="339">
        <f>[17]EXPENSES.XNV!S113</f>
        <v>2304160.0597780002</v>
      </c>
      <c r="G114" s="339">
        <v>2312918.7052520001</v>
      </c>
      <c r="I114" s="339">
        <f t="shared" si="5"/>
        <v>2304160.0597780002</v>
      </c>
      <c r="J114" s="339">
        <f>+I114-F114</f>
        <v>0</v>
      </c>
      <c r="K114" s="216">
        <f t="shared" si="3"/>
        <v>109</v>
      </c>
      <c r="N114" s="339">
        <v>2404759.0671089999</v>
      </c>
      <c r="O114" s="1">
        <v>2361401.9847410005</v>
      </c>
    </row>
    <row r="115" spans="1:15" ht="13.5" thickBot="1">
      <c r="A115" s="149">
        <f t="shared" si="4"/>
        <v>615</v>
      </c>
      <c r="B115" s="137"/>
      <c r="C115" s="47"/>
      <c r="D115" s="47" t="s">
        <v>145</v>
      </c>
      <c r="E115" s="47"/>
      <c r="F115" s="340">
        <f>SUM(F113:F114)</f>
        <v>72082502.700000003</v>
      </c>
      <c r="G115" s="340">
        <v>72629409.840000004</v>
      </c>
      <c r="I115" s="340">
        <f t="shared" si="5"/>
        <v>72082502.700000003</v>
      </c>
      <c r="J115" s="340">
        <f>+I115-F115</f>
        <v>0</v>
      </c>
      <c r="K115" s="216">
        <f t="shared" si="3"/>
        <v>110</v>
      </c>
      <c r="N115" s="340">
        <v>71667742.950000003</v>
      </c>
      <c r="O115" s="1">
        <v>72751048.569999993</v>
      </c>
    </row>
    <row r="116" spans="1:15" ht="13.5" thickTop="1">
      <c r="A116" s="149">
        <f t="shared" si="4"/>
        <v>616</v>
      </c>
      <c r="B116" s="137"/>
      <c r="C116" s="47"/>
      <c r="D116" s="47"/>
      <c r="E116" s="47"/>
      <c r="F116" s="339"/>
      <c r="G116" s="339"/>
      <c r="I116" s="339">
        <f t="shared" si="5"/>
        <v>0</v>
      </c>
      <c r="J116" s="339"/>
      <c r="K116" s="216">
        <f t="shared" si="3"/>
        <v>111</v>
      </c>
      <c r="N116" s="339"/>
      <c r="O116" s="1"/>
    </row>
    <row r="117" spans="1:15">
      <c r="A117" s="149">
        <f t="shared" si="4"/>
        <v>617</v>
      </c>
      <c r="B117" s="137">
        <v>858</v>
      </c>
      <c r="C117" s="47" t="s">
        <v>653</v>
      </c>
      <c r="D117" s="47"/>
      <c r="E117" s="47"/>
      <c r="F117" s="339"/>
      <c r="G117" s="339"/>
      <c r="I117" s="339">
        <f t="shared" si="5"/>
        <v>0</v>
      </c>
      <c r="J117" s="339"/>
      <c r="K117" s="216">
        <f t="shared" si="3"/>
        <v>112</v>
      </c>
      <c r="N117" s="339"/>
      <c r="O117" s="1"/>
    </row>
    <row r="118" spans="1:15">
      <c r="A118" s="149">
        <f t="shared" si="4"/>
        <v>618</v>
      </c>
      <c r="B118" s="136"/>
      <c r="C118" s="47"/>
      <c r="D118" s="47" t="s">
        <v>12</v>
      </c>
      <c r="E118" s="47"/>
      <c r="F118" s="339">
        <f>[17]EXPENSES.XNV!S117</f>
        <v>0</v>
      </c>
      <c r="G118" s="339">
        <v>0</v>
      </c>
      <c r="I118" s="339">
        <f t="shared" si="5"/>
        <v>0</v>
      </c>
      <c r="J118" s="339">
        <f>+I118-F118</f>
        <v>0</v>
      </c>
      <c r="K118" s="216">
        <f t="shared" si="3"/>
        <v>113</v>
      </c>
      <c r="N118" s="339">
        <v>0</v>
      </c>
      <c r="O118" s="1">
        <v>0</v>
      </c>
    </row>
    <row r="119" spans="1:15">
      <c r="A119" s="149">
        <f t="shared" si="4"/>
        <v>619</v>
      </c>
      <c r="B119" s="136"/>
      <c r="C119" s="47"/>
      <c r="D119" s="47" t="s">
        <v>23</v>
      </c>
      <c r="E119" s="47"/>
      <c r="F119" s="339">
        <f>[17]EXPENSES.XNV!S118</f>
        <v>0</v>
      </c>
      <c r="G119" s="339">
        <v>0</v>
      </c>
      <c r="I119" s="339">
        <f t="shared" si="5"/>
        <v>0</v>
      </c>
      <c r="J119" s="339">
        <f>+I119-F119</f>
        <v>0</v>
      </c>
      <c r="K119" s="216">
        <f t="shared" si="3"/>
        <v>114</v>
      </c>
      <c r="N119" s="339">
        <v>0</v>
      </c>
      <c r="O119" s="1">
        <v>0</v>
      </c>
    </row>
    <row r="120" spans="1:15" ht="13.5" thickBot="1">
      <c r="A120" s="149">
        <f t="shared" si="4"/>
        <v>620</v>
      </c>
      <c r="B120" s="136"/>
      <c r="C120" s="47"/>
      <c r="D120" s="47" t="s">
        <v>145</v>
      </c>
      <c r="E120" s="47"/>
      <c r="F120" s="340">
        <f>SUM(F118:F119)</f>
        <v>0</v>
      </c>
      <c r="G120" s="340">
        <v>0</v>
      </c>
      <c r="I120" s="340">
        <f t="shared" si="5"/>
        <v>0</v>
      </c>
      <c r="J120" s="340">
        <f>+I120-F120</f>
        <v>0</v>
      </c>
      <c r="K120" s="216">
        <f t="shared" si="3"/>
        <v>115</v>
      </c>
      <c r="N120" s="340">
        <v>0</v>
      </c>
      <c r="O120" s="1">
        <v>0</v>
      </c>
    </row>
    <row r="121" spans="1:15" ht="14.25" thickTop="1" thickBot="1">
      <c r="A121" s="149">
        <f t="shared" si="4"/>
        <v>621</v>
      </c>
      <c r="B121" s="136"/>
      <c r="C121" s="47"/>
      <c r="D121" s="47"/>
      <c r="E121" s="47"/>
      <c r="F121" s="341"/>
      <c r="G121" s="341"/>
      <c r="I121" s="341">
        <f t="shared" si="5"/>
        <v>0</v>
      </c>
      <c r="J121" s="341">
        <f>+I121-F121</f>
        <v>0</v>
      </c>
      <c r="K121" s="216">
        <f t="shared" si="3"/>
        <v>116</v>
      </c>
      <c r="N121" s="341"/>
      <c r="O121" s="1"/>
    </row>
    <row r="122" spans="1:15" ht="13.5" thickTop="1">
      <c r="A122" s="149">
        <f t="shared" si="4"/>
        <v>622</v>
      </c>
      <c r="B122" s="116" t="s">
        <v>511</v>
      </c>
      <c r="C122" s="47"/>
      <c r="D122" s="47"/>
      <c r="E122" s="47"/>
      <c r="F122" s="339"/>
      <c r="G122" s="339"/>
      <c r="I122" s="339">
        <f t="shared" si="5"/>
        <v>0</v>
      </c>
      <c r="J122" s="339"/>
      <c r="K122" s="216">
        <f t="shared" si="3"/>
        <v>117</v>
      </c>
      <c r="N122" s="339"/>
      <c r="O122" s="1"/>
    </row>
    <row r="123" spans="1:15">
      <c r="A123" s="149">
        <f t="shared" si="4"/>
        <v>623</v>
      </c>
      <c r="B123" s="136"/>
      <c r="C123" s="47" t="s">
        <v>640</v>
      </c>
      <c r="D123" s="47"/>
      <c r="E123" s="47"/>
      <c r="F123" s="339">
        <f>F31</f>
        <v>0</v>
      </c>
      <c r="G123" s="339">
        <v>0</v>
      </c>
      <c r="I123" s="339">
        <f t="shared" si="5"/>
        <v>0</v>
      </c>
      <c r="J123" s="339">
        <f t="shared" ref="J123:J128" si="6">+I123-F123</f>
        <v>0</v>
      </c>
      <c r="K123" s="216">
        <f t="shared" si="3"/>
        <v>118</v>
      </c>
      <c r="N123" s="339">
        <f>N31</f>
        <v>0</v>
      </c>
      <c r="O123" s="1"/>
    </row>
    <row r="124" spans="1:15">
      <c r="A124" s="149">
        <f t="shared" si="4"/>
        <v>624</v>
      </c>
      <c r="B124" s="136"/>
      <c r="C124" s="47" t="s">
        <v>641</v>
      </c>
      <c r="D124" s="47"/>
      <c r="E124" s="47"/>
      <c r="F124" s="339">
        <f>F16+F21+F26+F38+F43+F48+F53+F58+F63+F68+F73+F78+F83+F88+F93+F98+F103++F108+F113+F118</f>
        <v>1054290747.1650131</v>
      </c>
      <c r="G124" s="339">
        <v>816029038.04715991</v>
      </c>
      <c r="I124" s="339">
        <f t="shared" si="5"/>
        <v>1054290747.1650131</v>
      </c>
      <c r="J124" s="339">
        <f t="shared" si="6"/>
        <v>0</v>
      </c>
      <c r="K124" s="216">
        <f t="shared" si="3"/>
        <v>119</v>
      </c>
      <c r="N124" s="339">
        <f>N16+N21+N26+N38+N43+N48+N53+N58+N63+N68+N73+N78+N83+N88+N93+N98+N103++N108+N113+N118</f>
        <v>541432060.94008088</v>
      </c>
      <c r="O124" s="1"/>
    </row>
    <row r="125" spans="1:15">
      <c r="A125" s="149">
        <f t="shared" si="4"/>
        <v>625</v>
      </c>
      <c r="B125" s="136"/>
      <c r="C125" s="47" t="s">
        <v>644</v>
      </c>
      <c r="D125" s="47"/>
      <c r="E125" s="47"/>
      <c r="F125" s="339">
        <f>+F109</f>
        <v>0</v>
      </c>
      <c r="G125" s="339">
        <v>0</v>
      </c>
      <c r="I125" s="339">
        <f t="shared" si="5"/>
        <v>0</v>
      </c>
      <c r="J125" s="339">
        <f t="shared" si="6"/>
        <v>0</v>
      </c>
      <c r="K125" s="216">
        <f t="shared" si="3"/>
        <v>120</v>
      </c>
      <c r="N125" s="339">
        <f>+N109</f>
        <v>0</v>
      </c>
      <c r="O125" s="1"/>
    </row>
    <row r="126" spans="1:15">
      <c r="A126" s="149">
        <f t="shared" si="4"/>
        <v>626</v>
      </c>
      <c r="B126" s="136"/>
      <c r="C126" s="47" t="s">
        <v>645</v>
      </c>
      <c r="D126" s="47"/>
      <c r="E126" s="47"/>
      <c r="F126" s="339">
        <f>F17+F22+F27+F34+F39+F44+F49+F54+F59+F64+F69+F74+F79+F84+F89+F94+F99+F104+F114+F119</f>
        <v>35159710.494987026</v>
      </c>
      <c r="G126" s="339">
        <v>27003240.442840025</v>
      </c>
      <c r="I126" s="339">
        <f t="shared" si="5"/>
        <v>35159710.494987026</v>
      </c>
      <c r="J126" s="339">
        <f t="shared" si="6"/>
        <v>0</v>
      </c>
      <c r="K126" s="216">
        <f t="shared" si="3"/>
        <v>121</v>
      </c>
      <c r="N126" s="339">
        <f>N17+N22+N27+N34+N39+N44+N49+N54+N59+N64+N69+N74+N79+N84+N89+N94+N99+N104+N114+N119</f>
        <v>19165299.939918987</v>
      </c>
      <c r="O126" s="1"/>
    </row>
    <row r="127" spans="1:15">
      <c r="A127" s="149">
        <f t="shared" si="4"/>
        <v>627</v>
      </c>
      <c r="B127" s="136"/>
      <c r="C127" s="47" t="s">
        <v>642</v>
      </c>
      <c r="D127" s="47"/>
      <c r="E127" s="47"/>
      <c r="F127" s="339">
        <f>O125</f>
        <v>0</v>
      </c>
      <c r="G127" s="339">
        <v>0</v>
      </c>
      <c r="I127" s="339">
        <f t="shared" si="5"/>
        <v>0</v>
      </c>
      <c r="J127" s="339">
        <f t="shared" si="6"/>
        <v>0</v>
      </c>
      <c r="K127" s="216">
        <f t="shared" si="3"/>
        <v>122</v>
      </c>
      <c r="N127" s="339">
        <v>461454.52365005016</v>
      </c>
      <c r="O127" s="1"/>
    </row>
    <row r="128" spans="1:15">
      <c r="A128" s="149">
        <f t="shared" si="4"/>
        <v>628</v>
      </c>
      <c r="B128" s="136"/>
      <c r="C128" s="47" t="s">
        <v>643</v>
      </c>
      <c r="D128" s="47"/>
      <c r="E128" s="47"/>
      <c r="F128" s="339">
        <f>F126-R127</f>
        <v>35159710.494987026</v>
      </c>
      <c r="G128" s="339">
        <v>27003240.442840025</v>
      </c>
      <c r="I128" s="339">
        <f t="shared" si="5"/>
        <v>35159710.494987026</v>
      </c>
      <c r="J128" s="339">
        <f t="shared" si="6"/>
        <v>0</v>
      </c>
      <c r="K128" s="216">
        <f t="shared" si="3"/>
        <v>123</v>
      </c>
      <c r="N128" s="339">
        <v>823901.35581561178</v>
      </c>
      <c r="O128" s="1"/>
    </row>
    <row r="129" spans="1:15" ht="13.5" thickBot="1">
      <c r="A129" s="149">
        <f t="shared" si="4"/>
        <v>629</v>
      </c>
      <c r="B129" s="136"/>
      <c r="C129" s="47"/>
      <c r="D129" s="47"/>
      <c r="E129" s="47"/>
      <c r="F129" s="341"/>
      <c r="G129" s="341"/>
      <c r="I129" s="341">
        <f t="shared" si="5"/>
        <v>0</v>
      </c>
      <c r="J129" s="341"/>
      <c r="K129" s="216">
        <f t="shared" si="3"/>
        <v>124</v>
      </c>
      <c r="N129" s="341"/>
      <c r="O129" s="1"/>
    </row>
    <row r="130" spans="1:15" ht="13.5" thickTop="1">
      <c r="A130" s="149">
        <f t="shared" si="4"/>
        <v>630</v>
      </c>
      <c r="B130" s="136"/>
      <c r="C130" s="47"/>
      <c r="D130" s="47"/>
      <c r="E130" s="47"/>
      <c r="F130" s="339"/>
      <c r="G130" s="339"/>
      <c r="I130" s="339">
        <f t="shared" si="5"/>
        <v>0</v>
      </c>
      <c r="J130" s="339"/>
      <c r="K130" s="216">
        <f t="shared" si="3"/>
        <v>125</v>
      </c>
      <c r="N130" s="339"/>
      <c r="O130" s="1"/>
    </row>
    <row r="131" spans="1:15">
      <c r="A131" s="149">
        <f t="shared" si="4"/>
        <v>631</v>
      </c>
      <c r="B131" s="136"/>
      <c r="C131" s="141" t="s">
        <v>511</v>
      </c>
      <c r="D131" s="47"/>
      <c r="E131" s="47"/>
      <c r="F131" s="339">
        <f>F18+F23+F28+F35+F40+F45+F50+F55+F60+F65+F70+F75+F80+F85+F90+F95+F100+F105+F110+F115+F120+F127+F128</f>
        <v>1124610168.1549871</v>
      </c>
      <c r="G131" s="339">
        <v>870035518.93283987</v>
      </c>
      <c r="I131" s="339">
        <f t="shared" si="5"/>
        <v>1124610168.1549871</v>
      </c>
      <c r="J131" s="339">
        <f>+I131-F131</f>
        <v>0</v>
      </c>
      <c r="K131" s="216">
        <f t="shared" si="3"/>
        <v>126</v>
      </c>
      <c r="N131" s="339">
        <f>N18+N23+N28+N35+N40+N45+N50+N55+N60+N65+N70+N75+N80+N85+N90+N95+N100+N105+N110+N115+N120+N127+N128</f>
        <v>561882716.75946581</v>
      </c>
      <c r="O131" s="1"/>
    </row>
    <row r="132" spans="1:15">
      <c r="A132" s="149">
        <f t="shared" si="4"/>
        <v>632</v>
      </c>
      <c r="B132" s="136"/>
      <c r="C132" s="47"/>
      <c r="D132" s="47"/>
      <c r="E132" s="47"/>
      <c r="F132" s="339"/>
      <c r="G132" s="339"/>
      <c r="I132" s="339">
        <f t="shared" si="5"/>
        <v>0</v>
      </c>
      <c r="J132" s="339">
        <f>+I132-F132</f>
        <v>0</v>
      </c>
      <c r="K132" s="216">
        <f t="shared" si="3"/>
        <v>127</v>
      </c>
      <c r="N132" s="339">
        <f>SUM(N123:N126)</f>
        <v>560597360.87999988</v>
      </c>
    </row>
    <row r="133" spans="1:15">
      <c r="A133" s="149">
        <f t="shared" si="4"/>
        <v>633</v>
      </c>
      <c r="B133" s="136"/>
      <c r="C133" s="47"/>
      <c r="D133" s="47"/>
      <c r="E133" s="47"/>
      <c r="F133" s="339"/>
      <c r="G133" s="339"/>
      <c r="I133" s="339">
        <f t="shared" si="5"/>
        <v>0</v>
      </c>
      <c r="J133" s="339"/>
      <c r="K133" s="216">
        <f t="shared" si="3"/>
        <v>128</v>
      </c>
      <c r="N133" s="339"/>
    </row>
    <row r="134" spans="1:15">
      <c r="A134" s="149">
        <f t="shared" si="4"/>
        <v>634</v>
      </c>
      <c r="B134" s="116" t="s">
        <v>330</v>
      </c>
      <c r="C134" s="47"/>
      <c r="D134" s="47"/>
      <c r="E134" s="47"/>
      <c r="F134" s="339"/>
      <c r="G134" s="339"/>
      <c r="I134" s="339">
        <f t="shared" si="5"/>
        <v>0</v>
      </c>
      <c r="J134" s="339"/>
      <c r="K134" s="216">
        <f t="shared" si="3"/>
        <v>129</v>
      </c>
      <c r="N134" s="339"/>
    </row>
    <row r="135" spans="1:15">
      <c r="A135" s="149">
        <f t="shared" si="4"/>
        <v>635</v>
      </c>
      <c r="B135" s="136"/>
      <c r="C135" s="47"/>
      <c r="D135" s="47"/>
      <c r="E135" s="47"/>
      <c r="F135" s="339"/>
      <c r="G135" s="339"/>
      <c r="I135" s="339">
        <f t="shared" si="5"/>
        <v>0</v>
      </c>
      <c r="J135" s="339"/>
      <c r="K135" s="216">
        <f t="shared" si="3"/>
        <v>130</v>
      </c>
      <c r="N135" s="339"/>
    </row>
    <row r="136" spans="1:15">
      <c r="A136" s="149">
        <f t="shared" si="4"/>
        <v>636</v>
      </c>
      <c r="B136" s="116" t="s">
        <v>331</v>
      </c>
      <c r="C136" s="47"/>
      <c r="D136" s="47"/>
      <c r="E136" s="47"/>
      <c r="F136" s="339"/>
      <c r="G136" s="339"/>
      <c r="I136" s="339">
        <f t="shared" si="5"/>
        <v>0</v>
      </c>
      <c r="J136" s="339"/>
      <c r="K136" s="216">
        <f t="shared" ref="K136:K199" si="7">+K135+1</f>
        <v>131</v>
      </c>
      <c r="N136" s="339"/>
    </row>
    <row r="137" spans="1:15">
      <c r="A137" s="149">
        <f t="shared" si="4"/>
        <v>637</v>
      </c>
      <c r="B137" s="136"/>
      <c r="C137" s="47"/>
      <c r="D137" s="47"/>
      <c r="E137" s="47"/>
      <c r="F137" s="339"/>
      <c r="G137" s="339"/>
      <c r="I137" s="339">
        <f t="shared" si="5"/>
        <v>0</v>
      </c>
      <c r="J137" s="339"/>
      <c r="K137" s="216">
        <f t="shared" si="7"/>
        <v>132</v>
      </c>
      <c r="N137" s="339"/>
    </row>
    <row r="138" spans="1:15">
      <c r="A138" s="149">
        <f t="shared" si="4"/>
        <v>638</v>
      </c>
      <c r="B138" s="137">
        <v>810</v>
      </c>
      <c r="C138" s="47" t="s">
        <v>332</v>
      </c>
      <c r="D138" s="47"/>
      <c r="E138" s="47"/>
      <c r="F138" s="339">
        <f>[17]EXPENSES.XNV!S133</f>
        <v>-16530.78</v>
      </c>
      <c r="G138" s="339">
        <v>-15226.42</v>
      </c>
      <c r="I138" s="339">
        <f t="shared" si="5"/>
        <v>-16530.78</v>
      </c>
      <c r="J138" s="339">
        <f>+I138-F138</f>
        <v>0</v>
      </c>
      <c r="K138" s="216">
        <f t="shared" si="7"/>
        <v>133</v>
      </c>
      <c r="N138" s="339">
        <v>-10879.7</v>
      </c>
      <c r="O138" s="1">
        <v>-12606.2</v>
      </c>
    </row>
    <row r="139" spans="1:15">
      <c r="A139" s="149">
        <f t="shared" si="4"/>
        <v>639</v>
      </c>
      <c r="B139" s="137">
        <v>812</v>
      </c>
      <c r="C139" s="47" t="s">
        <v>333</v>
      </c>
      <c r="D139" s="47"/>
      <c r="E139" s="47"/>
      <c r="F139" s="339">
        <f>[17]EXPENSES.XNV!S134</f>
        <v>-422434.5</v>
      </c>
      <c r="G139" s="339">
        <v>-327962.96000000002</v>
      </c>
      <c r="I139" s="339">
        <f t="shared" si="5"/>
        <v>-422434.5</v>
      </c>
      <c r="J139" s="339">
        <f>+I139-F139</f>
        <v>0</v>
      </c>
      <c r="K139" s="216">
        <f t="shared" si="7"/>
        <v>134</v>
      </c>
      <c r="N139" s="339">
        <v>-265777.32</v>
      </c>
      <c r="O139" s="1">
        <v>-301510.67999999993</v>
      </c>
    </row>
    <row r="140" spans="1:15">
      <c r="A140" s="149">
        <f t="shared" ref="A140:A203" si="8">+A139+1</f>
        <v>640</v>
      </c>
      <c r="B140" s="136"/>
      <c r="C140" s="47"/>
      <c r="D140" s="47"/>
      <c r="E140" s="47"/>
      <c r="F140" s="339"/>
      <c r="G140" s="339"/>
      <c r="I140" s="339">
        <f t="shared" si="5"/>
        <v>0</v>
      </c>
      <c r="J140" s="339"/>
      <c r="K140" s="216">
        <f t="shared" si="7"/>
        <v>135</v>
      </c>
      <c r="N140" s="339"/>
      <c r="O140" s="1"/>
    </row>
    <row r="141" spans="1:15">
      <c r="A141" s="149">
        <f t="shared" si="8"/>
        <v>641</v>
      </c>
      <c r="B141" s="136"/>
      <c r="C141" s="141" t="s">
        <v>334</v>
      </c>
      <c r="D141" s="47"/>
      <c r="E141" s="47"/>
      <c r="F141" s="339">
        <f>[17]EXPENSES.XNV!S136</f>
        <v>-438965.28</v>
      </c>
      <c r="G141" s="339">
        <v>-343189.38</v>
      </c>
      <c r="I141" s="339">
        <f t="shared" si="5"/>
        <v>-438965.28</v>
      </c>
      <c r="J141" s="339">
        <f>+I141-F141</f>
        <v>0</v>
      </c>
      <c r="K141" s="216">
        <f t="shared" si="7"/>
        <v>136</v>
      </c>
      <c r="N141" s="339">
        <f>SUM(N138:N139)</f>
        <v>-276657.02</v>
      </c>
      <c r="O141" s="1">
        <v>-314116.87999999995</v>
      </c>
    </row>
    <row r="142" spans="1:15">
      <c r="A142" s="149">
        <f t="shared" si="8"/>
        <v>642</v>
      </c>
      <c r="B142" s="136"/>
      <c r="C142" s="47"/>
      <c r="D142" s="47"/>
      <c r="E142" s="47"/>
      <c r="F142" s="339"/>
      <c r="G142" s="339"/>
      <c r="I142" s="339">
        <f t="shared" si="5"/>
        <v>0</v>
      </c>
      <c r="J142" s="339"/>
      <c r="K142" s="216">
        <f t="shared" si="7"/>
        <v>137</v>
      </c>
      <c r="N142" s="339"/>
      <c r="O142" s="1">
        <v>-10322.399465999997</v>
      </c>
    </row>
    <row r="143" spans="1:15">
      <c r="A143" s="149">
        <f t="shared" si="8"/>
        <v>643</v>
      </c>
      <c r="B143" s="116" t="s">
        <v>335</v>
      </c>
      <c r="C143" s="47"/>
      <c r="D143" s="47"/>
      <c r="E143" s="47"/>
      <c r="F143" s="339"/>
      <c r="G143" s="339"/>
      <c r="I143" s="339">
        <f t="shared" si="5"/>
        <v>0</v>
      </c>
      <c r="J143" s="339"/>
      <c r="K143" s="216">
        <f t="shared" si="7"/>
        <v>138</v>
      </c>
      <c r="N143" s="339"/>
      <c r="O143" s="1"/>
    </row>
    <row r="144" spans="1:15">
      <c r="A144" s="149">
        <f t="shared" si="8"/>
        <v>644</v>
      </c>
      <c r="B144" s="136"/>
      <c r="C144" s="47" t="s">
        <v>772</v>
      </c>
      <c r="D144" s="47"/>
      <c r="E144" s="47"/>
      <c r="F144" s="339"/>
      <c r="G144" s="339"/>
      <c r="I144" s="339">
        <f t="shared" si="5"/>
        <v>0</v>
      </c>
      <c r="J144" s="339"/>
      <c r="K144" s="216">
        <f t="shared" si="7"/>
        <v>139</v>
      </c>
      <c r="N144" s="339"/>
      <c r="O144" s="1"/>
    </row>
    <row r="145" spans="1:15">
      <c r="A145" s="149">
        <f t="shared" si="8"/>
        <v>645</v>
      </c>
      <c r="B145" s="137">
        <v>870</v>
      </c>
      <c r="C145" s="47" t="s">
        <v>336</v>
      </c>
      <c r="D145" s="47"/>
      <c r="E145" s="47"/>
      <c r="F145" s="339"/>
      <c r="G145" s="339"/>
      <c r="I145" s="339">
        <f t="shared" ref="I145:I208" si="9">HLOOKUP($I$6,$F$6:$G$431,K145,FALSE)</f>
        <v>0</v>
      </c>
      <c r="J145" s="339"/>
      <c r="K145" s="216">
        <f t="shared" si="7"/>
        <v>140</v>
      </c>
      <c r="N145" s="339"/>
      <c r="O145" s="1"/>
    </row>
    <row r="146" spans="1:15">
      <c r="A146" s="149">
        <f t="shared" si="8"/>
        <v>646</v>
      </c>
      <c r="B146" s="137"/>
      <c r="C146" s="47"/>
      <c r="D146" s="47" t="s">
        <v>12</v>
      </c>
      <c r="E146" s="47"/>
      <c r="F146" s="339">
        <f>[17]EXPENSES.XNV!S141</f>
        <v>8200337.5399999991</v>
      </c>
      <c r="G146" s="339">
        <v>8007090.3599999994</v>
      </c>
      <c r="I146" s="339">
        <f t="shared" si="9"/>
        <v>8200337.5399999991</v>
      </c>
      <c r="J146" s="339">
        <f>+I146-F146</f>
        <v>0</v>
      </c>
      <c r="K146" s="216">
        <f t="shared" si="7"/>
        <v>141</v>
      </c>
      <c r="N146" s="339">
        <v>6965699.9000000004</v>
      </c>
      <c r="O146" s="1">
        <v>7339458.71</v>
      </c>
    </row>
    <row r="147" spans="1:15">
      <c r="A147" s="149">
        <f t="shared" si="8"/>
        <v>647</v>
      </c>
      <c r="B147" s="137"/>
      <c r="C147" s="47"/>
      <c r="D147" s="47" t="s">
        <v>23</v>
      </c>
      <c r="E147" s="47"/>
      <c r="F147" s="339">
        <f>[17]EXPENSES.XNV!S142</f>
        <v>643205.74</v>
      </c>
      <c r="G147" s="339">
        <v>551861.56999999995</v>
      </c>
      <c r="I147" s="339">
        <f t="shared" si="9"/>
        <v>643205.74</v>
      </c>
      <c r="J147" s="339">
        <f>+I147-F147</f>
        <v>0</v>
      </c>
      <c r="K147" s="216">
        <f t="shared" si="7"/>
        <v>142</v>
      </c>
      <c r="N147" s="339">
        <v>497946.85</v>
      </c>
      <c r="O147" s="1">
        <v>519690.03</v>
      </c>
    </row>
    <row r="148" spans="1:15" ht="13.5" thickBot="1">
      <c r="A148" s="149">
        <f t="shared" si="8"/>
        <v>648</v>
      </c>
      <c r="B148" s="137"/>
      <c r="C148" s="47"/>
      <c r="D148" s="47" t="s">
        <v>145</v>
      </c>
      <c r="E148" s="47"/>
      <c r="F148" s="340">
        <f>SUM(F146:F147)</f>
        <v>8843543.2799999993</v>
      </c>
      <c r="G148" s="340">
        <v>8558951.9299999997</v>
      </c>
      <c r="I148" s="340">
        <f t="shared" si="9"/>
        <v>8843543.2799999993</v>
      </c>
      <c r="J148" s="340">
        <f>+I148-F148</f>
        <v>0</v>
      </c>
      <c r="K148" s="216">
        <f t="shared" si="7"/>
        <v>143</v>
      </c>
      <c r="N148" s="340">
        <v>7463646.75</v>
      </c>
      <c r="O148" s="1">
        <v>7859148.7399999993</v>
      </c>
    </row>
    <row r="149" spans="1:15" ht="13.5" thickTop="1">
      <c r="A149" s="149">
        <f t="shared" si="8"/>
        <v>649</v>
      </c>
      <c r="B149" s="137"/>
      <c r="C149" s="47"/>
      <c r="D149" s="47"/>
      <c r="E149" s="47"/>
      <c r="F149" s="339"/>
      <c r="G149" s="339"/>
      <c r="I149" s="339">
        <f t="shared" si="9"/>
        <v>0</v>
      </c>
      <c r="J149" s="339"/>
      <c r="K149" s="216">
        <f t="shared" si="7"/>
        <v>144</v>
      </c>
      <c r="N149" s="339"/>
      <c r="O149" s="1"/>
    </row>
    <row r="150" spans="1:15">
      <c r="A150" s="149">
        <f t="shared" si="8"/>
        <v>650</v>
      </c>
      <c r="B150" s="137">
        <v>871</v>
      </c>
      <c r="C150" s="47" t="s">
        <v>337</v>
      </c>
      <c r="D150" s="47"/>
      <c r="E150" s="47"/>
      <c r="F150" s="339"/>
      <c r="G150" s="339"/>
      <c r="I150" s="339">
        <f t="shared" si="9"/>
        <v>0</v>
      </c>
      <c r="J150" s="339"/>
      <c r="K150" s="216">
        <f t="shared" si="7"/>
        <v>145</v>
      </c>
      <c r="N150" s="339"/>
      <c r="O150" s="1"/>
    </row>
    <row r="151" spans="1:15">
      <c r="A151" s="149">
        <f t="shared" si="8"/>
        <v>651</v>
      </c>
      <c r="B151" s="137"/>
      <c r="C151" s="47"/>
      <c r="D151" s="47" t="s">
        <v>12</v>
      </c>
      <c r="E151" s="47"/>
      <c r="F151" s="339">
        <f>[17]EXPENSES.XNV!S146</f>
        <v>1513481.8299999996</v>
      </c>
      <c r="G151" s="339">
        <v>1109522.94</v>
      </c>
      <c r="I151" s="339">
        <f t="shared" si="9"/>
        <v>1513481.8299999996</v>
      </c>
      <c r="J151" s="339">
        <f>+I151-F151</f>
        <v>0</v>
      </c>
      <c r="K151" s="216">
        <f t="shared" si="7"/>
        <v>146</v>
      </c>
      <c r="N151" s="339">
        <v>1501650.5499999998</v>
      </c>
      <c r="O151" s="1">
        <v>1047557.6600000001</v>
      </c>
    </row>
    <row r="152" spans="1:15">
      <c r="A152" s="149">
        <f t="shared" si="8"/>
        <v>652</v>
      </c>
      <c r="B152" s="137"/>
      <c r="C152" s="47"/>
      <c r="D152" s="47" t="s">
        <v>23</v>
      </c>
      <c r="E152" s="47"/>
      <c r="F152" s="339">
        <f>[17]EXPENSES.XNV!S147</f>
        <v>25103.539999999997</v>
      </c>
      <c r="G152" s="339">
        <v>11235.76</v>
      </c>
      <c r="I152" s="339">
        <f t="shared" si="9"/>
        <v>25103.539999999997</v>
      </c>
      <c r="J152" s="339">
        <f>+I152-F152</f>
        <v>0</v>
      </c>
      <c r="K152" s="216">
        <f t="shared" si="7"/>
        <v>147</v>
      </c>
      <c r="N152" s="339">
        <v>44244.68</v>
      </c>
      <c r="O152" s="1">
        <v>27407.120000000003</v>
      </c>
    </row>
    <row r="153" spans="1:15" ht="13.5" thickBot="1">
      <c r="A153" s="149">
        <f t="shared" si="8"/>
        <v>653</v>
      </c>
      <c r="B153" s="137"/>
      <c r="C153" s="47"/>
      <c r="D153" s="47" t="s">
        <v>145</v>
      </c>
      <c r="E153" s="47"/>
      <c r="F153" s="340">
        <f>SUM(F151:F152)</f>
        <v>1538585.3699999996</v>
      </c>
      <c r="G153" s="340">
        <v>1120758.7</v>
      </c>
      <c r="I153" s="340">
        <f t="shared" si="9"/>
        <v>1538585.3699999996</v>
      </c>
      <c r="J153" s="340">
        <f>+I153-F153</f>
        <v>0</v>
      </c>
      <c r="K153" s="216">
        <f t="shared" si="7"/>
        <v>148</v>
      </c>
      <c r="N153" s="340">
        <v>1545895.2299999997</v>
      </c>
      <c r="O153" s="1">
        <v>1074964.7799999998</v>
      </c>
    </row>
    <row r="154" spans="1:15" ht="13.5" thickTop="1">
      <c r="A154" s="149">
        <f t="shared" si="8"/>
        <v>654</v>
      </c>
      <c r="B154" s="137"/>
      <c r="C154" s="47"/>
      <c r="D154" s="47"/>
      <c r="E154" s="47"/>
      <c r="F154" s="339"/>
      <c r="G154" s="339"/>
      <c r="I154" s="339">
        <f t="shared" si="9"/>
        <v>0</v>
      </c>
      <c r="J154" s="339"/>
      <c r="K154" s="216">
        <f t="shared" si="7"/>
        <v>149</v>
      </c>
      <c r="N154" s="339"/>
      <c r="O154" s="1"/>
    </row>
    <row r="155" spans="1:15">
      <c r="A155" s="149">
        <f t="shared" si="8"/>
        <v>655</v>
      </c>
      <c r="B155" s="137">
        <v>872</v>
      </c>
      <c r="C155" s="47" t="s">
        <v>339</v>
      </c>
      <c r="D155" s="47"/>
      <c r="E155" s="47"/>
      <c r="F155" s="339"/>
      <c r="G155" s="339"/>
      <c r="I155" s="339">
        <f t="shared" si="9"/>
        <v>0</v>
      </c>
      <c r="J155" s="339"/>
      <c r="K155" s="216">
        <f t="shared" si="7"/>
        <v>150</v>
      </c>
      <c r="N155" s="339"/>
      <c r="O155" s="1"/>
    </row>
    <row r="156" spans="1:15">
      <c r="A156" s="149">
        <f t="shared" si="8"/>
        <v>656</v>
      </c>
      <c r="B156" s="137"/>
      <c r="C156" s="47"/>
      <c r="D156" s="47" t="s">
        <v>12</v>
      </c>
      <c r="E156" s="47"/>
      <c r="F156" s="339">
        <f>[17]EXPENSES.XNV!S151</f>
        <v>0</v>
      </c>
      <c r="G156" s="339">
        <v>0</v>
      </c>
      <c r="I156" s="339">
        <f t="shared" si="9"/>
        <v>0</v>
      </c>
      <c r="J156" s="339">
        <f>+I156-F156</f>
        <v>0</v>
      </c>
      <c r="K156" s="216">
        <f t="shared" si="7"/>
        <v>151</v>
      </c>
      <c r="N156" s="339">
        <v>0</v>
      </c>
      <c r="O156" s="1">
        <v>0</v>
      </c>
    </row>
    <row r="157" spans="1:15">
      <c r="A157" s="149">
        <f t="shared" si="8"/>
        <v>657</v>
      </c>
      <c r="B157" s="137"/>
      <c r="C157" s="47"/>
      <c r="D157" s="47" t="s">
        <v>23</v>
      </c>
      <c r="E157" s="47"/>
      <c r="F157" s="339">
        <f>[17]EXPENSES.XNV!S152</f>
        <v>0</v>
      </c>
      <c r="G157" s="339">
        <v>0</v>
      </c>
      <c r="I157" s="339">
        <f t="shared" si="9"/>
        <v>0</v>
      </c>
      <c r="J157" s="339">
        <f>+I157-F157</f>
        <v>0</v>
      </c>
      <c r="K157" s="216">
        <f t="shared" si="7"/>
        <v>152</v>
      </c>
      <c r="N157" s="339">
        <v>0</v>
      </c>
      <c r="O157" s="1">
        <v>0</v>
      </c>
    </row>
    <row r="158" spans="1:15" ht="13.5" thickBot="1">
      <c r="A158" s="149">
        <f t="shared" si="8"/>
        <v>658</v>
      </c>
      <c r="B158" s="137"/>
      <c r="C158" s="47"/>
      <c r="D158" s="47" t="s">
        <v>145</v>
      </c>
      <c r="E158" s="47"/>
      <c r="F158" s="340">
        <f>SUM(F156:F157)</f>
        <v>0</v>
      </c>
      <c r="G158" s="340">
        <v>0</v>
      </c>
      <c r="I158" s="340">
        <f t="shared" si="9"/>
        <v>0</v>
      </c>
      <c r="J158" s="340">
        <f>+I158-F158</f>
        <v>0</v>
      </c>
      <c r="K158" s="216">
        <f t="shared" si="7"/>
        <v>153</v>
      </c>
      <c r="N158" s="340">
        <v>0</v>
      </c>
      <c r="O158" s="1">
        <v>0</v>
      </c>
    </row>
    <row r="159" spans="1:15" ht="13.5" thickTop="1">
      <c r="A159" s="149">
        <f t="shared" si="8"/>
        <v>659</v>
      </c>
      <c r="B159" s="137"/>
      <c r="C159" s="47"/>
      <c r="D159" s="47"/>
      <c r="E159" s="47"/>
      <c r="F159" s="339"/>
      <c r="G159" s="339"/>
      <c r="I159" s="339">
        <f t="shared" si="9"/>
        <v>0</v>
      </c>
      <c r="J159" s="339"/>
      <c r="K159" s="216">
        <f t="shared" si="7"/>
        <v>154</v>
      </c>
      <c r="N159" s="339"/>
      <c r="O159" s="1"/>
    </row>
    <row r="160" spans="1:15">
      <c r="A160" s="149">
        <f t="shared" si="8"/>
        <v>660</v>
      </c>
      <c r="B160" s="137">
        <v>873</v>
      </c>
      <c r="C160" s="47" t="s">
        <v>340</v>
      </c>
      <c r="D160" s="47"/>
      <c r="E160" s="47"/>
      <c r="F160" s="339"/>
      <c r="G160" s="339"/>
      <c r="I160" s="339">
        <f t="shared" si="9"/>
        <v>0</v>
      </c>
      <c r="J160" s="339"/>
      <c r="K160" s="216">
        <f t="shared" si="7"/>
        <v>155</v>
      </c>
      <c r="N160" s="339"/>
      <c r="O160" s="1"/>
    </row>
    <row r="161" spans="1:15">
      <c r="A161" s="149">
        <f t="shared" si="8"/>
        <v>661</v>
      </c>
      <c r="B161" s="137"/>
      <c r="C161" s="47"/>
      <c r="D161" s="47" t="s">
        <v>12</v>
      </c>
      <c r="E161" s="47"/>
      <c r="F161" s="339">
        <f>[17]EXPENSES.XNV!S156</f>
        <v>-33.11</v>
      </c>
      <c r="G161" s="339">
        <v>0</v>
      </c>
      <c r="I161" s="339">
        <f t="shared" si="9"/>
        <v>-33.11</v>
      </c>
      <c r="J161" s="339">
        <f>+I161-F161</f>
        <v>0</v>
      </c>
      <c r="K161" s="216">
        <f t="shared" si="7"/>
        <v>156</v>
      </c>
      <c r="N161" s="339">
        <v>0</v>
      </c>
      <c r="O161" s="1">
        <v>0</v>
      </c>
    </row>
    <row r="162" spans="1:15">
      <c r="A162" s="149">
        <f t="shared" si="8"/>
        <v>662</v>
      </c>
      <c r="B162" s="137"/>
      <c r="C162" s="47"/>
      <c r="D162" s="47" t="s">
        <v>23</v>
      </c>
      <c r="E162" s="47"/>
      <c r="F162" s="339">
        <f>[17]EXPENSES.XNV!S157</f>
        <v>76.63</v>
      </c>
      <c r="G162" s="339">
        <v>43.519999999999996</v>
      </c>
      <c r="I162" s="339">
        <f t="shared" si="9"/>
        <v>76.63</v>
      </c>
      <c r="J162" s="339">
        <f>+I162-F162</f>
        <v>0</v>
      </c>
      <c r="K162" s="216">
        <f t="shared" si="7"/>
        <v>157</v>
      </c>
      <c r="N162" s="339">
        <v>0</v>
      </c>
      <c r="O162" s="1">
        <v>0</v>
      </c>
    </row>
    <row r="163" spans="1:15" ht="13.5" thickBot="1">
      <c r="A163" s="149">
        <f t="shared" si="8"/>
        <v>663</v>
      </c>
      <c r="B163" s="137"/>
      <c r="C163" s="47"/>
      <c r="D163" s="47" t="s">
        <v>145</v>
      </c>
      <c r="E163" s="47"/>
      <c r="F163" s="340">
        <f>SUM(F161:F162)</f>
        <v>43.519999999999996</v>
      </c>
      <c r="G163" s="340">
        <v>43.519999999999996</v>
      </c>
      <c r="I163" s="340">
        <f t="shared" si="9"/>
        <v>43.519999999999996</v>
      </c>
      <c r="J163" s="340">
        <f>+I163-F163</f>
        <v>0</v>
      </c>
      <c r="K163" s="216">
        <f t="shared" si="7"/>
        <v>158</v>
      </c>
      <c r="N163" s="340">
        <v>0</v>
      </c>
      <c r="O163" s="1">
        <v>0</v>
      </c>
    </row>
    <row r="164" spans="1:15" ht="13.5" thickTop="1">
      <c r="A164" s="149">
        <f t="shared" si="8"/>
        <v>664</v>
      </c>
      <c r="B164" s="137"/>
      <c r="C164" s="47"/>
      <c r="D164" s="47"/>
      <c r="E164" s="47"/>
      <c r="F164" s="339"/>
      <c r="G164" s="339"/>
      <c r="I164" s="339">
        <f t="shared" si="9"/>
        <v>0</v>
      </c>
      <c r="J164" s="339"/>
      <c r="K164" s="216">
        <f t="shared" si="7"/>
        <v>159</v>
      </c>
      <c r="N164" s="339"/>
      <c r="O164" s="1"/>
    </row>
    <row r="165" spans="1:15">
      <c r="A165" s="149">
        <f t="shared" si="8"/>
        <v>665</v>
      </c>
      <c r="B165" s="137">
        <v>874</v>
      </c>
      <c r="C165" s="47" t="s">
        <v>341</v>
      </c>
      <c r="D165" s="47"/>
      <c r="E165" s="47"/>
      <c r="F165" s="339"/>
      <c r="G165" s="339"/>
      <c r="I165" s="339">
        <f t="shared" si="9"/>
        <v>0</v>
      </c>
      <c r="J165" s="339"/>
      <c r="K165" s="216">
        <f t="shared" si="7"/>
        <v>160</v>
      </c>
      <c r="N165" s="339"/>
      <c r="O165" s="1"/>
    </row>
    <row r="166" spans="1:15">
      <c r="A166" s="149">
        <f t="shared" si="8"/>
        <v>666</v>
      </c>
      <c r="B166" s="137"/>
      <c r="C166" s="47"/>
      <c r="D166" s="47" t="s">
        <v>12</v>
      </c>
      <c r="E166" s="47"/>
      <c r="F166" s="339">
        <f>[17]EXPENSES.XNV!S161</f>
        <v>20299550.5</v>
      </c>
      <c r="G166" s="339">
        <v>19547027.859999999</v>
      </c>
      <c r="I166" s="339">
        <f t="shared" si="9"/>
        <v>20299550.5</v>
      </c>
      <c r="J166" s="339">
        <f>+I166-F166</f>
        <v>0</v>
      </c>
      <c r="K166" s="216">
        <f t="shared" si="7"/>
        <v>161</v>
      </c>
      <c r="N166" s="339">
        <v>17813365.32</v>
      </c>
      <c r="O166" s="1">
        <v>19004834.280000001</v>
      </c>
    </row>
    <row r="167" spans="1:15">
      <c r="A167" s="149">
        <f t="shared" si="8"/>
        <v>667</v>
      </c>
      <c r="B167" s="137"/>
      <c r="C167" s="47"/>
      <c r="D167" s="47" t="s">
        <v>23</v>
      </c>
      <c r="E167" s="47"/>
      <c r="F167" s="339">
        <f>[17]EXPENSES.XNV!S162</f>
        <v>533220.92000000004</v>
      </c>
      <c r="G167" s="339">
        <v>542770.40999999992</v>
      </c>
      <c r="I167" s="339">
        <f t="shared" si="9"/>
        <v>533220.92000000004</v>
      </c>
      <c r="J167" s="339">
        <f>+I167-F167</f>
        <v>0</v>
      </c>
      <c r="K167" s="216">
        <f t="shared" si="7"/>
        <v>162</v>
      </c>
      <c r="N167" s="339">
        <v>533403.74</v>
      </c>
      <c r="O167" s="1">
        <v>517991.55000000005</v>
      </c>
    </row>
    <row r="168" spans="1:15" ht="13.5" thickBot="1">
      <c r="A168" s="149">
        <f t="shared" si="8"/>
        <v>668</v>
      </c>
      <c r="B168" s="137"/>
      <c r="C168" s="47"/>
      <c r="D168" s="47" t="s">
        <v>145</v>
      </c>
      <c r="E168" s="47"/>
      <c r="F168" s="340">
        <f>SUM(F166:F167)</f>
        <v>20832771.420000002</v>
      </c>
      <c r="G168" s="340">
        <v>20089798.27</v>
      </c>
      <c r="I168" s="340">
        <f t="shared" si="9"/>
        <v>20832771.420000002</v>
      </c>
      <c r="J168" s="340">
        <f>+I168-F168</f>
        <v>0</v>
      </c>
      <c r="K168" s="216">
        <f t="shared" si="7"/>
        <v>163</v>
      </c>
      <c r="N168" s="340">
        <v>18346769.059999999</v>
      </c>
      <c r="O168" s="1">
        <v>19522825.830000002</v>
      </c>
    </row>
    <row r="169" spans="1:15" ht="13.5" thickTop="1">
      <c r="A169" s="149">
        <f t="shared" si="8"/>
        <v>669</v>
      </c>
      <c r="B169" s="137"/>
      <c r="C169" s="47"/>
      <c r="D169" s="47"/>
      <c r="E169" s="47"/>
      <c r="F169" s="339"/>
      <c r="G169" s="339"/>
      <c r="I169" s="339">
        <f t="shared" si="9"/>
        <v>0</v>
      </c>
      <c r="J169" s="339"/>
      <c r="K169" s="216">
        <f t="shared" si="7"/>
        <v>164</v>
      </c>
      <c r="N169" s="339"/>
      <c r="O169" s="1"/>
    </row>
    <row r="170" spans="1:15">
      <c r="A170" s="149">
        <f t="shared" si="8"/>
        <v>670</v>
      </c>
      <c r="B170" s="137">
        <v>875</v>
      </c>
      <c r="C170" s="47" t="s">
        <v>342</v>
      </c>
      <c r="D170" s="47"/>
      <c r="E170" s="47"/>
      <c r="F170" s="339"/>
      <c r="G170" s="339"/>
      <c r="I170" s="339">
        <f t="shared" si="9"/>
        <v>0</v>
      </c>
      <c r="J170" s="339"/>
      <c r="K170" s="216">
        <f t="shared" si="7"/>
        <v>165</v>
      </c>
      <c r="N170" s="339"/>
      <c r="O170" s="1"/>
    </row>
    <row r="171" spans="1:15">
      <c r="A171" s="149">
        <f t="shared" si="8"/>
        <v>671</v>
      </c>
      <c r="B171" s="137"/>
      <c r="C171" s="47"/>
      <c r="D171" s="47" t="s">
        <v>12</v>
      </c>
      <c r="E171" s="47"/>
      <c r="F171" s="339">
        <f>[17]EXPENSES.XNV!S166</f>
        <v>3086355.13</v>
      </c>
      <c r="G171" s="339">
        <v>3237145.33</v>
      </c>
      <c r="I171" s="339">
        <f t="shared" si="9"/>
        <v>3086355.13</v>
      </c>
      <c r="J171" s="339">
        <f>+I171-F171</f>
        <v>0</v>
      </c>
      <c r="K171" s="216">
        <f t="shared" si="7"/>
        <v>166</v>
      </c>
      <c r="N171" s="339">
        <v>3477109.57</v>
      </c>
      <c r="O171" s="1">
        <v>3707731.48</v>
      </c>
    </row>
    <row r="172" spans="1:15">
      <c r="A172" s="149">
        <f t="shared" si="8"/>
        <v>672</v>
      </c>
      <c r="B172" s="137"/>
      <c r="C172" s="47"/>
      <c r="D172" s="47" t="s">
        <v>23</v>
      </c>
      <c r="E172" s="47"/>
      <c r="F172" s="339">
        <f>[17]EXPENSES.XNV!S167</f>
        <v>90689.8</v>
      </c>
      <c r="G172" s="339">
        <v>94220.859999999986</v>
      </c>
      <c r="I172" s="339">
        <f t="shared" si="9"/>
        <v>90689.8</v>
      </c>
      <c r="J172" s="339">
        <f>+I172-F172</f>
        <v>0</v>
      </c>
      <c r="K172" s="216">
        <f t="shared" si="7"/>
        <v>167</v>
      </c>
      <c r="N172" s="339">
        <v>104476.29999999999</v>
      </c>
      <c r="O172" s="1">
        <v>109871.75</v>
      </c>
    </row>
    <row r="173" spans="1:15" ht="13.5" thickBot="1">
      <c r="A173" s="149">
        <f t="shared" si="8"/>
        <v>673</v>
      </c>
      <c r="B173" s="137"/>
      <c r="C173" s="47"/>
      <c r="D173" s="47" t="s">
        <v>145</v>
      </c>
      <c r="E173" s="47"/>
      <c r="F173" s="340">
        <f>SUM(F171:F172)</f>
        <v>3177044.9299999997</v>
      </c>
      <c r="G173" s="340">
        <v>3331366.19</v>
      </c>
      <c r="I173" s="340">
        <f t="shared" si="9"/>
        <v>3177044.9299999997</v>
      </c>
      <c r="J173" s="340">
        <f>+I173-F173</f>
        <v>0</v>
      </c>
      <c r="K173" s="216">
        <f t="shared" si="7"/>
        <v>168</v>
      </c>
      <c r="N173" s="340">
        <v>3581585.8699999996</v>
      </c>
      <c r="O173" s="1">
        <v>3817603.23</v>
      </c>
    </row>
    <row r="174" spans="1:15" ht="13.5" thickTop="1">
      <c r="A174" s="149">
        <f t="shared" si="8"/>
        <v>674</v>
      </c>
      <c r="B174" s="137"/>
      <c r="C174" s="47"/>
      <c r="D174" s="47"/>
      <c r="E174" s="47"/>
      <c r="F174" s="339"/>
      <c r="G174" s="339"/>
      <c r="I174" s="339">
        <f t="shared" si="9"/>
        <v>0</v>
      </c>
      <c r="J174" s="339"/>
      <c r="K174" s="216">
        <f t="shared" si="7"/>
        <v>169</v>
      </c>
      <c r="N174" s="339"/>
      <c r="O174" s="1"/>
    </row>
    <row r="175" spans="1:15">
      <c r="A175" s="149">
        <f t="shared" si="8"/>
        <v>675</v>
      </c>
      <c r="B175" s="137">
        <v>878</v>
      </c>
      <c r="C175" s="47" t="s">
        <v>343</v>
      </c>
      <c r="D175" s="47"/>
      <c r="E175" s="47"/>
      <c r="F175" s="339"/>
      <c r="G175" s="339"/>
      <c r="I175" s="339">
        <f t="shared" si="9"/>
        <v>0</v>
      </c>
      <c r="J175" s="339"/>
      <c r="K175" s="216">
        <f t="shared" si="7"/>
        <v>170</v>
      </c>
      <c r="N175" s="339"/>
      <c r="O175" s="1"/>
    </row>
    <row r="176" spans="1:15">
      <c r="A176" s="149">
        <f t="shared" si="8"/>
        <v>676</v>
      </c>
      <c r="B176" s="137"/>
      <c r="C176" s="47"/>
      <c r="D176" s="47" t="s">
        <v>12</v>
      </c>
      <c r="E176" s="47"/>
      <c r="F176" s="339">
        <f>[17]EXPENSES.XNV!S171</f>
        <v>3193591.6100000003</v>
      </c>
      <c r="G176" s="339">
        <v>2732653.6699999995</v>
      </c>
      <c r="I176" s="339">
        <f t="shared" si="9"/>
        <v>3193591.6100000003</v>
      </c>
      <c r="J176" s="339">
        <f>+I176-F176</f>
        <v>0</v>
      </c>
      <c r="K176" s="216">
        <f t="shared" si="7"/>
        <v>171</v>
      </c>
      <c r="N176" s="339">
        <v>2575637.91</v>
      </c>
      <c r="O176" s="1">
        <v>2494381.9400000004</v>
      </c>
    </row>
    <row r="177" spans="1:15">
      <c r="A177" s="149">
        <f t="shared" si="8"/>
        <v>677</v>
      </c>
      <c r="B177" s="137"/>
      <c r="C177" s="47"/>
      <c r="D177" s="47" t="s">
        <v>23</v>
      </c>
      <c r="E177" s="47"/>
      <c r="F177" s="339">
        <f>[17]EXPENSES.XNV!S172</f>
        <v>220730.87</v>
      </c>
      <c r="G177" s="339">
        <v>216042.05000000002</v>
      </c>
      <c r="I177" s="339">
        <f t="shared" si="9"/>
        <v>220730.87</v>
      </c>
      <c r="J177" s="339">
        <f>+I177-F177</f>
        <v>0</v>
      </c>
      <c r="K177" s="216">
        <f t="shared" si="7"/>
        <v>172</v>
      </c>
      <c r="N177" s="339">
        <v>202061.97999999998</v>
      </c>
      <c r="O177" s="1">
        <v>214025.48</v>
      </c>
    </row>
    <row r="178" spans="1:15" ht="13.5" thickBot="1">
      <c r="A178" s="149">
        <f t="shared" si="8"/>
        <v>678</v>
      </c>
      <c r="B178" s="137"/>
      <c r="C178" s="47"/>
      <c r="D178" s="47" t="s">
        <v>145</v>
      </c>
      <c r="E178" s="47"/>
      <c r="F178" s="340">
        <f>SUM(F176:F177)</f>
        <v>3414322.4800000004</v>
      </c>
      <c r="G178" s="340">
        <v>2948695.7199999993</v>
      </c>
      <c r="I178" s="340">
        <f t="shared" si="9"/>
        <v>3414322.4800000004</v>
      </c>
      <c r="J178" s="340">
        <f>+I178-F178</f>
        <v>0</v>
      </c>
      <c r="K178" s="216">
        <f t="shared" si="7"/>
        <v>173</v>
      </c>
      <c r="N178" s="340">
        <v>2777699.89</v>
      </c>
      <c r="O178" s="1">
        <v>2708407.4200000004</v>
      </c>
    </row>
    <row r="179" spans="1:15" ht="13.5" thickTop="1">
      <c r="A179" s="149">
        <f t="shared" si="8"/>
        <v>679</v>
      </c>
      <c r="B179" s="137"/>
      <c r="C179" s="47"/>
      <c r="D179" s="47"/>
      <c r="E179" s="47"/>
      <c r="F179" s="339"/>
      <c r="G179" s="339"/>
      <c r="I179" s="339">
        <f t="shared" si="9"/>
        <v>0</v>
      </c>
      <c r="J179" s="339"/>
      <c r="K179" s="216">
        <f t="shared" si="7"/>
        <v>174</v>
      </c>
      <c r="N179" s="339"/>
      <c r="O179" s="1"/>
    </row>
    <row r="180" spans="1:15">
      <c r="A180" s="149">
        <f t="shared" si="8"/>
        <v>680</v>
      </c>
      <c r="B180" s="137">
        <v>879</v>
      </c>
      <c r="C180" s="47" t="s">
        <v>344</v>
      </c>
      <c r="D180" s="47"/>
      <c r="E180" s="47"/>
      <c r="F180" s="339"/>
      <c r="G180" s="339"/>
      <c r="I180" s="339">
        <f t="shared" si="9"/>
        <v>0</v>
      </c>
      <c r="J180" s="339"/>
      <c r="K180" s="216">
        <f t="shared" si="7"/>
        <v>175</v>
      </c>
      <c r="N180" s="339"/>
      <c r="O180" s="1"/>
    </row>
    <row r="181" spans="1:15">
      <c r="A181" s="149">
        <f t="shared" si="8"/>
        <v>681</v>
      </c>
      <c r="B181" s="137"/>
      <c r="C181" s="47"/>
      <c r="D181" s="47" t="s">
        <v>12</v>
      </c>
      <c r="E181" s="47"/>
      <c r="F181" s="339">
        <f>[17]EXPENSES.XNV!S176</f>
        <v>2123301.7700000005</v>
      </c>
      <c r="G181" s="339">
        <v>1941322.53</v>
      </c>
      <c r="I181" s="339">
        <f t="shared" si="9"/>
        <v>2123301.7700000005</v>
      </c>
      <c r="J181" s="339">
        <f>+I181-F181</f>
        <v>0</v>
      </c>
      <c r="K181" s="216">
        <f t="shared" si="7"/>
        <v>176</v>
      </c>
      <c r="N181" s="339">
        <v>1733202.44</v>
      </c>
      <c r="O181" s="1">
        <v>1818495.5100000002</v>
      </c>
    </row>
    <row r="182" spans="1:15">
      <c r="A182" s="149">
        <f t="shared" si="8"/>
        <v>682</v>
      </c>
      <c r="B182" s="137"/>
      <c r="C182" s="47"/>
      <c r="D182" s="47" t="s">
        <v>23</v>
      </c>
      <c r="E182" s="47"/>
      <c r="F182" s="339">
        <f>[17]EXPENSES.XNV!S177</f>
        <v>65178.409999999996</v>
      </c>
      <c r="G182" s="339">
        <v>60458.780000000006</v>
      </c>
      <c r="I182" s="339">
        <f t="shared" si="9"/>
        <v>65178.409999999996</v>
      </c>
      <c r="J182" s="339">
        <f>+I182-F182</f>
        <v>0</v>
      </c>
      <c r="K182" s="216">
        <f t="shared" si="7"/>
        <v>177</v>
      </c>
      <c r="N182" s="339">
        <v>62303.840000000004</v>
      </c>
      <c r="O182" s="1">
        <v>47381.799999999996</v>
      </c>
    </row>
    <row r="183" spans="1:15" ht="13.5" thickBot="1">
      <c r="A183" s="149">
        <f t="shared" si="8"/>
        <v>683</v>
      </c>
      <c r="B183" s="137"/>
      <c r="C183" s="47"/>
      <c r="D183" s="47" t="s">
        <v>145</v>
      </c>
      <c r="E183" s="47"/>
      <c r="F183" s="340">
        <f>SUM(F181:F182)</f>
        <v>2188480.1800000006</v>
      </c>
      <c r="G183" s="340">
        <v>2001781.31</v>
      </c>
      <c r="I183" s="340">
        <f t="shared" si="9"/>
        <v>2188480.1800000006</v>
      </c>
      <c r="J183" s="340">
        <f>+I183-F183</f>
        <v>0</v>
      </c>
      <c r="K183" s="216">
        <f t="shared" si="7"/>
        <v>178</v>
      </c>
      <c r="N183" s="340">
        <v>1795506.28</v>
      </c>
      <c r="O183" s="1">
        <v>1865877.31</v>
      </c>
    </row>
    <row r="184" spans="1:15" ht="13.5" thickTop="1">
      <c r="A184" s="149">
        <f t="shared" si="8"/>
        <v>684</v>
      </c>
      <c r="B184" s="137"/>
      <c r="C184" s="47"/>
      <c r="D184" s="47"/>
      <c r="E184" s="47"/>
      <c r="F184" s="339"/>
      <c r="G184" s="339"/>
      <c r="I184" s="339">
        <f t="shared" si="9"/>
        <v>0</v>
      </c>
      <c r="J184" s="339"/>
      <c r="K184" s="216">
        <f t="shared" si="7"/>
        <v>179</v>
      </c>
      <c r="N184" s="339"/>
      <c r="O184" s="1"/>
    </row>
    <row r="185" spans="1:15">
      <c r="A185" s="149">
        <f t="shared" si="8"/>
        <v>685</v>
      </c>
      <c r="B185" s="137">
        <v>880</v>
      </c>
      <c r="C185" s="47" t="s">
        <v>345</v>
      </c>
      <c r="D185" s="47"/>
      <c r="E185" s="47"/>
      <c r="F185" s="339"/>
      <c r="G185" s="339"/>
      <c r="I185" s="339">
        <f t="shared" si="9"/>
        <v>0</v>
      </c>
      <c r="J185" s="339"/>
      <c r="K185" s="216">
        <f t="shared" si="7"/>
        <v>180</v>
      </c>
      <c r="N185" s="339"/>
      <c r="O185" s="1"/>
    </row>
    <row r="186" spans="1:15">
      <c r="A186" s="149">
        <f t="shared" si="8"/>
        <v>686</v>
      </c>
      <c r="B186" s="137"/>
      <c r="C186" s="47"/>
      <c r="D186" s="47" t="s">
        <v>12</v>
      </c>
      <c r="E186" s="47"/>
      <c r="F186" s="339">
        <f>[17]EXPENSES.XNV!S181</f>
        <v>22373020.600000001</v>
      </c>
      <c r="G186" s="339">
        <v>19815499.93</v>
      </c>
      <c r="I186" s="339">
        <f t="shared" si="9"/>
        <v>22373020.600000001</v>
      </c>
      <c r="J186" s="339">
        <f>+I186-F186</f>
        <v>0</v>
      </c>
      <c r="K186" s="216">
        <f t="shared" si="7"/>
        <v>181</v>
      </c>
      <c r="N186" s="339">
        <v>16922458.899999999</v>
      </c>
      <c r="O186" s="1">
        <v>17997833.810000002</v>
      </c>
    </row>
    <row r="187" spans="1:15">
      <c r="A187" s="149">
        <f t="shared" si="8"/>
        <v>687</v>
      </c>
      <c r="B187" s="137"/>
      <c r="C187" s="47"/>
      <c r="D187" s="47" t="s">
        <v>23</v>
      </c>
      <c r="E187" s="47"/>
      <c r="F187" s="339">
        <f>[17]EXPENSES.XNV!S182</f>
        <v>1360478.2200000002</v>
      </c>
      <c r="G187" s="339">
        <v>1326612.8499999999</v>
      </c>
      <c r="I187" s="339">
        <f t="shared" si="9"/>
        <v>1360478.2200000002</v>
      </c>
      <c r="J187" s="339">
        <f>+I187-F187</f>
        <v>0</v>
      </c>
      <c r="K187" s="216">
        <f t="shared" si="7"/>
        <v>182</v>
      </c>
      <c r="N187" s="339">
        <v>1082584.3800000001</v>
      </c>
      <c r="O187" s="1">
        <v>1244035.8400000001</v>
      </c>
    </row>
    <row r="188" spans="1:15" ht="13.5" thickBot="1">
      <c r="A188" s="149">
        <f t="shared" si="8"/>
        <v>688</v>
      </c>
      <c r="B188" s="137"/>
      <c r="C188" s="47"/>
      <c r="D188" s="47" t="s">
        <v>145</v>
      </c>
      <c r="E188" s="47"/>
      <c r="F188" s="340">
        <f>SUM(F186:F187)</f>
        <v>23733498.82</v>
      </c>
      <c r="G188" s="340">
        <v>21142112.780000001</v>
      </c>
      <c r="I188" s="340">
        <f t="shared" si="9"/>
        <v>23733498.82</v>
      </c>
      <c r="J188" s="340">
        <f>+I188-F188</f>
        <v>0</v>
      </c>
      <c r="K188" s="216">
        <f t="shared" si="7"/>
        <v>183</v>
      </c>
      <c r="N188" s="340">
        <v>18005043.279999997</v>
      </c>
      <c r="O188" s="1">
        <v>19241869.650000002</v>
      </c>
    </row>
    <row r="189" spans="1:15" ht="13.5" thickTop="1">
      <c r="A189" s="149">
        <f t="shared" si="8"/>
        <v>689</v>
      </c>
      <c r="B189" s="137"/>
      <c r="C189" s="47"/>
      <c r="D189" s="47"/>
      <c r="E189" s="47"/>
      <c r="F189" s="339"/>
      <c r="G189" s="339"/>
      <c r="I189" s="339">
        <f t="shared" si="9"/>
        <v>0</v>
      </c>
      <c r="J189" s="339"/>
      <c r="K189" s="216">
        <f t="shared" si="7"/>
        <v>184</v>
      </c>
      <c r="N189" s="339"/>
      <c r="O189" s="1"/>
    </row>
    <row r="190" spans="1:15">
      <c r="A190" s="149">
        <f t="shared" si="8"/>
        <v>690</v>
      </c>
      <c r="B190" s="137">
        <v>881</v>
      </c>
      <c r="C190" s="47" t="s">
        <v>346</v>
      </c>
      <c r="D190" s="47"/>
      <c r="E190" s="47"/>
      <c r="F190" s="339"/>
      <c r="G190" s="339"/>
      <c r="I190" s="339">
        <f t="shared" si="9"/>
        <v>0</v>
      </c>
      <c r="J190" s="339"/>
      <c r="K190" s="216">
        <f t="shared" si="7"/>
        <v>185</v>
      </c>
      <c r="N190" s="339"/>
      <c r="O190" s="1"/>
    </row>
    <row r="191" spans="1:15">
      <c r="A191" s="149">
        <f t="shared" si="8"/>
        <v>691</v>
      </c>
      <c r="B191" s="137"/>
      <c r="C191" s="47"/>
      <c r="D191" s="47" t="s">
        <v>12</v>
      </c>
      <c r="E191" s="47"/>
      <c r="F191" s="339">
        <f>[17]EXPENSES.XNV!S186</f>
        <v>182104.36000000002</v>
      </c>
      <c r="G191" s="339">
        <v>178160.5</v>
      </c>
      <c r="I191" s="339">
        <f t="shared" si="9"/>
        <v>182104.36000000002</v>
      </c>
      <c r="J191" s="339">
        <f>+I191-F191</f>
        <v>0</v>
      </c>
      <c r="K191" s="216">
        <f t="shared" si="7"/>
        <v>186</v>
      </c>
      <c r="N191" s="339">
        <v>9885.1</v>
      </c>
      <c r="O191" s="1">
        <v>73089.67</v>
      </c>
    </row>
    <row r="192" spans="1:15">
      <c r="A192" s="149">
        <f t="shared" si="8"/>
        <v>692</v>
      </c>
      <c r="B192" s="137"/>
      <c r="C192" s="47"/>
      <c r="D192" s="47" t="s">
        <v>23</v>
      </c>
      <c r="E192" s="47"/>
      <c r="F192" s="339">
        <f>[17]EXPENSES.XNV!S187</f>
        <v>933.69</v>
      </c>
      <c r="G192" s="339">
        <v>799.07999999999993</v>
      </c>
      <c r="I192" s="339">
        <f t="shared" si="9"/>
        <v>933.69</v>
      </c>
      <c r="J192" s="339">
        <f>+I192-F192</f>
        <v>0</v>
      </c>
      <c r="K192" s="216">
        <f t="shared" si="7"/>
        <v>187</v>
      </c>
      <c r="N192" s="339">
        <v>326.77999999999997</v>
      </c>
      <c r="O192" s="1">
        <v>483.83999999999992</v>
      </c>
    </row>
    <row r="193" spans="1:15" ht="13.5" thickBot="1">
      <c r="A193" s="149">
        <f t="shared" si="8"/>
        <v>693</v>
      </c>
      <c r="B193" s="137"/>
      <c r="C193" s="47"/>
      <c r="D193" s="47" t="s">
        <v>145</v>
      </c>
      <c r="E193" s="47"/>
      <c r="F193" s="340">
        <f>SUM(F191:F192)</f>
        <v>183038.05000000002</v>
      </c>
      <c r="G193" s="340">
        <v>178959.58</v>
      </c>
      <c r="I193" s="340">
        <f t="shared" si="9"/>
        <v>183038.05000000002</v>
      </c>
      <c r="J193" s="340">
        <f>+I193-F193</f>
        <v>0</v>
      </c>
      <c r="K193" s="216">
        <f t="shared" si="7"/>
        <v>188</v>
      </c>
      <c r="N193" s="340">
        <v>10211.880000000001</v>
      </c>
      <c r="O193" s="1">
        <v>73573.510000000009</v>
      </c>
    </row>
    <row r="194" spans="1:15" ht="13.5" thickTop="1">
      <c r="A194" s="149">
        <f t="shared" si="8"/>
        <v>694</v>
      </c>
      <c r="B194" s="137"/>
      <c r="C194" s="47"/>
      <c r="D194" s="47"/>
      <c r="E194" s="47"/>
      <c r="F194" s="339"/>
      <c r="G194" s="339"/>
      <c r="I194" s="339">
        <f t="shared" si="9"/>
        <v>0</v>
      </c>
      <c r="J194" s="339"/>
      <c r="K194" s="216">
        <f t="shared" si="7"/>
        <v>189</v>
      </c>
      <c r="N194" s="339"/>
      <c r="O194" s="1"/>
    </row>
    <row r="195" spans="1:15">
      <c r="A195" s="149">
        <f t="shared" si="8"/>
        <v>695</v>
      </c>
      <c r="B195" s="137">
        <v>885</v>
      </c>
      <c r="C195" s="47" t="s">
        <v>347</v>
      </c>
      <c r="D195" s="47"/>
      <c r="E195" s="47"/>
      <c r="F195" s="339"/>
      <c r="G195" s="339"/>
      <c r="I195" s="339">
        <f t="shared" si="9"/>
        <v>0</v>
      </c>
      <c r="J195" s="339"/>
      <c r="K195" s="216">
        <f t="shared" si="7"/>
        <v>190</v>
      </c>
      <c r="N195" s="339"/>
      <c r="O195" s="1"/>
    </row>
    <row r="196" spans="1:15">
      <c r="A196" s="149">
        <f t="shared" si="8"/>
        <v>696</v>
      </c>
      <c r="B196" s="137"/>
      <c r="C196" s="47"/>
      <c r="D196" s="47" t="s">
        <v>12</v>
      </c>
      <c r="E196" s="47"/>
      <c r="F196" s="339">
        <f>[17]EXPENSES.XNV!S191</f>
        <v>0</v>
      </c>
      <c r="G196" s="339">
        <v>0</v>
      </c>
      <c r="I196" s="339">
        <f t="shared" si="9"/>
        <v>0</v>
      </c>
      <c r="J196" s="339">
        <f>+I196-F196</f>
        <v>0</v>
      </c>
      <c r="K196" s="216">
        <f t="shared" si="7"/>
        <v>191</v>
      </c>
      <c r="N196" s="339">
        <v>-0.01</v>
      </c>
      <c r="O196" s="1">
        <v>0</v>
      </c>
    </row>
    <row r="197" spans="1:15">
      <c r="A197" s="149">
        <f t="shared" si="8"/>
        <v>697</v>
      </c>
      <c r="B197" s="137"/>
      <c r="C197" s="47"/>
      <c r="D197" s="47" t="s">
        <v>23</v>
      </c>
      <c r="E197" s="47"/>
      <c r="F197" s="339">
        <f>[17]EXPENSES.XNV!S192</f>
        <v>0</v>
      </c>
      <c r="G197" s="339">
        <v>0</v>
      </c>
      <c r="I197" s="339">
        <f t="shared" si="9"/>
        <v>0</v>
      </c>
      <c r="J197" s="339">
        <f>+I197-F197</f>
        <v>0</v>
      </c>
      <c r="K197" s="216">
        <f t="shared" si="7"/>
        <v>192</v>
      </c>
      <c r="N197" s="339">
        <v>0</v>
      </c>
      <c r="O197" s="1">
        <v>0</v>
      </c>
    </row>
    <row r="198" spans="1:15" ht="13.5" thickBot="1">
      <c r="A198" s="149">
        <f t="shared" si="8"/>
        <v>698</v>
      </c>
      <c r="B198" s="137"/>
      <c r="C198" s="47"/>
      <c r="D198" s="47" t="s">
        <v>145</v>
      </c>
      <c r="E198" s="47"/>
      <c r="F198" s="340">
        <f>SUM(F196:F197)</f>
        <v>0</v>
      </c>
      <c r="G198" s="340">
        <v>0</v>
      </c>
      <c r="I198" s="340">
        <f t="shared" si="9"/>
        <v>0</v>
      </c>
      <c r="J198" s="340">
        <f>+I198-F198</f>
        <v>0</v>
      </c>
      <c r="K198" s="216">
        <f t="shared" si="7"/>
        <v>193</v>
      </c>
      <c r="N198" s="340">
        <v>-0.01</v>
      </c>
      <c r="O198" s="1">
        <v>0</v>
      </c>
    </row>
    <row r="199" spans="1:15" ht="13.5" thickTop="1">
      <c r="A199" s="149">
        <f t="shared" si="8"/>
        <v>699</v>
      </c>
      <c r="B199" s="137"/>
      <c r="C199" s="47"/>
      <c r="D199" s="47"/>
      <c r="E199" s="47"/>
      <c r="F199" s="339"/>
      <c r="G199" s="339"/>
      <c r="I199" s="339">
        <f t="shared" si="9"/>
        <v>0</v>
      </c>
      <c r="J199" s="339"/>
      <c r="K199" s="216">
        <f t="shared" si="7"/>
        <v>194</v>
      </c>
      <c r="N199" s="339"/>
      <c r="O199" s="1"/>
    </row>
    <row r="200" spans="1:15">
      <c r="A200" s="149">
        <f t="shared" si="8"/>
        <v>700</v>
      </c>
      <c r="B200" s="137">
        <v>886</v>
      </c>
      <c r="C200" s="47" t="s">
        <v>348</v>
      </c>
      <c r="D200" s="47"/>
      <c r="E200" s="47"/>
      <c r="F200" s="339"/>
      <c r="G200" s="339"/>
      <c r="I200" s="339">
        <f t="shared" si="9"/>
        <v>0</v>
      </c>
      <c r="J200" s="339"/>
      <c r="K200" s="216">
        <f t="shared" ref="K200:K263" si="10">+K199+1</f>
        <v>195</v>
      </c>
      <c r="N200" s="339"/>
      <c r="O200" s="1"/>
    </row>
    <row r="201" spans="1:15">
      <c r="A201" s="149">
        <f t="shared" si="8"/>
        <v>701</v>
      </c>
      <c r="B201" s="137"/>
      <c r="C201" s="47"/>
      <c r="D201" s="101" t="s">
        <v>12</v>
      </c>
      <c r="E201" s="47"/>
      <c r="F201" s="339">
        <f>[17]EXPENSES.XNV!S196</f>
        <v>0</v>
      </c>
      <c r="G201" s="339">
        <v>0</v>
      </c>
      <c r="I201" s="339">
        <f t="shared" si="9"/>
        <v>0</v>
      </c>
      <c r="J201" s="339">
        <f>+I201-F201</f>
        <v>0</v>
      </c>
      <c r="K201" s="216">
        <f t="shared" si="10"/>
        <v>196</v>
      </c>
      <c r="N201" s="339">
        <v>0</v>
      </c>
      <c r="O201" s="1">
        <v>0</v>
      </c>
    </row>
    <row r="202" spans="1:15">
      <c r="A202" s="149">
        <f t="shared" si="8"/>
        <v>702</v>
      </c>
      <c r="B202" s="137"/>
      <c r="C202" s="47"/>
      <c r="D202" s="47" t="s">
        <v>23</v>
      </c>
      <c r="E202" s="47"/>
      <c r="F202" s="339">
        <f>[17]EXPENSES.XNV!S197</f>
        <v>0</v>
      </c>
      <c r="G202" s="339">
        <v>0</v>
      </c>
      <c r="I202" s="339">
        <f t="shared" si="9"/>
        <v>0</v>
      </c>
      <c r="J202" s="339">
        <f>+I202-F202</f>
        <v>0</v>
      </c>
      <c r="K202" s="216">
        <f t="shared" si="10"/>
        <v>197</v>
      </c>
      <c r="N202" s="339">
        <v>0</v>
      </c>
      <c r="O202" s="1">
        <v>0</v>
      </c>
    </row>
    <row r="203" spans="1:15" ht="13.5" thickBot="1">
      <c r="A203" s="149">
        <f t="shared" si="8"/>
        <v>703</v>
      </c>
      <c r="B203" s="137"/>
      <c r="C203" s="47"/>
      <c r="D203" s="47" t="s">
        <v>145</v>
      </c>
      <c r="E203" s="47"/>
      <c r="F203" s="340">
        <f>SUM(F201:F202)</f>
        <v>0</v>
      </c>
      <c r="G203" s="340">
        <v>0</v>
      </c>
      <c r="I203" s="340">
        <f t="shared" si="9"/>
        <v>0</v>
      </c>
      <c r="J203" s="340">
        <f>+I203-F203</f>
        <v>0</v>
      </c>
      <c r="K203" s="216">
        <f t="shared" si="10"/>
        <v>198</v>
      </c>
      <c r="N203" s="340">
        <v>0</v>
      </c>
      <c r="O203" s="1">
        <v>0</v>
      </c>
    </row>
    <row r="204" spans="1:15" ht="13.5" thickTop="1">
      <c r="A204" s="149">
        <f t="shared" ref="A204:A267" si="11">+A203+1</f>
        <v>704</v>
      </c>
      <c r="B204" s="137"/>
      <c r="C204" s="47"/>
      <c r="D204" s="47"/>
      <c r="E204" s="47"/>
      <c r="F204" s="339"/>
      <c r="G204" s="339"/>
      <c r="I204" s="339">
        <f t="shared" si="9"/>
        <v>0</v>
      </c>
      <c r="J204" s="339"/>
      <c r="K204" s="216">
        <f t="shared" si="10"/>
        <v>199</v>
      </c>
      <c r="N204" s="339"/>
      <c r="O204" s="1"/>
    </row>
    <row r="205" spans="1:15">
      <c r="A205" s="149">
        <f t="shared" si="11"/>
        <v>705</v>
      </c>
      <c r="B205" s="137">
        <v>887</v>
      </c>
      <c r="C205" s="47" t="s">
        <v>349</v>
      </c>
      <c r="D205" s="47"/>
      <c r="E205" s="47"/>
      <c r="F205" s="339"/>
      <c r="G205" s="339"/>
      <c r="I205" s="339">
        <f t="shared" si="9"/>
        <v>0</v>
      </c>
      <c r="J205" s="339"/>
      <c r="K205" s="216">
        <f t="shared" si="10"/>
        <v>200</v>
      </c>
      <c r="N205" s="339"/>
      <c r="O205" s="1"/>
    </row>
    <row r="206" spans="1:15">
      <c r="A206" s="149">
        <f t="shared" si="11"/>
        <v>706</v>
      </c>
      <c r="B206" s="137"/>
      <c r="C206" s="47"/>
      <c r="D206" s="47" t="s">
        <v>12</v>
      </c>
      <c r="E206" s="47"/>
      <c r="F206" s="339">
        <f>[17]EXPENSES.XNV!S201</f>
        <v>11276815.949999999</v>
      </c>
      <c r="G206" s="339">
        <v>9256882.1100000013</v>
      </c>
      <c r="I206" s="339">
        <f t="shared" si="9"/>
        <v>11276815.949999999</v>
      </c>
      <c r="J206" s="339">
        <f>+I206-F206</f>
        <v>0</v>
      </c>
      <c r="K206" s="216">
        <f t="shared" si="10"/>
        <v>201</v>
      </c>
      <c r="N206" s="339">
        <v>9267142.7800000012</v>
      </c>
      <c r="O206" s="1">
        <v>9464385.7100000009</v>
      </c>
    </row>
    <row r="207" spans="1:15">
      <c r="A207" s="149">
        <f t="shared" si="11"/>
        <v>707</v>
      </c>
      <c r="B207" s="137"/>
      <c r="C207" s="47"/>
      <c r="D207" s="47" t="s">
        <v>23</v>
      </c>
      <c r="E207" s="47"/>
      <c r="F207" s="339">
        <f>[17]EXPENSES.XNV!S202</f>
        <v>35265.090000000004</v>
      </c>
      <c r="G207" s="339">
        <v>44552.78</v>
      </c>
      <c r="I207" s="339">
        <f t="shared" si="9"/>
        <v>35265.090000000004</v>
      </c>
      <c r="J207" s="339">
        <f>+I207-F207</f>
        <v>0</v>
      </c>
      <c r="K207" s="216">
        <f t="shared" si="10"/>
        <v>202</v>
      </c>
      <c r="N207" s="339">
        <v>17752.22</v>
      </c>
      <c r="O207" s="1">
        <v>28111.260000000002</v>
      </c>
    </row>
    <row r="208" spans="1:15" ht="13.5" thickBot="1">
      <c r="A208" s="149">
        <f t="shared" si="11"/>
        <v>708</v>
      </c>
      <c r="B208" s="137"/>
      <c r="C208" s="47"/>
      <c r="D208" s="47" t="s">
        <v>145</v>
      </c>
      <c r="E208" s="47"/>
      <c r="F208" s="340">
        <f>SUM(F206:F207)</f>
        <v>11312081.039999999</v>
      </c>
      <c r="G208" s="340">
        <v>9301434.8900000006</v>
      </c>
      <c r="I208" s="340">
        <f t="shared" si="9"/>
        <v>11312081.039999999</v>
      </c>
      <c r="J208" s="340">
        <f>+I208-F208</f>
        <v>0</v>
      </c>
      <c r="K208" s="216">
        <f t="shared" si="10"/>
        <v>203</v>
      </c>
      <c r="N208" s="340">
        <v>9284895.0000000019</v>
      </c>
      <c r="O208" s="1">
        <v>9492496.9700000007</v>
      </c>
    </row>
    <row r="209" spans="1:15" ht="13.5" thickTop="1">
      <c r="A209" s="149">
        <f t="shared" si="11"/>
        <v>709</v>
      </c>
      <c r="B209" s="137"/>
      <c r="C209" s="47"/>
      <c r="D209" s="47"/>
      <c r="E209" s="47"/>
      <c r="F209" s="339"/>
      <c r="G209" s="339"/>
      <c r="I209" s="339">
        <f t="shared" ref="I209:I272" si="12">HLOOKUP($I$6,$F$6:$G$431,K209,FALSE)</f>
        <v>0</v>
      </c>
      <c r="J209" s="339"/>
      <c r="K209" s="216">
        <f t="shared" si="10"/>
        <v>204</v>
      </c>
      <c r="N209" s="339"/>
      <c r="O209" s="1"/>
    </row>
    <row r="210" spans="1:15">
      <c r="A210" s="149">
        <f t="shared" si="11"/>
        <v>710</v>
      </c>
      <c r="B210" s="137">
        <v>888</v>
      </c>
      <c r="C210" s="47" t="s">
        <v>350</v>
      </c>
      <c r="D210" s="47"/>
      <c r="E210" s="47"/>
      <c r="F210" s="339"/>
      <c r="G210" s="339"/>
      <c r="I210" s="339">
        <f t="shared" si="12"/>
        <v>0</v>
      </c>
      <c r="J210" s="339"/>
      <c r="K210" s="216">
        <f t="shared" si="10"/>
        <v>205</v>
      </c>
      <c r="N210" s="339"/>
      <c r="O210" s="1"/>
    </row>
    <row r="211" spans="1:15">
      <c r="A211" s="149">
        <f t="shared" si="11"/>
        <v>711</v>
      </c>
      <c r="B211" s="137"/>
      <c r="C211" s="47"/>
      <c r="D211" s="47" t="s">
        <v>12</v>
      </c>
      <c r="E211" s="47"/>
      <c r="F211" s="339">
        <f>[17]EXPENSES.XNV!S206</f>
        <v>3762430.0999999996</v>
      </c>
      <c r="G211" s="339">
        <v>3636508.45</v>
      </c>
      <c r="I211" s="339">
        <f t="shared" si="12"/>
        <v>3762430.0999999996</v>
      </c>
      <c r="J211" s="339">
        <f>+I211-F211</f>
        <v>0</v>
      </c>
      <c r="K211" s="216">
        <f t="shared" si="10"/>
        <v>206</v>
      </c>
      <c r="N211" s="339">
        <v>3482508.06</v>
      </c>
      <c r="O211" s="1">
        <v>3544789.5900000008</v>
      </c>
    </row>
    <row r="212" spans="1:15">
      <c r="A212" s="149">
        <f t="shared" si="11"/>
        <v>712</v>
      </c>
      <c r="B212" s="137"/>
      <c r="C212" s="47"/>
      <c r="D212" s="47" t="s">
        <v>23</v>
      </c>
      <c r="E212" s="47"/>
      <c r="F212" s="339">
        <f>[17]EXPENSES.XNV!S207</f>
        <v>44958.710000000006</v>
      </c>
      <c r="G212" s="339">
        <v>45640.41</v>
      </c>
      <c r="I212" s="339">
        <f t="shared" si="12"/>
        <v>44958.710000000006</v>
      </c>
      <c r="J212" s="339">
        <f>+I212-F212</f>
        <v>0</v>
      </c>
      <c r="K212" s="216">
        <f t="shared" si="10"/>
        <v>207</v>
      </c>
      <c r="N212" s="339">
        <v>39600.600000000006</v>
      </c>
      <c r="O212" s="1">
        <v>41070.51</v>
      </c>
    </row>
    <row r="213" spans="1:15" ht="13.5" thickBot="1">
      <c r="A213" s="149">
        <f t="shared" si="11"/>
        <v>713</v>
      </c>
      <c r="B213" s="137"/>
      <c r="C213" s="47"/>
      <c r="D213" s="47" t="s">
        <v>145</v>
      </c>
      <c r="E213" s="47"/>
      <c r="F213" s="340">
        <f>SUM(F211:F212)</f>
        <v>3807388.8099999996</v>
      </c>
      <c r="G213" s="340">
        <v>3682148.8600000003</v>
      </c>
      <c r="I213" s="340">
        <f t="shared" si="12"/>
        <v>3807388.8099999996</v>
      </c>
      <c r="J213" s="340">
        <f>+I213-F213</f>
        <v>0</v>
      </c>
      <c r="K213" s="216">
        <f t="shared" si="10"/>
        <v>208</v>
      </c>
      <c r="N213" s="340">
        <v>3522108.66</v>
      </c>
      <c r="O213" s="1">
        <v>3585860.1000000006</v>
      </c>
    </row>
    <row r="214" spans="1:15" ht="13.5" thickTop="1">
      <c r="A214" s="149">
        <f t="shared" si="11"/>
        <v>714</v>
      </c>
      <c r="B214" s="137"/>
      <c r="C214" s="47"/>
      <c r="D214" s="47"/>
      <c r="E214" s="47"/>
      <c r="F214" s="339"/>
      <c r="G214" s="339"/>
      <c r="I214" s="339">
        <f t="shared" si="12"/>
        <v>0</v>
      </c>
      <c r="J214" s="339"/>
      <c r="K214" s="216">
        <f t="shared" si="10"/>
        <v>209</v>
      </c>
      <c r="N214" s="339"/>
      <c r="O214" s="1"/>
    </row>
    <row r="215" spans="1:15">
      <c r="A215" s="149">
        <f t="shared" si="11"/>
        <v>715</v>
      </c>
      <c r="B215" s="137">
        <v>889</v>
      </c>
      <c r="C215" s="47" t="s">
        <v>351</v>
      </c>
      <c r="D215" s="47"/>
      <c r="E215" s="47"/>
      <c r="F215" s="339"/>
      <c r="G215" s="339"/>
      <c r="I215" s="339">
        <f t="shared" si="12"/>
        <v>0</v>
      </c>
      <c r="J215" s="339"/>
      <c r="K215" s="216">
        <f t="shared" si="10"/>
        <v>210</v>
      </c>
      <c r="N215" s="339"/>
      <c r="O215" s="1"/>
    </row>
    <row r="216" spans="1:15">
      <c r="A216" s="149">
        <f t="shared" si="11"/>
        <v>716</v>
      </c>
      <c r="B216" s="137"/>
      <c r="C216" s="47"/>
      <c r="D216" s="47" t="s">
        <v>12</v>
      </c>
      <c r="E216" s="47"/>
      <c r="F216" s="339">
        <f>[17]EXPENSES.XNV!S211</f>
        <v>453506.27999999997</v>
      </c>
      <c r="G216" s="339">
        <v>354032.82999999996</v>
      </c>
      <c r="I216" s="339">
        <f t="shared" si="12"/>
        <v>453506.27999999997</v>
      </c>
      <c r="J216" s="339">
        <f>+I216-F216</f>
        <v>0</v>
      </c>
      <c r="K216" s="216">
        <f t="shared" si="10"/>
        <v>211</v>
      </c>
      <c r="N216" s="339">
        <v>68457.460000000006</v>
      </c>
      <c r="O216" s="1">
        <v>218023.37999999998</v>
      </c>
    </row>
    <row r="217" spans="1:15">
      <c r="A217" s="149">
        <f t="shared" si="11"/>
        <v>717</v>
      </c>
      <c r="B217" s="137"/>
      <c r="C217" s="47"/>
      <c r="D217" s="47" t="s">
        <v>23</v>
      </c>
      <c r="E217" s="47"/>
      <c r="F217" s="339">
        <f>[17]EXPENSES.XNV!S212</f>
        <v>14065.490000000002</v>
      </c>
      <c r="G217" s="339">
        <v>10982.960000000001</v>
      </c>
      <c r="I217" s="339">
        <f t="shared" si="12"/>
        <v>14065.490000000002</v>
      </c>
      <c r="J217" s="339">
        <f>+I217-F217</f>
        <v>0</v>
      </c>
      <c r="K217" s="216">
        <f t="shared" si="10"/>
        <v>212</v>
      </c>
      <c r="N217" s="339">
        <v>2177.5399999999995</v>
      </c>
      <c r="O217" s="1">
        <v>6787.38</v>
      </c>
    </row>
    <row r="218" spans="1:15" ht="13.5" thickBot="1">
      <c r="A218" s="149">
        <f t="shared" si="11"/>
        <v>718</v>
      </c>
      <c r="B218" s="137"/>
      <c r="C218" s="47"/>
      <c r="D218" s="47" t="s">
        <v>145</v>
      </c>
      <c r="E218" s="47"/>
      <c r="F218" s="340">
        <f>SUM(F216:F217)</f>
        <v>467571.76999999996</v>
      </c>
      <c r="G218" s="340">
        <v>365015.79</v>
      </c>
      <c r="I218" s="340">
        <f t="shared" si="12"/>
        <v>467571.76999999996</v>
      </c>
      <c r="J218" s="340">
        <f>+I218-F218</f>
        <v>0</v>
      </c>
      <c r="K218" s="216">
        <f t="shared" si="10"/>
        <v>213</v>
      </c>
      <c r="N218" s="340">
        <v>70635</v>
      </c>
      <c r="O218" s="1">
        <v>224810.75999999998</v>
      </c>
    </row>
    <row r="219" spans="1:15" ht="13.5" thickTop="1">
      <c r="A219" s="149">
        <f t="shared" si="11"/>
        <v>719</v>
      </c>
      <c r="B219" s="137"/>
      <c r="C219" s="47"/>
      <c r="D219" s="47"/>
      <c r="E219" s="47"/>
      <c r="F219" s="339"/>
      <c r="G219" s="339"/>
      <c r="I219" s="339">
        <f t="shared" si="12"/>
        <v>0</v>
      </c>
      <c r="J219" s="339"/>
      <c r="K219" s="216">
        <f t="shared" si="10"/>
        <v>214</v>
      </c>
      <c r="N219" s="339"/>
      <c r="O219" s="1"/>
    </row>
    <row r="220" spans="1:15">
      <c r="A220" s="149">
        <f t="shared" si="11"/>
        <v>720</v>
      </c>
      <c r="B220" s="137">
        <v>892</v>
      </c>
      <c r="C220" s="47" t="s">
        <v>352</v>
      </c>
      <c r="D220" s="47"/>
      <c r="E220" s="47"/>
      <c r="F220" s="339"/>
      <c r="G220" s="339"/>
      <c r="I220" s="339">
        <f t="shared" si="12"/>
        <v>0</v>
      </c>
      <c r="J220" s="339"/>
      <c r="K220" s="216">
        <f t="shared" si="10"/>
        <v>215</v>
      </c>
      <c r="N220" s="339"/>
      <c r="O220" s="1"/>
    </row>
    <row r="221" spans="1:15">
      <c r="A221" s="149">
        <f t="shared" si="11"/>
        <v>721</v>
      </c>
      <c r="B221" s="137"/>
      <c r="C221" s="47"/>
      <c r="D221" s="47" t="s">
        <v>12</v>
      </c>
      <c r="E221" s="47"/>
      <c r="F221" s="339">
        <f>[17]EXPENSES.XNV!S216</f>
        <v>1079269.8900000001</v>
      </c>
      <c r="G221" s="339">
        <v>989679.94000000029</v>
      </c>
      <c r="I221" s="339">
        <f t="shared" si="12"/>
        <v>1079269.8900000001</v>
      </c>
      <c r="J221" s="339">
        <f>+I221-F221</f>
        <v>0</v>
      </c>
      <c r="K221" s="216">
        <f t="shared" si="10"/>
        <v>216</v>
      </c>
      <c r="N221" s="339">
        <v>916775.53999999992</v>
      </c>
      <c r="O221" s="1">
        <v>929073.69000000006</v>
      </c>
    </row>
    <row r="222" spans="1:15">
      <c r="A222" s="149">
        <f t="shared" si="11"/>
        <v>722</v>
      </c>
      <c r="B222" s="137"/>
      <c r="C222" s="47"/>
      <c r="D222" s="47" t="s">
        <v>23</v>
      </c>
      <c r="E222" s="47"/>
      <c r="F222" s="339">
        <f>[17]EXPENSES.XNV!S217</f>
        <v>46593.689999999995</v>
      </c>
      <c r="G222" s="339">
        <v>45694.80000000001</v>
      </c>
      <c r="I222" s="339">
        <f t="shared" si="12"/>
        <v>46593.689999999995</v>
      </c>
      <c r="J222" s="339">
        <f>+I222-F222</f>
        <v>0</v>
      </c>
      <c r="K222" s="216">
        <f t="shared" si="10"/>
        <v>217</v>
      </c>
      <c r="N222" s="339">
        <v>44012.54</v>
      </c>
      <c r="O222" s="1">
        <v>48252.04</v>
      </c>
    </row>
    <row r="223" spans="1:15" ht="13.5" thickBot="1">
      <c r="A223" s="149">
        <f t="shared" si="11"/>
        <v>723</v>
      </c>
      <c r="B223" s="137"/>
      <c r="C223" s="47"/>
      <c r="D223" s="47" t="s">
        <v>145</v>
      </c>
      <c r="E223" s="47"/>
      <c r="F223" s="340">
        <f>SUM(F221:F222)</f>
        <v>1125863.58</v>
      </c>
      <c r="G223" s="340">
        <v>1035374.7400000003</v>
      </c>
      <c r="I223" s="340">
        <f t="shared" si="12"/>
        <v>1125863.58</v>
      </c>
      <c r="J223" s="340">
        <f>+I223-F223</f>
        <v>0</v>
      </c>
      <c r="K223" s="216">
        <f t="shared" si="10"/>
        <v>218</v>
      </c>
      <c r="N223" s="340">
        <v>960788.08</v>
      </c>
      <c r="O223" s="1">
        <v>977325.72999999986</v>
      </c>
    </row>
    <row r="224" spans="1:15" ht="13.5" thickTop="1">
      <c r="A224" s="149">
        <f t="shared" si="11"/>
        <v>724</v>
      </c>
      <c r="B224" s="137"/>
      <c r="C224" s="47"/>
      <c r="D224" s="47"/>
      <c r="E224" s="47"/>
      <c r="F224" s="339"/>
      <c r="G224" s="339"/>
      <c r="I224" s="339">
        <f t="shared" si="12"/>
        <v>0</v>
      </c>
      <c r="J224" s="339"/>
      <c r="K224" s="216">
        <f t="shared" si="10"/>
        <v>219</v>
      </c>
      <c r="N224" s="339"/>
      <c r="O224" s="1"/>
    </row>
    <row r="225" spans="1:15">
      <c r="A225" s="149">
        <f t="shared" si="11"/>
        <v>725</v>
      </c>
      <c r="B225" s="137">
        <v>893</v>
      </c>
      <c r="C225" s="47" t="s">
        <v>353</v>
      </c>
      <c r="D225" s="47"/>
      <c r="E225" s="47"/>
      <c r="F225" s="339"/>
      <c r="G225" s="339"/>
      <c r="I225" s="339">
        <f t="shared" si="12"/>
        <v>0</v>
      </c>
      <c r="J225" s="339"/>
      <c r="K225" s="216">
        <f t="shared" si="10"/>
        <v>220</v>
      </c>
      <c r="N225" s="339"/>
      <c r="O225" s="1"/>
    </row>
    <row r="226" spans="1:15">
      <c r="A226" s="149">
        <f t="shared" si="11"/>
        <v>726</v>
      </c>
      <c r="B226" s="137"/>
      <c r="C226" s="47"/>
      <c r="D226" s="47" t="s">
        <v>12</v>
      </c>
      <c r="E226" s="47"/>
      <c r="F226" s="339">
        <f>[17]EXPENSES.XNV!S221</f>
        <v>1039382.45</v>
      </c>
      <c r="G226" s="339">
        <v>943108.27</v>
      </c>
      <c r="I226" s="339">
        <f t="shared" si="12"/>
        <v>1039382.45</v>
      </c>
      <c r="J226" s="339">
        <f>+I226-F226</f>
        <v>0</v>
      </c>
      <c r="K226" s="216">
        <f t="shared" si="10"/>
        <v>221</v>
      </c>
      <c r="N226" s="339">
        <v>596443.01</v>
      </c>
      <c r="O226" s="1">
        <v>832899.99</v>
      </c>
    </row>
    <row r="227" spans="1:15">
      <c r="A227" s="149">
        <f t="shared" si="11"/>
        <v>727</v>
      </c>
      <c r="B227" s="137"/>
      <c r="C227" s="47"/>
      <c r="D227" s="47" t="s">
        <v>23</v>
      </c>
      <c r="E227" s="47"/>
      <c r="F227" s="339">
        <f>[17]EXPENSES.XNV!S222</f>
        <v>151712.27000000002</v>
      </c>
      <c r="G227" s="339">
        <v>141886.47</v>
      </c>
      <c r="I227" s="339">
        <f t="shared" si="12"/>
        <v>151712.27000000002</v>
      </c>
      <c r="J227" s="339">
        <f>+I227-F227</f>
        <v>0</v>
      </c>
      <c r="K227" s="216">
        <f t="shared" si="10"/>
        <v>222</v>
      </c>
      <c r="N227" s="339">
        <v>146245.21999999997</v>
      </c>
      <c r="O227" s="1">
        <v>190594.89</v>
      </c>
    </row>
    <row r="228" spans="1:15" ht="13.5" thickBot="1">
      <c r="A228" s="149">
        <f t="shared" si="11"/>
        <v>728</v>
      </c>
      <c r="B228" s="137"/>
      <c r="C228" s="47"/>
      <c r="D228" s="47" t="s">
        <v>145</v>
      </c>
      <c r="E228" s="47"/>
      <c r="F228" s="340">
        <f>SUM(F226:F227)</f>
        <v>1191094.72</v>
      </c>
      <c r="G228" s="340">
        <v>1084994.74</v>
      </c>
      <c r="I228" s="340">
        <f t="shared" si="12"/>
        <v>1191094.72</v>
      </c>
      <c r="J228" s="340">
        <f>+I228-F228</f>
        <v>0</v>
      </c>
      <c r="K228" s="216">
        <f t="shared" si="10"/>
        <v>223</v>
      </c>
      <c r="N228" s="340">
        <v>742688.23</v>
      </c>
      <c r="O228" s="1">
        <v>1023494.8800000001</v>
      </c>
    </row>
    <row r="229" spans="1:15" ht="13.5" thickTop="1">
      <c r="A229" s="149">
        <f t="shared" si="11"/>
        <v>729</v>
      </c>
      <c r="B229" s="137"/>
      <c r="C229" s="47"/>
      <c r="D229" s="47"/>
      <c r="E229" s="47"/>
      <c r="F229" s="339"/>
      <c r="G229" s="339"/>
      <c r="I229" s="339">
        <f t="shared" si="12"/>
        <v>0</v>
      </c>
      <c r="J229" s="339"/>
      <c r="K229" s="216">
        <f t="shared" si="10"/>
        <v>224</v>
      </c>
      <c r="N229" s="339"/>
      <c r="O229" s="1"/>
    </row>
    <row r="230" spans="1:15">
      <c r="A230" s="149">
        <f t="shared" si="11"/>
        <v>730</v>
      </c>
      <c r="B230" s="137">
        <v>8941</v>
      </c>
      <c r="C230" s="47" t="s">
        <v>355</v>
      </c>
      <c r="D230" s="47"/>
      <c r="E230" s="47"/>
      <c r="F230" s="339"/>
      <c r="G230" s="339"/>
      <c r="I230" s="339">
        <f t="shared" si="12"/>
        <v>0</v>
      </c>
      <c r="J230" s="339"/>
      <c r="K230" s="216">
        <f t="shared" si="10"/>
        <v>225</v>
      </c>
      <c r="N230" s="339"/>
      <c r="O230" s="1"/>
    </row>
    <row r="231" spans="1:15">
      <c r="A231" s="149">
        <f t="shared" si="11"/>
        <v>731</v>
      </c>
      <c r="B231" s="137"/>
      <c r="C231" s="47"/>
      <c r="D231" s="47" t="s">
        <v>12</v>
      </c>
      <c r="E231" s="47"/>
      <c r="F231" s="339">
        <f>[17]EXPENSES.XNV!S226</f>
        <v>0</v>
      </c>
      <c r="G231" s="339">
        <v>0</v>
      </c>
      <c r="I231" s="339">
        <f t="shared" si="12"/>
        <v>0</v>
      </c>
      <c r="J231" s="339">
        <f>+I231-F231</f>
        <v>0</v>
      </c>
      <c r="K231" s="216">
        <f t="shared" si="10"/>
        <v>226</v>
      </c>
      <c r="N231" s="339">
        <v>0</v>
      </c>
      <c r="O231" s="1">
        <v>0</v>
      </c>
    </row>
    <row r="232" spans="1:15">
      <c r="A232" s="149">
        <f t="shared" si="11"/>
        <v>732</v>
      </c>
      <c r="B232" s="137"/>
      <c r="C232" s="47"/>
      <c r="D232" s="47" t="s">
        <v>23</v>
      </c>
      <c r="E232" s="47"/>
      <c r="F232" s="339">
        <f>[17]EXPENSES.XNV!S227</f>
        <v>0</v>
      </c>
      <c r="G232" s="339">
        <v>0</v>
      </c>
      <c r="I232" s="339">
        <f t="shared" si="12"/>
        <v>0</v>
      </c>
      <c r="J232" s="339">
        <f>+I232-F232</f>
        <v>0</v>
      </c>
      <c r="K232" s="216">
        <f t="shared" si="10"/>
        <v>227</v>
      </c>
      <c r="N232" s="339">
        <v>0</v>
      </c>
      <c r="O232" s="1">
        <v>0</v>
      </c>
    </row>
    <row r="233" spans="1:15" ht="13.5" thickBot="1">
      <c r="A233" s="149">
        <f t="shared" si="11"/>
        <v>733</v>
      </c>
      <c r="B233" s="137"/>
      <c r="C233" s="47"/>
      <c r="D233" s="47" t="s">
        <v>145</v>
      </c>
      <c r="E233" s="47"/>
      <c r="F233" s="340">
        <f>SUM(F231:F232)</f>
        <v>0</v>
      </c>
      <c r="G233" s="340">
        <v>0</v>
      </c>
      <c r="I233" s="340">
        <f t="shared" si="12"/>
        <v>0</v>
      </c>
      <c r="J233" s="340">
        <f>+I233-F233</f>
        <v>0</v>
      </c>
      <c r="K233" s="216">
        <f t="shared" si="10"/>
        <v>228</v>
      </c>
      <c r="N233" s="340">
        <v>0</v>
      </c>
      <c r="O233" s="1">
        <v>0</v>
      </c>
    </row>
    <row r="234" spans="1:15" ht="13.5" thickTop="1">
      <c r="A234" s="149">
        <f t="shared" si="11"/>
        <v>734</v>
      </c>
      <c r="B234" s="137"/>
      <c r="C234" s="47"/>
      <c r="D234" s="47"/>
      <c r="E234" s="47"/>
      <c r="F234" s="339"/>
      <c r="G234" s="339"/>
      <c r="I234" s="339">
        <f t="shared" si="12"/>
        <v>0</v>
      </c>
      <c r="J234" s="339"/>
      <c r="K234" s="216">
        <f t="shared" si="10"/>
        <v>229</v>
      </c>
      <c r="N234" s="339"/>
      <c r="O234" s="1"/>
    </row>
    <row r="235" spans="1:15">
      <c r="A235" s="149">
        <f t="shared" si="11"/>
        <v>735</v>
      </c>
      <c r="B235" s="137">
        <v>8942</v>
      </c>
      <c r="C235" s="47" t="s">
        <v>357</v>
      </c>
      <c r="D235" s="47"/>
      <c r="E235" s="47"/>
      <c r="F235" s="339"/>
      <c r="G235" s="339"/>
      <c r="I235" s="339">
        <f t="shared" si="12"/>
        <v>0</v>
      </c>
      <c r="J235" s="339"/>
      <c r="K235" s="216">
        <f t="shared" si="10"/>
        <v>230</v>
      </c>
      <c r="N235" s="339"/>
      <c r="O235" s="1"/>
    </row>
    <row r="236" spans="1:15">
      <c r="A236" s="149">
        <f t="shared" si="11"/>
        <v>736</v>
      </c>
      <c r="B236" s="136"/>
      <c r="C236" s="47"/>
      <c r="D236" s="47" t="s">
        <v>12</v>
      </c>
      <c r="E236" s="47"/>
      <c r="F236" s="339">
        <f>[17]EXPENSES.XNV!S231</f>
        <v>0</v>
      </c>
      <c r="G236" s="339">
        <v>0</v>
      </c>
      <c r="I236" s="339">
        <f t="shared" si="12"/>
        <v>0</v>
      </c>
      <c r="J236" s="339">
        <f>+I236-F236</f>
        <v>0</v>
      </c>
      <c r="K236" s="216">
        <f t="shared" si="10"/>
        <v>231</v>
      </c>
      <c r="N236" s="339">
        <v>0</v>
      </c>
      <c r="O236" s="1">
        <v>0</v>
      </c>
    </row>
    <row r="237" spans="1:15">
      <c r="A237" s="149">
        <f t="shared" si="11"/>
        <v>737</v>
      </c>
      <c r="B237" s="136"/>
      <c r="C237" s="47"/>
      <c r="D237" s="47" t="s">
        <v>23</v>
      </c>
      <c r="E237" s="47"/>
      <c r="F237" s="339">
        <f>[17]EXPENSES.XNV!S232</f>
        <v>0</v>
      </c>
      <c r="G237" s="339">
        <v>0</v>
      </c>
      <c r="I237" s="339">
        <f t="shared" si="12"/>
        <v>0</v>
      </c>
      <c r="J237" s="339">
        <f>+I237-F237</f>
        <v>0</v>
      </c>
      <c r="K237" s="216">
        <f t="shared" si="10"/>
        <v>232</v>
      </c>
      <c r="N237" s="339">
        <v>0</v>
      </c>
      <c r="O237" s="1">
        <v>0</v>
      </c>
    </row>
    <row r="238" spans="1:15" ht="13.5" thickBot="1">
      <c r="A238" s="149">
        <f t="shared" si="11"/>
        <v>738</v>
      </c>
      <c r="B238" s="136"/>
      <c r="C238" s="47"/>
      <c r="D238" s="47" t="s">
        <v>145</v>
      </c>
      <c r="E238" s="47"/>
      <c r="F238" s="340">
        <f>SUM(F236:F237)</f>
        <v>0</v>
      </c>
      <c r="G238" s="340">
        <v>0</v>
      </c>
      <c r="I238" s="340">
        <f t="shared" si="12"/>
        <v>0</v>
      </c>
      <c r="J238" s="340">
        <f>+I238-F238</f>
        <v>0</v>
      </c>
      <c r="K238" s="216">
        <f t="shared" si="10"/>
        <v>233</v>
      </c>
      <c r="N238" s="340">
        <v>0</v>
      </c>
      <c r="O238" s="1">
        <v>0</v>
      </c>
    </row>
    <row r="239" spans="1:15" ht="13.5" thickTop="1">
      <c r="A239" s="149">
        <f t="shared" si="11"/>
        <v>739</v>
      </c>
      <c r="B239" s="136"/>
      <c r="C239" s="47"/>
      <c r="D239" s="47"/>
      <c r="E239" s="47"/>
      <c r="F239" s="339"/>
      <c r="G239" s="339"/>
      <c r="I239" s="339">
        <f t="shared" si="12"/>
        <v>0</v>
      </c>
      <c r="J239" s="339"/>
      <c r="K239" s="216">
        <f t="shared" si="10"/>
        <v>234</v>
      </c>
      <c r="N239" s="339"/>
      <c r="O239" s="1"/>
    </row>
    <row r="240" spans="1:15">
      <c r="A240" s="149">
        <f t="shared" si="11"/>
        <v>740</v>
      </c>
      <c r="B240" s="116" t="s">
        <v>514</v>
      </c>
      <c r="C240" s="47"/>
      <c r="D240" s="47"/>
      <c r="E240" s="47"/>
      <c r="F240" s="339"/>
      <c r="G240" s="339"/>
      <c r="I240" s="339">
        <f t="shared" si="12"/>
        <v>0</v>
      </c>
      <c r="J240" s="339"/>
      <c r="K240" s="216">
        <f t="shared" si="10"/>
        <v>235</v>
      </c>
      <c r="N240" s="339"/>
      <c r="O240" s="1"/>
    </row>
    <row r="241" spans="1:15">
      <c r="A241" s="149">
        <f t="shared" si="11"/>
        <v>741</v>
      </c>
      <c r="B241" s="136"/>
      <c r="C241" s="47" t="s">
        <v>512</v>
      </c>
      <c r="D241" s="47"/>
      <c r="E241" s="47"/>
      <c r="F241" s="339">
        <f>F146+F151+F156+F161+F166+F171+F176+F181+F186+F191+F196+F201+F206+F211+F216+F221+F226+F231+F236</f>
        <v>78583114.900000006</v>
      </c>
      <c r="G241" s="339">
        <v>71748634.719999984</v>
      </c>
      <c r="I241" s="339">
        <f t="shared" si="12"/>
        <v>78583114.900000006</v>
      </c>
      <c r="J241" s="339">
        <f>+I241-F241</f>
        <v>0</v>
      </c>
      <c r="K241" s="216">
        <f t="shared" si="10"/>
        <v>236</v>
      </c>
      <c r="N241" s="339">
        <f>N146+N151+N156+N161+N166+N171+N176+N181+N186+N191+N196+N201+N206+N211+N216+N221+N226+N231+N236</f>
        <v>65330336.530000001</v>
      </c>
      <c r="O241" s="1"/>
    </row>
    <row r="242" spans="1:15">
      <c r="A242" s="149">
        <f t="shared" si="11"/>
        <v>742</v>
      </c>
      <c r="B242" s="136"/>
      <c r="C242" s="47" t="s">
        <v>513</v>
      </c>
      <c r="D242" s="47"/>
      <c r="E242" s="47"/>
      <c r="F242" s="339">
        <f>F147+F152+F157+F162+F167+F172+F177+F182+F187+F192+F197+F202+F207+F212+F217+F222+F227+F232+F237</f>
        <v>3232213.07</v>
      </c>
      <c r="G242" s="339">
        <v>3092802.3</v>
      </c>
      <c r="I242" s="339">
        <f t="shared" si="12"/>
        <v>3232213.07</v>
      </c>
      <c r="J242" s="339">
        <f>+I242-F242</f>
        <v>0</v>
      </c>
      <c r="K242" s="216">
        <f t="shared" si="10"/>
        <v>237</v>
      </c>
      <c r="N242" s="339">
        <f>N147+N152+N157+N162+N167+N172+N177+N182+N187+N192+N197+N202+N207+N212+N217+N222+N227+N232+N237</f>
        <v>2777136.6700000009</v>
      </c>
      <c r="O242" s="1"/>
    </row>
    <row r="243" spans="1:15" ht="13.5" thickBot="1">
      <c r="A243" s="149">
        <f t="shared" si="11"/>
        <v>743</v>
      </c>
      <c r="B243" s="136"/>
      <c r="C243" s="47"/>
      <c r="D243" s="47"/>
      <c r="E243" s="47"/>
      <c r="F243" s="342"/>
      <c r="G243" s="342"/>
      <c r="I243" s="342">
        <f t="shared" si="12"/>
        <v>0</v>
      </c>
      <c r="J243" s="342"/>
      <c r="K243" s="216">
        <f t="shared" si="10"/>
        <v>238</v>
      </c>
      <c r="N243" s="342"/>
    </row>
    <row r="244" spans="1:15">
      <c r="A244" s="149">
        <f t="shared" si="11"/>
        <v>744</v>
      </c>
      <c r="B244" s="136"/>
      <c r="C244" s="141" t="s">
        <v>514</v>
      </c>
      <c r="D244" s="47"/>
      <c r="E244" s="47"/>
      <c r="F244" s="339">
        <f>SUM(F241:F242)</f>
        <v>81815327.969999999</v>
      </c>
      <c r="G244" s="339">
        <v>74841437.019999981</v>
      </c>
      <c r="I244" s="339">
        <f t="shared" si="12"/>
        <v>81815327.969999999</v>
      </c>
      <c r="J244" s="339">
        <f>+I244-F244</f>
        <v>0</v>
      </c>
      <c r="K244" s="216">
        <f t="shared" si="10"/>
        <v>239</v>
      </c>
      <c r="N244" s="339">
        <f>SUM(N241:N242)</f>
        <v>68107473.200000003</v>
      </c>
    </row>
    <row r="245" spans="1:15">
      <c r="A245" s="149">
        <f t="shared" si="11"/>
        <v>745</v>
      </c>
      <c r="B245" s="136"/>
      <c r="C245" s="47"/>
      <c r="D245" s="47"/>
      <c r="E245" s="47"/>
      <c r="F245" s="339"/>
      <c r="G245" s="339"/>
      <c r="I245" s="339">
        <f t="shared" si="12"/>
        <v>0</v>
      </c>
      <c r="J245" s="339"/>
      <c r="K245" s="216">
        <f t="shared" si="10"/>
        <v>240</v>
      </c>
      <c r="N245" s="339"/>
    </row>
    <row r="246" spans="1:15">
      <c r="A246" s="149">
        <f t="shared" si="11"/>
        <v>746</v>
      </c>
      <c r="B246" s="116" t="s">
        <v>358</v>
      </c>
      <c r="C246" s="47"/>
      <c r="D246" s="47"/>
      <c r="E246" s="47"/>
      <c r="F246" s="339"/>
      <c r="G246" s="339"/>
      <c r="I246" s="339">
        <f t="shared" si="12"/>
        <v>0</v>
      </c>
      <c r="J246" s="339"/>
      <c r="K246" s="216">
        <f t="shared" si="10"/>
        <v>241</v>
      </c>
      <c r="N246" s="339"/>
    </row>
    <row r="247" spans="1:15">
      <c r="A247" s="149">
        <f t="shared" si="11"/>
        <v>747</v>
      </c>
      <c r="B247" s="136"/>
      <c r="C247" s="47"/>
      <c r="D247" s="47"/>
      <c r="E247" s="47"/>
      <c r="F247" s="339"/>
      <c r="G247" s="339"/>
      <c r="I247" s="339">
        <f t="shared" si="12"/>
        <v>0</v>
      </c>
      <c r="J247" s="339"/>
      <c r="K247" s="216">
        <f t="shared" si="10"/>
        <v>242</v>
      </c>
      <c r="N247" s="339"/>
    </row>
    <row r="248" spans="1:15">
      <c r="A248" s="149">
        <f t="shared" si="11"/>
        <v>748</v>
      </c>
      <c r="B248" s="137">
        <v>901</v>
      </c>
      <c r="C248" s="47" t="s">
        <v>359</v>
      </c>
      <c r="D248" s="47"/>
      <c r="E248" s="47"/>
      <c r="F248" s="339"/>
      <c r="G248" s="339"/>
      <c r="I248" s="339">
        <f t="shared" si="12"/>
        <v>0</v>
      </c>
      <c r="J248" s="339"/>
      <c r="K248" s="216">
        <f t="shared" si="10"/>
        <v>243</v>
      </c>
      <c r="N248" s="339"/>
    </row>
    <row r="249" spans="1:15">
      <c r="A249" s="149">
        <f t="shared" si="11"/>
        <v>749</v>
      </c>
      <c r="B249" s="137"/>
      <c r="C249" s="47"/>
      <c r="D249" s="47" t="s">
        <v>12</v>
      </c>
      <c r="E249" s="47"/>
      <c r="F249" s="339">
        <f>[17]EXPENSES.XNV!S244</f>
        <v>729427.38</v>
      </c>
      <c r="G249" s="339">
        <v>663055.30999999994</v>
      </c>
      <c r="I249" s="339">
        <f t="shared" si="12"/>
        <v>729427.38</v>
      </c>
      <c r="J249" s="339">
        <f>+I249-F249</f>
        <v>0</v>
      </c>
      <c r="K249" s="216">
        <f t="shared" si="10"/>
        <v>244</v>
      </c>
      <c r="N249" s="339">
        <v>951849.53</v>
      </c>
      <c r="O249" s="1">
        <v>698856.48</v>
      </c>
    </row>
    <row r="250" spans="1:15">
      <c r="A250" s="149">
        <f t="shared" si="11"/>
        <v>750</v>
      </c>
      <c r="B250" s="137"/>
      <c r="C250" s="47"/>
      <c r="D250" s="47" t="s">
        <v>23</v>
      </c>
      <c r="E250" s="47"/>
      <c r="F250" s="339">
        <f>[17]EXPENSES.XNV!S245</f>
        <v>20445.199999999997</v>
      </c>
      <c r="G250" s="339">
        <v>18595.04</v>
      </c>
      <c r="I250" s="339">
        <f t="shared" si="12"/>
        <v>20445.199999999997</v>
      </c>
      <c r="J250" s="339">
        <f>+I250-F250</f>
        <v>0</v>
      </c>
      <c r="K250" s="216">
        <f t="shared" si="10"/>
        <v>245</v>
      </c>
      <c r="N250" s="339">
        <v>26310.010000000002</v>
      </c>
      <c r="O250" s="1">
        <v>19929.910000000003</v>
      </c>
    </row>
    <row r="251" spans="1:15" ht="13.5" thickBot="1">
      <c r="A251" s="149">
        <f t="shared" si="11"/>
        <v>751</v>
      </c>
      <c r="B251" s="137"/>
      <c r="C251" s="47"/>
      <c r="D251" s="47" t="s">
        <v>145</v>
      </c>
      <c r="E251" s="47"/>
      <c r="F251" s="340">
        <f>SUM(F249:F250)</f>
        <v>749872.58</v>
      </c>
      <c r="G251" s="340">
        <v>681650.35</v>
      </c>
      <c r="I251" s="340">
        <f t="shared" si="12"/>
        <v>749872.58</v>
      </c>
      <c r="J251" s="340">
        <f>+I251-F251</f>
        <v>0</v>
      </c>
      <c r="K251" s="216">
        <f t="shared" si="10"/>
        <v>246</v>
      </c>
      <c r="N251" s="340">
        <v>978159.54</v>
      </c>
      <c r="O251" s="1">
        <v>718786.39</v>
      </c>
    </row>
    <row r="252" spans="1:15" ht="13.5" thickTop="1">
      <c r="A252" s="149">
        <f t="shared" si="11"/>
        <v>752</v>
      </c>
      <c r="B252" s="137"/>
      <c r="C252" s="47"/>
      <c r="D252" s="47"/>
      <c r="E252" s="47"/>
      <c r="F252" s="339"/>
      <c r="G252" s="339"/>
      <c r="I252" s="339">
        <f t="shared" si="12"/>
        <v>0</v>
      </c>
      <c r="J252" s="339"/>
      <c r="K252" s="216">
        <f t="shared" si="10"/>
        <v>247</v>
      </c>
      <c r="N252" s="339"/>
      <c r="O252" s="1"/>
    </row>
    <row r="253" spans="1:15">
      <c r="A253" s="149">
        <f t="shared" si="11"/>
        <v>753</v>
      </c>
      <c r="B253" s="137">
        <v>902</v>
      </c>
      <c r="C253" s="47" t="s">
        <v>360</v>
      </c>
      <c r="D253" s="47"/>
      <c r="E253" s="47"/>
      <c r="F253" s="339"/>
      <c r="G253" s="339"/>
      <c r="I253" s="339">
        <f t="shared" si="12"/>
        <v>0</v>
      </c>
      <c r="J253" s="339"/>
      <c r="K253" s="216">
        <f t="shared" si="10"/>
        <v>248</v>
      </c>
      <c r="N253" s="339"/>
      <c r="O253" s="1"/>
    </row>
    <row r="254" spans="1:15">
      <c r="A254" s="149">
        <f t="shared" si="11"/>
        <v>754</v>
      </c>
      <c r="B254" s="137"/>
      <c r="C254" s="47"/>
      <c r="D254" s="47" t="s">
        <v>12</v>
      </c>
      <c r="E254" s="47"/>
      <c r="F254" s="339">
        <f>[17]EXPENSES.XNV!S249</f>
        <v>1399332.5599999998</v>
      </c>
      <c r="G254" s="339">
        <v>1316999.42</v>
      </c>
      <c r="I254" s="339">
        <f t="shared" si="12"/>
        <v>1399332.5599999998</v>
      </c>
      <c r="J254" s="339">
        <f>+I254-F254</f>
        <v>0</v>
      </c>
      <c r="K254" s="216">
        <f t="shared" si="10"/>
        <v>249</v>
      </c>
      <c r="N254" s="339">
        <v>1137125.79</v>
      </c>
      <c r="O254" s="1">
        <v>1221221.1599999999</v>
      </c>
    </row>
    <row r="255" spans="1:15">
      <c r="A255" s="149">
        <f t="shared" si="11"/>
        <v>755</v>
      </c>
      <c r="B255" s="137"/>
      <c r="C255" s="47"/>
      <c r="D255" s="47" t="s">
        <v>23</v>
      </c>
      <c r="E255" s="47"/>
      <c r="F255" s="339">
        <f>[17]EXPENSES.XNV!S250</f>
        <v>42978.89</v>
      </c>
      <c r="G255" s="339">
        <v>40733.56</v>
      </c>
      <c r="I255" s="339">
        <f t="shared" si="12"/>
        <v>42978.89</v>
      </c>
      <c r="J255" s="339">
        <f>+I255-F255</f>
        <v>0</v>
      </c>
      <c r="K255" s="216">
        <f t="shared" si="10"/>
        <v>250</v>
      </c>
      <c r="N255" s="339">
        <v>36241.679999999993</v>
      </c>
      <c r="O255" s="1">
        <v>38623.170000000006</v>
      </c>
    </row>
    <row r="256" spans="1:15" ht="13.5" thickBot="1">
      <c r="A256" s="149">
        <f t="shared" si="11"/>
        <v>756</v>
      </c>
      <c r="B256" s="137"/>
      <c r="C256" s="47"/>
      <c r="D256" s="47" t="s">
        <v>145</v>
      </c>
      <c r="E256" s="47"/>
      <c r="F256" s="340">
        <f>SUM(F254:F255)</f>
        <v>1442311.4499999997</v>
      </c>
      <c r="G256" s="340">
        <v>1357732.98</v>
      </c>
      <c r="I256" s="340">
        <f t="shared" si="12"/>
        <v>1442311.4499999997</v>
      </c>
      <c r="J256" s="340">
        <f>+I256-F256</f>
        <v>0</v>
      </c>
      <c r="K256" s="216">
        <f t="shared" si="10"/>
        <v>251</v>
      </c>
      <c r="N256" s="340">
        <v>1173367.47</v>
      </c>
      <c r="O256" s="1">
        <v>1259844.33</v>
      </c>
    </row>
    <row r="257" spans="1:15" ht="13.5" thickTop="1">
      <c r="A257" s="149">
        <f t="shared" si="11"/>
        <v>757</v>
      </c>
      <c r="B257" s="137"/>
      <c r="C257" s="47"/>
      <c r="D257" s="47"/>
      <c r="E257" s="47"/>
      <c r="F257" s="339"/>
      <c r="G257" s="339"/>
      <c r="I257" s="339">
        <f t="shared" si="12"/>
        <v>0</v>
      </c>
      <c r="J257" s="339"/>
      <c r="K257" s="216">
        <f t="shared" si="10"/>
        <v>252</v>
      </c>
      <c r="N257" s="339"/>
      <c r="O257" s="1"/>
    </row>
    <row r="258" spans="1:15">
      <c r="A258" s="149">
        <f t="shared" si="11"/>
        <v>758</v>
      </c>
      <c r="B258" s="137">
        <v>9031</v>
      </c>
      <c r="C258" s="47" t="s">
        <v>361</v>
      </c>
      <c r="D258" s="47"/>
      <c r="E258" s="47"/>
      <c r="F258" s="339"/>
      <c r="G258" s="339"/>
      <c r="I258" s="339">
        <f t="shared" si="12"/>
        <v>0</v>
      </c>
      <c r="J258" s="339"/>
      <c r="K258" s="216">
        <f t="shared" si="10"/>
        <v>253</v>
      </c>
      <c r="N258" s="339"/>
      <c r="O258" s="1"/>
    </row>
    <row r="259" spans="1:15">
      <c r="A259" s="149">
        <f t="shared" si="11"/>
        <v>759</v>
      </c>
      <c r="B259" s="137"/>
      <c r="C259" s="47"/>
      <c r="D259" s="47" t="s">
        <v>12</v>
      </c>
      <c r="E259" s="47"/>
      <c r="F259" s="339">
        <f>[17]EXPENSES.XNV!S254</f>
        <v>8332028.21</v>
      </c>
      <c r="G259" s="339">
        <v>7772289.3399999989</v>
      </c>
      <c r="I259" s="339">
        <f t="shared" si="12"/>
        <v>8332028.21</v>
      </c>
      <c r="J259" s="339">
        <f>+I259-F259</f>
        <v>0</v>
      </c>
      <c r="K259" s="216">
        <f t="shared" si="10"/>
        <v>254</v>
      </c>
      <c r="N259" s="339">
        <v>8665342.8599999994</v>
      </c>
      <c r="O259" s="1">
        <v>7949229.5700000003</v>
      </c>
    </row>
    <row r="260" spans="1:15">
      <c r="A260" s="149">
        <f t="shared" si="11"/>
        <v>760</v>
      </c>
      <c r="B260" s="137"/>
      <c r="C260" s="47"/>
      <c r="D260" s="47" t="s">
        <v>23</v>
      </c>
      <c r="E260" s="47"/>
      <c r="F260" s="339">
        <f>[17]EXPENSES.XNV!S255</f>
        <v>233583.46</v>
      </c>
      <c r="G260" s="339">
        <v>218045.3</v>
      </c>
      <c r="I260" s="339">
        <f t="shared" si="12"/>
        <v>233583.46</v>
      </c>
      <c r="J260" s="339">
        <f>+I260-F260</f>
        <v>0</v>
      </c>
      <c r="K260" s="216">
        <f t="shared" si="10"/>
        <v>255</v>
      </c>
      <c r="N260" s="339">
        <v>243857.5</v>
      </c>
      <c r="O260" s="1">
        <v>223499.27000000002</v>
      </c>
    </row>
    <row r="261" spans="1:15" ht="13.5" thickBot="1">
      <c r="A261" s="149">
        <f t="shared" si="11"/>
        <v>761</v>
      </c>
      <c r="B261" s="137"/>
      <c r="C261" s="47"/>
      <c r="D261" s="47" t="s">
        <v>145</v>
      </c>
      <c r="E261" s="47"/>
      <c r="F261" s="340">
        <f>SUM(F259:F260)</f>
        <v>8565611.6699999999</v>
      </c>
      <c r="G261" s="340">
        <v>7990334.6399999987</v>
      </c>
      <c r="I261" s="340">
        <f t="shared" si="12"/>
        <v>8565611.6699999999</v>
      </c>
      <c r="J261" s="340">
        <f>+I261-F261</f>
        <v>0</v>
      </c>
      <c r="K261" s="216">
        <f t="shared" si="10"/>
        <v>256</v>
      </c>
      <c r="N261" s="340">
        <v>8909200.3599999994</v>
      </c>
      <c r="O261" s="1">
        <v>8172728.8400000008</v>
      </c>
    </row>
    <row r="262" spans="1:15" ht="13.5" thickTop="1">
      <c r="A262" s="149">
        <f t="shared" si="11"/>
        <v>762</v>
      </c>
      <c r="B262" s="137"/>
      <c r="C262" s="47"/>
      <c r="D262" s="47"/>
      <c r="E262" s="47"/>
      <c r="F262" s="339"/>
      <c r="G262" s="339"/>
      <c r="I262" s="339">
        <f t="shared" si="12"/>
        <v>0</v>
      </c>
      <c r="J262" s="339"/>
      <c r="K262" s="216">
        <f t="shared" si="10"/>
        <v>257</v>
      </c>
      <c r="N262" s="339"/>
      <c r="O262" s="1"/>
    </row>
    <row r="263" spans="1:15">
      <c r="A263" s="149">
        <f t="shared" si="11"/>
        <v>763</v>
      </c>
      <c r="B263" s="137">
        <v>9032</v>
      </c>
      <c r="C263" s="47" t="s">
        <v>362</v>
      </c>
      <c r="D263" s="47"/>
      <c r="E263" s="47"/>
      <c r="F263" s="339"/>
      <c r="G263" s="339"/>
      <c r="I263" s="339">
        <f t="shared" si="12"/>
        <v>0</v>
      </c>
      <c r="J263" s="339"/>
      <c r="K263" s="216">
        <f t="shared" si="10"/>
        <v>258</v>
      </c>
      <c r="N263" s="339"/>
      <c r="O263" s="1"/>
    </row>
    <row r="264" spans="1:15">
      <c r="A264" s="149">
        <f t="shared" si="11"/>
        <v>764</v>
      </c>
      <c r="B264" s="137"/>
      <c r="C264" s="47"/>
      <c r="D264" s="47" t="s">
        <v>12</v>
      </c>
      <c r="E264" s="47"/>
      <c r="F264" s="339">
        <f>[17]EXPENSES.XNV!S259</f>
        <v>1027489.8400000001</v>
      </c>
      <c r="G264" s="339">
        <v>902120.89999999979</v>
      </c>
      <c r="I264" s="339">
        <f t="shared" si="12"/>
        <v>1027489.8400000001</v>
      </c>
      <c r="J264" s="339">
        <f>+I264-F264</f>
        <v>0</v>
      </c>
      <c r="K264" s="216">
        <f t="shared" ref="K264:K338" si="13">+K263+1</f>
        <v>259</v>
      </c>
      <c r="N264" s="339">
        <v>1021646.2900000002</v>
      </c>
      <c r="O264" s="1">
        <v>963848.60000000009</v>
      </c>
    </row>
    <row r="265" spans="1:15">
      <c r="A265" s="149">
        <f t="shared" si="11"/>
        <v>765</v>
      </c>
      <c r="B265" s="137"/>
      <c r="C265" s="47"/>
      <c r="D265" s="47" t="s">
        <v>23</v>
      </c>
      <c r="E265" s="47"/>
      <c r="F265" s="339">
        <f>[17]EXPENSES.XNV!S260</f>
        <v>36093.729999999996</v>
      </c>
      <c r="G265" s="339">
        <v>35054.39</v>
      </c>
      <c r="I265" s="339">
        <f t="shared" si="12"/>
        <v>36093.729999999996</v>
      </c>
      <c r="J265" s="339">
        <f>+I265-F265</f>
        <v>0</v>
      </c>
      <c r="K265" s="216">
        <f t="shared" si="13"/>
        <v>260</v>
      </c>
      <c r="N265" s="339">
        <v>41636.990000000005</v>
      </c>
      <c r="O265" s="1">
        <v>37456.14</v>
      </c>
    </row>
    <row r="266" spans="1:15" ht="13.5" thickBot="1">
      <c r="A266" s="149">
        <f t="shared" si="11"/>
        <v>766</v>
      </c>
      <c r="B266" s="137"/>
      <c r="C266" s="47"/>
      <c r="D266" s="47" t="s">
        <v>145</v>
      </c>
      <c r="E266" s="47"/>
      <c r="F266" s="340">
        <f>SUM(F264:F265)</f>
        <v>1063583.57</v>
      </c>
      <c r="G266" s="340">
        <v>937175.2899999998</v>
      </c>
      <c r="I266" s="340">
        <f t="shared" si="12"/>
        <v>1063583.57</v>
      </c>
      <c r="J266" s="340">
        <f>+I266-F266</f>
        <v>0</v>
      </c>
      <c r="K266" s="216">
        <f t="shared" si="13"/>
        <v>261</v>
      </c>
      <c r="N266" s="340">
        <v>1063283.2800000003</v>
      </c>
      <c r="O266" s="1">
        <v>1001304.7400000001</v>
      </c>
    </row>
    <row r="267" spans="1:15" ht="13.5" thickTop="1">
      <c r="A267" s="149">
        <f t="shared" si="11"/>
        <v>767</v>
      </c>
      <c r="B267" s="137"/>
      <c r="C267" s="47"/>
      <c r="D267" s="47"/>
      <c r="E267" s="47"/>
      <c r="F267" s="339"/>
      <c r="G267" s="339"/>
      <c r="I267" s="339">
        <f t="shared" si="12"/>
        <v>0</v>
      </c>
      <c r="J267" s="339"/>
      <c r="K267" s="216">
        <f t="shared" si="13"/>
        <v>262</v>
      </c>
      <c r="N267" s="339"/>
      <c r="O267" s="1"/>
    </row>
    <row r="268" spans="1:15">
      <c r="A268" s="149">
        <f t="shared" ref="A268:A342" si="14">+A267+1</f>
        <v>768</v>
      </c>
      <c r="B268" s="137">
        <v>9033</v>
      </c>
      <c r="C268" s="47" t="s">
        <v>363</v>
      </c>
      <c r="D268" s="47"/>
      <c r="E268" s="47"/>
      <c r="F268" s="339"/>
      <c r="G268" s="339"/>
      <c r="I268" s="339">
        <f t="shared" si="12"/>
        <v>0</v>
      </c>
      <c r="J268" s="339"/>
      <c r="K268" s="216">
        <f t="shared" si="13"/>
        <v>263</v>
      </c>
      <c r="N268" s="339"/>
      <c r="O268" s="1"/>
    </row>
    <row r="269" spans="1:15">
      <c r="A269" s="149">
        <f t="shared" si="14"/>
        <v>769</v>
      </c>
      <c r="B269" s="137"/>
      <c r="C269" s="47"/>
      <c r="D269" s="47" t="s">
        <v>12</v>
      </c>
      <c r="E269" s="47"/>
      <c r="F269" s="339">
        <f>[17]EXPENSES.XNV!S264</f>
        <v>0</v>
      </c>
      <c r="G269" s="339">
        <v>0</v>
      </c>
      <c r="I269" s="339">
        <f t="shared" si="12"/>
        <v>0</v>
      </c>
      <c r="J269" s="339">
        <f>+I269-F269</f>
        <v>0</v>
      </c>
      <c r="K269" s="216">
        <f t="shared" si="13"/>
        <v>264</v>
      </c>
      <c r="N269" s="339">
        <v>0</v>
      </c>
      <c r="O269" s="1">
        <v>0</v>
      </c>
    </row>
    <row r="270" spans="1:15">
      <c r="A270" s="149">
        <f t="shared" si="14"/>
        <v>770</v>
      </c>
      <c r="B270" s="137"/>
      <c r="C270" s="47"/>
      <c r="D270" s="47" t="s">
        <v>23</v>
      </c>
      <c r="E270" s="47"/>
      <c r="F270" s="339">
        <f>[17]EXPENSES.XNV!S265</f>
        <v>0</v>
      </c>
      <c r="G270" s="339">
        <v>0</v>
      </c>
      <c r="I270" s="339">
        <f t="shared" si="12"/>
        <v>0</v>
      </c>
      <c r="J270" s="339">
        <f>+I270-F270</f>
        <v>0</v>
      </c>
      <c r="K270" s="216">
        <f t="shared" si="13"/>
        <v>265</v>
      </c>
      <c r="N270" s="339">
        <v>0</v>
      </c>
      <c r="O270" s="1">
        <v>0</v>
      </c>
    </row>
    <row r="271" spans="1:15" ht="13.5" thickBot="1">
      <c r="A271" s="149">
        <f t="shared" si="14"/>
        <v>771</v>
      </c>
      <c r="B271" s="137"/>
      <c r="C271" s="47"/>
      <c r="D271" s="47" t="s">
        <v>145</v>
      </c>
      <c r="E271" s="47"/>
      <c r="F271" s="340">
        <f>SUM(F269:F270)</f>
        <v>0</v>
      </c>
      <c r="G271" s="340">
        <v>0</v>
      </c>
      <c r="I271" s="340">
        <f t="shared" si="12"/>
        <v>0</v>
      </c>
      <c r="J271" s="340">
        <f>+I271-F271</f>
        <v>0</v>
      </c>
      <c r="K271" s="216">
        <f t="shared" si="13"/>
        <v>266</v>
      </c>
      <c r="N271" s="340">
        <v>0</v>
      </c>
      <c r="O271" s="1">
        <v>0</v>
      </c>
    </row>
    <row r="272" spans="1:15" ht="13.5" thickTop="1">
      <c r="A272" s="149">
        <f t="shared" si="14"/>
        <v>772</v>
      </c>
      <c r="B272" s="137"/>
      <c r="C272" s="47"/>
      <c r="D272" s="47"/>
      <c r="E272" s="47"/>
      <c r="F272" s="339"/>
      <c r="G272" s="339"/>
      <c r="I272" s="339">
        <f t="shared" si="12"/>
        <v>0</v>
      </c>
      <c r="J272" s="339"/>
      <c r="K272" s="216">
        <f t="shared" si="13"/>
        <v>267</v>
      </c>
      <c r="N272" s="339"/>
      <c r="O272" s="1"/>
    </row>
    <row r="273" spans="1:15">
      <c r="A273" s="149">
        <f t="shared" si="14"/>
        <v>773</v>
      </c>
      <c r="B273" s="137" t="s">
        <v>0</v>
      </c>
      <c r="C273" s="47" t="s">
        <v>20</v>
      </c>
      <c r="D273" s="47"/>
      <c r="E273" s="47"/>
      <c r="F273" s="339"/>
      <c r="G273" s="339"/>
      <c r="I273" s="339">
        <f t="shared" ref="I273:I336" si="15">HLOOKUP($I$6,$F$6:$G$431,K273,FALSE)</f>
        <v>0</v>
      </c>
      <c r="J273" s="339"/>
      <c r="K273" s="216">
        <f t="shared" si="13"/>
        <v>268</v>
      </c>
      <c r="N273" s="339"/>
      <c r="O273" s="1"/>
    </row>
    <row r="274" spans="1:15">
      <c r="A274" s="149">
        <f t="shared" si="14"/>
        <v>774</v>
      </c>
      <c r="B274" s="137"/>
      <c r="C274" s="47"/>
      <c r="D274" s="47" t="s">
        <v>12</v>
      </c>
      <c r="E274" s="47"/>
      <c r="F274" s="339">
        <f>[17]EXPENSES.XNV!S269</f>
        <v>827138.16999999993</v>
      </c>
      <c r="G274" s="339">
        <v>724250.47000000009</v>
      </c>
      <c r="I274" s="339">
        <f t="shared" si="15"/>
        <v>827138.16999999993</v>
      </c>
      <c r="J274" s="339">
        <f>+I274-F274</f>
        <v>0</v>
      </c>
      <c r="K274" s="216">
        <f t="shared" si="13"/>
        <v>269</v>
      </c>
      <c r="N274" s="339">
        <v>-187115.51</v>
      </c>
      <c r="O274" s="1">
        <v>-797389.29999999981</v>
      </c>
    </row>
    <row r="275" spans="1:15">
      <c r="A275" s="149">
        <f t="shared" si="14"/>
        <v>775</v>
      </c>
      <c r="B275" s="137"/>
      <c r="C275" s="47"/>
      <c r="D275" s="47" t="s">
        <v>23</v>
      </c>
      <c r="E275" s="47"/>
      <c r="F275" s="339">
        <f>[17]EXPENSES.XNV!S270</f>
        <v>94438.35</v>
      </c>
      <c r="G275" s="339">
        <v>102326.5</v>
      </c>
      <c r="I275" s="339">
        <f t="shared" si="15"/>
        <v>94438.35</v>
      </c>
      <c r="J275" s="339">
        <f>+I275-F275</f>
        <v>0</v>
      </c>
      <c r="K275" s="216">
        <f t="shared" si="13"/>
        <v>270</v>
      </c>
      <c r="N275" s="339">
        <v>282258.02</v>
      </c>
      <c r="O275" s="1">
        <v>256723.55</v>
      </c>
    </row>
    <row r="276" spans="1:15" ht="13.5" thickBot="1">
      <c r="A276" s="149">
        <f t="shared" si="14"/>
        <v>776</v>
      </c>
      <c r="B276" s="137"/>
      <c r="C276" s="47"/>
      <c r="D276" s="47" t="s">
        <v>145</v>
      </c>
      <c r="E276" s="47"/>
      <c r="F276" s="340">
        <f>SUM(F274:F275)</f>
        <v>921576.5199999999</v>
      </c>
      <c r="G276" s="340">
        <v>826576.97000000009</v>
      </c>
      <c r="I276" s="340">
        <f t="shared" si="15"/>
        <v>921576.5199999999</v>
      </c>
      <c r="J276" s="340">
        <f>+I276-F276</f>
        <v>0</v>
      </c>
      <c r="K276" s="216">
        <f t="shared" si="13"/>
        <v>271</v>
      </c>
      <c r="N276" s="340">
        <v>95142.510000000009</v>
      </c>
      <c r="O276" s="1">
        <v>-540665.74999999977</v>
      </c>
    </row>
    <row r="277" spans="1:15" ht="13.5" thickTop="1">
      <c r="A277" s="149">
        <f t="shared" si="14"/>
        <v>777</v>
      </c>
      <c r="B277" s="137"/>
      <c r="C277" s="47"/>
      <c r="D277" s="47"/>
      <c r="E277" s="47"/>
      <c r="F277" s="339"/>
      <c r="G277" s="339"/>
      <c r="I277" s="339">
        <f t="shared" si="15"/>
        <v>0</v>
      </c>
      <c r="J277" s="339"/>
      <c r="K277" s="216">
        <f t="shared" si="13"/>
        <v>272</v>
      </c>
      <c r="N277" s="339"/>
      <c r="O277" s="1"/>
    </row>
    <row r="278" spans="1:15">
      <c r="A278" s="149">
        <f t="shared" si="14"/>
        <v>778</v>
      </c>
      <c r="B278" s="137" t="s">
        <v>1</v>
      </c>
      <c r="C278" s="47" t="s">
        <v>21</v>
      </c>
      <c r="D278" s="47"/>
      <c r="E278" s="47"/>
      <c r="F278" s="339"/>
      <c r="G278" s="339"/>
      <c r="I278" s="339">
        <f t="shared" si="15"/>
        <v>0</v>
      </c>
      <c r="J278" s="339"/>
      <c r="K278" s="216">
        <f t="shared" si="13"/>
        <v>273</v>
      </c>
      <c r="N278" s="339"/>
      <c r="O278" s="1"/>
    </row>
    <row r="279" spans="1:15">
      <c r="A279" s="149">
        <f t="shared" si="14"/>
        <v>779</v>
      </c>
      <c r="B279" s="137"/>
      <c r="C279" s="47"/>
      <c r="D279" s="47" t="s">
        <v>12</v>
      </c>
      <c r="E279" s="47"/>
      <c r="F279" s="339">
        <f>[17]EXPENSES.XNV!S274</f>
        <v>201407.35999999999</v>
      </c>
      <c r="G279" s="339">
        <v>188387.96999999997</v>
      </c>
      <c r="I279" s="339">
        <f t="shared" si="15"/>
        <v>201407.35999999999</v>
      </c>
      <c r="J279" s="339">
        <f>+I279-F279</f>
        <v>0</v>
      </c>
      <c r="K279" s="216">
        <f t="shared" si="13"/>
        <v>274</v>
      </c>
      <c r="N279" s="339">
        <v>-42696.509999999995</v>
      </c>
      <c r="O279" s="1">
        <v>-183808.22</v>
      </c>
    </row>
    <row r="280" spans="1:15">
      <c r="A280" s="149">
        <f t="shared" si="14"/>
        <v>780</v>
      </c>
      <c r="B280" s="137"/>
      <c r="C280" s="47"/>
      <c r="D280" s="47" t="s">
        <v>23</v>
      </c>
      <c r="E280" s="47"/>
      <c r="F280" s="339">
        <f>[17]EXPENSES.XNV!S275</f>
        <v>0</v>
      </c>
      <c r="G280" s="339">
        <v>0</v>
      </c>
      <c r="I280" s="339">
        <f t="shared" si="15"/>
        <v>0</v>
      </c>
      <c r="J280" s="339">
        <f>+I280-F280</f>
        <v>0</v>
      </c>
      <c r="K280" s="216">
        <f t="shared" si="13"/>
        <v>275</v>
      </c>
      <c r="N280" s="339">
        <v>0</v>
      </c>
      <c r="O280" s="1">
        <v>0</v>
      </c>
    </row>
    <row r="281" spans="1:15" ht="13.5" thickBot="1">
      <c r="A281" s="149">
        <f t="shared" si="14"/>
        <v>781</v>
      </c>
      <c r="B281" s="137"/>
      <c r="C281" s="47"/>
      <c r="D281" s="47" t="s">
        <v>145</v>
      </c>
      <c r="E281" s="47"/>
      <c r="F281" s="340">
        <f>SUM(F279:F280)</f>
        <v>201407.35999999999</v>
      </c>
      <c r="G281" s="340">
        <v>188387.96999999997</v>
      </c>
      <c r="I281" s="340">
        <f t="shared" si="15"/>
        <v>201407.35999999999</v>
      </c>
      <c r="J281" s="340">
        <f>+I281-F281</f>
        <v>0</v>
      </c>
      <c r="K281" s="216">
        <f t="shared" si="13"/>
        <v>276</v>
      </c>
      <c r="N281" s="340">
        <v>-42696.509999999995</v>
      </c>
      <c r="O281" s="1">
        <v>-183808.22</v>
      </c>
    </row>
    <row r="282" spans="1:15" ht="13.5" thickTop="1">
      <c r="A282" s="149">
        <f t="shared" si="14"/>
        <v>782</v>
      </c>
      <c r="B282" s="137"/>
      <c r="C282" s="47"/>
      <c r="D282" s="47"/>
      <c r="E282" s="47"/>
      <c r="F282" s="339"/>
      <c r="G282" s="339"/>
      <c r="I282" s="339">
        <f t="shared" si="15"/>
        <v>0</v>
      </c>
      <c r="J282" s="339"/>
      <c r="K282" s="216">
        <f t="shared" si="13"/>
        <v>277</v>
      </c>
      <c r="N282" s="339"/>
      <c r="O282" s="1"/>
    </row>
    <row r="283" spans="1:15">
      <c r="A283" s="149">
        <f t="shared" si="14"/>
        <v>783</v>
      </c>
      <c r="B283" s="137" t="s">
        <v>2</v>
      </c>
      <c r="C283" s="47" t="s">
        <v>22</v>
      </c>
      <c r="D283" s="47"/>
      <c r="E283" s="47"/>
      <c r="F283" s="339"/>
      <c r="G283" s="339"/>
      <c r="I283" s="339">
        <f t="shared" si="15"/>
        <v>0</v>
      </c>
      <c r="J283" s="339">
        <f>+I283-F283</f>
        <v>0</v>
      </c>
      <c r="K283" s="216">
        <f t="shared" si="13"/>
        <v>278</v>
      </c>
      <c r="N283" s="339"/>
      <c r="O283" s="1"/>
    </row>
    <row r="284" spans="1:15">
      <c r="A284" s="149">
        <f t="shared" si="14"/>
        <v>784</v>
      </c>
      <c r="B284" s="137"/>
      <c r="C284" s="47"/>
      <c r="D284" s="47" t="s">
        <v>12</v>
      </c>
      <c r="E284" s="47"/>
      <c r="F284" s="339">
        <f>[17]EXPENSES.XNV!S279</f>
        <v>1836475.2000000002</v>
      </c>
      <c r="G284" s="339">
        <v>1369185.2400000002</v>
      </c>
      <c r="I284" s="339">
        <f t="shared" si="15"/>
        <v>1836475.2000000002</v>
      </c>
      <c r="J284" s="339">
        <f>+I284-F284</f>
        <v>0</v>
      </c>
      <c r="K284" s="216">
        <f t="shared" si="13"/>
        <v>279</v>
      </c>
      <c r="N284" s="339">
        <v>-234070.33999999997</v>
      </c>
      <c r="O284" s="1">
        <v>-792454.12000000011</v>
      </c>
    </row>
    <row r="285" spans="1:15">
      <c r="A285" s="149">
        <f t="shared" si="14"/>
        <v>785</v>
      </c>
      <c r="B285" s="137"/>
      <c r="C285" s="47"/>
      <c r="D285" s="47" t="s">
        <v>23</v>
      </c>
      <c r="E285" s="47"/>
      <c r="F285" s="339">
        <f>[17]EXPENSES.XNV!S280</f>
        <v>0</v>
      </c>
      <c r="G285" s="339">
        <v>0</v>
      </c>
      <c r="I285" s="339">
        <f t="shared" si="15"/>
        <v>0</v>
      </c>
      <c r="J285" s="339">
        <f>+I285-F285</f>
        <v>0</v>
      </c>
      <c r="K285" s="216">
        <f t="shared" si="13"/>
        <v>280</v>
      </c>
      <c r="N285" s="339">
        <v>0</v>
      </c>
      <c r="O285" s="1">
        <v>0</v>
      </c>
    </row>
    <row r="286" spans="1:15" ht="13.5" thickBot="1">
      <c r="A286" s="149">
        <f t="shared" si="14"/>
        <v>786</v>
      </c>
      <c r="B286" s="137"/>
      <c r="C286" s="47"/>
      <c r="D286" s="47" t="s">
        <v>145</v>
      </c>
      <c r="E286" s="47"/>
      <c r="F286" s="340">
        <f>SUM(F284:F285)</f>
        <v>1836475.2000000002</v>
      </c>
      <c r="G286" s="340">
        <v>1369185.2400000002</v>
      </c>
      <c r="I286" s="340">
        <f t="shared" si="15"/>
        <v>1836475.2000000002</v>
      </c>
      <c r="J286" s="340">
        <f>+I286-F286</f>
        <v>0</v>
      </c>
      <c r="K286" s="216">
        <f t="shared" si="13"/>
        <v>281</v>
      </c>
      <c r="N286" s="340">
        <v>-234070.33999999997</v>
      </c>
      <c r="O286" s="1">
        <v>-792454.12000000011</v>
      </c>
    </row>
    <row r="287" spans="1:15" ht="13.5" thickTop="1">
      <c r="A287" s="149">
        <f t="shared" si="14"/>
        <v>787</v>
      </c>
      <c r="B287" s="137"/>
      <c r="C287" s="47"/>
      <c r="D287" s="47"/>
      <c r="E287" s="47"/>
      <c r="F287" s="339"/>
      <c r="G287" s="339"/>
      <c r="I287" s="339">
        <f t="shared" si="15"/>
        <v>0</v>
      </c>
      <c r="J287" s="339"/>
      <c r="K287" s="216">
        <f t="shared" si="13"/>
        <v>282</v>
      </c>
      <c r="N287" s="339"/>
      <c r="O287" s="1"/>
    </row>
    <row r="288" spans="1:15">
      <c r="A288" s="149">
        <f t="shared" si="14"/>
        <v>788</v>
      </c>
      <c r="B288" s="137"/>
      <c r="C288" s="47"/>
      <c r="D288" s="47"/>
      <c r="E288" s="47"/>
      <c r="F288" s="339"/>
      <c r="G288" s="339"/>
      <c r="I288" s="339">
        <f t="shared" si="15"/>
        <v>0</v>
      </c>
      <c r="J288" s="339"/>
      <c r="K288" s="216">
        <f t="shared" si="13"/>
        <v>283</v>
      </c>
      <c r="N288" s="339"/>
      <c r="O288" s="1"/>
    </row>
    <row r="289" spans="1:15">
      <c r="A289" s="149">
        <f t="shared" si="14"/>
        <v>789</v>
      </c>
      <c r="B289" s="137">
        <v>905</v>
      </c>
      <c r="C289" s="47" t="s">
        <v>366</v>
      </c>
      <c r="D289" s="47"/>
      <c r="E289" s="47"/>
      <c r="F289" s="339"/>
      <c r="G289" s="339"/>
      <c r="I289" s="339">
        <f t="shared" si="15"/>
        <v>0</v>
      </c>
      <c r="J289" s="339"/>
      <c r="K289" s="216">
        <f t="shared" si="13"/>
        <v>284</v>
      </c>
      <c r="N289" s="339"/>
      <c r="O289" s="1">
        <v>0</v>
      </c>
    </row>
    <row r="290" spans="1:15">
      <c r="A290" s="149">
        <f t="shared" si="14"/>
        <v>790</v>
      </c>
      <c r="B290" s="136"/>
      <c r="C290" s="47"/>
      <c r="D290" s="47" t="s">
        <v>12</v>
      </c>
      <c r="E290" s="47"/>
      <c r="F290" s="339">
        <f>[17]EXPENSES.XNV!S285</f>
        <v>0</v>
      </c>
      <c r="G290" s="339">
        <v>0</v>
      </c>
      <c r="I290" s="339">
        <f t="shared" si="15"/>
        <v>0</v>
      </c>
      <c r="J290" s="339">
        <f>+I290-F290</f>
        <v>0</v>
      </c>
      <c r="K290" s="216">
        <f t="shared" si="13"/>
        <v>285</v>
      </c>
      <c r="N290" s="339">
        <v>0</v>
      </c>
      <c r="O290" s="1">
        <v>0</v>
      </c>
    </row>
    <row r="291" spans="1:15">
      <c r="A291" s="149">
        <f t="shared" si="14"/>
        <v>791</v>
      </c>
      <c r="B291" s="136"/>
      <c r="C291" s="47"/>
      <c r="D291" s="47" t="s">
        <v>23</v>
      </c>
      <c r="E291" s="47"/>
      <c r="F291" s="339">
        <f>[17]EXPENSES.XNV!S286</f>
        <v>0</v>
      </c>
      <c r="G291" s="339">
        <v>0</v>
      </c>
      <c r="I291" s="339">
        <f t="shared" si="15"/>
        <v>0</v>
      </c>
      <c r="J291" s="339">
        <f>+I291-F291</f>
        <v>0</v>
      </c>
      <c r="K291" s="216">
        <f t="shared" si="13"/>
        <v>286</v>
      </c>
      <c r="N291" s="339">
        <v>0</v>
      </c>
      <c r="O291" s="1">
        <v>0</v>
      </c>
    </row>
    <row r="292" spans="1:15" ht="13.5" thickBot="1">
      <c r="A292" s="149">
        <f t="shared" si="14"/>
        <v>792</v>
      </c>
      <c r="B292" s="136"/>
      <c r="C292" s="47"/>
      <c r="D292" s="47" t="s">
        <v>145</v>
      </c>
      <c r="E292" s="47"/>
      <c r="F292" s="340">
        <f>SUM(F290:F291)</f>
        <v>0</v>
      </c>
      <c r="G292" s="340">
        <v>0</v>
      </c>
      <c r="I292" s="340">
        <f t="shared" si="15"/>
        <v>0</v>
      </c>
      <c r="J292" s="340">
        <f>+I292-F292</f>
        <v>0</v>
      </c>
      <c r="K292" s="216">
        <f t="shared" si="13"/>
        <v>287</v>
      </c>
      <c r="N292" s="340">
        <v>0</v>
      </c>
      <c r="O292" s="1"/>
    </row>
    <row r="293" spans="1:15" ht="13.5" thickTop="1">
      <c r="A293" s="149">
        <f t="shared" si="14"/>
        <v>793</v>
      </c>
      <c r="B293" s="136"/>
      <c r="C293" s="47"/>
      <c r="D293" s="47"/>
      <c r="E293" s="47"/>
      <c r="F293" s="343"/>
      <c r="G293" s="343"/>
      <c r="I293" s="343">
        <f t="shared" si="15"/>
        <v>0</v>
      </c>
      <c r="J293" s="343"/>
      <c r="K293" s="216">
        <f t="shared" si="13"/>
        <v>288</v>
      </c>
      <c r="N293" s="343"/>
      <c r="O293" s="1"/>
    </row>
    <row r="294" spans="1:15">
      <c r="A294" s="149">
        <f t="shared" si="14"/>
        <v>794</v>
      </c>
      <c r="B294" s="116" t="s">
        <v>592</v>
      </c>
      <c r="C294" s="47"/>
      <c r="D294" s="47"/>
      <c r="E294" s="47"/>
      <c r="F294" s="339"/>
      <c r="G294" s="339"/>
      <c r="I294" s="339">
        <f t="shared" si="15"/>
        <v>0</v>
      </c>
      <c r="J294" s="339"/>
      <c r="K294" s="216">
        <f t="shared" si="13"/>
        <v>289</v>
      </c>
      <c r="N294" s="339"/>
      <c r="O294" s="1"/>
    </row>
    <row r="295" spans="1:15">
      <c r="A295" s="149">
        <f t="shared" si="14"/>
        <v>795</v>
      </c>
      <c r="B295" s="136"/>
      <c r="C295" s="47" t="s">
        <v>593</v>
      </c>
      <c r="D295" s="47"/>
      <c r="E295" s="47"/>
      <c r="F295" s="339">
        <f>F249+F254+F259+F264+F269+F274+F279+F284+F290</f>
        <v>14353298.719999999</v>
      </c>
      <c r="G295" s="339">
        <v>12936288.65</v>
      </c>
      <c r="I295" s="339">
        <f t="shared" si="15"/>
        <v>14353298.719999999</v>
      </c>
      <c r="J295" s="339">
        <f>+I295-F295</f>
        <v>0</v>
      </c>
      <c r="K295" s="216">
        <f t="shared" si="13"/>
        <v>290</v>
      </c>
      <c r="N295" s="339">
        <f>N249+N254+N259+N264+N269+N274+N279+N284+N290</f>
        <v>11312082.110000001</v>
      </c>
      <c r="O295" s="1"/>
    </row>
    <row r="296" spans="1:15">
      <c r="A296" s="149">
        <f t="shared" si="14"/>
        <v>796</v>
      </c>
      <c r="B296" s="136"/>
      <c r="C296" s="47" t="s">
        <v>595</v>
      </c>
      <c r="D296" s="47"/>
      <c r="E296" s="47"/>
      <c r="F296" s="339">
        <f>F250+F255+F260+F265+F270+F275+F280+F285+F291</f>
        <v>427539.63</v>
      </c>
      <c r="G296" s="339">
        <v>414754.79</v>
      </c>
      <c r="I296" s="339">
        <f t="shared" si="15"/>
        <v>427539.63</v>
      </c>
      <c r="J296" s="339">
        <f>+I296-F296</f>
        <v>0</v>
      </c>
      <c r="K296" s="216">
        <f t="shared" si="13"/>
        <v>291</v>
      </c>
      <c r="N296" s="339">
        <f>N250+N255+N260+N265+N270+N275+N280+N285+N291</f>
        <v>630304.19999999995</v>
      </c>
    </row>
    <row r="297" spans="1:15">
      <c r="A297" s="149">
        <f t="shared" si="14"/>
        <v>797</v>
      </c>
      <c r="B297" s="136"/>
      <c r="C297" s="47"/>
      <c r="D297" s="47"/>
      <c r="E297" s="47"/>
      <c r="F297" s="1063"/>
      <c r="G297" s="344"/>
      <c r="I297" s="344">
        <f t="shared" si="15"/>
        <v>0</v>
      </c>
      <c r="J297" s="344"/>
      <c r="K297" s="216">
        <f t="shared" si="13"/>
        <v>292</v>
      </c>
      <c r="N297" s="344"/>
    </row>
    <row r="298" spans="1:15">
      <c r="A298" s="149">
        <f t="shared" si="14"/>
        <v>798</v>
      </c>
      <c r="B298" s="136"/>
      <c r="C298" s="141" t="s">
        <v>592</v>
      </c>
      <c r="D298" s="47"/>
      <c r="E298" s="47"/>
      <c r="F298" s="339">
        <f>SUM(F295:F296)</f>
        <v>14780838.35</v>
      </c>
      <c r="G298" s="339">
        <v>13351043.439999999</v>
      </c>
      <c r="I298" s="339">
        <f t="shared" si="15"/>
        <v>14780838.35</v>
      </c>
      <c r="J298" s="339">
        <f>+I298-F298</f>
        <v>0</v>
      </c>
      <c r="K298" s="216">
        <f t="shared" si="13"/>
        <v>293</v>
      </c>
      <c r="N298" s="339">
        <f>SUM(N295:N296)</f>
        <v>11942386.310000001</v>
      </c>
    </row>
    <row r="299" spans="1:15">
      <c r="A299" s="149">
        <f t="shared" si="14"/>
        <v>799</v>
      </c>
      <c r="B299" s="136"/>
      <c r="C299" s="47"/>
      <c r="D299" s="47"/>
      <c r="E299" s="47"/>
      <c r="F299" s="339"/>
      <c r="G299" s="339"/>
      <c r="I299" s="339">
        <f t="shared" si="15"/>
        <v>0</v>
      </c>
      <c r="J299" s="339"/>
      <c r="K299" s="216">
        <f t="shared" si="13"/>
        <v>294</v>
      </c>
      <c r="N299" s="339"/>
    </row>
    <row r="300" spans="1:15">
      <c r="A300" s="149">
        <f t="shared" si="14"/>
        <v>800</v>
      </c>
      <c r="B300" s="116" t="s">
        <v>367</v>
      </c>
      <c r="C300" s="47"/>
      <c r="D300" s="47"/>
      <c r="E300" s="47"/>
      <c r="F300" s="339"/>
      <c r="G300" s="339"/>
      <c r="I300" s="339">
        <f t="shared" si="15"/>
        <v>0</v>
      </c>
      <c r="J300" s="339"/>
      <c r="K300" s="216">
        <f t="shared" si="13"/>
        <v>295</v>
      </c>
      <c r="N300" s="339"/>
    </row>
    <row r="301" spans="1:15">
      <c r="A301" s="149">
        <f t="shared" si="14"/>
        <v>801</v>
      </c>
      <c r="B301" s="136"/>
      <c r="C301" s="47"/>
      <c r="D301" s="47"/>
      <c r="E301" s="47"/>
      <c r="F301" s="339"/>
      <c r="G301" s="339"/>
      <c r="I301" s="339">
        <f t="shared" si="15"/>
        <v>0</v>
      </c>
      <c r="J301" s="339"/>
      <c r="K301" s="216">
        <f t="shared" si="13"/>
        <v>296</v>
      </c>
      <c r="N301" s="339"/>
    </row>
    <row r="302" spans="1:15">
      <c r="A302" s="149">
        <f t="shared" si="14"/>
        <v>802</v>
      </c>
      <c r="B302" s="137">
        <v>907</v>
      </c>
      <c r="C302" s="47" t="s">
        <v>359</v>
      </c>
      <c r="D302" s="47"/>
      <c r="E302" s="47"/>
      <c r="F302" s="339"/>
      <c r="G302" s="339"/>
      <c r="I302" s="339">
        <f t="shared" si="15"/>
        <v>0</v>
      </c>
      <c r="J302" s="339"/>
      <c r="K302" s="216">
        <f t="shared" si="13"/>
        <v>297</v>
      </c>
      <c r="N302" s="339"/>
    </row>
    <row r="303" spans="1:15">
      <c r="A303" s="149">
        <f t="shared" si="14"/>
        <v>803</v>
      </c>
      <c r="B303" s="137"/>
      <c r="C303" s="47"/>
      <c r="D303" s="47" t="s">
        <v>12</v>
      </c>
      <c r="E303" s="47"/>
      <c r="F303" s="339">
        <f>[17]EXPENSES.XNV!S297</f>
        <v>457820.72</v>
      </c>
      <c r="G303" s="339">
        <v>571104.71</v>
      </c>
      <c r="I303" s="339">
        <f t="shared" si="15"/>
        <v>457820.72</v>
      </c>
      <c r="J303" s="339">
        <f>+I303-F303</f>
        <v>0</v>
      </c>
      <c r="K303" s="216">
        <f t="shared" si="13"/>
        <v>298</v>
      </c>
      <c r="N303" s="339">
        <v>600203.71000000008</v>
      </c>
      <c r="O303" s="1">
        <v>650447.85</v>
      </c>
    </row>
    <row r="304" spans="1:15">
      <c r="A304" s="149">
        <f t="shared" si="14"/>
        <v>804</v>
      </c>
      <c r="B304" s="137"/>
      <c r="C304" s="47"/>
      <c r="D304" s="47" t="s">
        <v>23</v>
      </c>
      <c r="E304" s="47"/>
      <c r="F304" s="339">
        <f>[17]EXPENSES.XNV!S298</f>
        <v>12906.7</v>
      </c>
      <c r="G304" s="339">
        <v>16095.619999999997</v>
      </c>
      <c r="I304" s="339">
        <f t="shared" si="15"/>
        <v>12906.7</v>
      </c>
      <c r="J304" s="339">
        <f>+I304-F304</f>
        <v>0</v>
      </c>
      <c r="K304" s="216">
        <f t="shared" si="13"/>
        <v>299</v>
      </c>
      <c r="N304" s="339">
        <v>16909.48</v>
      </c>
      <c r="O304" s="1">
        <v>18327.71</v>
      </c>
    </row>
    <row r="305" spans="1:15" ht="13.5" thickBot="1">
      <c r="A305" s="149">
        <f t="shared" si="14"/>
        <v>805</v>
      </c>
      <c r="B305" s="137"/>
      <c r="C305" s="47"/>
      <c r="D305" s="47" t="s">
        <v>145</v>
      </c>
      <c r="E305" s="47"/>
      <c r="F305" s="340">
        <f>SUM(F303:F304)</f>
        <v>470727.42</v>
      </c>
      <c r="G305" s="340">
        <v>587200.32999999996</v>
      </c>
      <c r="I305" s="340">
        <f t="shared" si="15"/>
        <v>470727.42</v>
      </c>
      <c r="J305" s="340">
        <f>+I305-F305</f>
        <v>0</v>
      </c>
      <c r="K305" s="216">
        <f t="shared" si="13"/>
        <v>300</v>
      </c>
      <c r="N305" s="340">
        <v>617113.19000000006</v>
      </c>
      <c r="O305" s="1">
        <v>668775.55999999994</v>
      </c>
    </row>
    <row r="306" spans="1:15" ht="13.5" thickTop="1">
      <c r="A306" s="149">
        <f t="shared" si="14"/>
        <v>806</v>
      </c>
      <c r="B306" s="137"/>
      <c r="C306" s="47"/>
      <c r="D306" s="47"/>
      <c r="E306" s="47"/>
      <c r="F306" s="339"/>
      <c r="G306" s="339"/>
      <c r="I306" s="339">
        <f t="shared" si="15"/>
        <v>0</v>
      </c>
      <c r="J306" s="339"/>
      <c r="K306" s="216">
        <f t="shared" si="13"/>
        <v>301</v>
      </c>
      <c r="N306" s="339"/>
      <c r="O306" s="1"/>
    </row>
    <row r="307" spans="1:15">
      <c r="A307" s="149">
        <f t="shared" si="14"/>
        <v>807</v>
      </c>
      <c r="B307" s="137">
        <v>908</v>
      </c>
      <c r="C307" s="47" t="s">
        <v>368</v>
      </c>
      <c r="D307" s="47"/>
      <c r="E307" s="47"/>
      <c r="F307" s="339"/>
      <c r="G307" s="339"/>
      <c r="I307" s="339">
        <f t="shared" si="15"/>
        <v>0</v>
      </c>
      <c r="J307" s="339"/>
      <c r="K307" s="216">
        <f t="shared" si="13"/>
        <v>302</v>
      </c>
      <c r="N307" s="339"/>
      <c r="O307" s="1"/>
    </row>
    <row r="308" spans="1:15">
      <c r="A308" s="149">
        <f t="shared" si="14"/>
        <v>808</v>
      </c>
      <c r="B308" s="137"/>
      <c r="C308" s="47"/>
      <c r="D308" s="47" t="s">
        <v>12</v>
      </c>
      <c r="E308" s="47"/>
      <c r="F308" s="339">
        <f>[17]EXPENSES.XNV!S302</f>
        <v>27750988.700000003</v>
      </c>
      <c r="G308" s="339">
        <v>31287216.030000005</v>
      </c>
      <c r="I308" s="339">
        <f t="shared" si="15"/>
        <v>27750988.700000003</v>
      </c>
      <c r="J308" s="339">
        <f>+I308-F308</f>
        <v>0</v>
      </c>
      <c r="K308" s="216">
        <f t="shared" si="13"/>
        <v>303</v>
      </c>
      <c r="N308" s="339">
        <v>26578575.760000002</v>
      </c>
      <c r="O308" s="1">
        <v>31640675.800000001</v>
      </c>
    </row>
    <row r="309" spans="1:15">
      <c r="A309" s="149">
        <f t="shared" si="14"/>
        <v>809</v>
      </c>
      <c r="B309" s="137"/>
      <c r="C309" s="47"/>
      <c r="D309" s="47" t="s">
        <v>23</v>
      </c>
      <c r="E309" s="47"/>
      <c r="F309" s="339">
        <f>[17]EXPENSES.XNV!S303</f>
        <v>154343.00999999998</v>
      </c>
      <c r="G309" s="339">
        <v>181272.91</v>
      </c>
      <c r="I309" s="339">
        <f t="shared" si="15"/>
        <v>154343.00999999998</v>
      </c>
      <c r="J309" s="339">
        <f>+I309-F309</f>
        <v>0</v>
      </c>
      <c r="K309" s="216">
        <f t="shared" si="13"/>
        <v>304</v>
      </c>
      <c r="N309" s="339">
        <v>140034.69999999998</v>
      </c>
      <c r="O309" s="1">
        <v>186300.18</v>
      </c>
    </row>
    <row r="310" spans="1:15" ht="13.5" thickBot="1">
      <c r="A310" s="149">
        <f t="shared" si="14"/>
        <v>810</v>
      </c>
      <c r="B310" s="137"/>
      <c r="C310" s="47"/>
      <c r="D310" s="47" t="s">
        <v>145</v>
      </c>
      <c r="E310" s="47"/>
      <c r="F310" s="340">
        <f>SUM(F308:F309)</f>
        <v>27905331.710000005</v>
      </c>
      <c r="G310" s="340">
        <v>31468488.940000005</v>
      </c>
      <c r="I310" s="340">
        <f t="shared" si="15"/>
        <v>27905331.710000005</v>
      </c>
      <c r="J310" s="340">
        <f>+I310-F310</f>
        <v>0</v>
      </c>
      <c r="K310" s="216">
        <f t="shared" si="13"/>
        <v>305</v>
      </c>
      <c r="N310" s="340">
        <v>26718610.460000001</v>
      </c>
      <c r="O310" s="1">
        <v>31826975.979999997</v>
      </c>
    </row>
    <row r="311" spans="1:15" ht="13.5" thickTop="1">
      <c r="A311" s="149">
        <f t="shared" si="14"/>
        <v>811</v>
      </c>
      <c r="B311" s="137"/>
      <c r="C311" s="47"/>
      <c r="D311" s="47"/>
      <c r="E311" s="47"/>
      <c r="F311" s="339"/>
      <c r="G311" s="339"/>
      <c r="I311" s="339">
        <f t="shared" si="15"/>
        <v>0</v>
      </c>
      <c r="J311" s="339"/>
      <c r="K311" s="216">
        <f t="shared" si="13"/>
        <v>306</v>
      </c>
      <c r="N311" s="339"/>
      <c r="O311" s="1"/>
    </row>
    <row r="312" spans="1:15">
      <c r="A312" s="149">
        <f t="shared" si="14"/>
        <v>812</v>
      </c>
      <c r="B312" s="137">
        <v>909</v>
      </c>
      <c r="C312" s="47" t="s">
        <v>381</v>
      </c>
      <c r="D312" s="47"/>
      <c r="E312" s="47"/>
      <c r="F312" s="339"/>
      <c r="G312" s="339"/>
      <c r="I312" s="339">
        <f t="shared" si="15"/>
        <v>0</v>
      </c>
      <c r="J312" s="339"/>
      <c r="K312" s="216">
        <f t="shared" si="13"/>
        <v>307</v>
      </c>
      <c r="N312" s="339"/>
      <c r="O312" s="1"/>
    </row>
    <row r="313" spans="1:15">
      <c r="A313" s="149">
        <f t="shared" si="14"/>
        <v>813</v>
      </c>
      <c r="B313" s="137"/>
      <c r="C313" s="47"/>
      <c r="D313" s="47" t="s">
        <v>12</v>
      </c>
      <c r="E313" s="47"/>
      <c r="F313" s="339">
        <f>[17]EXPENSES.XNV!S307</f>
        <v>651470.22</v>
      </c>
      <c r="G313" s="339">
        <v>747296.51000000013</v>
      </c>
      <c r="I313" s="339">
        <f t="shared" si="15"/>
        <v>651470.22</v>
      </c>
      <c r="J313" s="339">
        <f>+I313-F313</f>
        <v>0</v>
      </c>
      <c r="K313" s="216">
        <f t="shared" si="13"/>
        <v>308</v>
      </c>
      <c r="N313" s="339">
        <v>586569.23</v>
      </c>
      <c r="O313" s="1">
        <v>686832.9</v>
      </c>
    </row>
    <row r="314" spans="1:15">
      <c r="A314" s="149">
        <f t="shared" si="14"/>
        <v>814</v>
      </c>
      <c r="B314" s="137"/>
      <c r="C314" s="47"/>
      <c r="D314" s="47" t="s">
        <v>23</v>
      </c>
      <c r="E314" s="47"/>
      <c r="F314" s="339">
        <f>[17]EXPENSES.XNV!S308</f>
        <v>13910.900000000001</v>
      </c>
      <c r="G314" s="339">
        <v>11446.77</v>
      </c>
      <c r="I314" s="339">
        <f t="shared" si="15"/>
        <v>13910.900000000001</v>
      </c>
      <c r="J314" s="339">
        <f>+I314-F314</f>
        <v>0</v>
      </c>
      <c r="K314" s="216">
        <f t="shared" si="13"/>
        <v>309</v>
      </c>
      <c r="N314" s="339">
        <v>18324.580000000002</v>
      </c>
      <c r="O314" s="1">
        <v>16536.460000000003</v>
      </c>
    </row>
    <row r="315" spans="1:15" ht="13.5" thickBot="1">
      <c r="A315" s="149">
        <f t="shared" si="14"/>
        <v>815</v>
      </c>
      <c r="B315" s="137"/>
      <c r="C315" s="47"/>
      <c r="D315" s="47" t="s">
        <v>145</v>
      </c>
      <c r="E315" s="47"/>
      <c r="F315" s="340">
        <f>SUM(F313:F314)</f>
        <v>665381.12</v>
      </c>
      <c r="G315" s="340">
        <v>758743.28000000014</v>
      </c>
      <c r="I315" s="340">
        <f t="shared" si="15"/>
        <v>665381.12</v>
      </c>
      <c r="J315" s="340">
        <f>+I315-F315</f>
        <v>0</v>
      </c>
      <c r="K315" s="216">
        <f t="shared" si="13"/>
        <v>310</v>
      </c>
      <c r="N315" s="340">
        <v>604893.80999999994</v>
      </c>
      <c r="O315" s="1">
        <v>703369.36</v>
      </c>
    </row>
    <row r="316" spans="1:15" ht="13.5" thickTop="1">
      <c r="A316" s="149">
        <f t="shared" si="14"/>
        <v>816</v>
      </c>
      <c r="B316" s="137"/>
      <c r="C316" s="47"/>
      <c r="D316" s="47"/>
      <c r="E316" s="47"/>
      <c r="F316" s="339"/>
      <c r="G316" s="339"/>
      <c r="I316" s="339">
        <f t="shared" si="15"/>
        <v>0</v>
      </c>
      <c r="J316" s="339"/>
      <c r="K316" s="216">
        <f t="shared" si="13"/>
        <v>311</v>
      </c>
      <c r="N316" s="339"/>
      <c r="O316" s="1"/>
    </row>
    <row r="317" spans="1:15">
      <c r="A317" s="149">
        <f t="shared" si="14"/>
        <v>817</v>
      </c>
      <c r="B317" s="137">
        <v>910</v>
      </c>
      <c r="C317" s="47" t="s">
        <v>382</v>
      </c>
      <c r="D317" s="47"/>
      <c r="E317" s="47"/>
      <c r="F317" s="339"/>
      <c r="G317" s="339"/>
      <c r="I317" s="339">
        <f t="shared" si="15"/>
        <v>0</v>
      </c>
      <c r="J317" s="339"/>
      <c r="K317" s="216">
        <f t="shared" si="13"/>
        <v>312</v>
      </c>
      <c r="N317" s="339"/>
      <c r="O317" s="1"/>
    </row>
    <row r="318" spans="1:15">
      <c r="A318" s="149">
        <f t="shared" si="14"/>
        <v>818</v>
      </c>
      <c r="B318" s="136"/>
      <c r="C318" s="47"/>
      <c r="D318" s="47" t="s">
        <v>12</v>
      </c>
      <c r="E318" s="47"/>
      <c r="F318" s="339">
        <f>[17]EXPENSES.XNV!S312</f>
        <v>0</v>
      </c>
      <c r="G318" s="339">
        <v>0</v>
      </c>
      <c r="I318" s="339">
        <f t="shared" si="15"/>
        <v>0</v>
      </c>
      <c r="J318" s="339">
        <f>+I318-F318</f>
        <v>0</v>
      </c>
      <c r="K318" s="216">
        <f t="shared" si="13"/>
        <v>313</v>
      </c>
      <c r="N318" s="339">
        <v>0</v>
      </c>
      <c r="O318" s="1">
        <v>0</v>
      </c>
    </row>
    <row r="319" spans="1:15">
      <c r="A319" s="149">
        <f t="shared" si="14"/>
        <v>819</v>
      </c>
      <c r="B319" s="136"/>
      <c r="C319" s="47"/>
      <c r="D319" s="47" t="s">
        <v>23</v>
      </c>
      <c r="E319" s="47"/>
      <c r="F319" s="339">
        <f>[17]EXPENSES.XNV!S313</f>
        <v>0</v>
      </c>
      <c r="G319" s="339">
        <v>0</v>
      </c>
      <c r="I319" s="345">
        <f t="shared" si="15"/>
        <v>0</v>
      </c>
      <c r="J319" s="339">
        <f>+I319-F319</f>
        <v>0</v>
      </c>
      <c r="K319" s="216">
        <f t="shared" si="13"/>
        <v>314</v>
      </c>
      <c r="N319" s="339">
        <v>0</v>
      </c>
      <c r="O319" s="1">
        <v>0</v>
      </c>
    </row>
    <row r="320" spans="1:15" ht="13.5" thickBot="1">
      <c r="A320" s="149">
        <f t="shared" si="14"/>
        <v>820</v>
      </c>
      <c r="B320" s="136"/>
      <c r="C320" s="47"/>
      <c r="D320" s="47" t="s">
        <v>145</v>
      </c>
      <c r="E320" s="47"/>
      <c r="F320" s="340">
        <f>SUM(F318:F319)</f>
        <v>0</v>
      </c>
      <c r="G320" s="340">
        <v>0</v>
      </c>
      <c r="I320" s="340">
        <f t="shared" si="15"/>
        <v>0</v>
      </c>
      <c r="J320" s="340">
        <f>+I320-F320</f>
        <v>0</v>
      </c>
      <c r="K320" s="216">
        <f t="shared" si="13"/>
        <v>315</v>
      </c>
      <c r="N320" s="340">
        <v>0</v>
      </c>
      <c r="O320" s="1">
        <v>0</v>
      </c>
    </row>
    <row r="321" spans="1:15" ht="13.5" thickTop="1">
      <c r="A321" s="149">
        <f t="shared" si="14"/>
        <v>821</v>
      </c>
      <c r="B321" s="136"/>
      <c r="C321" s="47"/>
      <c r="D321" s="47"/>
      <c r="E321" s="47"/>
      <c r="F321" s="343"/>
      <c r="G321" s="343"/>
      <c r="I321" s="343">
        <f t="shared" si="15"/>
        <v>0</v>
      </c>
      <c r="J321" s="343"/>
      <c r="K321" s="216">
        <f t="shared" si="13"/>
        <v>316</v>
      </c>
      <c r="N321" s="343"/>
      <c r="O321" s="1"/>
    </row>
    <row r="322" spans="1:15">
      <c r="A322" s="149">
        <f t="shared" si="14"/>
        <v>822</v>
      </c>
      <c r="B322" s="116" t="s">
        <v>596</v>
      </c>
      <c r="C322" s="47"/>
      <c r="D322" s="47"/>
      <c r="E322" s="47"/>
      <c r="F322" s="339"/>
      <c r="G322" s="339"/>
      <c r="I322" s="339">
        <f t="shared" si="15"/>
        <v>0</v>
      </c>
      <c r="J322" s="339"/>
      <c r="K322" s="216">
        <f t="shared" si="13"/>
        <v>317</v>
      </c>
      <c r="N322" s="339"/>
      <c r="O322" s="1"/>
    </row>
    <row r="323" spans="1:15">
      <c r="A323" s="149">
        <f t="shared" si="14"/>
        <v>823</v>
      </c>
      <c r="B323" s="136"/>
      <c r="C323" s="206" t="s">
        <v>597</v>
      </c>
      <c r="D323" s="47"/>
      <c r="E323" s="47"/>
      <c r="F323" s="339">
        <f>F303+F308+F313+F318</f>
        <v>28860279.640000001</v>
      </c>
      <c r="G323" s="339">
        <v>32605617.250000007</v>
      </c>
      <c r="I323" s="339">
        <f t="shared" si="15"/>
        <v>28860279.640000001</v>
      </c>
      <c r="J323" s="339">
        <f>+I323-F323</f>
        <v>0</v>
      </c>
      <c r="K323" s="216">
        <f t="shared" si="13"/>
        <v>318</v>
      </c>
      <c r="N323" s="339">
        <f>N303+N308+N313+N318</f>
        <v>27765348.700000003</v>
      </c>
    </row>
    <row r="324" spans="1:15">
      <c r="A324" s="149">
        <f t="shared" si="14"/>
        <v>824</v>
      </c>
      <c r="B324" s="136"/>
      <c r="C324" s="206" t="s">
        <v>598</v>
      </c>
      <c r="D324" s="47"/>
      <c r="E324" s="47"/>
      <c r="F324" s="339">
        <f>F304+F309+F314+F319</f>
        <v>181160.61</v>
      </c>
      <c r="G324" s="339">
        <v>208815.3</v>
      </c>
      <c r="I324" s="339">
        <f t="shared" si="15"/>
        <v>181160.61</v>
      </c>
      <c r="J324" s="339">
        <f>+I324-F324</f>
        <v>0</v>
      </c>
      <c r="K324" s="216">
        <f t="shared" si="13"/>
        <v>319</v>
      </c>
      <c r="N324" s="339">
        <f>N304+N309+N314+N319</f>
        <v>175268.76</v>
      </c>
    </row>
    <row r="325" spans="1:15" ht="13.5" thickBot="1">
      <c r="A325" s="149">
        <f t="shared" si="14"/>
        <v>825</v>
      </c>
      <c r="B325" s="136"/>
      <c r="C325" s="47"/>
      <c r="D325" s="47"/>
      <c r="E325" s="47"/>
      <c r="F325" s="342"/>
      <c r="G325" s="342"/>
      <c r="I325" s="342">
        <f t="shared" si="15"/>
        <v>0</v>
      </c>
      <c r="J325" s="342">
        <f>+I325-F325</f>
        <v>0</v>
      </c>
      <c r="K325" s="216">
        <f t="shared" si="13"/>
        <v>320</v>
      </c>
      <c r="N325" s="342"/>
    </row>
    <row r="326" spans="1:15">
      <c r="A326" s="149">
        <f t="shared" si="14"/>
        <v>826</v>
      </c>
      <c r="B326" s="136"/>
      <c r="C326" s="141" t="s">
        <v>596</v>
      </c>
      <c r="D326" s="47"/>
      <c r="E326" s="47"/>
      <c r="F326" s="339">
        <f>SUM(F323:F325)</f>
        <v>29041440.25</v>
      </c>
      <c r="G326" s="339">
        <v>32814432.550000008</v>
      </c>
      <c r="I326" s="339">
        <f t="shared" si="15"/>
        <v>29041440.25</v>
      </c>
      <c r="J326" s="339">
        <f>+I326-F326</f>
        <v>0</v>
      </c>
      <c r="K326" s="216">
        <f t="shared" si="13"/>
        <v>321</v>
      </c>
      <c r="N326" s="339">
        <f>SUM(N323:N325)</f>
        <v>27940617.460000005</v>
      </c>
    </row>
    <row r="327" spans="1:15">
      <c r="A327" s="149">
        <f t="shared" si="14"/>
        <v>827</v>
      </c>
      <c r="B327" s="136"/>
      <c r="C327" s="47"/>
      <c r="D327" s="47"/>
      <c r="E327" s="47"/>
      <c r="F327" s="339"/>
      <c r="G327" s="339"/>
      <c r="I327" s="339">
        <f t="shared" si="15"/>
        <v>0</v>
      </c>
      <c r="J327" s="339"/>
      <c r="K327" s="216">
        <f t="shared" si="13"/>
        <v>322</v>
      </c>
      <c r="N327" s="339"/>
    </row>
    <row r="328" spans="1:15">
      <c r="A328" s="149">
        <f t="shared" si="14"/>
        <v>828</v>
      </c>
      <c r="B328" s="116" t="s">
        <v>383</v>
      </c>
      <c r="C328" s="47"/>
      <c r="D328" s="47"/>
      <c r="E328" s="47"/>
      <c r="F328" s="339"/>
      <c r="G328" s="339"/>
      <c r="I328" s="339">
        <f t="shared" si="15"/>
        <v>0</v>
      </c>
      <c r="J328" s="339"/>
      <c r="K328" s="216">
        <f t="shared" si="13"/>
        <v>323</v>
      </c>
      <c r="N328" s="339"/>
    </row>
    <row r="329" spans="1:15">
      <c r="A329" s="149">
        <f t="shared" si="14"/>
        <v>829</v>
      </c>
      <c r="B329" s="136"/>
      <c r="C329" s="47"/>
      <c r="D329" s="47"/>
      <c r="E329" s="47"/>
      <c r="F329" s="339"/>
      <c r="G329" s="339"/>
      <c r="I329" s="339">
        <f t="shared" si="15"/>
        <v>0</v>
      </c>
      <c r="J329" s="339"/>
      <c r="K329" s="216">
        <f t="shared" si="13"/>
        <v>324</v>
      </c>
      <c r="N329" s="339"/>
    </row>
    <row r="330" spans="1:15">
      <c r="A330" s="149">
        <f t="shared" si="14"/>
        <v>830</v>
      </c>
      <c r="B330" s="137">
        <v>920</v>
      </c>
      <c r="C330" s="47" t="s">
        <v>384</v>
      </c>
      <c r="D330" s="47"/>
      <c r="E330" s="47"/>
      <c r="F330" s="339"/>
      <c r="G330" s="339"/>
      <c r="I330" s="339">
        <f t="shared" si="15"/>
        <v>0</v>
      </c>
      <c r="J330" s="339"/>
      <c r="K330" s="216">
        <f t="shared" si="13"/>
        <v>325</v>
      </c>
      <c r="N330" s="339"/>
    </row>
    <row r="331" spans="1:15">
      <c r="A331" s="149">
        <f t="shared" si="14"/>
        <v>831</v>
      </c>
      <c r="B331" s="136"/>
      <c r="C331" s="47" t="s">
        <v>12</v>
      </c>
      <c r="D331" s="47"/>
      <c r="E331" s="47"/>
      <c r="F331" s="339">
        <f>[17]EXPENSES.XNV!S325</f>
        <v>6983469.5200000005</v>
      </c>
      <c r="G331" s="339">
        <v>6433804.209999999</v>
      </c>
      <c r="I331" s="339">
        <f t="shared" si="15"/>
        <v>6983469.5200000005</v>
      </c>
      <c r="J331" s="339">
        <f>+I331-F331</f>
        <v>0</v>
      </c>
      <c r="K331" s="216">
        <f t="shared" si="13"/>
        <v>326</v>
      </c>
      <c r="N331" s="339">
        <v>6792035.0300000003</v>
      </c>
      <c r="O331" s="1">
        <v>6897221.580000001</v>
      </c>
    </row>
    <row r="332" spans="1:15">
      <c r="A332" s="149">
        <f t="shared" si="14"/>
        <v>832</v>
      </c>
      <c r="B332" s="136"/>
      <c r="C332" s="47" t="s">
        <v>23</v>
      </c>
      <c r="D332" s="47"/>
      <c r="E332" s="47"/>
      <c r="F332" s="339">
        <f>[17]EXPENSES.XNV!S326</f>
        <v>239637.56000000003</v>
      </c>
      <c r="G332" s="339">
        <v>220831.49</v>
      </c>
      <c r="I332" s="339">
        <f t="shared" si="15"/>
        <v>239637.56000000003</v>
      </c>
      <c r="J332" s="339">
        <f>+I332-F332</f>
        <v>0</v>
      </c>
      <c r="K332" s="216">
        <f t="shared" si="13"/>
        <v>327</v>
      </c>
      <c r="N332" s="339">
        <v>199725.97</v>
      </c>
      <c r="O332" s="1">
        <v>208243.08000000002</v>
      </c>
    </row>
    <row r="333" spans="1:15" ht="13.5" thickBot="1">
      <c r="A333" s="149">
        <f t="shared" si="14"/>
        <v>833</v>
      </c>
      <c r="B333" s="137"/>
      <c r="C333" s="47" t="s">
        <v>145</v>
      </c>
      <c r="D333" s="47"/>
      <c r="E333" s="47"/>
      <c r="F333" s="340">
        <f>SUM(F331:F332)</f>
        <v>7223107.0800000001</v>
      </c>
      <c r="G333" s="340">
        <v>6654635.6999999993</v>
      </c>
      <c r="I333" s="340">
        <f t="shared" si="15"/>
        <v>7223107.0800000001</v>
      </c>
      <c r="J333" s="340">
        <f>+I333-F333</f>
        <v>0</v>
      </c>
      <c r="K333" s="216">
        <f t="shared" si="13"/>
        <v>328</v>
      </c>
      <c r="N333" s="340">
        <v>6991761</v>
      </c>
      <c r="O333" s="1">
        <v>7105464.6599999992</v>
      </c>
    </row>
    <row r="334" spans="1:15" ht="13.5" thickTop="1">
      <c r="A334" s="149">
        <f t="shared" si="14"/>
        <v>834</v>
      </c>
      <c r="B334" s="137">
        <v>921</v>
      </c>
      <c r="C334" s="47" t="s">
        <v>385</v>
      </c>
      <c r="D334" s="47"/>
      <c r="E334" s="47"/>
      <c r="F334" s="339"/>
      <c r="G334" s="339"/>
      <c r="I334" s="339">
        <f t="shared" si="15"/>
        <v>0</v>
      </c>
      <c r="J334" s="339"/>
      <c r="K334" s="216">
        <f t="shared" si="13"/>
        <v>329</v>
      </c>
      <c r="N334" s="339"/>
    </row>
    <row r="335" spans="1:15">
      <c r="A335" s="149">
        <f t="shared" si="14"/>
        <v>835</v>
      </c>
      <c r="B335" s="137"/>
      <c r="C335" s="47" t="s">
        <v>12</v>
      </c>
      <c r="D335" s="47"/>
      <c r="E335" s="47"/>
      <c r="F335" s="339">
        <f>[17]EXPENSES.XNV!S329</f>
        <v>2484245.96</v>
      </c>
      <c r="G335" s="339">
        <v>2206280.42</v>
      </c>
      <c r="I335" s="339">
        <f t="shared" si="15"/>
        <v>2484245.96</v>
      </c>
      <c r="J335" s="339">
        <f t="shared" ref="J335:J341" si="16">+I335-F335</f>
        <v>0</v>
      </c>
      <c r="K335" s="216">
        <f t="shared" si="13"/>
        <v>330</v>
      </c>
      <c r="N335" s="339">
        <v>2470164.2600000002</v>
      </c>
      <c r="O335" s="1">
        <v>2014598.5100000002</v>
      </c>
    </row>
    <row r="336" spans="1:15">
      <c r="A336" s="149">
        <f t="shared" si="14"/>
        <v>836</v>
      </c>
      <c r="B336" s="137"/>
      <c r="C336" s="47" t="s">
        <v>23</v>
      </c>
      <c r="D336" s="47"/>
      <c r="E336" s="47"/>
      <c r="F336" s="339">
        <f>[17]EXPENSES.XNV!S330</f>
        <v>139867.03</v>
      </c>
      <c r="G336" s="339">
        <v>102550.36000000002</v>
      </c>
      <c r="I336" s="339">
        <f t="shared" si="15"/>
        <v>139867.03</v>
      </c>
      <c r="J336" s="339">
        <f t="shared" si="16"/>
        <v>0</v>
      </c>
      <c r="K336" s="216">
        <f t="shared" si="13"/>
        <v>331</v>
      </c>
      <c r="N336" s="339">
        <v>103933.77000000002</v>
      </c>
      <c r="O336" s="1">
        <v>94314.309999999983</v>
      </c>
    </row>
    <row r="337" spans="1:15" ht="13.5" thickBot="1">
      <c r="A337" s="149">
        <f t="shared" si="14"/>
        <v>837</v>
      </c>
      <c r="B337" s="137"/>
      <c r="C337" s="47" t="s">
        <v>145</v>
      </c>
      <c r="D337" s="47"/>
      <c r="E337" s="47"/>
      <c r="F337" s="340">
        <f>SUM(F335:F336)</f>
        <v>2624112.9899999998</v>
      </c>
      <c r="G337" s="340">
        <v>2308830.7799999998</v>
      </c>
      <c r="I337" s="340">
        <f t="shared" ref="I337:I400" si="17">HLOOKUP($I$6,$F$6:$G$431,K337,FALSE)</f>
        <v>2624112.9899999998</v>
      </c>
      <c r="J337" s="340">
        <f t="shared" si="16"/>
        <v>0</v>
      </c>
      <c r="K337" s="216">
        <f t="shared" si="13"/>
        <v>332</v>
      </c>
      <c r="N337" s="340">
        <v>2574098.0300000003</v>
      </c>
      <c r="O337" s="1">
        <v>2108912.8200000003</v>
      </c>
    </row>
    <row r="338" spans="1:15" ht="13.5" thickTop="1">
      <c r="A338" s="149">
        <f t="shared" si="14"/>
        <v>838</v>
      </c>
      <c r="B338" s="137">
        <v>922</v>
      </c>
      <c r="C338" s="47" t="s">
        <v>386</v>
      </c>
      <c r="D338" s="47"/>
      <c r="E338" s="47"/>
      <c r="F338" s="339"/>
      <c r="G338" s="339"/>
      <c r="I338" s="339">
        <f t="shared" si="17"/>
        <v>0</v>
      </c>
      <c r="J338" s="339">
        <f t="shared" si="16"/>
        <v>0</v>
      </c>
      <c r="K338" s="216">
        <f t="shared" si="13"/>
        <v>333</v>
      </c>
      <c r="N338" s="339"/>
    </row>
    <row r="339" spans="1:15">
      <c r="A339" s="149">
        <f t="shared" si="14"/>
        <v>839</v>
      </c>
      <c r="B339" s="137"/>
      <c r="C339" s="47" t="s">
        <v>12</v>
      </c>
      <c r="D339" s="47"/>
      <c r="E339" s="47"/>
      <c r="F339" s="339">
        <f>[17]EXPENSES.XNV!S333</f>
        <v>-17775013.439999998</v>
      </c>
      <c r="G339" s="339">
        <v>-17517475.330000002</v>
      </c>
      <c r="I339" s="339">
        <f t="shared" si="17"/>
        <v>-17775013.439999998</v>
      </c>
      <c r="J339" s="339">
        <f t="shared" si="16"/>
        <v>0</v>
      </c>
      <c r="K339" s="216">
        <f t="shared" ref="K339:K402" si="18">+K338+1</f>
        <v>334</v>
      </c>
      <c r="N339" s="339">
        <v>-16480887.91</v>
      </c>
      <c r="O339" s="1">
        <v>-16679940.040000001</v>
      </c>
    </row>
    <row r="340" spans="1:15">
      <c r="A340" s="149">
        <f t="shared" si="14"/>
        <v>840</v>
      </c>
      <c r="B340" s="137"/>
      <c r="C340" s="47" t="s">
        <v>23</v>
      </c>
      <c r="D340" s="47"/>
      <c r="E340" s="47"/>
      <c r="F340" s="339">
        <f>[17]EXPENSES.XNV!S334</f>
        <v>-609229.79</v>
      </c>
      <c r="G340" s="339">
        <v>-601232.58000000007</v>
      </c>
      <c r="I340" s="339">
        <f t="shared" si="17"/>
        <v>-609229.79</v>
      </c>
      <c r="J340" s="339">
        <f t="shared" si="16"/>
        <v>0</v>
      </c>
      <c r="K340" s="216">
        <f t="shared" si="18"/>
        <v>335</v>
      </c>
      <c r="N340" s="339">
        <v>-435523.36</v>
      </c>
      <c r="O340" s="1">
        <v>-455772.36</v>
      </c>
    </row>
    <row r="341" spans="1:15" ht="13.5" thickBot="1">
      <c r="A341" s="149">
        <f t="shared" si="14"/>
        <v>841</v>
      </c>
      <c r="B341" s="137"/>
      <c r="C341" s="47" t="s">
        <v>145</v>
      </c>
      <c r="D341" s="47"/>
      <c r="E341" s="47"/>
      <c r="F341" s="340">
        <f>SUM(F339:F340)</f>
        <v>-18384243.229999997</v>
      </c>
      <c r="G341" s="340">
        <v>-18118707.910000004</v>
      </c>
      <c r="I341" s="340">
        <f t="shared" si="17"/>
        <v>-18384243.229999997</v>
      </c>
      <c r="J341" s="340">
        <f t="shared" si="16"/>
        <v>0</v>
      </c>
      <c r="K341" s="216">
        <f t="shared" si="18"/>
        <v>336</v>
      </c>
      <c r="N341" s="340">
        <v>-16916411.27</v>
      </c>
      <c r="O341" s="1">
        <v>-17135712.399999999</v>
      </c>
    </row>
    <row r="342" spans="1:15" ht="13.5" thickTop="1">
      <c r="A342" s="149">
        <f t="shared" si="14"/>
        <v>842</v>
      </c>
      <c r="B342" s="137">
        <v>923</v>
      </c>
      <c r="C342" s="47" t="s">
        <v>387</v>
      </c>
      <c r="D342" s="47"/>
      <c r="E342" s="47"/>
      <c r="F342" s="339"/>
      <c r="G342" s="339"/>
      <c r="I342" s="339">
        <f t="shared" si="17"/>
        <v>0</v>
      </c>
      <c r="J342" s="339"/>
      <c r="K342" s="216">
        <f t="shared" si="18"/>
        <v>337</v>
      </c>
      <c r="N342" s="339"/>
      <c r="O342" s="1"/>
    </row>
    <row r="343" spans="1:15">
      <c r="A343" s="149">
        <f t="shared" ref="A343:A431" si="19">+A342+1</f>
        <v>843</v>
      </c>
      <c r="B343" s="137"/>
      <c r="C343" s="47" t="s">
        <v>12</v>
      </c>
      <c r="D343" s="47"/>
      <c r="E343" s="47"/>
      <c r="F343" s="339">
        <f>[17]EXPENSES.XNV!S337</f>
        <v>37612186.189999998</v>
      </c>
      <c r="G343" s="339">
        <v>36783424.729999997</v>
      </c>
      <c r="I343" s="339">
        <f t="shared" si="17"/>
        <v>37612186.189999998</v>
      </c>
      <c r="J343" s="339">
        <f>+I343-F343</f>
        <v>0</v>
      </c>
      <c r="K343" s="216">
        <f t="shared" si="18"/>
        <v>338</v>
      </c>
      <c r="N343" s="339">
        <v>36589501.780000001</v>
      </c>
      <c r="O343" s="1">
        <v>37439534.890000008</v>
      </c>
    </row>
    <row r="344" spans="1:15">
      <c r="A344" s="149">
        <f t="shared" si="19"/>
        <v>844</v>
      </c>
      <c r="B344" s="137"/>
      <c r="C344" s="47" t="s">
        <v>23</v>
      </c>
      <c r="D344" s="47"/>
      <c r="E344" s="47"/>
      <c r="F344" s="339">
        <f>[17]EXPENSES.XNV!S338</f>
        <v>1391608.25</v>
      </c>
      <c r="G344" s="339">
        <v>1434417.26</v>
      </c>
      <c r="I344" s="339">
        <f t="shared" si="17"/>
        <v>1391608.25</v>
      </c>
      <c r="J344" s="339">
        <f>+I344-F344</f>
        <v>0</v>
      </c>
      <c r="K344" s="216">
        <f t="shared" si="18"/>
        <v>339</v>
      </c>
      <c r="N344" s="339">
        <v>1431598.7099999997</v>
      </c>
      <c r="O344" s="1">
        <v>1490753.3</v>
      </c>
    </row>
    <row r="345" spans="1:15" ht="13.5" thickBot="1">
      <c r="A345" s="149">
        <f t="shared" si="19"/>
        <v>845</v>
      </c>
      <c r="B345" s="137"/>
      <c r="C345" s="47" t="s">
        <v>145</v>
      </c>
      <c r="D345" s="47"/>
      <c r="E345" s="47"/>
      <c r="F345" s="340">
        <f>SUM(F343:F344)</f>
        <v>39003794.439999998</v>
      </c>
      <c r="G345" s="340">
        <v>38217841.989999995</v>
      </c>
      <c r="I345" s="340">
        <f t="shared" si="17"/>
        <v>39003794.439999998</v>
      </c>
      <c r="J345" s="340">
        <f>+I345-F345</f>
        <v>0</v>
      </c>
      <c r="K345" s="216">
        <f t="shared" si="18"/>
        <v>340</v>
      </c>
      <c r="N345" s="340">
        <v>38021100.490000002</v>
      </c>
      <c r="O345" s="1">
        <v>38930288.189999998</v>
      </c>
    </row>
    <row r="346" spans="1:15" ht="13.5" thickTop="1">
      <c r="A346" s="149">
        <f t="shared" si="19"/>
        <v>846</v>
      </c>
      <c r="B346" s="137">
        <v>924</v>
      </c>
      <c r="C346" s="47" t="s">
        <v>388</v>
      </c>
      <c r="D346" s="47"/>
      <c r="E346" s="47"/>
      <c r="F346" s="339"/>
      <c r="G346" s="339"/>
      <c r="I346" s="339">
        <f t="shared" si="17"/>
        <v>0</v>
      </c>
      <c r="J346" s="339"/>
      <c r="K346" s="216">
        <f t="shared" si="18"/>
        <v>341</v>
      </c>
      <c r="N346" s="339"/>
      <c r="O346" s="1"/>
    </row>
    <row r="347" spans="1:15">
      <c r="A347" s="149">
        <f t="shared" si="19"/>
        <v>847</v>
      </c>
      <c r="B347" s="137"/>
      <c r="C347" s="47" t="s">
        <v>12</v>
      </c>
      <c r="D347" s="47"/>
      <c r="E347" s="47"/>
      <c r="F347" s="339">
        <f>[17]EXPENSES.XNV!S341</f>
        <v>339927.26</v>
      </c>
      <c r="G347" s="339">
        <v>383641.1</v>
      </c>
      <c r="I347" s="339">
        <f t="shared" si="17"/>
        <v>339927.26</v>
      </c>
      <c r="J347" s="339">
        <f>+I347-F347</f>
        <v>0</v>
      </c>
      <c r="K347" s="216">
        <f t="shared" si="18"/>
        <v>342</v>
      </c>
      <c r="N347" s="339">
        <v>372263.41000000003</v>
      </c>
      <c r="O347" s="1">
        <v>383861.85999999993</v>
      </c>
    </row>
    <row r="348" spans="1:15">
      <c r="A348" s="149">
        <f t="shared" si="19"/>
        <v>848</v>
      </c>
      <c r="B348" s="137"/>
      <c r="C348" s="47" t="s">
        <v>23</v>
      </c>
      <c r="D348" s="47"/>
      <c r="E348" s="47"/>
      <c r="F348" s="339">
        <f>[17]EXPENSES.XNV!S342</f>
        <v>11649.57</v>
      </c>
      <c r="G348" s="339">
        <v>13174.300000000001</v>
      </c>
      <c r="I348" s="339">
        <f t="shared" si="17"/>
        <v>11649.57</v>
      </c>
      <c r="J348" s="339">
        <f>+I348-F348</f>
        <v>0</v>
      </c>
      <c r="K348" s="216">
        <f t="shared" si="18"/>
        <v>343</v>
      </c>
      <c r="N348" s="339">
        <v>12060.960000000001</v>
      </c>
      <c r="O348" s="1">
        <v>12793.42</v>
      </c>
    </row>
    <row r="349" spans="1:15" ht="13.5" thickBot="1">
      <c r="A349" s="149">
        <f t="shared" si="19"/>
        <v>849</v>
      </c>
      <c r="B349" s="137"/>
      <c r="C349" s="47" t="s">
        <v>145</v>
      </c>
      <c r="D349" s="47"/>
      <c r="E349" s="47"/>
      <c r="F349" s="340">
        <f>SUM(F347:F348)</f>
        <v>351576.83</v>
      </c>
      <c r="G349" s="340">
        <v>396815.39999999997</v>
      </c>
      <c r="I349" s="340">
        <f t="shared" si="17"/>
        <v>351576.83</v>
      </c>
      <c r="J349" s="340">
        <f>+I349-F349</f>
        <v>0</v>
      </c>
      <c r="K349" s="216">
        <f t="shared" si="18"/>
        <v>344</v>
      </c>
      <c r="N349" s="340">
        <v>384324.37000000005</v>
      </c>
      <c r="O349" s="1">
        <v>396655.28</v>
      </c>
    </row>
    <row r="350" spans="1:15" ht="13.5" thickTop="1">
      <c r="A350" s="149">
        <f t="shared" si="19"/>
        <v>850</v>
      </c>
      <c r="B350" s="137">
        <v>925</v>
      </c>
      <c r="C350" s="47" t="s">
        <v>389</v>
      </c>
      <c r="D350" s="47"/>
      <c r="E350" s="47"/>
      <c r="F350" s="339"/>
      <c r="G350" s="339"/>
      <c r="I350" s="339">
        <f t="shared" si="17"/>
        <v>0</v>
      </c>
      <c r="J350" s="339"/>
      <c r="K350" s="216">
        <f t="shared" si="18"/>
        <v>345</v>
      </c>
      <c r="N350" s="339"/>
      <c r="O350" s="1"/>
    </row>
    <row r="351" spans="1:15">
      <c r="A351" s="149">
        <f t="shared" si="19"/>
        <v>851</v>
      </c>
      <c r="B351" s="137"/>
      <c r="C351" s="47" t="s">
        <v>12</v>
      </c>
      <c r="D351" s="47"/>
      <c r="E351" s="47"/>
      <c r="F351" s="339">
        <f>[17]EXPENSES.XNV!S345</f>
        <v>1141494.81</v>
      </c>
      <c r="G351" s="339">
        <v>-9341.0900000000838</v>
      </c>
      <c r="I351" s="339">
        <f t="shared" si="17"/>
        <v>1141494.81</v>
      </c>
      <c r="J351" s="339">
        <f>+I351-F351</f>
        <v>0</v>
      </c>
      <c r="K351" s="216">
        <f t="shared" si="18"/>
        <v>346</v>
      </c>
      <c r="N351" s="339">
        <v>503031.38000000006</v>
      </c>
      <c r="O351" s="1">
        <v>-574911.30000000005</v>
      </c>
    </row>
    <row r="352" spans="1:15">
      <c r="A352" s="149">
        <f t="shared" si="19"/>
        <v>852</v>
      </c>
      <c r="B352" s="137"/>
      <c r="C352" s="47" t="s">
        <v>23</v>
      </c>
      <c r="D352" s="47"/>
      <c r="E352" s="47"/>
      <c r="F352" s="339">
        <f>[17]EXPENSES.XNV!S346</f>
        <v>42796.619999999995</v>
      </c>
      <c r="G352" s="339">
        <v>7932.630000000001</v>
      </c>
      <c r="I352" s="339">
        <f t="shared" si="17"/>
        <v>42796.619999999995</v>
      </c>
      <c r="J352" s="339">
        <f>+I352-F352</f>
        <v>0</v>
      </c>
      <c r="K352" s="216">
        <f t="shared" si="18"/>
        <v>347</v>
      </c>
      <c r="N352" s="339">
        <v>17320.170000000002</v>
      </c>
      <c r="O352" s="1">
        <v>-14602.2</v>
      </c>
    </row>
    <row r="353" spans="1:15" ht="13.5" thickBot="1">
      <c r="A353" s="149">
        <f t="shared" si="19"/>
        <v>853</v>
      </c>
      <c r="B353" s="137"/>
      <c r="C353" s="47" t="s">
        <v>145</v>
      </c>
      <c r="D353" s="47"/>
      <c r="E353" s="47"/>
      <c r="F353" s="340">
        <f>SUM(F351:F352)</f>
        <v>1184291.4300000002</v>
      </c>
      <c r="G353" s="340">
        <v>-1408.4600000000828</v>
      </c>
      <c r="I353" s="340">
        <f t="shared" si="17"/>
        <v>1184291.4300000002</v>
      </c>
      <c r="J353" s="340">
        <f>+I353-F353</f>
        <v>0</v>
      </c>
      <c r="K353" s="216">
        <f t="shared" si="18"/>
        <v>348</v>
      </c>
      <c r="N353" s="340">
        <v>520351.55000000005</v>
      </c>
      <c r="O353" s="1">
        <v>-589513.5</v>
      </c>
    </row>
    <row r="354" spans="1:15" ht="13.5" thickTop="1">
      <c r="A354" s="149">
        <f t="shared" si="19"/>
        <v>854</v>
      </c>
      <c r="B354" s="137">
        <v>926</v>
      </c>
      <c r="C354" s="47" t="s">
        <v>390</v>
      </c>
      <c r="D354" s="47"/>
      <c r="E354" s="47"/>
      <c r="F354" s="339"/>
      <c r="G354" s="339"/>
      <c r="I354" s="339">
        <f t="shared" si="17"/>
        <v>0</v>
      </c>
      <c r="J354" s="339"/>
      <c r="K354" s="216">
        <f t="shared" si="18"/>
        <v>349</v>
      </c>
      <c r="N354" s="339"/>
      <c r="O354" s="1"/>
    </row>
    <row r="355" spans="1:15">
      <c r="A355" s="149">
        <f t="shared" si="19"/>
        <v>855</v>
      </c>
      <c r="B355" s="137"/>
      <c r="C355" s="47" t="s">
        <v>12</v>
      </c>
      <c r="D355" s="47"/>
      <c r="E355" s="47"/>
      <c r="F355" s="339">
        <f>[17]EXPENSES.XNV!S349</f>
        <v>-2072805.75</v>
      </c>
      <c r="G355" s="339">
        <v>-1017533.0900000005</v>
      </c>
      <c r="I355" s="339">
        <f t="shared" si="17"/>
        <v>-2072805.75</v>
      </c>
      <c r="J355" s="339">
        <f>+I355-F355</f>
        <v>0</v>
      </c>
      <c r="K355" s="216">
        <f t="shared" si="18"/>
        <v>350</v>
      </c>
      <c r="N355" s="339">
        <v>1619711.28</v>
      </c>
      <c r="O355" s="1">
        <v>-379241.67999999982</v>
      </c>
    </row>
    <row r="356" spans="1:15">
      <c r="A356" s="149">
        <f t="shared" si="19"/>
        <v>856</v>
      </c>
      <c r="B356" s="137"/>
      <c r="C356" s="47" t="s">
        <v>23</v>
      </c>
      <c r="D356" s="47"/>
      <c r="E356" s="47"/>
      <c r="F356" s="339">
        <f>[17]EXPENSES.XNV!S350</f>
        <v>-109173.48999999999</v>
      </c>
      <c r="G356" s="339">
        <v>-55979.29</v>
      </c>
      <c r="I356" s="339">
        <f t="shared" si="17"/>
        <v>-109173.48999999999</v>
      </c>
      <c r="J356" s="339">
        <f>+I356-F356</f>
        <v>0</v>
      </c>
      <c r="K356" s="216">
        <f t="shared" si="18"/>
        <v>351</v>
      </c>
      <c r="N356" s="339">
        <v>36813.49</v>
      </c>
      <c r="O356" s="1">
        <v>-74397.98000000001</v>
      </c>
    </row>
    <row r="357" spans="1:15" ht="13.5" thickBot="1">
      <c r="A357" s="149">
        <f t="shared" si="19"/>
        <v>857</v>
      </c>
      <c r="B357" s="137"/>
      <c r="C357" s="47" t="s">
        <v>145</v>
      </c>
      <c r="D357" s="47"/>
      <c r="E357" s="47"/>
      <c r="F357" s="340">
        <f>SUM(F355:F356)</f>
        <v>-2181979.2400000002</v>
      </c>
      <c r="G357" s="340">
        <v>-1073512.3800000006</v>
      </c>
      <c r="I357" s="340">
        <f t="shared" si="17"/>
        <v>-2181979.2400000002</v>
      </c>
      <c r="J357" s="340">
        <f>+I357-F357</f>
        <v>0</v>
      </c>
      <c r="K357" s="216">
        <f t="shared" si="18"/>
        <v>352</v>
      </c>
      <c r="N357" s="340">
        <v>1656524.77</v>
      </c>
      <c r="O357" s="1">
        <v>-453639.65999999992</v>
      </c>
    </row>
    <row r="358" spans="1:15" ht="13.5" thickTop="1">
      <c r="A358" s="149">
        <f t="shared" si="19"/>
        <v>858</v>
      </c>
      <c r="B358" s="137" t="s">
        <v>762</v>
      </c>
      <c r="C358" s="47" t="s">
        <v>763</v>
      </c>
      <c r="D358" s="47"/>
      <c r="E358" s="47"/>
      <c r="F358" s="339"/>
      <c r="G358" s="339"/>
      <c r="I358" s="339">
        <f t="shared" si="17"/>
        <v>0</v>
      </c>
      <c r="J358" s="339"/>
      <c r="K358" s="216">
        <f t="shared" si="18"/>
        <v>353</v>
      </c>
      <c r="N358" s="339"/>
      <c r="O358" s="1"/>
    </row>
    <row r="359" spans="1:15">
      <c r="A359" s="149">
        <f t="shared" si="19"/>
        <v>859</v>
      </c>
      <c r="B359" s="137"/>
      <c r="C359" s="47" t="s">
        <v>12</v>
      </c>
      <c r="D359" s="47"/>
      <c r="E359" s="47"/>
      <c r="F359" s="339">
        <f>[17]EXPENSES.XNV!S353</f>
        <v>0</v>
      </c>
      <c r="G359" s="339">
        <v>0</v>
      </c>
      <c r="I359" s="339">
        <f t="shared" si="17"/>
        <v>0</v>
      </c>
      <c r="J359" s="339">
        <f t="shared" ref="J359:J383" si="20">+I359-F359</f>
        <v>0</v>
      </c>
      <c r="K359" s="216">
        <f t="shared" si="18"/>
        <v>354</v>
      </c>
      <c r="N359" s="339">
        <v>7750</v>
      </c>
      <c r="O359" s="1">
        <v>7750</v>
      </c>
    </row>
    <row r="360" spans="1:15">
      <c r="A360" s="149">
        <f t="shared" si="19"/>
        <v>860</v>
      </c>
      <c r="B360" s="137"/>
      <c r="C360" s="47" t="s">
        <v>23</v>
      </c>
      <c r="D360" s="47"/>
      <c r="E360" s="47"/>
      <c r="F360" s="339">
        <f>[17]EXPENSES.XNV!S354</f>
        <v>0</v>
      </c>
      <c r="G360" s="339">
        <v>0</v>
      </c>
      <c r="I360" s="339">
        <f t="shared" si="17"/>
        <v>0</v>
      </c>
      <c r="J360" s="339">
        <f t="shared" si="20"/>
        <v>0</v>
      </c>
      <c r="K360" s="216">
        <f t="shared" si="18"/>
        <v>355</v>
      </c>
      <c r="N360" s="339">
        <v>0</v>
      </c>
      <c r="O360" s="1">
        <v>0</v>
      </c>
    </row>
    <row r="361" spans="1:15" ht="13.5" thickBot="1">
      <c r="A361" s="149">
        <f t="shared" si="19"/>
        <v>861</v>
      </c>
      <c r="B361" s="137"/>
      <c r="C361" s="47" t="s">
        <v>145</v>
      </c>
      <c r="D361" s="47"/>
      <c r="E361" s="47"/>
      <c r="F361" s="340">
        <f>SUM(F359:F360)</f>
        <v>0</v>
      </c>
      <c r="G361" s="340">
        <v>0</v>
      </c>
      <c r="I361" s="340">
        <f t="shared" si="17"/>
        <v>0</v>
      </c>
      <c r="J361" s="340">
        <f t="shared" si="20"/>
        <v>0</v>
      </c>
      <c r="K361" s="216">
        <f t="shared" si="18"/>
        <v>356</v>
      </c>
      <c r="N361" s="340">
        <v>7750</v>
      </c>
      <c r="O361" s="1">
        <v>7750</v>
      </c>
    </row>
    <row r="362" spans="1:15" ht="13.5" thickTop="1">
      <c r="A362" s="149">
        <f t="shared" si="19"/>
        <v>862</v>
      </c>
      <c r="B362" s="137">
        <v>9301</v>
      </c>
      <c r="C362" s="47" t="s">
        <v>391</v>
      </c>
      <c r="D362" s="47"/>
      <c r="E362" s="47"/>
      <c r="F362" s="339"/>
      <c r="G362" s="339"/>
      <c r="I362" s="339">
        <f t="shared" si="17"/>
        <v>0</v>
      </c>
      <c r="J362" s="339">
        <f t="shared" si="20"/>
        <v>0</v>
      </c>
      <c r="K362" s="216">
        <f t="shared" si="18"/>
        <v>357</v>
      </c>
      <c r="N362" s="339"/>
      <c r="O362" s="1"/>
    </row>
    <row r="363" spans="1:15">
      <c r="A363" s="149">
        <f t="shared" si="19"/>
        <v>863</v>
      </c>
      <c r="B363" s="137"/>
      <c r="C363" s="47" t="s">
        <v>12</v>
      </c>
      <c r="D363" s="47"/>
      <c r="E363" s="47"/>
      <c r="F363" s="339">
        <f>[17]EXPENSES.XNV!S357</f>
        <v>0</v>
      </c>
      <c r="G363" s="339">
        <v>0</v>
      </c>
      <c r="I363" s="339">
        <f t="shared" si="17"/>
        <v>0</v>
      </c>
      <c r="J363" s="339">
        <f t="shared" si="20"/>
        <v>0</v>
      </c>
      <c r="K363" s="216">
        <f t="shared" si="18"/>
        <v>358</v>
      </c>
      <c r="N363" s="339">
        <v>0</v>
      </c>
      <c r="O363" s="1">
        <v>0</v>
      </c>
    </row>
    <row r="364" spans="1:15">
      <c r="A364" s="149">
        <f t="shared" si="19"/>
        <v>864</v>
      </c>
      <c r="B364" s="137"/>
      <c r="C364" s="47" t="s">
        <v>23</v>
      </c>
      <c r="D364" s="47"/>
      <c r="E364" s="47"/>
      <c r="F364" s="339">
        <f>[17]EXPENSES.XNV!S358</f>
        <v>0</v>
      </c>
      <c r="G364" s="339">
        <v>0</v>
      </c>
      <c r="I364" s="339">
        <f t="shared" si="17"/>
        <v>0</v>
      </c>
      <c r="J364" s="339">
        <f t="shared" si="20"/>
        <v>0</v>
      </c>
      <c r="K364" s="216">
        <f t="shared" si="18"/>
        <v>359</v>
      </c>
      <c r="N364" s="339">
        <v>0</v>
      </c>
      <c r="O364" s="1">
        <v>0</v>
      </c>
    </row>
    <row r="365" spans="1:15" ht="13.5" thickBot="1">
      <c r="A365" s="149">
        <f t="shared" si="19"/>
        <v>865</v>
      </c>
      <c r="B365" s="137"/>
      <c r="C365" s="47" t="s">
        <v>145</v>
      </c>
      <c r="D365" s="47"/>
      <c r="E365" s="47"/>
      <c r="F365" s="340">
        <f>SUM(F363:F364)</f>
        <v>0</v>
      </c>
      <c r="G365" s="340">
        <v>0</v>
      </c>
      <c r="I365" s="340">
        <f t="shared" si="17"/>
        <v>0</v>
      </c>
      <c r="J365" s="340">
        <f t="shared" si="20"/>
        <v>0</v>
      </c>
      <c r="K365" s="216">
        <f t="shared" si="18"/>
        <v>360</v>
      </c>
      <c r="N365" s="340">
        <v>0</v>
      </c>
      <c r="O365" s="1">
        <v>0</v>
      </c>
    </row>
    <row r="366" spans="1:15" ht="13.5" thickTop="1">
      <c r="A366" s="149">
        <f t="shared" si="19"/>
        <v>866</v>
      </c>
      <c r="B366" s="137">
        <v>9302</v>
      </c>
      <c r="C366" s="47" t="s">
        <v>393</v>
      </c>
      <c r="D366" s="47"/>
      <c r="E366" s="47"/>
      <c r="F366" s="339"/>
      <c r="G366" s="339"/>
      <c r="I366" s="339">
        <f t="shared" si="17"/>
        <v>0</v>
      </c>
      <c r="J366" s="339">
        <f t="shared" si="20"/>
        <v>0</v>
      </c>
      <c r="K366" s="216">
        <f t="shared" si="18"/>
        <v>361</v>
      </c>
      <c r="N366" s="339"/>
      <c r="O366" s="1"/>
    </row>
    <row r="367" spans="1:15">
      <c r="A367" s="149">
        <f t="shared" si="19"/>
        <v>867</v>
      </c>
      <c r="B367" s="137"/>
      <c r="C367" s="47" t="s">
        <v>12</v>
      </c>
      <c r="D367" s="47"/>
      <c r="E367" s="47"/>
      <c r="F367" s="339">
        <f>[17]EXPENSES.XNV!S361</f>
        <v>3423500.74</v>
      </c>
      <c r="G367" s="339">
        <v>3353928.6100000003</v>
      </c>
      <c r="I367" s="339">
        <f t="shared" si="17"/>
        <v>3423500.74</v>
      </c>
      <c r="J367" s="339">
        <f t="shared" si="20"/>
        <v>0</v>
      </c>
      <c r="K367" s="216">
        <f t="shared" si="18"/>
        <v>362</v>
      </c>
      <c r="N367" s="339">
        <v>2567687.6999999997</v>
      </c>
      <c r="O367" s="1">
        <v>3059076.5300000003</v>
      </c>
    </row>
    <row r="368" spans="1:15">
      <c r="A368" s="149">
        <f t="shared" si="19"/>
        <v>868</v>
      </c>
      <c r="B368" s="137"/>
      <c r="C368" s="47" t="s">
        <v>23</v>
      </c>
      <c r="D368" s="47"/>
      <c r="E368" s="47"/>
      <c r="F368" s="339">
        <f>[17]EXPENSES.XNV!S362</f>
        <v>65294.43</v>
      </c>
      <c r="G368" s="339">
        <v>54243.8</v>
      </c>
      <c r="I368" s="339">
        <f t="shared" si="17"/>
        <v>65294.43</v>
      </c>
      <c r="J368" s="339">
        <f t="shared" si="20"/>
        <v>0</v>
      </c>
      <c r="K368" s="216">
        <f t="shared" si="18"/>
        <v>363</v>
      </c>
      <c r="N368" s="339">
        <v>32666.75</v>
      </c>
      <c r="O368" s="1">
        <v>44885.149999999994</v>
      </c>
    </row>
    <row r="369" spans="1:15" ht="13.5" thickBot="1">
      <c r="A369" s="149">
        <f t="shared" si="19"/>
        <v>869</v>
      </c>
      <c r="B369" s="137"/>
      <c r="C369" s="47" t="s">
        <v>145</v>
      </c>
      <c r="D369" s="47"/>
      <c r="E369" s="47"/>
      <c r="F369" s="340">
        <f>SUM(F367:F368)</f>
        <v>3488795.1700000004</v>
      </c>
      <c r="G369" s="340">
        <v>3408172.41</v>
      </c>
      <c r="I369" s="340">
        <f t="shared" si="17"/>
        <v>3488795.1700000004</v>
      </c>
      <c r="J369" s="340">
        <f t="shared" si="20"/>
        <v>0</v>
      </c>
      <c r="K369" s="216">
        <f t="shared" si="18"/>
        <v>364</v>
      </c>
      <c r="N369" s="340">
        <v>2600354.4499999997</v>
      </c>
      <c r="O369" s="1">
        <v>3103961.6799999997</v>
      </c>
    </row>
    <row r="370" spans="1:15" ht="13.5" thickTop="1">
      <c r="A370" s="149">
        <f t="shared" si="19"/>
        <v>870</v>
      </c>
      <c r="B370" s="137">
        <v>931</v>
      </c>
      <c r="C370" s="47" t="s">
        <v>346</v>
      </c>
      <c r="D370" s="47"/>
      <c r="E370" s="47"/>
      <c r="F370" s="339"/>
      <c r="G370" s="339"/>
      <c r="I370" s="339">
        <f t="shared" si="17"/>
        <v>0</v>
      </c>
      <c r="J370" s="339">
        <f t="shared" si="20"/>
        <v>0</v>
      </c>
      <c r="K370" s="216">
        <f t="shared" si="18"/>
        <v>365</v>
      </c>
      <c r="N370" s="339"/>
      <c r="O370" s="1"/>
    </row>
    <row r="371" spans="1:15">
      <c r="A371" s="149">
        <f t="shared" si="19"/>
        <v>871</v>
      </c>
      <c r="B371" s="137"/>
      <c r="C371" s="47" t="s">
        <v>12</v>
      </c>
      <c r="D371" s="47"/>
      <c r="E371" s="47"/>
      <c r="F371" s="339">
        <f>[17]EXPENSES.XNV!S365</f>
        <v>129.09</v>
      </c>
      <c r="G371" s="339">
        <v>0</v>
      </c>
      <c r="I371" s="339">
        <f t="shared" si="17"/>
        <v>129.09</v>
      </c>
      <c r="J371" s="339">
        <f t="shared" si="20"/>
        <v>0</v>
      </c>
      <c r="K371" s="216">
        <f t="shared" si="18"/>
        <v>366</v>
      </c>
      <c r="N371" s="339">
        <v>92880</v>
      </c>
      <c r="O371" s="1">
        <v>46440</v>
      </c>
    </row>
    <row r="372" spans="1:15">
      <c r="A372" s="149">
        <f t="shared" si="19"/>
        <v>872</v>
      </c>
      <c r="B372" s="137"/>
      <c r="C372" s="47" t="s">
        <v>23</v>
      </c>
      <c r="D372" s="47"/>
      <c r="E372" s="47"/>
      <c r="F372" s="339">
        <f>[17]EXPENSES.XNV!S366</f>
        <v>109075.38</v>
      </c>
      <c r="G372" s="339">
        <v>182453.29</v>
      </c>
      <c r="I372" s="339">
        <f t="shared" si="17"/>
        <v>109075.38</v>
      </c>
      <c r="J372" s="339">
        <f t="shared" si="20"/>
        <v>0</v>
      </c>
      <c r="K372" s="216">
        <f t="shared" si="18"/>
        <v>367</v>
      </c>
      <c r="N372" s="339">
        <v>98873.04</v>
      </c>
      <c r="O372" s="1">
        <v>139738.03</v>
      </c>
    </row>
    <row r="373" spans="1:15" ht="13.5" thickBot="1">
      <c r="A373" s="149">
        <f t="shared" si="19"/>
        <v>873</v>
      </c>
      <c r="B373" s="137"/>
      <c r="C373" s="47" t="s">
        <v>145</v>
      </c>
      <c r="D373" s="47"/>
      <c r="E373" s="47"/>
      <c r="F373" s="340">
        <f>SUM(F371:F372)</f>
        <v>109204.47</v>
      </c>
      <c r="G373" s="340">
        <v>182453.29</v>
      </c>
      <c r="I373" s="340">
        <f t="shared" si="17"/>
        <v>109204.47</v>
      </c>
      <c r="J373" s="340">
        <f t="shared" si="20"/>
        <v>0</v>
      </c>
      <c r="K373" s="216">
        <f t="shared" si="18"/>
        <v>368</v>
      </c>
      <c r="N373" s="340">
        <v>191753.03999999998</v>
      </c>
      <c r="O373" s="1">
        <v>186178.03</v>
      </c>
    </row>
    <row r="374" spans="1:15" ht="13.5" thickTop="1">
      <c r="A374" s="149">
        <f t="shared" si="19"/>
        <v>874</v>
      </c>
      <c r="B374" s="137" t="s">
        <v>764</v>
      </c>
      <c r="C374" s="47" t="s">
        <v>394</v>
      </c>
      <c r="D374" s="47"/>
      <c r="E374" s="47"/>
      <c r="F374" s="339"/>
      <c r="G374" s="339"/>
      <c r="I374" s="339">
        <f t="shared" si="17"/>
        <v>0</v>
      </c>
      <c r="J374" s="339">
        <f t="shared" si="20"/>
        <v>0</v>
      </c>
      <c r="K374" s="216">
        <f t="shared" si="18"/>
        <v>369</v>
      </c>
      <c r="N374" s="339"/>
      <c r="O374" s="1"/>
    </row>
    <row r="375" spans="1:15">
      <c r="A375" s="149">
        <f t="shared" si="19"/>
        <v>875</v>
      </c>
      <c r="B375" s="137"/>
      <c r="C375" s="47" t="s">
        <v>12</v>
      </c>
      <c r="D375" s="47"/>
      <c r="E375" s="47"/>
      <c r="F375" s="339">
        <f>[17]EXPENSES.XNV!S369</f>
        <v>781483.2</v>
      </c>
      <c r="G375" s="339">
        <v>733585.32000000007</v>
      </c>
      <c r="I375" s="339">
        <f t="shared" si="17"/>
        <v>781483.2</v>
      </c>
      <c r="J375" s="339">
        <f t="shared" si="20"/>
        <v>0</v>
      </c>
      <c r="K375" s="216">
        <f t="shared" si="18"/>
        <v>370</v>
      </c>
      <c r="N375" s="339">
        <v>808826.98000000021</v>
      </c>
      <c r="O375" s="1">
        <v>797253.48</v>
      </c>
    </row>
    <row r="376" spans="1:15">
      <c r="A376" s="149">
        <f t="shared" si="19"/>
        <v>876</v>
      </c>
      <c r="B376" s="137"/>
      <c r="C376" s="47" t="s">
        <v>23</v>
      </c>
      <c r="D376" s="47"/>
      <c r="E376" s="47"/>
      <c r="F376" s="339">
        <f>[17]EXPENSES.XNV!S370</f>
        <v>26162.489999999998</v>
      </c>
      <c r="G376" s="339">
        <v>36654.89</v>
      </c>
      <c r="I376" s="339">
        <f t="shared" si="17"/>
        <v>26162.489999999998</v>
      </c>
      <c r="J376" s="339">
        <f t="shared" si="20"/>
        <v>0</v>
      </c>
      <c r="K376" s="216">
        <f t="shared" si="18"/>
        <v>371</v>
      </c>
      <c r="N376" s="339">
        <v>31777.780000000002</v>
      </c>
      <c r="O376" s="1">
        <v>43332.17</v>
      </c>
    </row>
    <row r="377" spans="1:15" ht="13.5" thickBot="1">
      <c r="A377" s="149">
        <f t="shared" si="19"/>
        <v>877</v>
      </c>
      <c r="B377" s="137"/>
      <c r="C377" s="47" t="s">
        <v>145</v>
      </c>
      <c r="D377" s="47"/>
      <c r="E377" s="47"/>
      <c r="F377" s="340">
        <f>SUM(F375:F376)</f>
        <v>807645.69</v>
      </c>
      <c r="G377" s="340">
        <v>770240.21000000008</v>
      </c>
      <c r="I377" s="340">
        <f t="shared" si="17"/>
        <v>807645.69</v>
      </c>
      <c r="J377" s="340">
        <f t="shared" si="20"/>
        <v>0</v>
      </c>
      <c r="K377" s="216">
        <f t="shared" si="18"/>
        <v>372</v>
      </c>
      <c r="N377" s="340">
        <v>840604.76000000024</v>
      </c>
      <c r="O377" s="1">
        <v>840585.65</v>
      </c>
    </row>
    <row r="378" spans="1:15" ht="13.5" thickTop="1">
      <c r="A378" s="149">
        <f t="shared" si="19"/>
        <v>878</v>
      </c>
      <c r="B378" s="136"/>
      <c r="C378" s="47"/>
      <c r="D378" s="47"/>
      <c r="E378" s="47"/>
      <c r="F378" s="339"/>
      <c r="G378" s="339"/>
      <c r="I378" s="339">
        <f t="shared" si="17"/>
        <v>0</v>
      </c>
      <c r="J378" s="339">
        <f t="shared" si="20"/>
        <v>0</v>
      </c>
      <c r="K378" s="216">
        <f t="shared" si="18"/>
        <v>373</v>
      </c>
      <c r="N378" s="339"/>
      <c r="O378" s="1"/>
    </row>
    <row r="379" spans="1:15">
      <c r="A379" s="149">
        <f t="shared" si="19"/>
        <v>879</v>
      </c>
      <c r="B379" s="141" t="s">
        <v>395</v>
      </c>
      <c r="D379" s="47"/>
      <c r="E379" s="47"/>
      <c r="F379" s="339"/>
      <c r="G379" s="339"/>
      <c r="I379" s="339">
        <f t="shared" si="17"/>
        <v>0</v>
      </c>
      <c r="J379" s="339">
        <f t="shared" si="20"/>
        <v>0</v>
      </c>
      <c r="K379" s="216">
        <f t="shared" si="18"/>
        <v>374</v>
      </c>
      <c r="N379" s="339"/>
      <c r="O379" s="1"/>
    </row>
    <row r="380" spans="1:15">
      <c r="A380" s="149">
        <f t="shared" si="19"/>
        <v>880</v>
      </c>
      <c r="B380" s="136"/>
      <c r="C380" s="206" t="s">
        <v>597</v>
      </c>
      <c r="D380" s="47"/>
      <c r="E380" s="47"/>
      <c r="F380" s="339">
        <f>F375+F371+F367+F363+F359+F355+F351+F347+F343+F339+F335+F331</f>
        <v>32918617.580000002</v>
      </c>
      <c r="G380" s="339">
        <v>31350314.879999995</v>
      </c>
      <c r="I380" s="339">
        <f t="shared" si="17"/>
        <v>32918617.580000002</v>
      </c>
      <c r="J380" s="339">
        <f t="shared" si="20"/>
        <v>0</v>
      </c>
      <c r="K380" s="216">
        <f t="shared" si="18"/>
        <v>375</v>
      </c>
      <c r="N380" s="339">
        <f>N375+N371+N367+N363+N359+N355+N351+N347+N343+N339+N335+N331</f>
        <v>35342963.910000004</v>
      </c>
      <c r="O380" s="1"/>
    </row>
    <row r="381" spans="1:15">
      <c r="A381" s="149">
        <f t="shared" si="19"/>
        <v>881</v>
      </c>
      <c r="B381" s="136"/>
      <c r="C381" s="206" t="s">
        <v>598</v>
      </c>
      <c r="D381" s="47"/>
      <c r="E381" s="47"/>
      <c r="F381" s="339">
        <f>F376+F372+F368+F364+F360+F356+F352+F348+F344+F340+F336+F332</f>
        <v>1307688.05</v>
      </c>
      <c r="G381" s="339">
        <v>1395046.15</v>
      </c>
      <c r="I381" s="339">
        <f t="shared" si="17"/>
        <v>1307688.05</v>
      </c>
      <c r="J381" s="339">
        <f t="shared" si="20"/>
        <v>0</v>
      </c>
      <c r="K381" s="216">
        <f t="shared" si="18"/>
        <v>376</v>
      </c>
      <c r="N381" s="339">
        <f>N376+N372+N368+N364+N360+N356+N352+N348+N344+N340+N336+N332</f>
        <v>1529247.2799999996</v>
      </c>
      <c r="O381" s="1"/>
    </row>
    <row r="382" spans="1:15" ht="13.5" thickBot="1">
      <c r="A382" s="149">
        <f t="shared" si="19"/>
        <v>882</v>
      </c>
      <c r="B382" s="136"/>
      <c r="C382" s="141" t="s">
        <v>395</v>
      </c>
      <c r="D382" s="47"/>
      <c r="E382" s="47"/>
      <c r="F382" s="346">
        <f>SUM(F380:F381)</f>
        <v>34226305.630000003</v>
      </c>
      <c r="G382" s="346">
        <v>32745361.029999994</v>
      </c>
      <c r="I382" s="346">
        <f t="shared" si="17"/>
        <v>34226305.630000003</v>
      </c>
      <c r="J382" s="346">
        <f t="shared" si="20"/>
        <v>0</v>
      </c>
      <c r="K382" s="216">
        <f t="shared" si="18"/>
        <v>377</v>
      </c>
      <c r="N382" s="346">
        <f>SUM(N380:N381)</f>
        <v>36872211.190000005</v>
      </c>
      <c r="O382" s="1"/>
    </row>
    <row r="383" spans="1:15">
      <c r="A383" s="149">
        <f t="shared" si="19"/>
        <v>883</v>
      </c>
      <c r="B383" s="136"/>
      <c r="C383" s="141" t="s">
        <v>248</v>
      </c>
      <c r="D383" s="47"/>
      <c r="E383" s="47"/>
      <c r="F383" s="339">
        <f>+F382+F326+F298+F244+F141</f>
        <v>159424946.91999999</v>
      </c>
      <c r="G383" s="339">
        <v>153409084.65999997</v>
      </c>
      <c r="I383" s="339">
        <f t="shared" si="17"/>
        <v>159424946.91999999</v>
      </c>
      <c r="J383" s="339">
        <f t="shared" si="20"/>
        <v>0</v>
      </c>
      <c r="K383" s="216">
        <f t="shared" si="18"/>
        <v>378</v>
      </c>
      <c r="N383" s="339">
        <f>+N382+N326+N298+N244+N141</f>
        <v>144586031.14000002</v>
      </c>
      <c r="O383" s="1"/>
    </row>
    <row r="384" spans="1:15" ht="13.5" thickBot="1">
      <c r="B384" s="75"/>
      <c r="C384" s="75"/>
      <c r="D384" s="75"/>
      <c r="E384" s="75"/>
      <c r="F384" s="373"/>
      <c r="G384" s="373"/>
      <c r="I384" s="355">
        <f t="shared" si="17"/>
        <v>0</v>
      </c>
      <c r="J384" s="373"/>
      <c r="K384" s="216">
        <f t="shared" si="18"/>
        <v>379</v>
      </c>
      <c r="N384" s="373"/>
      <c r="O384" s="1">
        <v>763235.90999999992</v>
      </c>
    </row>
    <row r="385" spans="1:17">
      <c r="B385" s="70" t="s">
        <v>461</v>
      </c>
      <c r="F385" s="337"/>
      <c r="G385" s="337"/>
      <c r="I385" s="337">
        <f t="shared" si="17"/>
        <v>0</v>
      </c>
      <c r="J385" s="337"/>
      <c r="K385" s="216">
        <f t="shared" si="18"/>
        <v>380</v>
      </c>
      <c r="N385" s="337"/>
      <c r="O385" s="1">
        <v>2446196.2700000005</v>
      </c>
    </row>
    <row r="386" spans="1:17">
      <c r="A386" s="149"/>
      <c r="B386" s="136"/>
      <c r="C386" s="141"/>
      <c r="D386" s="47"/>
      <c r="E386" s="47"/>
      <c r="F386" s="339"/>
      <c r="G386" s="339"/>
      <c r="I386" s="339">
        <f t="shared" si="17"/>
        <v>0</v>
      </c>
      <c r="J386" s="339"/>
      <c r="K386" s="216">
        <f t="shared" si="18"/>
        <v>381</v>
      </c>
      <c r="N386" s="339"/>
      <c r="O386" s="1">
        <v>75793719.209999993</v>
      </c>
    </row>
    <row r="387" spans="1:17">
      <c r="A387" s="426">
        <f>+A383+1</f>
        <v>884</v>
      </c>
      <c r="B387" s="427">
        <v>403</v>
      </c>
      <c r="C387" s="428" t="s">
        <v>398</v>
      </c>
      <c r="D387" s="428"/>
      <c r="E387" s="428"/>
      <c r="F387" s="337"/>
      <c r="G387" s="337"/>
      <c r="I387" s="337">
        <f t="shared" si="17"/>
        <v>0</v>
      </c>
      <c r="J387" s="337"/>
      <c r="K387" s="216">
        <f t="shared" si="18"/>
        <v>382</v>
      </c>
      <c r="N387" s="337"/>
      <c r="O387" s="1">
        <v>7185958.2700000005</v>
      </c>
    </row>
    <row r="388" spans="1:17">
      <c r="A388" s="426">
        <f t="shared" si="19"/>
        <v>885</v>
      </c>
      <c r="B388" s="427"/>
      <c r="C388" s="428"/>
      <c r="D388" s="428" t="s">
        <v>399</v>
      </c>
      <c r="E388" s="428"/>
      <c r="F388" s="339">
        <f>[17]EXPENSES.XNV!S385</f>
        <v>677344.67999999993</v>
      </c>
      <c r="G388" s="339">
        <v>729372.99</v>
      </c>
      <c r="I388" s="339">
        <f t="shared" si="17"/>
        <v>677344.67999999993</v>
      </c>
      <c r="J388" s="339">
        <f>+I388-F388</f>
        <v>0</v>
      </c>
      <c r="K388" s="216">
        <f t="shared" si="18"/>
        <v>383</v>
      </c>
      <c r="N388" s="339">
        <v>833622.6399999999</v>
      </c>
      <c r="O388" s="1">
        <v>86189109.659999996</v>
      </c>
    </row>
    <row r="389" spans="1:17">
      <c r="A389" s="426">
        <f t="shared" si="19"/>
        <v>886</v>
      </c>
      <c r="B389" s="427"/>
      <c r="C389" s="428"/>
      <c r="D389" s="428" t="s">
        <v>542</v>
      </c>
      <c r="E389" s="428"/>
      <c r="F389" s="339">
        <f>[17]EXPENSES.XNV!S386</f>
        <v>2532942.0300000003</v>
      </c>
      <c r="G389" s="339">
        <v>2490887.9800000004</v>
      </c>
      <c r="I389" s="339">
        <f t="shared" si="17"/>
        <v>2532942.0300000003</v>
      </c>
      <c r="J389" s="339">
        <f>+I389-F389</f>
        <v>0</v>
      </c>
      <c r="K389" s="216">
        <f t="shared" si="18"/>
        <v>384</v>
      </c>
      <c r="N389" s="339">
        <v>2408685.5700000003</v>
      </c>
      <c r="O389" s="1"/>
      <c r="Q389" s="1">
        <f>F390-G390</f>
        <v>5437700.0799999982</v>
      </c>
    </row>
    <row r="390" spans="1:17">
      <c r="A390" s="426">
        <f t="shared" si="19"/>
        <v>887</v>
      </c>
      <c r="B390" s="427"/>
      <c r="C390" s="428"/>
      <c r="D390" s="428" t="s">
        <v>543</v>
      </c>
      <c r="E390" s="428"/>
      <c r="F390" s="339">
        <f>[17]EXPENSES.XNV!S387</f>
        <v>84756223.760000005</v>
      </c>
      <c r="G390" s="339">
        <v>79318523.680000007</v>
      </c>
      <c r="I390" s="339">
        <f t="shared" si="17"/>
        <v>84756223.760000005</v>
      </c>
      <c r="J390" s="339">
        <f>+I390-F390</f>
        <v>0</v>
      </c>
      <c r="K390" s="216">
        <f t="shared" si="18"/>
        <v>385</v>
      </c>
      <c r="N390" s="339">
        <v>73350145.979999989</v>
      </c>
      <c r="O390" s="1"/>
    </row>
    <row r="391" spans="1:17">
      <c r="A391" s="426">
        <f t="shared" si="19"/>
        <v>888</v>
      </c>
      <c r="B391" s="427"/>
      <c r="C391" s="428"/>
      <c r="D391" s="428" t="s">
        <v>544</v>
      </c>
      <c r="E391" s="428"/>
      <c r="F391" s="339">
        <f>[17]EXPENSES.XNV!S388</f>
        <v>7552499.9100000001</v>
      </c>
      <c r="G391" s="339">
        <v>7309293.6300000008</v>
      </c>
      <c r="I391" s="339">
        <f t="shared" si="17"/>
        <v>7552499.9100000001</v>
      </c>
      <c r="J391" s="339">
        <f>+I391-F391</f>
        <v>0</v>
      </c>
      <c r="K391" s="216">
        <f t="shared" si="18"/>
        <v>386</v>
      </c>
      <c r="N391" s="339">
        <v>7178595.4300000006</v>
      </c>
      <c r="O391" s="1">
        <v>0</v>
      </c>
      <c r="Q391" s="1">
        <f>F392-G392</f>
        <v>5670932.099999994</v>
      </c>
    </row>
    <row r="392" spans="1:17">
      <c r="A392" s="426">
        <f t="shared" si="19"/>
        <v>889</v>
      </c>
      <c r="B392" s="427"/>
      <c r="C392" s="428"/>
      <c r="D392" s="428" t="s">
        <v>545</v>
      </c>
      <c r="E392" s="428"/>
      <c r="F392" s="1063">
        <f>SUM(F388:F391)</f>
        <v>95519010.379999995</v>
      </c>
      <c r="G392" s="344">
        <v>89848078.280000001</v>
      </c>
      <c r="I392" s="344">
        <f t="shared" si="17"/>
        <v>95519010.379999995</v>
      </c>
      <c r="J392" s="344">
        <f>+I392-F392</f>
        <v>0</v>
      </c>
      <c r="K392" s="216">
        <f t="shared" si="18"/>
        <v>387</v>
      </c>
      <c r="N392" s="344">
        <v>83771049.61999999</v>
      </c>
      <c r="O392" s="1">
        <v>0</v>
      </c>
    </row>
    <row r="393" spans="1:17">
      <c r="A393" s="149">
        <f t="shared" si="19"/>
        <v>890</v>
      </c>
      <c r="B393" s="137"/>
      <c r="C393" s="47"/>
      <c r="D393" s="47"/>
      <c r="E393" s="47"/>
      <c r="F393" s="339"/>
      <c r="G393" s="339"/>
      <c r="I393" s="339">
        <f t="shared" si="17"/>
        <v>0</v>
      </c>
      <c r="J393" s="339"/>
      <c r="K393" s="216">
        <f t="shared" si="18"/>
        <v>388</v>
      </c>
      <c r="N393" s="339"/>
      <c r="O393" s="1">
        <v>0</v>
      </c>
    </row>
    <row r="394" spans="1:17">
      <c r="A394" s="149">
        <f t="shared" si="19"/>
        <v>891</v>
      </c>
      <c r="B394" s="137">
        <v>404</v>
      </c>
      <c r="C394" s="47" t="s">
        <v>546</v>
      </c>
      <c r="D394" s="47"/>
      <c r="E394" s="47"/>
      <c r="F394" s="339"/>
      <c r="G394" s="339"/>
      <c r="I394" s="339">
        <f t="shared" si="17"/>
        <v>0</v>
      </c>
      <c r="J394" s="339"/>
      <c r="K394" s="216">
        <f t="shared" si="18"/>
        <v>389</v>
      </c>
      <c r="N394" s="339"/>
      <c r="O394" s="1">
        <v>0</v>
      </c>
    </row>
    <row r="395" spans="1:17">
      <c r="A395" s="149">
        <f t="shared" si="19"/>
        <v>892</v>
      </c>
      <c r="B395" s="137"/>
      <c r="C395" s="47"/>
      <c r="D395" s="47" t="s">
        <v>399</v>
      </c>
      <c r="E395" s="47"/>
      <c r="F395" s="339">
        <f>[17]EXPENSES.XNV!S392</f>
        <v>0</v>
      </c>
      <c r="G395" s="339">
        <v>0</v>
      </c>
      <c r="I395" s="339">
        <f t="shared" si="17"/>
        <v>0</v>
      </c>
      <c r="J395" s="339">
        <f t="shared" ref="J395:J401" si="21">+I395-F395</f>
        <v>0</v>
      </c>
      <c r="K395" s="216">
        <f t="shared" si="18"/>
        <v>390</v>
      </c>
      <c r="N395" s="339">
        <v>0</v>
      </c>
      <c r="O395" s="1">
        <v>0</v>
      </c>
    </row>
    <row r="396" spans="1:17">
      <c r="A396" s="149">
        <f t="shared" si="19"/>
        <v>893</v>
      </c>
      <c r="B396" s="137"/>
      <c r="C396" s="47"/>
      <c r="D396" s="47" t="s">
        <v>542</v>
      </c>
      <c r="E396" s="47"/>
      <c r="F396" s="339">
        <f>[17]EXPENSES.XNV!S393</f>
        <v>0</v>
      </c>
      <c r="G396" s="339">
        <v>0</v>
      </c>
      <c r="I396" s="339">
        <f t="shared" si="17"/>
        <v>0</v>
      </c>
      <c r="J396" s="339">
        <f t="shared" si="21"/>
        <v>0</v>
      </c>
      <c r="K396" s="216">
        <f t="shared" si="18"/>
        <v>391</v>
      </c>
      <c r="N396" s="339">
        <v>0</v>
      </c>
      <c r="O396" s="1"/>
    </row>
    <row r="397" spans="1:17">
      <c r="A397" s="149">
        <f t="shared" si="19"/>
        <v>894</v>
      </c>
      <c r="B397" s="137"/>
      <c r="C397" s="47"/>
      <c r="D397" s="47" t="s">
        <v>543</v>
      </c>
      <c r="E397" s="47"/>
      <c r="F397" s="339">
        <f>[17]EXPENSES.XNV!S394</f>
        <v>0</v>
      </c>
      <c r="G397" s="339">
        <v>0</v>
      </c>
      <c r="I397" s="339">
        <f t="shared" si="17"/>
        <v>0</v>
      </c>
      <c r="J397" s="339">
        <f t="shared" si="21"/>
        <v>0</v>
      </c>
      <c r="K397" s="216">
        <f t="shared" si="18"/>
        <v>392</v>
      </c>
      <c r="N397" s="339">
        <v>0</v>
      </c>
      <c r="O397" s="1">
        <v>86189109.659999996</v>
      </c>
    </row>
    <row r="398" spans="1:17">
      <c r="A398" s="149">
        <f t="shared" si="19"/>
        <v>895</v>
      </c>
      <c r="B398" s="137"/>
      <c r="C398" s="47"/>
      <c r="D398" s="47" t="s">
        <v>544</v>
      </c>
      <c r="E398" s="47"/>
      <c r="F398" s="339">
        <f>[17]EXPENSES.XNV!S395</f>
        <v>0</v>
      </c>
      <c r="G398" s="339">
        <v>33060.39</v>
      </c>
      <c r="I398" s="339">
        <f t="shared" si="17"/>
        <v>0</v>
      </c>
      <c r="J398" s="339">
        <f t="shared" si="21"/>
        <v>0</v>
      </c>
      <c r="K398" s="216">
        <f t="shared" si="18"/>
        <v>393</v>
      </c>
      <c r="N398" s="339">
        <v>0</v>
      </c>
      <c r="O398" s="1"/>
    </row>
    <row r="399" spans="1:17">
      <c r="A399" s="149">
        <f t="shared" si="19"/>
        <v>896</v>
      </c>
      <c r="B399" s="137"/>
      <c r="C399" s="47"/>
      <c r="D399" s="47" t="s">
        <v>547</v>
      </c>
      <c r="E399" s="47"/>
      <c r="F399" s="1063">
        <f>SUM(F395:F398)</f>
        <v>0</v>
      </c>
      <c r="G399" s="344">
        <v>33060.39</v>
      </c>
      <c r="I399" s="344">
        <f t="shared" si="17"/>
        <v>0</v>
      </c>
      <c r="J399" s="344">
        <f t="shared" si="21"/>
        <v>0</v>
      </c>
      <c r="K399" s="216">
        <f t="shared" si="18"/>
        <v>394</v>
      </c>
      <c r="N399" s="344">
        <v>0</v>
      </c>
      <c r="O399" s="1"/>
    </row>
    <row r="400" spans="1:17" ht="13.5" thickBot="1">
      <c r="A400" s="149">
        <f t="shared" si="19"/>
        <v>897</v>
      </c>
      <c r="B400" s="137"/>
      <c r="C400" s="47"/>
      <c r="D400" s="47"/>
      <c r="E400" s="47"/>
      <c r="F400" s="342"/>
      <c r="G400" s="342"/>
      <c r="I400" s="342">
        <f t="shared" si="17"/>
        <v>0</v>
      </c>
      <c r="J400" s="342">
        <f t="shared" si="21"/>
        <v>0</v>
      </c>
      <c r="K400" s="216">
        <f t="shared" si="18"/>
        <v>395</v>
      </c>
      <c r="N400" s="342"/>
      <c r="O400" s="1"/>
    </row>
    <row r="401" spans="1:15">
      <c r="A401" s="149">
        <f t="shared" si="19"/>
        <v>898</v>
      </c>
      <c r="B401" s="137"/>
      <c r="C401" s="141" t="s">
        <v>602</v>
      </c>
      <c r="D401" s="47"/>
      <c r="E401" s="47"/>
      <c r="F401" s="339">
        <f>F399+F392</f>
        <v>95519010.379999995</v>
      </c>
      <c r="G401" s="339">
        <v>89881138.670000002</v>
      </c>
      <c r="I401" s="339">
        <f t="shared" ref="I401:I431" si="22">HLOOKUP($I$6,$F$6:$G$431,K401,FALSE)</f>
        <v>95519010.379999995</v>
      </c>
      <c r="J401" s="339">
        <f t="shared" si="21"/>
        <v>0</v>
      </c>
      <c r="K401" s="216">
        <f t="shared" si="18"/>
        <v>396</v>
      </c>
      <c r="N401" s="339">
        <f>N399+N392</f>
        <v>83771049.61999999</v>
      </c>
      <c r="O401" s="1">
        <v>0</v>
      </c>
    </row>
    <row r="402" spans="1:15">
      <c r="A402" s="149">
        <f t="shared" si="19"/>
        <v>899</v>
      </c>
      <c r="B402" s="137"/>
      <c r="C402" s="47"/>
      <c r="D402" s="47"/>
      <c r="E402" s="47"/>
      <c r="F402" s="339"/>
      <c r="G402" s="339"/>
      <c r="I402" s="339">
        <f t="shared" si="22"/>
        <v>0</v>
      </c>
      <c r="J402" s="339"/>
      <c r="K402" s="216">
        <f t="shared" si="18"/>
        <v>397</v>
      </c>
      <c r="N402" s="339"/>
      <c r="O402" s="1">
        <v>1099537.8499999999</v>
      </c>
    </row>
    <row r="403" spans="1:15">
      <c r="A403" s="149">
        <f t="shared" si="19"/>
        <v>900</v>
      </c>
      <c r="B403" s="200" t="s">
        <v>603</v>
      </c>
      <c r="C403" s="47"/>
      <c r="D403" s="47"/>
      <c r="E403" s="47"/>
      <c r="F403" s="339"/>
      <c r="G403" s="339"/>
      <c r="I403" s="339">
        <f t="shared" si="22"/>
        <v>0</v>
      </c>
      <c r="J403" s="339"/>
      <c r="K403" s="216">
        <f t="shared" ref="K403:K450" si="23">+K402+1</f>
        <v>398</v>
      </c>
      <c r="N403" s="339"/>
      <c r="O403" s="1">
        <v>25223332.700000003</v>
      </c>
    </row>
    <row r="404" spans="1:15">
      <c r="A404" s="149">
        <f t="shared" si="19"/>
        <v>901</v>
      </c>
      <c r="B404" s="137">
        <v>408</v>
      </c>
      <c r="C404" s="47" t="s">
        <v>548</v>
      </c>
      <c r="D404" s="47"/>
      <c r="E404" s="47"/>
      <c r="F404" s="339"/>
      <c r="G404" s="339"/>
      <c r="I404" s="339">
        <f t="shared" si="22"/>
        <v>0</v>
      </c>
      <c r="J404" s="339"/>
      <c r="K404" s="216">
        <f t="shared" si="23"/>
        <v>399</v>
      </c>
      <c r="N404" s="339"/>
      <c r="O404" s="1">
        <v>1012464.17</v>
      </c>
    </row>
    <row r="405" spans="1:15">
      <c r="A405" s="149">
        <f t="shared" si="19"/>
        <v>902</v>
      </c>
      <c r="B405" s="136"/>
      <c r="C405" s="47"/>
      <c r="D405" s="47" t="s">
        <v>399</v>
      </c>
      <c r="E405" s="47"/>
      <c r="F405" s="339">
        <f>[17]EXPENSES.XNV!S402</f>
        <v>0</v>
      </c>
      <c r="G405" s="339">
        <v>0</v>
      </c>
      <c r="I405" s="339">
        <f t="shared" si="22"/>
        <v>0</v>
      </c>
      <c r="J405" s="339">
        <f>+I405-F405</f>
        <v>0</v>
      </c>
      <c r="K405" s="216">
        <f t="shared" si="23"/>
        <v>400</v>
      </c>
      <c r="N405" s="339">
        <v>0</v>
      </c>
      <c r="O405" s="1">
        <v>27335334.719999999</v>
      </c>
    </row>
    <row r="406" spans="1:15">
      <c r="A406" s="149">
        <f t="shared" si="19"/>
        <v>903</v>
      </c>
      <c r="B406" s="136"/>
      <c r="C406" s="47"/>
      <c r="D406" s="47" t="s">
        <v>542</v>
      </c>
      <c r="E406" s="47"/>
      <c r="F406" s="339">
        <f>[17]EXPENSES.XNV!S403</f>
        <v>1220129.75</v>
      </c>
      <c r="G406" s="339">
        <v>1128961.8699999999</v>
      </c>
      <c r="I406" s="339">
        <f t="shared" si="22"/>
        <v>1220129.75</v>
      </c>
      <c r="J406" s="339">
        <f>+I406-F406</f>
        <v>0</v>
      </c>
      <c r="K406" s="216">
        <f t="shared" si="23"/>
        <v>401</v>
      </c>
      <c r="N406" s="339">
        <v>1053030.1499999999</v>
      </c>
      <c r="O406" s="1"/>
    </row>
    <row r="407" spans="1:15">
      <c r="A407" s="149">
        <f t="shared" si="19"/>
        <v>904</v>
      </c>
      <c r="B407" s="136"/>
      <c r="C407" s="47"/>
      <c r="D407" s="47" t="s">
        <v>543</v>
      </c>
      <c r="E407" s="47"/>
      <c r="F407" s="339">
        <f>[17]EXPENSES.XNV!S404</f>
        <v>24243239.060000002</v>
      </c>
      <c r="G407" s="339">
        <v>24273547.700000003</v>
      </c>
      <c r="I407" s="339">
        <f t="shared" si="22"/>
        <v>24243239.060000002</v>
      </c>
      <c r="J407" s="339">
        <f>+I407-F407</f>
        <v>0</v>
      </c>
      <c r="K407" s="216">
        <f t="shared" si="23"/>
        <v>402</v>
      </c>
      <c r="N407" s="339">
        <v>25339070.68</v>
      </c>
      <c r="O407" s="1">
        <v>25175578.280000009</v>
      </c>
    </row>
    <row r="408" spans="1:15">
      <c r="A408" s="149">
        <f t="shared" si="19"/>
        <v>905</v>
      </c>
      <c r="B408" s="136"/>
      <c r="C408" s="47"/>
      <c r="D408" s="47" t="s">
        <v>544</v>
      </c>
      <c r="E408" s="47"/>
      <c r="F408" s="345">
        <f>[17]EXPENSES.XNV!S405</f>
        <v>1255099.78</v>
      </c>
      <c r="G408" s="345">
        <v>1096119.6000000001</v>
      </c>
      <c r="I408" s="345">
        <f t="shared" si="22"/>
        <v>1255099.78</v>
      </c>
      <c r="J408" s="345">
        <f>+I408-F408</f>
        <v>0</v>
      </c>
      <c r="K408" s="216">
        <f t="shared" si="23"/>
        <v>403</v>
      </c>
      <c r="N408" s="345">
        <v>1335102.8700000001</v>
      </c>
      <c r="O408" s="1"/>
    </row>
    <row r="409" spans="1:15">
      <c r="A409" s="149">
        <f t="shared" si="19"/>
        <v>906</v>
      </c>
      <c r="B409" s="136"/>
      <c r="C409" s="47"/>
      <c r="D409" s="47" t="s">
        <v>549</v>
      </c>
      <c r="E409" s="47"/>
      <c r="F409" s="339">
        <f>[17]EXPENSES.XNV!S406</f>
        <v>26718468.589999996</v>
      </c>
      <c r="G409" s="339">
        <v>26498629.170000006</v>
      </c>
      <c r="I409" s="339">
        <f t="shared" si="22"/>
        <v>26718468.589999996</v>
      </c>
      <c r="J409" s="339">
        <f>+I409-F409</f>
        <v>0</v>
      </c>
      <c r="K409" s="216">
        <f t="shared" si="23"/>
        <v>404</v>
      </c>
      <c r="N409" s="339">
        <v>27727203.699999999</v>
      </c>
      <c r="O409" s="1">
        <v>6058279.790000001</v>
      </c>
    </row>
    <row r="410" spans="1:15">
      <c r="A410" s="149">
        <f t="shared" si="19"/>
        <v>907</v>
      </c>
      <c r="B410" s="136"/>
      <c r="C410" s="47"/>
      <c r="D410" s="47"/>
      <c r="E410" s="47"/>
      <c r="F410" s="339"/>
      <c r="G410" s="339"/>
      <c r="I410" s="339">
        <f t="shared" si="22"/>
        <v>0</v>
      </c>
      <c r="J410" s="339"/>
      <c r="K410" s="216">
        <f t="shared" si="23"/>
        <v>405</v>
      </c>
      <c r="N410" s="339"/>
      <c r="O410" s="1"/>
    </row>
    <row r="411" spans="1:15">
      <c r="A411" s="149">
        <f t="shared" si="19"/>
        <v>908</v>
      </c>
      <c r="B411" s="137">
        <v>4090</v>
      </c>
      <c r="C411" s="47" t="s">
        <v>551</v>
      </c>
      <c r="D411" s="47"/>
      <c r="E411" s="47"/>
      <c r="F411" s="339">
        <f>[17]EXPENSES.XNV!S408</f>
        <v>-49778191.43999999</v>
      </c>
      <c r="G411" s="339">
        <v>-7866488.7799999956</v>
      </c>
      <c r="I411" s="339">
        <f t="shared" si="22"/>
        <v>-49778191.43999999</v>
      </c>
      <c r="J411" s="339">
        <f>+I411-F411</f>
        <v>0</v>
      </c>
      <c r="K411" s="216">
        <f t="shared" si="23"/>
        <v>406</v>
      </c>
      <c r="N411" s="339">
        <v>12793169.710000001</v>
      </c>
      <c r="O411" s="1">
        <v>1696614.9099999997</v>
      </c>
    </row>
    <row r="412" spans="1:15">
      <c r="A412" s="149">
        <f t="shared" si="19"/>
        <v>909</v>
      </c>
      <c r="B412" s="137"/>
      <c r="C412" s="47"/>
      <c r="D412" s="47"/>
      <c r="E412" s="47"/>
      <c r="F412" s="339"/>
      <c r="G412" s="339"/>
      <c r="I412" s="339">
        <f t="shared" si="22"/>
        <v>0</v>
      </c>
      <c r="J412" s="339"/>
      <c r="K412" s="216">
        <f t="shared" si="23"/>
        <v>407</v>
      </c>
      <c r="N412" s="339"/>
      <c r="O412" s="1"/>
    </row>
    <row r="413" spans="1:15">
      <c r="A413" s="149">
        <f t="shared" si="19"/>
        <v>910</v>
      </c>
      <c r="B413" s="137">
        <v>4091</v>
      </c>
      <c r="C413" s="47" t="s">
        <v>552</v>
      </c>
      <c r="D413" s="47"/>
      <c r="E413" s="47"/>
      <c r="F413" s="339">
        <f>[17]EXPENSES.XNV!S410</f>
        <v>-11201269.889999997</v>
      </c>
      <c r="G413" s="339">
        <v>-1674383.3199999984</v>
      </c>
      <c r="I413" s="339">
        <f t="shared" si="22"/>
        <v>-11201269.889999997</v>
      </c>
      <c r="J413" s="339">
        <f>+I413-F413</f>
        <v>0</v>
      </c>
      <c r="K413" s="216">
        <f t="shared" si="23"/>
        <v>408</v>
      </c>
      <c r="N413" s="339">
        <v>3219218.3</v>
      </c>
      <c r="O413" s="1">
        <v>1114933.5199999996</v>
      </c>
    </row>
    <row r="414" spans="1:15">
      <c r="A414" s="149">
        <f t="shared" si="19"/>
        <v>911</v>
      </c>
      <c r="B414" s="137"/>
      <c r="C414" s="47"/>
      <c r="D414" s="47"/>
      <c r="E414" s="47"/>
      <c r="F414" s="339"/>
      <c r="G414" s="339"/>
      <c r="I414" s="339">
        <f t="shared" si="22"/>
        <v>0</v>
      </c>
      <c r="J414" s="339"/>
      <c r="K414" s="216">
        <f t="shared" si="23"/>
        <v>409</v>
      </c>
      <c r="N414" s="339"/>
      <c r="O414" s="1"/>
    </row>
    <row r="415" spans="1:15">
      <c r="A415" s="149">
        <f t="shared" si="19"/>
        <v>912</v>
      </c>
      <c r="B415" s="137">
        <v>4101</v>
      </c>
      <c r="C415" s="47" t="s">
        <v>553</v>
      </c>
      <c r="D415" s="47"/>
      <c r="E415" s="47"/>
      <c r="F415" s="339">
        <f>[17]EXPENSES.XNV!S412</f>
        <v>81953891.75</v>
      </c>
      <c r="G415" s="339">
        <v>36328379.219999999</v>
      </c>
      <c r="I415" s="339">
        <f t="shared" si="22"/>
        <v>81953891.75</v>
      </c>
      <c r="J415" s="339">
        <f>+I415-F415</f>
        <v>0</v>
      </c>
      <c r="K415" s="216">
        <f t="shared" si="23"/>
        <v>410</v>
      </c>
      <c r="N415" s="339">
        <v>11626579.249999998</v>
      </c>
      <c r="O415" s="1">
        <v>0</v>
      </c>
    </row>
    <row r="416" spans="1:15">
      <c r="A416" s="149">
        <f t="shared" si="19"/>
        <v>913</v>
      </c>
      <c r="B416" s="137"/>
      <c r="C416" s="47"/>
      <c r="D416" s="47"/>
      <c r="E416" s="47"/>
      <c r="F416" s="339"/>
      <c r="G416" s="339"/>
      <c r="I416" s="339">
        <f t="shared" si="22"/>
        <v>0</v>
      </c>
      <c r="J416" s="339"/>
      <c r="K416" s="216">
        <f t="shared" si="23"/>
        <v>411</v>
      </c>
      <c r="N416" s="339"/>
      <c r="O416" s="1"/>
    </row>
    <row r="417" spans="1:15">
      <c r="A417" s="149">
        <f t="shared" si="19"/>
        <v>914</v>
      </c>
      <c r="B417" s="137">
        <v>4111</v>
      </c>
      <c r="C417" s="1048" t="s">
        <v>1242</v>
      </c>
      <c r="D417" s="47"/>
      <c r="E417" s="47"/>
      <c r="F417" s="339">
        <f>[17]EXPENSES.XNV!S414</f>
        <v>15614362.33</v>
      </c>
      <c r="G417" s="339">
        <v>7580313.5699999994</v>
      </c>
      <c r="I417" s="339">
        <f t="shared" si="22"/>
        <v>15614362.33</v>
      </c>
      <c r="J417" s="339">
        <f>+I417-F417</f>
        <v>0</v>
      </c>
      <c r="K417" s="216">
        <f t="shared" si="23"/>
        <v>412</v>
      </c>
      <c r="N417" s="339">
        <v>5142817.0599999996</v>
      </c>
      <c r="O417" s="1">
        <v>0</v>
      </c>
    </row>
    <row r="418" spans="1:15">
      <c r="A418" s="149">
        <f t="shared" si="19"/>
        <v>915</v>
      </c>
      <c r="B418" s="137"/>
      <c r="C418" s="47"/>
      <c r="D418" s="47"/>
      <c r="E418" s="47"/>
      <c r="F418" s="339"/>
      <c r="G418" s="339"/>
      <c r="I418" s="339">
        <f t="shared" si="22"/>
        <v>0</v>
      </c>
      <c r="J418" s="339"/>
      <c r="K418" s="216">
        <f t="shared" si="23"/>
        <v>413</v>
      </c>
      <c r="N418" s="339"/>
      <c r="O418" s="1"/>
    </row>
    <row r="419" spans="1:15">
      <c r="A419" s="149">
        <f t="shared" si="19"/>
        <v>916</v>
      </c>
      <c r="B419" s="137">
        <v>4114</v>
      </c>
      <c r="C419" s="47" t="s">
        <v>555</v>
      </c>
      <c r="D419" s="47"/>
      <c r="E419" s="47"/>
      <c r="F419" s="339">
        <f>[17]EXPENSES.XNV!S416</f>
        <v>0</v>
      </c>
      <c r="G419" s="339">
        <v>0</v>
      </c>
      <c r="I419" s="339">
        <f t="shared" si="22"/>
        <v>0</v>
      </c>
      <c r="J419" s="339">
        <f>+I419-F419</f>
        <v>0</v>
      </c>
      <c r="K419" s="216">
        <f t="shared" si="23"/>
        <v>414</v>
      </c>
      <c r="N419" s="339">
        <v>0</v>
      </c>
      <c r="O419" s="1">
        <v>0</v>
      </c>
    </row>
    <row r="420" spans="1:15">
      <c r="A420" s="149">
        <f t="shared" si="19"/>
        <v>917</v>
      </c>
      <c r="B420" s="137"/>
      <c r="C420" s="47"/>
      <c r="D420" s="47"/>
      <c r="E420" s="47"/>
      <c r="F420" s="339"/>
      <c r="G420" s="339"/>
      <c r="I420" s="339">
        <f t="shared" si="22"/>
        <v>0</v>
      </c>
      <c r="J420" s="339"/>
      <c r="K420" s="216">
        <f t="shared" si="23"/>
        <v>415</v>
      </c>
      <c r="N420" s="339"/>
      <c r="O420" s="1"/>
    </row>
    <row r="421" spans="1:15">
      <c r="A421" s="149">
        <f t="shared" si="19"/>
        <v>918</v>
      </c>
      <c r="B421" s="136"/>
      <c r="C421" s="47" t="s">
        <v>261</v>
      </c>
      <c r="D421" s="47"/>
      <c r="E421" s="47"/>
      <c r="F421" s="339">
        <f>[17]EXPENSES.XNV!S418</f>
        <v>0</v>
      </c>
      <c r="G421" s="339">
        <v>0</v>
      </c>
      <c r="I421" s="339">
        <f t="shared" si="22"/>
        <v>0</v>
      </c>
      <c r="J421" s="339">
        <f>+I421-F421</f>
        <v>0</v>
      </c>
      <c r="K421" s="216">
        <f t="shared" si="23"/>
        <v>416</v>
      </c>
      <c r="N421" s="339">
        <v>0</v>
      </c>
      <c r="O421" s="1">
        <v>61380741.219999999</v>
      </c>
    </row>
    <row r="422" spans="1:15">
      <c r="A422" s="149">
        <f t="shared" si="19"/>
        <v>919</v>
      </c>
      <c r="B422" s="136"/>
      <c r="C422" s="47"/>
      <c r="D422" s="47"/>
      <c r="E422" s="47"/>
      <c r="F422" s="339"/>
      <c r="G422" s="339"/>
      <c r="I422" s="339">
        <f t="shared" si="22"/>
        <v>0</v>
      </c>
      <c r="J422" s="339"/>
      <c r="K422" s="216">
        <f t="shared" si="23"/>
        <v>417</v>
      </c>
      <c r="N422" s="339"/>
      <c r="O422" s="1"/>
    </row>
    <row r="423" spans="1:15">
      <c r="A423" s="149">
        <f t="shared" si="19"/>
        <v>920</v>
      </c>
      <c r="B423" s="136"/>
      <c r="C423" s="47" t="s">
        <v>262</v>
      </c>
      <c r="D423" s="47"/>
      <c r="E423" s="47"/>
      <c r="F423" s="339">
        <f>[17]EXPENSES.XNV!S420</f>
        <v>0</v>
      </c>
      <c r="G423" s="339">
        <v>0</v>
      </c>
      <c r="I423" s="347">
        <f t="shared" si="22"/>
        <v>0</v>
      </c>
      <c r="J423" s="339">
        <f>+I423-F423</f>
        <v>0</v>
      </c>
      <c r="K423" s="216">
        <f t="shared" si="23"/>
        <v>418</v>
      </c>
      <c r="N423" s="339">
        <v>0</v>
      </c>
      <c r="O423" s="1"/>
    </row>
    <row r="424" spans="1:15" ht="13.5" thickBot="1">
      <c r="A424" s="149">
        <f t="shared" si="19"/>
        <v>921</v>
      </c>
      <c r="B424" s="136"/>
      <c r="C424" s="47"/>
      <c r="D424" s="47"/>
      <c r="E424" s="47"/>
      <c r="F424" s="342"/>
      <c r="G424" s="342"/>
      <c r="I424" s="342">
        <f t="shared" si="22"/>
        <v>0</v>
      </c>
      <c r="J424" s="342"/>
      <c r="K424" s="216">
        <f t="shared" si="23"/>
        <v>419</v>
      </c>
      <c r="N424" s="342"/>
      <c r="O424" s="1">
        <v>147569850.88</v>
      </c>
    </row>
    <row r="425" spans="1:15">
      <c r="A425" s="149">
        <f t="shared" si="19"/>
        <v>922</v>
      </c>
      <c r="B425" s="136"/>
      <c r="C425" s="141" t="s">
        <v>604</v>
      </c>
      <c r="D425" s="47"/>
      <c r="E425" s="47"/>
      <c r="F425" s="339">
        <f>F409+F411+F413+F415+F417+F419+F421+F423</f>
        <v>63307261.340000004</v>
      </c>
      <c r="G425" s="339">
        <v>60866449.860000007</v>
      </c>
      <c r="I425" s="339">
        <f t="shared" si="22"/>
        <v>63307261.340000004</v>
      </c>
      <c r="J425" s="339">
        <f>+I425-F425</f>
        <v>0</v>
      </c>
      <c r="K425" s="216">
        <f t="shared" si="23"/>
        <v>420</v>
      </c>
      <c r="N425" s="339">
        <f>N409+N411+N413+N415+N417+N419+N421+N423</f>
        <v>60508988.019999996</v>
      </c>
      <c r="O425" s="1"/>
    </row>
    <row r="426" spans="1:15" ht="13.5" thickBot="1">
      <c r="A426" s="149">
        <f t="shared" si="19"/>
        <v>923</v>
      </c>
      <c r="B426" s="136"/>
      <c r="C426" s="47"/>
      <c r="D426" s="47"/>
      <c r="E426" s="47"/>
      <c r="F426" s="341"/>
      <c r="G426" s="341"/>
      <c r="I426" s="341">
        <f t="shared" si="22"/>
        <v>0</v>
      </c>
      <c r="J426" s="341"/>
      <c r="K426" s="216">
        <f t="shared" si="23"/>
        <v>421</v>
      </c>
      <c r="N426" s="341"/>
      <c r="O426" s="1"/>
    </row>
    <row r="427" spans="1:15" ht="13.5" thickTop="1">
      <c r="A427" s="149">
        <f t="shared" si="19"/>
        <v>924</v>
      </c>
      <c r="B427" s="136"/>
      <c r="C427" s="47"/>
      <c r="D427" s="47"/>
      <c r="E427" s="47"/>
      <c r="F427" s="339"/>
      <c r="G427" s="339"/>
      <c r="I427" s="339">
        <f t="shared" si="22"/>
        <v>0</v>
      </c>
      <c r="J427" s="339"/>
      <c r="K427" s="216">
        <f t="shared" si="23"/>
        <v>422</v>
      </c>
      <c r="N427" s="339"/>
      <c r="O427" s="1">
        <v>989857150.69000006</v>
      </c>
    </row>
    <row r="428" spans="1:15">
      <c r="A428" s="149">
        <f t="shared" si="19"/>
        <v>925</v>
      </c>
      <c r="B428" s="116"/>
      <c r="C428" s="141" t="s">
        <v>601</v>
      </c>
      <c r="D428" s="47"/>
      <c r="E428" s="47"/>
      <c r="F428" s="339">
        <f>F401+F425</f>
        <v>158826271.72</v>
      </c>
      <c r="G428" s="339">
        <v>150747588.53</v>
      </c>
      <c r="I428" s="339">
        <f t="shared" si="22"/>
        <v>158826271.72</v>
      </c>
      <c r="J428" s="339">
        <f>+I428-F428</f>
        <v>0</v>
      </c>
      <c r="K428" s="216">
        <f t="shared" si="23"/>
        <v>423</v>
      </c>
      <c r="N428" s="339">
        <f>N401+N425</f>
        <v>144280037.63999999</v>
      </c>
    </row>
    <row r="429" spans="1:15" ht="13.5" thickBot="1">
      <c r="A429" s="149">
        <f t="shared" si="19"/>
        <v>926</v>
      </c>
      <c r="B429" s="136"/>
      <c r="C429" s="47"/>
      <c r="D429" s="47"/>
      <c r="E429" s="47"/>
      <c r="F429" s="341"/>
      <c r="G429" s="341"/>
      <c r="I429" s="341">
        <f t="shared" si="22"/>
        <v>0</v>
      </c>
      <c r="J429" s="341"/>
      <c r="K429" s="216">
        <f t="shared" si="23"/>
        <v>424</v>
      </c>
      <c r="N429" s="341"/>
    </row>
    <row r="430" spans="1:15" ht="13.5" thickTop="1">
      <c r="A430" s="314">
        <f t="shared" si="19"/>
        <v>927</v>
      </c>
      <c r="B430" s="116"/>
      <c r="C430" s="53" t="s">
        <v>706</v>
      </c>
      <c r="D430" s="53"/>
      <c r="E430" s="53"/>
      <c r="F430" s="348">
        <f>+F409+F401:F401</f>
        <v>122237478.97</v>
      </c>
      <c r="G430" s="348">
        <v>116379767.84</v>
      </c>
      <c r="I430" s="348">
        <f t="shared" si="22"/>
        <v>122237478.97</v>
      </c>
      <c r="J430" s="348">
        <f>+I430-F430</f>
        <v>0</v>
      </c>
      <c r="K430" s="216">
        <f t="shared" si="23"/>
        <v>425</v>
      </c>
      <c r="N430" s="348">
        <f>+N409+N401:N401</f>
        <v>111498253.31999999</v>
      </c>
    </row>
    <row r="431" spans="1:15">
      <c r="A431" s="149">
        <f t="shared" si="19"/>
        <v>928</v>
      </c>
      <c r="B431" s="116" t="s">
        <v>600</v>
      </c>
      <c r="C431" s="47"/>
      <c r="D431" s="47"/>
      <c r="E431" s="47"/>
      <c r="F431" s="339">
        <f>F131+F383+F428</f>
        <v>1442861386.7949872</v>
      </c>
      <c r="G431" s="339">
        <v>1174192192.1228399</v>
      </c>
      <c r="H431" s="339"/>
      <c r="I431" s="339">
        <f t="shared" si="22"/>
        <v>1442861386.7949872</v>
      </c>
      <c r="J431" s="339">
        <f>+I431-F431</f>
        <v>0</v>
      </c>
      <c r="K431" s="216">
        <f t="shared" si="23"/>
        <v>426</v>
      </c>
      <c r="N431" s="339">
        <f>N131+N383+N428</f>
        <v>850748785.53946579</v>
      </c>
    </row>
    <row r="432" spans="1:15">
      <c r="K432" s="216">
        <f t="shared" si="23"/>
        <v>427</v>
      </c>
    </row>
    <row r="433" spans="6:11">
      <c r="K433" s="216">
        <f t="shared" si="23"/>
        <v>428</v>
      </c>
    </row>
    <row r="434" spans="6:11">
      <c r="F434" s="1"/>
      <c r="G434" s="1"/>
      <c r="K434" s="216">
        <f t="shared" si="23"/>
        <v>429</v>
      </c>
    </row>
    <row r="435" spans="6:11">
      <c r="K435" s="216">
        <f t="shared" si="23"/>
        <v>430</v>
      </c>
    </row>
    <row r="436" spans="6:11">
      <c r="K436" s="216">
        <f t="shared" si="23"/>
        <v>431</v>
      </c>
    </row>
    <row r="437" spans="6:11">
      <c r="K437" s="216">
        <f t="shared" si="23"/>
        <v>432</v>
      </c>
    </row>
    <row r="438" spans="6:11">
      <c r="K438" s="216">
        <f t="shared" si="23"/>
        <v>433</v>
      </c>
    </row>
    <row r="439" spans="6:11">
      <c r="K439" s="216">
        <f t="shared" si="23"/>
        <v>434</v>
      </c>
    </row>
    <row r="440" spans="6:11">
      <c r="K440" s="216">
        <f t="shared" si="23"/>
        <v>435</v>
      </c>
    </row>
    <row r="441" spans="6:11">
      <c r="K441" s="216">
        <f t="shared" si="23"/>
        <v>436</v>
      </c>
    </row>
    <row r="442" spans="6:11">
      <c r="K442" s="216">
        <f t="shared" si="23"/>
        <v>437</v>
      </c>
    </row>
    <row r="443" spans="6:11">
      <c r="K443" s="216">
        <f t="shared" si="23"/>
        <v>438</v>
      </c>
    </row>
    <row r="444" spans="6:11">
      <c r="K444" s="216">
        <f t="shared" si="23"/>
        <v>439</v>
      </c>
    </row>
    <row r="445" spans="6:11">
      <c r="K445" s="216">
        <f t="shared" si="23"/>
        <v>440</v>
      </c>
    </row>
    <row r="446" spans="6:11">
      <c r="K446" s="216">
        <f t="shared" si="23"/>
        <v>441</v>
      </c>
    </row>
    <row r="447" spans="6:11">
      <c r="K447" s="216">
        <f t="shared" si="23"/>
        <v>442</v>
      </c>
    </row>
    <row r="448" spans="6:11">
      <c r="K448" s="216">
        <f t="shared" si="23"/>
        <v>443</v>
      </c>
    </row>
    <row r="449" spans="11:11">
      <c r="K449" s="216">
        <f t="shared" si="23"/>
        <v>444</v>
      </c>
    </row>
    <row r="450" spans="11:11">
      <c r="K450" s="216">
        <f t="shared" si="23"/>
        <v>445</v>
      </c>
    </row>
  </sheetData>
  <mergeCells count="2">
    <mergeCell ref="D9:E9"/>
    <mergeCell ref="B10:E10"/>
  </mergeCells>
  <phoneticPr fontId="23" type="noConversion"/>
  <pageMargins left="1.5" right="0.25" top="0.34" bottom="0.28000000000000003" header="0.17" footer="0.16"/>
  <pageSetup scale="53" fitToHeight="3" orientation="portrait" horizontalDpi="1200" verticalDpi="1200" r:id="rId1"/>
  <headerFooter alignWithMargins="0"/>
  <ignoredErrors>
    <ignoredError sqref="B20 B62 B72 B82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64">
    <tabColor rgb="FF92D050"/>
  </sheetPr>
  <dimension ref="A1:N56"/>
  <sheetViews>
    <sheetView zoomScale="80" zoomScaleNormal="80" workbookViewId="0">
      <selection activeCell="R31" sqref="R31"/>
    </sheetView>
  </sheetViews>
  <sheetFormatPr defaultColWidth="9.140625" defaultRowHeight="12.75"/>
  <cols>
    <col min="1" max="1" width="8.85546875" customWidth="1"/>
    <col min="2" max="2" width="15" customWidth="1"/>
    <col min="3" max="4" width="8.85546875" customWidth="1"/>
    <col min="5" max="5" width="17.140625" style="70" customWidth="1"/>
    <col min="6" max="6" width="3.28515625" customWidth="1"/>
    <col min="7" max="7" width="3" customWidth="1"/>
    <col min="8" max="8" width="9.140625" customWidth="1"/>
    <col min="9" max="9" width="8.85546875" customWidth="1"/>
    <col min="10" max="10" width="15.140625" customWidth="1"/>
    <col min="11" max="11" width="12.85546875" style="63" bestFit="1" customWidth="1"/>
    <col min="12" max="12" width="11.5703125" style="63" bestFit="1" customWidth="1"/>
    <col min="13" max="13" width="10.85546875" style="63" customWidth="1"/>
    <col min="14" max="14" width="11.5703125" style="63" bestFit="1" customWidth="1"/>
  </cols>
  <sheetData>
    <row r="1" spans="1:14">
      <c r="A1" s="12" t="s">
        <v>875</v>
      </c>
    </row>
    <row r="2" spans="1:14">
      <c r="A2" s="12" t="str">
        <f>'Control Panel'!$B$1</f>
        <v>Dominion Energy</v>
      </c>
    </row>
    <row r="3" spans="1:14">
      <c r="A3" s="12" t="str">
        <f>'Control Panel'!$B$2</f>
        <v>Utah - June 2023 Adjusted Avg Results</v>
      </c>
    </row>
    <row r="4" spans="1:14">
      <c r="A4" s="12" t="str">
        <f>'Control Panel'!$B$3</f>
        <v>12 Months Ended : Jun-2023</v>
      </c>
    </row>
    <row r="5" spans="1:14">
      <c r="A5" s="12"/>
    </row>
    <row r="6" spans="1:14" ht="20.25">
      <c r="A6" s="12"/>
      <c r="K6" s="879" t="s">
        <v>875</v>
      </c>
    </row>
    <row r="7" spans="1:14" ht="46.5" customHeight="1">
      <c r="A7" s="12"/>
      <c r="E7" s="306" t="s">
        <v>1277</v>
      </c>
      <c r="G7">
        <v>1</v>
      </c>
      <c r="K7" s="879"/>
    </row>
    <row r="8" spans="1:14">
      <c r="A8" s="12"/>
      <c r="E8" s="142">
        <f>'Control Panel'!F12</f>
        <v>45107</v>
      </c>
      <c r="G8">
        <f t="shared" ref="G8:G20" si="0">+G7+1</f>
        <v>2</v>
      </c>
      <c r="K8" s="70"/>
    </row>
    <row r="9" spans="1:14" ht="12.75" customHeight="1">
      <c r="E9" s="732"/>
      <c r="G9">
        <f t="shared" si="0"/>
        <v>3</v>
      </c>
      <c r="L9" s="63" t="s">
        <v>12</v>
      </c>
      <c r="M9" s="63" t="s">
        <v>23</v>
      </c>
      <c r="N9" s="63" t="s">
        <v>145</v>
      </c>
    </row>
    <row r="10" spans="1:14">
      <c r="E10" s="732"/>
      <c r="G10">
        <f t="shared" si="0"/>
        <v>4</v>
      </c>
      <c r="K10" s="365">
        <f t="shared" ref="K10:K19" si="1">K11-31</f>
        <v>44766</v>
      </c>
      <c r="L10" s="265">
        <f>'Booked June 2023 Rev'!H196</f>
        <v>639699.6</v>
      </c>
      <c r="M10" s="256">
        <f>'Booked June 2023 Rev'!H320</f>
        <v>2695.7999999999997</v>
      </c>
      <c r="N10" s="256">
        <f>SUM(L10:M10)</f>
        <v>642395.4</v>
      </c>
    </row>
    <row r="11" spans="1:14">
      <c r="B11" s="63"/>
      <c r="E11" s="730"/>
      <c r="G11">
        <f t="shared" si="0"/>
        <v>5</v>
      </c>
      <c r="K11" s="365">
        <f t="shared" si="1"/>
        <v>44797</v>
      </c>
      <c r="L11" s="265">
        <f>'Booked June 2023 Rev'!I196</f>
        <v>630511.06000000017</v>
      </c>
      <c r="M11" s="256">
        <f>'Booked June 2023 Rev'!I320</f>
        <v>2174.7700000000004</v>
      </c>
      <c r="N11" s="256">
        <f t="shared" ref="N11:N21" si="2">SUM(L11:M11)</f>
        <v>632685.83000000019</v>
      </c>
    </row>
    <row r="12" spans="1:14">
      <c r="A12" s="63" t="s">
        <v>72</v>
      </c>
      <c r="C12" s="265" t="s">
        <v>12</v>
      </c>
      <c r="D12" s="10"/>
      <c r="E12" s="730">
        <f>-L22+-L41</f>
        <v>-26124644.589999996</v>
      </c>
      <c r="F12" s="313"/>
      <c r="G12">
        <f t="shared" si="0"/>
        <v>6</v>
      </c>
      <c r="K12" s="365">
        <f t="shared" si="1"/>
        <v>44828</v>
      </c>
      <c r="L12" s="265">
        <f>'Booked June 2023 Rev'!J196</f>
        <v>749444.96999999974</v>
      </c>
      <c r="M12" s="256">
        <f>'Booked June 2023 Rev'!J320</f>
        <v>3161.6000000000004</v>
      </c>
      <c r="N12" s="256">
        <f t="shared" si="2"/>
        <v>752606.56999999972</v>
      </c>
    </row>
    <row r="13" spans="1:14" ht="13.5" thickBot="1">
      <c r="C13" s="265" t="s">
        <v>23</v>
      </c>
      <c r="E13" s="731">
        <f>-M22</f>
        <v>-107131.26999999999</v>
      </c>
      <c r="G13">
        <f t="shared" si="0"/>
        <v>7</v>
      </c>
      <c r="K13" s="365">
        <f t="shared" si="1"/>
        <v>44859</v>
      </c>
      <c r="L13" s="265">
        <f>'Booked June 2023 Rev'!K196</f>
        <v>1905660.5100000002</v>
      </c>
      <c r="M13" s="256">
        <f>'Booked June 2023 Rev'!K320</f>
        <v>8293.3499999999985</v>
      </c>
      <c r="N13" s="256">
        <f t="shared" si="2"/>
        <v>1913953.8600000003</v>
      </c>
    </row>
    <row r="14" spans="1:14">
      <c r="C14" s="265" t="s">
        <v>145</v>
      </c>
      <c r="E14" s="733">
        <f>SUM(E12:E13)</f>
        <v>-26231775.859999996</v>
      </c>
      <c r="G14">
        <f t="shared" si="0"/>
        <v>8</v>
      </c>
      <c r="K14" s="365">
        <f t="shared" si="1"/>
        <v>44890</v>
      </c>
      <c r="L14" s="265">
        <f>'Booked June 2023 Rev'!L196</f>
        <v>2776094.21</v>
      </c>
      <c r="M14" s="256">
        <f>'Booked June 2023 Rev'!L320</f>
        <v>12932.639999999998</v>
      </c>
      <c r="N14" s="256">
        <f t="shared" si="2"/>
        <v>2789026.85</v>
      </c>
    </row>
    <row r="15" spans="1:14">
      <c r="G15">
        <f t="shared" si="0"/>
        <v>9</v>
      </c>
      <c r="K15" s="365">
        <f t="shared" si="1"/>
        <v>44921</v>
      </c>
      <c r="L15" s="265">
        <f>'Booked June 2023 Rev'!M196</f>
        <v>4128532.2299999991</v>
      </c>
      <c r="M15" s="256">
        <f>'Booked June 2023 Rev'!M320</f>
        <v>18281.620000000003</v>
      </c>
      <c r="N15" s="256">
        <f t="shared" si="2"/>
        <v>4146813.8499999992</v>
      </c>
    </row>
    <row r="16" spans="1:14">
      <c r="F16" s="331"/>
      <c r="G16">
        <f t="shared" si="0"/>
        <v>10</v>
      </c>
      <c r="K16" s="365">
        <f t="shared" si="1"/>
        <v>44952</v>
      </c>
      <c r="L16" s="265">
        <f>'Booked June 2023 Rev'!N196</f>
        <v>4855688.9900000012</v>
      </c>
      <c r="M16" s="256">
        <f>'Booked June 2023 Rev'!N320</f>
        <v>17816.52</v>
      </c>
      <c r="N16" s="256">
        <f t="shared" si="2"/>
        <v>4873505.5100000007</v>
      </c>
    </row>
    <row r="17" spans="1:14">
      <c r="A17" s="425">
        <v>908</v>
      </c>
      <c r="B17" s="265" t="s">
        <v>368</v>
      </c>
      <c r="C17" s="265"/>
      <c r="D17" s="265"/>
      <c r="E17" s="53"/>
      <c r="F17" s="331"/>
      <c r="G17">
        <f t="shared" si="0"/>
        <v>11</v>
      </c>
      <c r="K17" s="365">
        <f t="shared" si="1"/>
        <v>44983</v>
      </c>
      <c r="L17" s="265">
        <f>'Booked June 2023 Rev'!O196</f>
        <v>3223585.6499999994</v>
      </c>
      <c r="M17" s="256">
        <f>'Booked June 2023 Rev'!O320</f>
        <v>12652.57</v>
      </c>
      <c r="N17" s="256">
        <f t="shared" si="2"/>
        <v>3236238.2199999993</v>
      </c>
    </row>
    <row r="18" spans="1:14">
      <c r="A18" s="425"/>
      <c r="B18" s="265"/>
      <c r="C18" s="265" t="s">
        <v>12</v>
      </c>
      <c r="D18" s="265"/>
      <c r="E18" s="730">
        <f>+E12+E37</f>
        <v>-26736727.259999998</v>
      </c>
      <c r="G18">
        <f t="shared" si="0"/>
        <v>12</v>
      </c>
      <c r="K18" s="365">
        <f t="shared" si="1"/>
        <v>45014</v>
      </c>
      <c r="L18" s="265">
        <f>'Booked June 2023 Rev'!P196</f>
        <v>2863620.0900000022</v>
      </c>
      <c r="M18" s="256">
        <f>'Booked June 2023 Rev'!P320</f>
        <v>11493.869999999986</v>
      </c>
      <c r="N18" s="256">
        <f t="shared" si="2"/>
        <v>2875113.9600000023</v>
      </c>
    </row>
    <row r="19" spans="1:14" ht="13.5" thickBot="1">
      <c r="A19" s="425"/>
      <c r="B19" s="265"/>
      <c r="C19" s="265" t="s">
        <v>23</v>
      </c>
      <c r="D19" s="265"/>
      <c r="E19" s="731">
        <f>+E13</f>
        <v>-107131.26999999999</v>
      </c>
      <c r="G19">
        <f t="shared" si="0"/>
        <v>13</v>
      </c>
      <c r="K19" s="365">
        <f t="shared" si="1"/>
        <v>45045</v>
      </c>
      <c r="L19" s="265">
        <f>'Booked June 2023 Rev'!Q196</f>
        <v>1854149.4499999997</v>
      </c>
      <c r="M19" s="256">
        <f>'Booked June 2023 Rev'!Q320</f>
        <v>8926.3000000000011</v>
      </c>
      <c r="N19" s="256">
        <f t="shared" si="2"/>
        <v>1863075.7499999998</v>
      </c>
    </row>
    <row r="20" spans="1:14">
      <c r="A20" s="425"/>
      <c r="B20" s="265"/>
      <c r="C20" s="265" t="s">
        <v>145</v>
      </c>
      <c r="D20" s="265"/>
      <c r="E20" s="733">
        <f>SUM(E18:E19)</f>
        <v>-26843858.529999997</v>
      </c>
      <c r="G20">
        <f t="shared" si="0"/>
        <v>14</v>
      </c>
      <c r="K20" s="365">
        <f>K21-31</f>
        <v>45076</v>
      </c>
      <c r="L20" s="265">
        <f>'Booked June 2023 Rev'!R196</f>
        <v>1243785.1699999997</v>
      </c>
      <c r="M20" s="256">
        <f>'Booked June 2023 Rev'!R320</f>
        <v>6006.8799999999992</v>
      </c>
      <c r="N20" s="256">
        <f t="shared" si="2"/>
        <v>1249792.0499999996</v>
      </c>
    </row>
    <row r="21" spans="1:14">
      <c r="K21" s="365">
        <f>E8</f>
        <v>45107</v>
      </c>
      <c r="L21" s="265">
        <f>'Booked June 2023 Rev'!S196</f>
        <v>641789.99000000011</v>
      </c>
      <c r="M21" s="256">
        <f>'Booked June 2023 Rev'!S320</f>
        <v>2695.3500000000017</v>
      </c>
      <c r="N21" s="256">
        <f t="shared" si="2"/>
        <v>644485.34000000008</v>
      </c>
    </row>
    <row r="22" spans="1:14">
      <c r="K22" s="365"/>
      <c r="L22" s="417">
        <f>SUM(L10:L21)</f>
        <v>25512561.919999998</v>
      </c>
      <c r="M22" s="417">
        <f>SUM(M10:M21)</f>
        <v>107131.26999999999</v>
      </c>
      <c r="N22" s="417">
        <f>SUM(N10:N21)</f>
        <v>25619693.190000001</v>
      </c>
    </row>
    <row r="23" spans="1:14">
      <c r="E23" s="715"/>
    </row>
    <row r="25" spans="1:14" ht="20.25">
      <c r="K25" s="879" t="s">
        <v>1264</v>
      </c>
    </row>
    <row r="26" spans="1:14">
      <c r="A26" s="63"/>
      <c r="B26" s="63"/>
      <c r="C26" s="63"/>
      <c r="D26" s="63"/>
      <c r="E26" s="306" t="s">
        <v>1274</v>
      </c>
    </row>
    <row r="27" spans="1:14">
      <c r="A27" s="63"/>
      <c r="B27" s="63"/>
      <c r="C27" s="63"/>
      <c r="D27" s="63"/>
      <c r="E27" s="63"/>
      <c r="K27" s="70" t="s">
        <v>1265</v>
      </c>
    </row>
    <row r="28" spans="1:14">
      <c r="A28" s="63"/>
      <c r="B28" s="63"/>
      <c r="C28" s="63"/>
      <c r="D28" s="63"/>
      <c r="E28" s="63"/>
      <c r="L28" s="63" t="s">
        <v>12</v>
      </c>
      <c r="M28" s="63" t="s">
        <v>23</v>
      </c>
      <c r="N28" s="63" t="s">
        <v>145</v>
      </c>
    </row>
    <row r="29" spans="1:14">
      <c r="A29" s="63"/>
      <c r="B29" s="63"/>
      <c r="C29" s="63"/>
      <c r="D29" s="63"/>
      <c r="E29" s="63"/>
      <c r="K29" s="365">
        <f t="shared" ref="K29:K38" si="3">K30-31</f>
        <v>44766</v>
      </c>
      <c r="L29" s="256">
        <f>[18]Sheet1!$L$33</f>
        <v>96245.91</v>
      </c>
      <c r="M29" s="256">
        <v>0</v>
      </c>
      <c r="N29" s="256">
        <f>SUM(L29:M29)</f>
        <v>96245.91</v>
      </c>
    </row>
    <row r="30" spans="1:14">
      <c r="A30" s="63" t="s">
        <v>72</v>
      </c>
      <c r="B30" s="63"/>
      <c r="C30" s="63"/>
      <c r="D30" s="63"/>
      <c r="E30" s="63"/>
      <c r="K30" s="365">
        <f t="shared" si="3"/>
        <v>44797</v>
      </c>
      <c r="L30" s="256">
        <f>[19]Sheet1!$L$33</f>
        <v>71957.640000000014</v>
      </c>
      <c r="M30" s="256">
        <v>0</v>
      </c>
      <c r="N30" s="256">
        <f t="shared" ref="N30:N40" si="4">SUM(L30:M30)</f>
        <v>71957.640000000014</v>
      </c>
    </row>
    <row r="31" spans="1:14">
      <c r="A31" s="63"/>
      <c r="B31" s="63"/>
      <c r="C31" s="265" t="s">
        <v>12</v>
      </c>
      <c r="D31" s="63"/>
      <c r="E31" s="1059">
        <f>-L41</f>
        <v>-612082.66999999993</v>
      </c>
      <c r="K31" s="365">
        <f t="shared" si="3"/>
        <v>44828</v>
      </c>
      <c r="L31" s="256">
        <f>[20]Sheet1!$L$33</f>
        <v>56604.17</v>
      </c>
      <c r="M31" s="256">
        <v>0</v>
      </c>
      <c r="N31" s="256">
        <f t="shared" si="4"/>
        <v>56604.17</v>
      </c>
    </row>
    <row r="32" spans="1:14" ht="13.5" thickBot="1">
      <c r="A32" s="63"/>
      <c r="B32" s="63"/>
      <c r="C32" s="265" t="s">
        <v>23</v>
      </c>
      <c r="D32" s="63"/>
      <c r="E32" s="1060">
        <v>0</v>
      </c>
      <c r="K32" s="365">
        <f t="shared" si="3"/>
        <v>44859</v>
      </c>
      <c r="L32" s="256">
        <f>[21]Sheet1!$L$33</f>
        <v>33428.930000000008</v>
      </c>
      <c r="M32" s="256">
        <v>0</v>
      </c>
      <c r="N32" s="256">
        <f t="shared" si="4"/>
        <v>33428.930000000008</v>
      </c>
    </row>
    <row r="33" spans="1:14">
      <c r="A33" s="63"/>
      <c r="B33" s="63"/>
      <c r="C33" s="265" t="s">
        <v>145</v>
      </c>
      <c r="D33" s="63"/>
      <c r="E33" s="1059">
        <f>SUM(E31:E32)</f>
        <v>-612082.66999999993</v>
      </c>
      <c r="K33" s="365">
        <f t="shared" si="3"/>
        <v>44890</v>
      </c>
      <c r="L33" s="256">
        <f>[22]Sheet1!$L$33</f>
        <v>21265.929999999997</v>
      </c>
      <c r="M33" s="256">
        <v>0</v>
      </c>
      <c r="N33" s="256">
        <f t="shared" si="4"/>
        <v>21265.929999999997</v>
      </c>
    </row>
    <row r="34" spans="1:14">
      <c r="A34" s="63"/>
      <c r="B34" s="63"/>
      <c r="C34" s="63"/>
      <c r="D34" s="63"/>
      <c r="E34" s="63"/>
      <c r="K34" s="365">
        <f t="shared" si="3"/>
        <v>44921</v>
      </c>
      <c r="L34" s="256">
        <f>[23]Sheet1!$L$33</f>
        <v>12726.660000000002</v>
      </c>
      <c r="M34" s="256">
        <v>0</v>
      </c>
      <c r="N34" s="256">
        <f t="shared" si="4"/>
        <v>12726.660000000002</v>
      </c>
    </row>
    <row r="35" spans="1:14">
      <c r="A35" s="63"/>
      <c r="B35" s="63"/>
      <c r="C35" s="63"/>
      <c r="D35" s="63"/>
      <c r="E35" s="63"/>
      <c r="K35" s="365">
        <f t="shared" si="3"/>
        <v>44952</v>
      </c>
      <c r="L35" s="256">
        <f>[24]Sheet1!$L$36</f>
        <v>104684.86999999997</v>
      </c>
      <c r="M35" s="256">
        <v>0</v>
      </c>
      <c r="N35" s="256">
        <f t="shared" si="4"/>
        <v>104684.86999999997</v>
      </c>
    </row>
    <row r="36" spans="1:14">
      <c r="A36" s="425">
        <v>908</v>
      </c>
      <c r="B36" s="265" t="s">
        <v>368</v>
      </c>
      <c r="C36" s="265"/>
      <c r="D36" s="63"/>
      <c r="E36" s="63"/>
      <c r="K36" s="365">
        <f t="shared" si="3"/>
        <v>44983</v>
      </c>
      <c r="L36" s="256">
        <f>[25]Sheet1!$L$36</f>
        <v>74986.8</v>
      </c>
      <c r="M36" s="256">
        <v>0</v>
      </c>
      <c r="N36" s="256">
        <f t="shared" si="4"/>
        <v>74986.8</v>
      </c>
    </row>
    <row r="37" spans="1:14">
      <c r="A37" s="425"/>
      <c r="B37" s="265"/>
      <c r="C37" s="265" t="s">
        <v>12</v>
      </c>
      <c r="D37" s="63"/>
      <c r="E37" s="1059">
        <f>E31</f>
        <v>-612082.66999999993</v>
      </c>
      <c r="K37" s="365">
        <f t="shared" si="3"/>
        <v>45014</v>
      </c>
      <c r="L37" s="256">
        <f>[26]Sheet1!$L$36</f>
        <v>67086.260000000009</v>
      </c>
      <c r="M37" s="256">
        <v>0</v>
      </c>
      <c r="N37" s="256">
        <f t="shared" si="4"/>
        <v>67086.260000000009</v>
      </c>
    </row>
    <row r="38" spans="1:14" ht="13.5" thickBot="1">
      <c r="A38" s="425"/>
      <c r="B38" s="265"/>
      <c r="C38" s="265" t="s">
        <v>23</v>
      </c>
      <c r="D38" s="63"/>
      <c r="E38" s="1060">
        <f>E32</f>
        <v>0</v>
      </c>
      <c r="K38" s="365">
        <f t="shared" si="3"/>
        <v>45045</v>
      </c>
      <c r="L38" s="256">
        <f>[27]Sheet1!$L$36</f>
        <v>34264.359999999986</v>
      </c>
      <c r="M38" s="256">
        <v>0</v>
      </c>
      <c r="N38" s="256">
        <f t="shared" si="4"/>
        <v>34264.359999999986</v>
      </c>
    </row>
    <row r="39" spans="1:14">
      <c r="A39" s="425"/>
      <c r="B39" s="265"/>
      <c r="C39" s="265" t="s">
        <v>145</v>
      </c>
      <c r="D39" s="63"/>
      <c r="E39" s="1059">
        <f>SUM(E37:E38)</f>
        <v>-612082.66999999993</v>
      </c>
      <c r="K39" s="365">
        <f>K40-31</f>
        <v>45076</v>
      </c>
      <c r="L39" s="256">
        <f>[28]Sheet1!$L$36</f>
        <v>24140.670000000002</v>
      </c>
      <c r="M39" s="256">
        <v>0</v>
      </c>
      <c r="N39" s="256">
        <f t="shared" si="4"/>
        <v>24140.670000000002</v>
      </c>
    </row>
    <row r="40" spans="1:14">
      <c r="A40" s="63"/>
      <c r="B40" s="63"/>
      <c r="C40" s="63"/>
      <c r="D40" s="63"/>
      <c r="E40" s="63"/>
      <c r="K40" s="365">
        <f>E8</f>
        <v>45107</v>
      </c>
      <c r="L40" s="256">
        <f>[29]Sheet1!$L$36</f>
        <v>14690.470000000005</v>
      </c>
      <c r="M40" s="256">
        <v>0</v>
      </c>
      <c r="N40" s="256">
        <f t="shared" si="4"/>
        <v>14690.470000000005</v>
      </c>
    </row>
    <row r="41" spans="1:14">
      <c r="A41" s="63"/>
      <c r="B41" s="63"/>
      <c r="C41" s="265"/>
      <c r="D41" s="63"/>
      <c r="E41" s="63"/>
      <c r="K41" s="365"/>
      <c r="L41" s="1058">
        <f>SUM(L29:L40)</f>
        <v>612082.66999999993</v>
      </c>
      <c r="M41" s="1058">
        <f>SUM(M29:M40)</f>
        <v>0</v>
      </c>
      <c r="N41" s="1058">
        <f>SUM(N29:N40)</f>
        <v>612082.66999999993</v>
      </c>
    </row>
    <row r="42" spans="1:14">
      <c r="A42" s="63"/>
      <c r="B42" s="63"/>
      <c r="C42" s="265"/>
      <c r="D42" s="63"/>
      <c r="E42" s="63"/>
      <c r="K42" s="265"/>
    </row>
    <row r="43" spans="1:14" ht="25.5">
      <c r="A43" s="12"/>
      <c r="B43" s="63"/>
      <c r="C43" s="63"/>
      <c r="D43" s="63"/>
      <c r="E43" s="306" t="s">
        <v>1266</v>
      </c>
      <c r="K43" s="265"/>
    </row>
    <row r="44" spans="1:14">
      <c r="A44" s="12"/>
      <c r="B44" s="63"/>
      <c r="C44" s="63"/>
      <c r="D44" s="63"/>
      <c r="E44" s="1061"/>
    </row>
    <row r="45" spans="1:14">
      <c r="A45" s="63"/>
      <c r="B45" s="63"/>
      <c r="C45" s="63"/>
      <c r="D45" s="63"/>
      <c r="E45" s="808"/>
    </row>
    <row r="46" spans="1:14">
      <c r="A46" s="63"/>
      <c r="B46" s="63"/>
      <c r="C46" s="63"/>
      <c r="D46" s="63"/>
      <c r="E46" s="808"/>
    </row>
    <row r="47" spans="1:14">
      <c r="A47" s="63" t="s">
        <v>72</v>
      </c>
      <c r="B47" s="63"/>
      <c r="C47" s="63"/>
      <c r="D47" s="63"/>
      <c r="E47" s="1059"/>
    </row>
    <row r="48" spans="1:14">
      <c r="A48" s="63"/>
      <c r="B48" s="63"/>
      <c r="C48" s="265" t="s">
        <v>12</v>
      </c>
      <c r="D48" s="63"/>
      <c r="E48" s="1059">
        <f>-L22</f>
        <v>-25512561.919999998</v>
      </c>
    </row>
    <row r="49" spans="1:5" ht="13.5" thickBot="1">
      <c r="A49" s="63"/>
      <c r="B49" s="63"/>
      <c r="C49" s="265" t="s">
        <v>23</v>
      </c>
      <c r="D49" s="63"/>
      <c r="E49" s="1060">
        <f>-M22</f>
        <v>-107131.26999999999</v>
      </c>
    </row>
    <row r="50" spans="1:5">
      <c r="A50" s="63"/>
      <c r="B50" s="63"/>
      <c r="C50" s="265" t="s">
        <v>145</v>
      </c>
      <c r="D50" s="63"/>
      <c r="E50" s="1059">
        <f>SUM(E48:E49)</f>
        <v>-25619693.189999998</v>
      </c>
    </row>
    <row r="51" spans="1:5">
      <c r="A51" s="63"/>
      <c r="B51" s="63"/>
      <c r="C51" s="63"/>
      <c r="D51" s="63"/>
      <c r="E51" s="63"/>
    </row>
    <row r="52" spans="1:5">
      <c r="A52" s="63"/>
      <c r="B52" s="63"/>
      <c r="C52" s="63"/>
      <c r="D52" s="63"/>
      <c r="E52" s="63"/>
    </row>
    <row r="53" spans="1:5">
      <c r="A53" s="425">
        <v>908</v>
      </c>
      <c r="B53" s="265" t="s">
        <v>368</v>
      </c>
      <c r="C53" s="265"/>
      <c r="D53" s="265"/>
      <c r="E53" s="265"/>
    </row>
    <row r="54" spans="1:5">
      <c r="A54" s="425"/>
      <c r="B54" s="265"/>
      <c r="C54" s="265" t="s">
        <v>12</v>
      </c>
      <c r="D54" s="265"/>
      <c r="E54" s="1059">
        <f>+E48</f>
        <v>-25512561.919999998</v>
      </c>
    </row>
    <row r="55" spans="1:5" ht="13.5" thickBot="1">
      <c r="A55" s="425"/>
      <c r="B55" s="265"/>
      <c r="C55" s="265" t="s">
        <v>23</v>
      </c>
      <c r="D55" s="265"/>
      <c r="E55" s="1060">
        <f>+E49</f>
        <v>-107131.26999999999</v>
      </c>
    </row>
    <row r="56" spans="1:5">
      <c r="A56" s="425"/>
      <c r="B56" s="265"/>
      <c r="C56" s="265" t="s">
        <v>145</v>
      </c>
      <c r="D56" s="265"/>
      <c r="E56" s="1059">
        <f>SUM(E54:E55)</f>
        <v>-25619693.189999998</v>
      </c>
    </row>
  </sheetData>
  <dataValidations disablePrompts="1" count="1">
    <dataValidation type="list" showInputMessage="1" showErrorMessage="1" sqref="F17" xr:uid="{00000000-0002-0000-0C00-000000000000}">
      <formula1>"Expense QGC,Expense DPU,Expense CCS,Expense FINAL ORDER,Expense HISTORICAL,,Expense Dec 08,Expense Jun 09"</formula1>
    </dataValidation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15973" r:id="rId4" name="Button 5">
              <controlPr defaultSize="0" print="0" autoFill="0" autoPict="0" macro="[0]!Macro5">
                <anchor moveWithCells="1" sizeWithCells="1">
                  <from>
                    <xdr:col>0</xdr:col>
                    <xdr:colOff>0</xdr:colOff>
                    <xdr:row>5</xdr:row>
                    <xdr:rowOff>47625</xdr:rowOff>
                  </from>
                  <to>
                    <xdr:col>0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8">
    <tabColor rgb="FF92D050"/>
  </sheetPr>
  <dimension ref="A1:K37"/>
  <sheetViews>
    <sheetView zoomScale="90" zoomScaleNormal="90" workbookViewId="0">
      <selection activeCell="D24" sqref="D24"/>
    </sheetView>
  </sheetViews>
  <sheetFormatPr defaultColWidth="9.140625" defaultRowHeight="12.75"/>
  <cols>
    <col min="1" max="1" width="4.140625" customWidth="1"/>
    <col min="2" max="2" width="11" customWidth="1"/>
    <col min="3" max="3" width="13.7109375" customWidth="1"/>
    <col min="4" max="4" width="12.7109375" customWidth="1"/>
    <col min="5" max="5" width="7.28515625" customWidth="1"/>
    <col min="6" max="7" width="12.7109375" customWidth="1"/>
    <col min="8" max="8" width="14.28515625" customWidth="1"/>
    <col min="9" max="9" width="12.7109375" customWidth="1"/>
  </cols>
  <sheetData>
    <row r="1" spans="1:6">
      <c r="A1" s="12" t="s">
        <v>70</v>
      </c>
      <c r="B1" s="28"/>
      <c r="F1" s="64"/>
    </row>
    <row r="2" spans="1:6">
      <c r="A2" s="12" t="str">
        <f>'Control Panel'!$B$1</f>
        <v>Dominion Energy</v>
      </c>
      <c r="B2" s="28"/>
      <c r="F2" s="65"/>
    </row>
    <row r="3" spans="1:6">
      <c r="A3" s="12" t="str">
        <f>'Control Panel'!$B$2</f>
        <v>Utah - June 2023 Adjusted Avg Results</v>
      </c>
      <c r="B3" s="28"/>
      <c r="C3" s="21"/>
    </row>
    <row r="4" spans="1:6">
      <c r="A4" s="12" t="str">
        <f>'Control Panel'!$B$3</f>
        <v>12 Months Ended : Jun-2023</v>
      </c>
    </row>
    <row r="5" spans="1:6">
      <c r="A5" s="45"/>
    </row>
    <row r="6" spans="1:6">
      <c r="A6" s="28"/>
    </row>
    <row r="7" spans="1:6">
      <c r="B7" s="1122" t="s">
        <v>769</v>
      </c>
      <c r="C7" s="1122"/>
      <c r="D7" s="1122"/>
    </row>
    <row r="8" spans="1:6">
      <c r="A8" s="28"/>
    </row>
    <row r="9" spans="1:6">
      <c r="A9" s="28"/>
      <c r="B9" s="2" t="s">
        <v>732</v>
      </c>
      <c r="D9" s="2" t="s">
        <v>733</v>
      </c>
    </row>
    <row r="10" spans="1:6">
      <c r="A10" s="28"/>
      <c r="B10" s="2"/>
      <c r="D10" s="2" t="s">
        <v>410</v>
      </c>
    </row>
    <row r="11" spans="1:6" ht="13.5" thickBot="1">
      <c r="A11" s="28"/>
      <c r="B11" s="50" t="s">
        <v>408</v>
      </c>
      <c r="C11" s="50"/>
      <c r="D11" s="50" t="s">
        <v>409</v>
      </c>
    </row>
    <row r="12" spans="1:6">
      <c r="A12" s="71">
        <v>1</v>
      </c>
      <c r="B12" s="118">
        <f>'Rate Base'!H9</f>
        <v>44742</v>
      </c>
      <c r="D12" s="58">
        <f>'Rate Base'!H203</f>
        <v>9042867.9100000001</v>
      </c>
    </row>
    <row r="13" spans="1:6">
      <c r="A13" s="71">
        <v>2</v>
      </c>
      <c r="B13" s="118">
        <f>'Rate Base'!I9</f>
        <v>44773</v>
      </c>
      <c r="D13" s="58">
        <f>'Rate Base'!I203</f>
        <v>16864248.25</v>
      </c>
    </row>
    <row r="14" spans="1:6">
      <c r="A14" s="71">
        <v>3</v>
      </c>
      <c r="B14" s="118">
        <f>'Rate Base'!J9</f>
        <v>44804</v>
      </c>
      <c r="D14" s="58">
        <f>'Rate Base'!J203</f>
        <v>25992902.780000001</v>
      </c>
    </row>
    <row r="15" spans="1:6">
      <c r="A15" s="71">
        <v>4</v>
      </c>
      <c r="B15" s="118">
        <f>'Rate Base'!K9</f>
        <v>44834</v>
      </c>
      <c r="D15" s="58">
        <f>'Rate Base'!K203</f>
        <v>40957960.210000001</v>
      </c>
    </row>
    <row r="16" spans="1:6">
      <c r="A16" s="71">
        <v>5</v>
      </c>
      <c r="B16" s="118">
        <f>'Rate Base'!L9</f>
        <v>44865</v>
      </c>
      <c r="D16" s="58">
        <f>'Rate Base'!L203</f>
        <v>53451265.520000003</v>
      </c>
    </row>
    <row r="17" spans="1:11">
      <c r="A17" s="71">
        <v>6</v>
      </c>
      <c r="B17" s="118">
        <f>'Rate Base'!M9</f>
        <v>44895</v>
      </c>
      <c r="D17" s="58">
        <f>'Rate Base'!M203</f>
        <v>54725203.509999998</v>
      </c>
    </row>
    <row r="18" spans="1:11">
      <c r="A18" s="71">
        <v>7</v>
      </c>
      <c r="B18" s="118">
        <f>'Rate Base'!N9</f>
        <v>44926</v>
      </c>
      <c r="D18" s="58">
        <f>'Rate Base'!N203</f>
        <v>48124018.939999998</v>
      </c>
    </row>
    <row r="19" spans="1:11">
      <c r="A19" s="71">
        <v>8</v>
      </c>
      <c r="B19" s="118">
        <f>'Rate Base'!O9</f>
        <v>44957</v>
      </c>
      <c r="D19" s="58">
        <f>'Rate Base'!O203</f>
        <v>38171290.57</v>
      </c>
    </row>
    <row r="20" spans="1:11">
      <c r="A20" s="71">
        <v>9</v>
      </c>
      <c r="B20" s="118">
        <f>'Rate Base'!P9</f>
        <v>44985</v>
      </c>
      <c r="D20" s="58">
        <f>'Rate Base'!P203</f>
        <v>25855835.190000001</v>
      </c>
    </row>
    <row r="21" spans="1:11">
      <c r="A21" s="71">
        <v>10</v>
      </c>
      <c r="B21" s="118">
        <f>'Rate Base'!Q9</f>
        <v>45016</v>
      </c>
      <c r="D21" s="58">
        <f>'Rate Base'!Q203</f>
        <v>15888860.289999999</v>
      </c>
      <c r="G21" s="58"/>
      <c r="H21" s="58"/>
    </row>
    <row r="22" spans="1:11">
      <c r="A22" s="71">
        <v>11</v>
      </c>
      <c r="B22" s="118">
        <f>'Rate Base'!R9</f>
        <v>45046</v>
      </c>
      <c r="D22" s="58">
        <f>'Rate Base'!R203</f>
        <v>7968757.0199999996</v>
      </c>
    </row>
    <row r="23" spans="1:11">
      <c r="A23" s="71">
        <v>12</v>
      </c>
      <c r="B23" s="118">
        <f>'Rate Base'!S9</f>
        <v>45077</v>
      </c>
      <c r="D23" s="58">
        <f>'Rate Base'!S203</f>
        <v>12876983</v>
      </c>
    </row>
    <row r="24" spans="1:11">
      <c r="A24" s="71">
        <v>13</v>
      </c>
      <c r="B24" s="118">
        <f>'Rate Base'!T9</f>
        <v>45107</v>
      </c>
      <c r="D24" s="58">
        <f>'Rate Base'!T204</f>
        <v>19959087.870000001</v>
      </c>
    </row>
    <row r="25" spans="1:11" ht="13.5" hidden="1" thickBot="1">
      <c r="A25" s="71">
        <v>14</v>
      </c>
      <c r="B25" s="118" t="s">
        <v>795</v>
      </c>
      <c r="D25" s="187">
        <f>(SUM(D13:D23)+(D12*0.5)+(D24*0.5))/12</f>
        <v>29614858.5975</v>
      </c>
    </row>
    <row r="26" spans="1:11">
      <c r="A26" s="3"/>
    </row>
    <row r="27" spans="1:11">
      <c r="A27" s="71">
        <v>14</v>
      </c>
      <c r="B27" t="s">
        <v>40</v>
      </c>
      <c r="D27" s="262">
        <f>-D24</f>
        <v>-19959087.870000001</v>
      </c>
    </row>
    <row r="29" spans="1:11">
      <c r="D29" s="262"/>
    </row>
    <row r="30" spans="1:11">
      <c r="D30" s="1"/>
      <c r="G30" s="58"/>
      <c r="H30" s="1"/>
      <c r="I30" s="10"/>
      <c r="K30" s="1"/>
    </row>
    <row r="37" spans="6:6">
      <c r="F37" s="58"/>
    </row>
  </sheetData>
  <mergeCells count="1">
    <mergeCell ref="B7:D7"/>
  </mergeCells>
  <phoneticPr fontId="0" type="noConversion"/>
  <printOptions horizontalCentered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>
    <tabColor rgb="FF92D050"/>
  </sheetPr>
  <dimension ref="A1:L39"/>
  <sheetViews>
    <sheetView topLeftCell="A4" zoomScale="80" zoomScaleNormal="80" workbookViewId="0">
      <selection activeCell="F12" sqref="F12"/>
    </sheetView>
  </sheetViews>
  <sheetFormatPr defaultColWidth="9.140625" defaultRowHeight="12.75"/>
  <cols>
    <col min="1" max="1" width="4.42578125" style="63" customWidth="1"/>
    <col min="2" max="2" width="2.140625" style="63" customWidth="1"/>
    <col min="3" max="3" width="5.7109375" style="63" customWidth="1"/>
    <col min="4" max="4" width="38.140625" style="63" customWidth="1"/>
    <col min="5" max="5" width="12.28515625" style="63" hidden="1" customWidth="1"/>
    <col min="6" max="6" width="14.42578125" style="63" bestFit="1" customWidth="1"/>
    <col min="7" max="7" width="9.140625" style="63"/>
    <col min="8" max="8" width="13.42578125" style="63" bestFit="1" customWidth="1"/>
    <col min="9" max="9" width="10.7109375" bestFit="1" customWidth="1"/>
    <col min="11" max="11" width="10.140625" bestFit="1" customWidth="1"/>
  </cols>
  <sheetData>
    <row r="1" spans="1:12">
      <c r="A1" s="281" t="s">
        <v>69</v>
      </c>
      <c r="B1" s="62"/>
      <c r="C1" s="62"/>
      <c r="E1" s="321"/>
      <c r="F1" s="321"/>
      <c r="G1" s="317"/>
      <c r="H1" s="318"/>
      <c r="I1" s="162"/>
    </row>
    <row r="2" spans="1:12">
      <c r="A2" s="12" t="str">
        <f>'Control Panel'!$B$1</f>
        <v>Dominion Energy</v>
      </c>
      <c r="B2" s="62"/>
      <c r="C2" s="62"/>
      <c r="D2" s="65"/>
      <c r="E2" s="321"/>
      <c r="F2" s="321"/>
      <c r="G2" s="319"/>
      <c r="H2" s="320"/>
      <c r="I2" s="162"/>
    </row>
    <row r="3" spans="1:12">
      <c r="A3" s="12" t="str">
        <f>'Control Panel'!$B$2</f>
        <v>Utah - June 2023 Adjusted Avg Results</v>
      </c>
      <c r="B3" s="62"/>
      <c r="C3" s="62"/>
      <c r="D3" s="62"/>
      <c r="E3" s="321"/>
      <c r="F3" s="321"/>
      <c r="G3" s="316"/>
      <c r="H3" s="317"/>
      <c r="I3" s="162"/>
    </row>
    <row r="4" spans="1:12">
      <c r="A4" s="12" t="str">
        <f>'Control Panel'!$B$3</f>
        <v>12 Months Ended : Jun-2023</v>
      </c>
      <c r="B4" s="62"/>
      <c r="C4" s="62"/>
      <c r="D4" s="62"/>
      <c r="E4" s="316"/>
      <c r="F4" s="316"/>
      <c r="G4" s="316"/>
      <c r="H4" s="316"/>
      <c r="I4" s="162"/>
    </row>
    <row r="5" spans="1:12">
      <c r="A5" s="45"/>
      <c r="B5" s="62"/>
      <c r="C5" s="62"/>
      <c r="D5" s="62"/>
      <c r="E5" s="62"/>
      <c r="F5" s="62"/>
      <c r="G5" s="62"/>
      <c r="H5" s="62"/>
      <c r="I5" s="109"/>
    </row>
    <row r="6" spans="1:12" s="62" customFormat="1">
      <c r="B6" s="62" t="s">
        <v>69</v>
      </c>
    </row>
    <row r="7" spans="1:12">
      <c r="A7" s="61"/>
      <c r="B7" s="62"/>
      <c r="C7" s="62"/>
      <c r="D7" s="62"/>
      <c r="E7" s="62"/>
      <c r="F7" s="62"/>
      <c r="G7" s="62"/>
      <c r="H7" s="62"/>
    </row>
    <row r="8" spans="1:12">
      <c r="A8" s="61"/>
      <c r="C8" s="61"/>
      <c r="D8" s="61"/>
      <c r="E8" s="61"/>
      <c r="F8" s="61" t="s">
        <v>733</v>
      </c>
      <c r="G8" s="863" t="s">
        <v>734</v>
      </c>
      <c r="H8" s="863" t="s">
        <v>735</v>
      </c>
    </row>
    <row r="9" spans="1:12">
      <c r="A9" s="61"/>
      <c r="B9" s="61"/>
      <c r="C9" s="61"/>
      <c r="D9" s="61"/>
      <c r="E9" s="61"/>
      <c r="F9" s="61" t="s">
        <v>399</v>
      </c>
      <c r="G9" s="61" t="s">
        <v>169</v>
      </c>
      <c r="H9" s="61" t="s">
        <v>40</v>
      </c>
    </row>
    <row r="10" spans="1:12" ht="13.5" thickBot="1">
      <c r="A10" s="61"/>
      <c r="C10" s="54"/>
      <c r="D10" s="315" t="s">
        <v>170</v>
      </c>
      <c r="E10" s="55"/>
      <c r="F10" s="55" t="s">
        <v>171</v>
      </c>
      <c r="G10" s="55" t="s">
        <v>172</v>
      </c>
      <c r="H10" s="55" t="s">
        <v>173</v>
      </c>
    </row>
    <row r="11" spans="1:12">
      <c r="A11" s="61">
        <v>1</v>
      </c>
      <c r="B11" s="56" t="s">
        <v>471</v>
      </c>
      <c r="C11" s="62"/>
      <c r="D11" s="62"/>
      <c r="E11" s="57"/>
      <c r="F11" s="57"/>
      <c r="G11" s="57"/>
      <c r="H11" s="62"/>
    </row>
    <row r="12" spans="1:12">
      <c r="A12" s="61">
        <v>10</v>
      </c>
      <c r="B12" s="58"/>
      <c r="C12" s="56" t="s">
        <v>174</v>
      </c>
      <c r="D12" s="56" t="s">
        <v>728</v>
      </c>
      <c r="E12" s="62">
        <f>+'Rate Base'!$N$146</f>
        <v>79968136</v>
      </c>
      <c r="F12" s="62">
        <f>+'Rate Base'!$AC$146</f>
        <v>79968136</v>
      </c>
      <c r="G12" s="57">
        <v>6.3E-2</v>
      </c>
      <c r="H12" s="62">
        <f>-(F12*G12)</f>
        <v>-5037992.568</v>
      </c>
      <c r="I12" s="1"/>
      <c r="K12" s="130"/>
      <c r="L12" s="130"/>
    </row>
    <row r="13" spans="1:12">
      <c r="A13" s="61">
        <v>11</v>
      </c>
      <c r="B13" s="58"/>
      <c r="C13" s="56" t="s">
        <v>175</v>
      </c>
      <c r="D13" s="56" t="s">
        <v>265</v>
      </c>
      <c r="E13" s="62">
        <v>0</v>
      </c>
      <c r="F13" s="62">
        <v>0</v>
      </c>
      <c r="G13" s="57">
        <f t="shared" ref="G13:G18" si="0">$G$12</f>
        <v>6.3E-2</v>
      </c>
      <c r="H13" s="62">
        <f t="shared" ref="H13:H18" si="1">-ROUND(F13*G13,0)</f>
        <v>0</v>
      </c>
    </row>
    <row r="14" spans="1:12">
      <c r="A14" s="61">
        <v>12</v>
      </c>
      <c r="B14" s="58"/>
      <c r="C14" s="56" t="s">
        <v>176</v>
      </c>
      <c r="D14" s="56" t="s">
        <v>472</v>
      </c>
      <c r="E14" s="62">
        <v>0</v>
      </c>
      <c r="F14" s="62">
        <v>0</v>
      </c>
      <c r="G14" s="57">
        <f t="shared" si="0"/>
        <v>6.3E-2</v>
      </c>
      <c r="H14" s="62">
        <f t="shared" si="1"/>
        <v>0</v>
      </c>
    </row>
    <row r="15" spans="1:12">
      <c r="A15" s="61">
        <v>13</v>
      </c>
      <c r="B15" s="58"/>
      <c r="C15" s="56" t="s">
        <v>177</v>
      </c>
      <c r="D15" s="56" t="s">
        <v>473</v>
      </c>
      <c r="E15" s="62">
        <v>0</v>
      </c>
      <c r="F15" s="62">
        <v>0</v>
      </c>
      <c r="G15" s="57">
        <f t="shared" si="0"/>
        <v>6.3E-2</v>
      </c>
      <c r="H15" s="62">
        <f t="shared" si="1"/>
        <v>0</v>
      </c>
    </row>
    <row r="16" spans="1:12">
      <c r="A16" s="61">
        <v>14</v>
      </c>
      <c r="B16" s="58"/>
      <c r="C16" s="56" t="s">
        <v>178</v>
      </c>
      <c r="D16" s="56" t="s">
        <v>274</v>
      </c>
      <c r="E16" s="62">
        <v>0</v>
      </c>
      <c r="F16" s="62">
        <v>0</v>
      </c>
      <c r="G16" s="57">
        <f t="shared" si="0"/>
        <v>6.3E-2</v>
      </c>
      <c r="H16" s="62">
        <f t="shared" si="1"/>
        <v>0</v>
      </c>
    </row>
    <row r="17" spans="1:8">
      <c r="A17" s="61">
        <v>15</v>
      </c>
      <c r="B17" s="58"/>
      <c r="C17" s="56" t="s">
        <v>179</v>
      </c>
      <c r="D17" s="56" t="s">
        <v>275</v>
      </c>
      <c r="E17" s="62">
        <v>0</v>
      </c>
      <c r="F17" s="62">
        <v>0</v>
      </c>
      <c r="G17" s="57">
        <f t="shared" si="0"/>
        <v>6.3E-2</v>
      </c>
      <c r="H17" s="62">
        <f t="shared" si="1"/>
        <v>0</v>
      </c>
    </row>
    <row r="18" spans="1:8">
      <c r="A18" s="61">
        <v>16</v>
      </c>
      <c r="B18" s="62"/>
      <c r="C18" s="56"/>
      <c r="D18" s="56" t="s">
        <v>474</v>
      </c>
      <c r="E18" s="62">
        <v>0</v>
      </c>
      <c r="F18" s="62">
        <v>0</v>
      </c>
      <c r="G18" s="57">
        <f t="shared" si="0"/>
        <v>6.3E-2</v>
      </c>
      <c r="H18" s="62">
        <f t="shared" si="1"/>
        <v>0</v>
      </c>
    </row>
    <row r="19" spans="1:8" ht="13.5" thickBot="1">
      <c r="A19" s="61">
        <v>17</v>
      </c>
      <c r="B19" s="56" t="s">
        <v>475</v>
      </c>
      <c r="C19" s="58"/>
      <c r="D19" s="62"/>
      <c r="E19" s="150">
        <f>SUM(E11:E17)</f>
        <v>79968136</v>
      </c>
      <c r="F19" s="150">
        <f>SUM(F11:F17)</f>
        <v>79968136</v>
      </c>
      <c r="G19" s="150"/>
      <c r="H19" s="150">
        <f>SUM(H12:H18)</f>
        <v>-5037992.568</v>
      </c>
    </row>
    <row r="20" spans="1:8" ht="13.5" thickTop="1">
      <c r="A20" s="61"/>
      <c r="B20" s="62"/>
      <c r="C20" s="58"/>
      <c r="D20" s="62"/>
    </row>
    <row r="21" spans="1:8">
      <c r="A21" s="61">
        <v>18</v>
      </c>
      <c r="B21" s="56" t="s">
        <v>476</v>
      </c>
      <c r="C21" s="58"/>
      <c r="D21" s="62"/>
    </row>
    <row r="22" spans="1:8">
      <c r="A22" s="61">
        <v>19</v>
      </c>
      <c r="B22" s="58"/>
      <c r="C22" s="56" t="s">
        <v>180</v>
      </c>
      <c r="D22" s="56" t="s">
        <v>477</v>
      </c>
      <c r="E22" s="62">
        <f>+'Rate Base'!$N$164</f>
        <v>-72717773.239999995</v>
      </c>
      <c r="F22" s="62">
        <f>+'Rate Base'!$AC$164</f>
        <v>-72702199.527500004</v>
      </c>
      <c r="G22" s="57">
        <f t="shared" ref="G22:G29" si="2">$G$12</f>
        <v>6.3E-2</v>
      </c>
      <c r="H22" s="62">
        <f>-F22*G22</f>
        <v>4580238.5702325003</v>
      </c>
    </row>
    <row r="23" spans="1:8">
      <c r="A23" s="61">
        <v>20</v>
      </c>
      <c r="B23" s="56"/>
      <c r="C23" s="56" t="s">
        <v>181</v>
      </c>
      <c r="D23" s="56" t="s">
        <v>478</v>
      </c>
      <c r="E23" s="62">
        <f>+'Rate Base'!$N$171</f>
        <v>-6150276.6600000001</v>
      </c>
      <c r="F23" s="62">
        <f>+'Rate Base'!$AC$171</f>
        <v>-6150276.6599999992</v>
      </c>
      <c r="G23" s="57">
        <f t="shared" si="2"/>
        <v>6.3E-2</v>
      </c>
      <c r="H23" s="62">
        <f>-F23*G23</f>
        <v>387467.42957999994</v>
      </c>
    </row>
    <row r="24" spans="1:8">
      <c r="A24" s="61">
        <v>21</v>
      </c>
      <c r="B24" s="58"/>
      <c r="C24" s="56" t="s">
        <v>182</v>
      </c>
      <c r="D24" s="56" t="s">
        <v>276</v>
      </c>
      <c r="E24" s="62">
        <v>0</v>
      </c>
      <c r="F24" s="62">
        <v>0</v>
      </c>
      <c r="G24" s="57">
        <f t="shared" si="2"/>
        <v>6.3E-2</v>
      </c>
      <c r="H24" s="62">
        <f t="shared" ref="H24:H29" si="3">-ROUND(F24*G24,0)</f>
        <v>0</v>
      </c>
    </row>
    <row r="25" spans="1:8">
      <c r="A25" s="61">
        <v>22</v>
      </c>
      <c r="B25" s="58"/>
      <c r="C25" s="38">
        <v>252</v>
      </c>
      <c r="D25" s="56" t="s">
        <v>449</v>
      </c>
      <c r="E25" s="62">
        <v>0</v>
      </c>
      <c r="F25" s="62">
        <v>0</v>
      </c>
      <c r="G25" s="57">
        <f t="shared" si="2"/>
        <v>6.3E-2</v>
      </c>
      <c r="H25" s="62">
        <f t="shared" si="3"/>
        <v>0</v>
      </c>
    </row>
    <row r="26" spans="1:8">
      <c r="A26" s="61">
        <v>23</v>
      </c>
      <c r="B26" s="58"/>
      <c r="C26" s="56" t="s">
        <v>183</v>
      </c>
      <c r="D26" s="56" t="s">
        <v>277</v>
      </c>
      <c r="E26" s="62">
        <v>0</v>
      </c>
      <c r="F26" s="62">
        <v>0</v>
      </c>
      <c r="G26" s="57">
        <f t="shared" si="2"/>
        <v>6.3E-2</v>
      </c>
      <c r="H26" s="62">
        <f t="shared" si="3"/>
        <v>0</v>
      </c>
    </row>
    <row r="27" spans="1:8">
      <c r="A27" s="61">
        <v>24</v>
      </c>
      <c r="B27" s="58"/>
      <c r="C27" s="56" t="s">
        <v>400</v>
      </c>
      <c r="D27" s="56" t="s">
        <v>278</v>
      </c>
      <c r="E27" s="62">
        <v>0</v>
      </c>
      <c r="F27" s="62">
        <v>0</v>
      </c>
      <c r="G27" s="57">
        <f t="shared" si="2"/>
        <v>6.3E-2</v>
      </c>
      <c r="H27" s="62">
        <f t="shared" si="3"/>
        <v>0</v>
      </c>
    </row>
    <row r="28" spans="1:8">
      <c r="A28" s="61">
        <v>25</v>
      </c>
      <c r="B28" s="58"/>
      <c r="C28" s="56" t="s">
        <v>401</v>
      </c>
      <c r="D28" s="56" t="s">
        <v>434</v>
      </c>
      <c r="E28" s="62">
        <v>0</v>
      </c>
      <c r="F28" s="62">
        <v>0</v>
      </c>
      <c r="G28" s="57">
        <f t="shared" si="2"/>
        <v>6.3E-2</v>
      </c>
      <c r="H28" s="62">
        <f t="shared" si="3"/>
        <v>0</v>
      </c>
    </row>
    <row r="29" spans="1:8">
      <c r="A29" s="61">
        <v>26</v>
      </c>
      <c r="B29" s="58"/>
      <c r="C29" s="56" t="s">
        <v>402</v>
      </c>
      <c r="D29" s="56" t="s">
        <v>435</v>
      </c>
      <c r="E29" s="62">
        <v>0</v>
      </c>
      <c r="F29" s="62">
        <v>0</v>
      </c>
      <c r="G29" s="57">
        <f t="shared" si="2"/>
        <v>6.3E-2</v>
      </c>
      <c r="H29" s="62">
        <f t="shared" si="3"/>
        <v>0</v>
      </c>
    </row>
    <row r="30" spans="1:8">
      <c r="A30" s="61">
        <v>27</v>
      </c>
      <c r="B30" s="56" t="s">
        <v>34</v>
      </c>
      <c r="C30" s="58"/>
      <c r="D30" s="62"/>
      <c r="E30" s="59">
        <f>SUM(E22:E29)</f>
        <v>-78868049.899999991</v>
      </c>
      <c r="F30" s="59">
        <f>SUM(F22:F29)</f>
        <v>-78852476.1875</v>
      </c>
      <c r="G30" s="59"/>
      <c r="H30" s="59">
        <f>SUM(H22:H29)</f>
        <v>4967705.9998125006</v>
      </c>
    </row>
    <row r="31" spans="1:8" ht="13.5" thickBot="1">
      <c r="A31" s="61"/>
      <c r="B31" s="62"/>
      <c r="C31" s="62"/>
      <c r="D31" s="62"/>
      <c r="E31" s="62"/>
      <c r="F31" s="62"/>
      <c r="G31" s="62"/>
      <c r="H31" s="60"/>
    </row>
    <row r="32" spans="1:8" ht="13.5" thickTop="1">
      <c r="A32" s="61"/>
      <c r="B32" s="62"/>
      <c r="C32" s="62"/>
      <c r="D32" s="62"/>
      <c r="E32" s="62"/>
      <c r="F32" s="62"/>
      <c r="G32" s="62"/>
      <c r="H32" s="62"/>
    </row>
    <row r="33" spans="1:8">
      <c r="A33" s="61">
        <v>28</v>
      </c>
      <c r="B33" s="66" t="s">
        <v>587</v>
      </c>
      <c r="C33" s="62"/>
      <c r="D33" s="62"/>
      <c r="E33" s="62"/>
      <c r="F33" s="62"/>
      <c r="G33" s="62"/>
      <c r="H33" s="62">
        <f>+H19+H30</f>
        <v>-70286.568187499419</v>
      </c>
    </row>
    <row r="34" spans="1:8">
      <c r="A34" s="61"/>
      <c r="B34" s="56"/>
      <c r="C34" s="62"/>
      <c r="D34" s="62"/>
      <c r="E34" s="62"/>
      <c r="F34" s="62"/>
      <c r="G34" s="62"/>
      <c r="H34" s="62"/>
    </row>
    <row r="35" spans="1:8">
      <c r="A35" s="67"/>
      <c r="B35" s="68"/>
      <c r="C35" s="68"/>
      <c r="D35" s="68"/>
      <c r="E35" s="62"/>
      <c r="F35" s="62"/>
      <c r="G35" s="62"/>
      <c r="H35" s="62"/>
    </row>
    <row r="36" spans="1:8" s="62" customFormat="1"/>
    <row r="37" spans="1:8" s="62" customFormat="1">
      <c r="A37" s="62" t="s">
        <v>403</v>
      </c>
      <c r="B37" s="62" t="s">
        <v>338</v>
      </c>
    </row>
    <row r="38" spans="1:8" s="62" customFormat="1">
      <c r="A38" s="62" t="s">
        <v>404</v>
      </c>
      <c r="B38" s="62" t="s">
        <v>405</v>
      </c>
    </row>
    <row r="39" spans="1:8">
      <c r="A39" s="62" t="s">
        <v>406</v>
      </c>
      <c r="B39" s="69" t="s">
        <v>407</v>
      </c>
      <c r="C39" s="62"/>
      <c r="D39" s="62"/>
      <c r="E39" s="62"/>
      <c r="F39" s="62"/>
      <c r="G39" s="62"/>
      <c r="H39" s="62"/>
    </row>
  </sheetData>
  <phoneticPr fontId="0" type="noConversion"/>
  <printOptions horizontalCentered="1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>
    <tabColor rgb="FF92D050"/>
    <pageSetUpPr fitToPage="1"/>
  </sheetPr>
  <dimension ref="A1:M32"/>
  <sheetViews>
    <sheetView zoomScale="80" zoomScaleNormal="80" workbookViewId="0">
      <selection activeCell="M13" sqref="M13"/>
    </sheetView>
  </sheetViews>
  <sheetFormatPr defaultColWidth="9.140625" defaultRowHeight="12.75"/>
  <cols>
    <col min="1" max="1" width="4.42578125" style="3" customWidth="1"/>
    <col min="2" max="2" width="36.28515625" bestFit="1" customWidth="1"/>
    <col min="3" max="3" width="15.7109375" customWidth="1"/>
    <col min="4" max="4" width="15" customWidth="1"/>
    <col min="5" max="5" width="3.5703125" customWidth="1"/>
    <col min="6" max="6" width="15" customWidth="1"/>
    <col min="7" max="7" width="3" customWidth="1"/>
    <col min="8" max="9" width="4.42578125" customWidth="1"/>
    <col min="13" max="13" width="14.28515625" customWidth="1"/>
  </cols>
  <sheetData>
    <row r="1" spans="1:13">
      <c r="A1" s="70" t="s">
        <v>803</v>
      </c>
      <c r="M1" s="63" t="s">
        <v>987</v>
      </c>
    </row>
    <row r="2" spans="1:13">
      <c r="A2" s="70" t="str">
        <f>'Control Panel'!$B$1</f>
        <v>Dominion Energy</v>
      </c>
      <c r="M2" s="63" t="s">
        <v>985</v>
      </c>
    </row>
    <row r="3" spans="1:13">
      <c r="A3" s="70" t="str">
        <f>'Control Panel'!$B$2</f>
        <v>Utah - June 2023 Adjusted Avg Results</v>
      </c>
      <c r="M3" s="78">
        <v>143507</v>
      </c>
    </row>
    <row r="4" spans="1:13">
      <c r="A4" s="70" t="str">
        <f>'Control Panel'!$B$3</f>
        <v>12 Months Ended : Jun-2023</v>
      </c>
    </row>
    <row r="5" spans="1:13">
      <c r="A5"/>
      <c r="D5" s="3"/>
      <c r="F5" s="3" t="s">
        <v>712</v>
      </c>
      <c r="H5" s="63"/>
    </row>
    <row r="6" spans="1:13" ht="25.5">
      <c r="A6" s="70"/>
      <c r="C6" s="389"/>
      <c r="D6" s="351" t="s">
        <v>1048</v>
      </c>
      <c r="E6" s="351"/>
      <c r="F6" s="351" t="str">
        <f>+'Control Panel'!B38</f>
        <v xml:space="preserve"> Reserve accrual </v>
      </c>
      <c r="G6">
        <v>1</v>
      </c>
      <c r="H6" s="63"/>
    </row>
    <row r="7" spans="1:13">
      <c r="B7" s="82"/>
      <c r="C7" s="82"/>
      <c r="G7">
        <f>+G6+1</f>
        <v>2</v>
      </c>
    </row>
    <row r="8" spans="1:13">
      <c r="B8" s="70" t="s">
        <v>585</v>
      </c>
      <c r="C8" s="70"/>
      <c r="G8">
        <f t="shared" ref="G8:G27" si="0">+G7+1</f>
        <v>3</v>
      </c>
    </row>
    <row r="9" spans="1:13" ht="13.5" thickBot="1">
      <c r="B9" s="50" t="s">
        <v>732</v>
      </c>
      <c r="C9" s="50"/>
      <c r="D9" s="50"/>
      <c r="E9" s="50"/>
      <c r="F9" s="50"/>
      <c r="G9">
        <f t="shared" si="0"/>
        <v>4</v>
      </c>
    </row>
    <row r="10" spans="1:13">
      <c r="D10" s="483"/>
      <c r="F10" s="483"/>
      <c r="G10">
        <f t="shared" si="0"/>
        <v>5</v>
      </c>
    </row>
    <row r="11" spans="1:13">
      <c r="A11" s="3">
        <v>1</v>
      </c>
      <c r="B11" s="63" t="s">
        <v>1106</v>
      </c>
      <c r="D11" s="484">
        <v>355584.31000000006</v>
      </c>
      <c r="F11" s="484">
        <f t="shared" ref="F11:F17" si="1">HLOOKUP($F$6,RESERVEACCRUALSCENARIO,G11,FALSE)</f>
        <v>355584.31000000006</v>
      </c>
      <c r="G11">
        <f t="shared" si="0"/>
        <v>6</v>
      </c>
      <c r="J11" s="63"/>
    </row>
    <row r="12" spans="1:13">
      <c r="A12" s="3">
        <v>2</v>
      </c>
      <c r="B12" s="63" t="s">
        <v>1202</v>
      </c>
      <c r="D12" s="484">
        <v>984110.86</v>
      </c>
      <c r="F12" s="484">
        <f t="shared" si="1"/>
        <v>984110.86</v>
      </c>
      <c r="G12">
        <f t="shared" si="0"/>
        <v>7</v>
      </c>
      <c r="J12" s="63"/>
    </row>
    <row r="13" spans="1:13">
      <c r="A13" s="3">
        <v>3</v>
      </c>
      <c r="B13" s="63" t="s">
        <v>1246</v>
      </c>
      <c r="D13" s="484">
        <v>580073.5</v>
      </c>
      <c r="F13" s="484">
        <f t="shared" si="1"/>
        <v>580073.5</v>
      </c>
      <c r="G13">
        <f t="shared" si="0"/>
        <v>8</v>
      </c>
      <c r="J13" s="63"/>
    </row>
    <row r="14" spans="1:13">
      <c r="A14" s="3">
        <v>4</v>
      </c>
      <c r="B14" s="63" t="s">
        <v>1267</v>
      </c>
      <c r="D14" s="484">
        <v>278405</v>
      </c>
      <c r="F14" s="484">
        <f t="shared" si="1"/>
        <v>278405</v>
      </c>
      <c r="G14">
        <f t="shared" si="0"/>
        <v>9</v>
      </c>
      <c r="J14" s="63"/>
    </row>
    <row r="15" spans="1:13">
      <c r="A15" s="3">
        <v>5</v>
      </c>
      <c r="B15" s="63" t="s">
        <v>1291</v>
      </c>
      <c r="D15" s="484">
        <v>284027</v>
      </c>
      <c r="F15" s="484">
        <f t="shared" si="1"/>
        <v>284027</v>
      </c>
      <c r="G15">
        <f t="shared" si="0"/>
        <v>10</v>
      </c>
      <c r="J15" s="63"/>
    </row>
    <row r="16" spans="1:13" ht="13.5" thickBot="1">
      <c r="A16" s="3">
        <v>6</v>
      </c>
      <c r="B16" t="s">
        <v>145</v>
      </c>
      <c r="D16" s="358">
        <f>SUM(D11:D15)</f>
        <v>2482200.67</v>
      </c>
      <c r="F16" s="358">
        <f t="shared" si="1"/>
        <v>2482200.67</v>
      </c>
      <c r="G16">
        <f t="shared" si="0"/>
        <v>11</v>
      </c>
    </row>
    <row r="17" spans="1:10" ht="13.5" thickTop="1">
      <c r="A17" s="3">
        <v>7</v>
      </c>
      <c r="B17" t="s">
        <v>591</v>
      </c>
      <c r="D17" s="357">
        <f>AVERAGE(D11:D15)</f>
        <v>496440.13399999996</v>
      </c>
      <c r="F17" s="357">
        <f t="shared" si="1"/>
        <v>496440.13399999996</v>
      </c>
      <c r="G17">
        <f t="shared" si="0"/>
        <v>12</v>
      </c>
    </row>
    <row r="18" spans="1:10">
      <c r="A18" s="3">
        <v>8</v>
      </c>
      <c r="D18" s="357"/>
      <c r="F18" s="357"/>
      <c r="G18">
        <f t="shared" si="0"/>
        <v>13</v>
      </c>
    </row>
    <row r="19" spans="1:10">
      <c r="A19" s="3">
        <v>9</v>
      </c>
      <c r="D19" s="357"/>
      <c r="F19" s="357"/>
      <c r="G19">
        <f t="shared" si="0"/>
        <v>14</v>
      </c>
    </row>
    <row r="20" spans="1:10">
      <c r="A20" s="3">
        <v>10</v>
      </c>
      <c r="B20" s="63" t="s">
        <v>1292</v>
      </c>
      <c r="D20" s="1084">
        <v>837613.87</v>
      </c>
      <c r="E20" s="610"/>
      <c r="F20" s="1085">
        <f>HLOOKUP($F$6,RESERVEACCRUALSCENARIO,G20,FALSE)</f>
        <v>837613.87</v>
      </c>
      <c r="G20">
        <f t="shared" si="0"/>
        <v>15</v>
      </c>
      <c r="J20" s="63"/>
    </row>
    <row r="21" spans="1:10">
      <c r="A21" s="3">
        <v>11</v>
      </c>
      <c r="B21" s="63"/>
      <c r="F21" s="357"/>
      <c r="G21">
        <f t="shared" si="0"/>
        <v>16</v>
      </c>
    </row>
    <row r="22" spans="1:10">
      <c r="A22" s="3">
        <v>12</v>
      </c>
      <c r="B22" t="s">
        <v>433</v>
      </c>
      <c r="D22" s="357">
        <f>D17-D20</f>
        <v>-341173.73600000003</v>
      </c>
      <c r="F22" s="357">
        <f>HLOOKUP($F$6,RESERVEACCRUALSCENARIO,G22,FALSE)</f>
        <v>-341173.73600000003</v>
      </c>
      <c r="G22">
        <f t="shared" si="0"/>
        <v>17</v>
      </c>
    </row>
    <row r="23" spans="1:10">
      <c r="A23" s="3">
        <v>13</v>
      </c>
      <c r="D23" s="357"/>
      <c r="F23" s="357"/>
      <c r="G23">
        <f t="shared" si="0"/>
        <v>18</v>
      </c>
    </row>
    <row r="24" spans="1:10">
      <c r="A24" s="3">
        <v>14</v>
      </c>
      <c r="D24" s="357"/>
      <c r="F24" s="357"/>
      <c r="G24">
        <f t="shared" si="0"/>
        <v>19</v>
      </c>
    </row>
    <row r="25" spans="1:10">
      <c r="A25" s="3">
        <v>15</v>
      </c>
      <c r="B25" t="s">
        <v>113</v>
      </c>
      <c r="D25" s="483">
        <v>480238.58879149193</v>
      </c>
      <c r="F25" s="357">
        <f>HLOOKUP($F$6,RESERVEACCRUALSCENARIO,G25,FALSE)</f>
        <v>480238.58879149193</v>
      </c>
      <c r="G25">
        <f t="shared" si="0"/>
        <v>20</v>
      </c>
    </row>
    <row r="26" spans="1:10" ht="13.5" thickBot="1">
      <c r="A26" s="3">
        <v>16</v>
      </c>
      <c r="B26" t="s">
        <v>114</v>
      </c>
      <c r="D26" s="1071">
        <v>16201.535208508101</v>
      </c>
      <c r="E26" s="313"/>
      <c r="F26" s="809">
        <f>HLOOKUP($F$6,RESERVEACCRUALSCENARIO,G26,FALSE)</f>
        <v>16201.535208508101</v>
      </c>
      <c r="G26">
        <f t="shared" si="0"/>
        <v>21</v>
      </c>
    </row>
    <row r="27" spans="1:10">
      <c r="A27" s="3">
        <v>17</v>
      </c>
      <c r="B27" s="63" t="s">
        <v>145</v>
      </c>
      <c r="D27" s="74">
        <f>SUM(D25:D26)</f>
        <v>496440.12400000001</v>
      </c>
      <c r="F27" s="74">
        <f>SUM(F25:F26)</f>
        <v>496440.12400000001</v>
      </c>
      <c r="G27">
        <f t="shared" si="0"/>
        <v>22</v>
      </c>
    </row>
    <row r="29" spans="1:10">
      <c r="D29" s="74"/>
    </row>
    <row r="30" spans="1:10">
      <c r="D30" s="331"/>
      <c r="E30" s="331"/>
      <c r="F30" s="331"/>
    </row>
    <row r="31" spans="1:10">
      <c r="D31" s="331"/>
      <c r="E31" s="331"/>
      <c r="F31" s="331"/>
    </row>
    <row r="32" spans="1:10">
      <c r="A32" t="s">
        <v>986</v>
      </c>
      <c r="D32" s="331"/>
      <c r="E32" s="331"/>
      <c r="F32" s="331"/>
    </row>
  </sheetData>
  <phoneticPr fontId="23" type="noConversion"/>
  <dataValidations count="2">
    <dataValidation type="list" showInputMessage="1" showErrorMessage="1" sqref="E31:F31" xr:uid="{00000000-0002-0000-0F00-000000000000}">
      <formula1>"Expense QGC,Expense DPU,Expense CCS,Expense FINAL ORDER,Expense HISTORICAL,,Expense Dec 08,Expense Jun 09"</formula1>
    </dataValidation>
    <dataValidation type="list" showInputMessage="1" showErrorMessage="1" sqref="E6" xr:uid="{00000000-0002-0000-0F00-000001000000}">
      <formula1>"Reserve Accrual Position 1,Reserve Accrual Position 2,Reserve Accrual Position 3,Reserve Accrual Position 4,QGC Reserve Accrual June 07,QGC Reserve Accrual Dec 08,QGC Reserve Accrual June 09"</formula1>
    </dataValidation>
  </dataValidations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9">
    <tabColor rgb="FF92D050"/>
  </sheetPr>
  <dimension ref="B1:BD4849"/>
  <sheetViews>
    <sheetView zoomScale="80" zoomScaleNormal="80" workbookViewId="0">
      <selection activeCell="R17" sqref="R17"/>
    </sheetView>
  </sheetViews>
  <sheetFormatPr defaultColWidth="9.140625" defaultRowHeight="12.75"/>
  <cols>
    <col min="1" max="1" width="4.85546875" customWidth="1"/>
    <col min="2" max="2" width="4.28515625" customWidth="1"/>
    <col min="3" max="3" width="9.140625" style="44"/>
    <col min="9" max="9" width="5.42578125" customWidth="1"/>
    <col min="10" max="10" width="15.140625" customWidth="1"/>
    <col min="11" max="11" width="6.140625" hidden="1" customWidth="1"/>
    <col min="12" max="12" width="15" hidden="1" customWidth="1"/>
    <col min="13" max="13" width="3.5703125" hidden="1" customWidth="1"/>
    <col min="14" max="14" width="4.85546875" customWidth="1"/>
    <col min="15" max="15" width="4.5703125" customWidth="1"/>
    <col min="16" max="16" width="8" customWidth="1"/>
    <col min="17" max="17" width="40" customWidth="1"/>
    <col min="18" max="18" width="20.140625" bestFit="1" customWidth="1"/>
    <col min="19" max="19" width="12" customWidth="1"/>
    <col min="20" max="20" width="17.42578125" bestFit="1" customWidth="1"/>
    <col min="21" max="22" width="4.7109375" customWidth="1"/>
    <col min="23" max="23" width="17.85546875" customWidth="1"/>
    <col min="24" max="24" width="43.140625" bestFit="1" customWidth="1"/>
    <col min="25" max="25" width="12.5703125" bestFit="1" customWidth="1"/>
    <col min="26" max="26" width="20" bestFit="1" customWidth="1"/>
    <col min="27" max="27" width="15.140625" bestFit="1" customWidth="1"/>
    <col min="28" max="28" width="6.140625" bestFit="1" customWidth="1"/>
    <col min="33" max="33" width="29.42578125" bestFit="1" customWidth="1"/>
    <col min="34" max="34" width="25.28515625" bestFit="1" customWidth="1"/>
    <col min="35" max="35" width="11.85546875" bestFit="1" customWidth="1"/>
    <col min="40" max="40" width="17.85546875" bestFit="1" customWidth="1"/>
    <col min="41" max="41" width="21.85546875" bestFit="1" customWidth="1"/>
    <col min="42" max="43" width="12.85546875" bestFit="1" customWidth="1"/>
    <col min="45" max="45" width="13.7109375" bestFit="1" customWidth="1"/>
    <col min="46" max="46" width="23.5703125" bestFit="1" customWidth="1"/>
    <col min="47" max="47" width="35" bestFit="1" customWidth="1"/>
    <col min="48" max="48" width="15.140625" bestFit="1" customWidth="1"/>
    <col min="49" max="49" width="24.7109375" bestFit="1" customWidth="1"/>
    <col min="50" max="50" width="14.85546875" bestFit="1" customWidth="1"/>
    <col min="51" max="51" width="12.5703125" bestFit="1" customWidth="1"/>
    <col min="52" max="52" width="7.28515625" bestFit="1" customWidth="1"/>
    <col min="53" max="53" width="18.42578125" bestFit="1" customWidth="1"/>
    <col min="54" max="54" width="35.85546875" bestFit="1" customWidth="1"/>
    <col min="55" max="55" width="12.140625" bestFit="1" customWidth="1"/>
    <col min="56" max="56" width="12.42578125" bestFit="1" customWidth="1"/>
    <col min="57" max="57" width="24.7109375" bestFit="1" customWidth="1"/>
    <col min="58" max="58" width="13.85546875" bestFit="1" customWidth="1"/>
    <col min="59" max="59" width="12.5703125" bestFit="1" customWidth="1"/>
    <col min="78" max="78" width="8.85546875" customWidth="1"/>
  </cols>
  <sheetData>
    <row r="1" spans="2:52">
      <c r="C1" s="12" t="s">
        <v>117</v>
      </c>
      <c r="O1" s="632" t="s">
        <v>117</v>
      </c>
      <c r="W1" s="632" t="s">
        <v>117</v>
      </c>
      <c r="AT1" t="s">
        <v>1093</v>
      </c>
      <c r="AU1" s="1004" t="s">
        <v>613</v>
      </c>
      <c r="AV1" t="s">
        <v>1094</v>
      </c>
      <c r="AW1" t="s">
        <v>755</v>
      </c>
      <c r="AX1" t="s">
        <v>1095</v>
      </c>
      <c r="AY1" t="s">
        <v>1096</v>
      </c>
    </row>
    <row r="2" spans="2:52">
      <c r="C2" s="12" t="str">
        <f>'Control Panel'!$B$1</f>
        <v>Dominion Energy</v>
      </c>
      <c r="O2" s="632" t="str">
        <f>'Control Panel'!$B$1</f>
        <v>Dominion Energy</v>
      </c>
      <c r="W2" s="632" t="str">
        <f>'Control Panel'!$B$1</f>
        <v>Dominion Energy</v>
      </c>
      <c r="AT2">
        <v>3867190</v>
      </c>
      <c r="AU2" s="1004">
        <v>2500</v>
      </c>
      <c r="AV2" s="1005" t="s">
        <v>1097</v>
      </c>
      <c r="AW2" t="s">
        <v>1098</v>
      </c>
      <c r="AX2">
        <v>1200</v>
      </c>
      <c r="AY2" s="862">
        <v>43307</v>
      </c>
      <c r="AZ2" s="710"/>
    </row>
    <row r="3" spans="2:52">
      <c r="C3" s="12" t="str">
        <f>'Control Panel'!$B$2</f>
        <v>Utah - June 2023 Adjusted Avg Results</v>
      </c>
      <c r="O3" s="632" t="str">
        <f>'Control Panel'!$B$2</f>
        <v>Utah - June 2023 Adjusted Avg Results</v>
      </c>
      <c r="W3" s="632" t="str">
        <f>'Control Panel'!$B$2</f>
        <v>Utah - June 2023 Adjusted Avg Results</v>
      </c>
      <c r="AT3">
        <v>3826997</v>
      </c>
      <c r="AU3" s="1004">
        <v>450</v>
      </c>
      <c r="AV3" t="s">
        <v>1099</v>
      </c>
      <c r="AW3" t="s">
        <v>1100</v>
      </c>
      <c r="AX3">
        <v>1200</v>
      </c>
      <c r="AY3" s="862">
        <v>43259</v>
      </c>
      <c r="AZ3" s="710"/>
    </row>
    <row r="4" spans="2:52">
      <c r="C4" s="12" t="str">
        <f>'Control Panel'!$B$3</f>
        <v>12 Months Ended : Jun-2023</v>
      </c>
      <c r="O4" s="632" t="str">
        <f>'Control Panel'!$B$3</f>
        <v>12 Months Ended : Jun-2023</v>
      </c>
      <c r="W4" s="632" t="str">
        <f>'Control Panel'!$B$3</f>
        <v>12 Months Ended : Jun-2023</v>
      </c>
      <c r="AT4">
        <v>3967802</v>
      </c>
      <c r="AU4" s="1004">
        <v>44872</v>
      </c>
      <c r="AV4" t="s">
        <v>1101</v>
      </c>
      <c r="AW4" t="s">
        <v>831</v>
      </c>
      <c r="AX4">
        <v>1250</v>
      </c>
      <c r="AY4" s="862">
        <v>43460</v>
      </c>
      <c r="AZ4" s="710"/>
    </row>
    <row r="5" spans="2:52">
      <c r="C5" s="12"/>
      <c r="L5" s="3" t="s">
        <v>712</v>
      </c>
      <c r="O5" s="633"/>
      <c r="W5" s="633"/>
      <c r="AT5">
        <v>3834513</v>
      </c>
      <c r="AU5" s="1004">
        <v>2940</v>
      </c>
      <c r="AV5" t="s">
        <v>1102</v>
      </c>
      <c r="AW5" t="s">
        <v>831</v>
      </c>
      <c r="AX5">
        <v>1250</v>
      </c>
      <c r="AY5" s="862">
        <v>43294</v>
      </c>
      <c r="AZ5" s="710"/>
    </row>
    <row r="6" spans="2:52" ht="25.5">
      <c r="B6">
        <v>1</v>
      </c>
      <c r="C6" s="12"/>
      <c r="I6" s="375"/>
      <c r="J6" s="375" t="s">
        <v>1047</v>
      </c>
      <c r="L6" s="375" t="str">
        <f>+'Control Panel'!F37</f>
        <v xml:space="preserve"> Don &amp; Membership </v>
      </c>
      <c r="M6">
        <v>1</v>
      </c>
      <c r="O6" s="63"/>
      <c r="W6" s="633"/>
      <c r="AT6">
        <v>3834512</v>
      </c>
      <c r="AU6" s="1004">
        <v>2320</v>
      </c>
      <c r="AV6" t="s">
        <v>1103</v>
      </c>
      <c r="AW6" t="s">
        <v>831</v>
      </c>
      <c r="AX6">
        <v>1200</v>
      </c>
      <c r="AY6" s="862">
        <v>43294</v>
      </c>
      <c r="AZ6" s="710"/>
    </row>
    <row r="7" spans="2:52" ht="15">
      <c r="B7">
        <v>2</v>
      </c>
      <c r="C7" s="12"/>
      <c r="I7" s="352"/>
      <c r="J7" s="352"/>
      <c r="L7" s="74"/>
      <c r="M7">
        <v>2</v>
      </c>
      <c r="O7" s="84"/>
      <c r="P7" s="1122" t="s">
        <v>117</v>
      </c>
      <c r="Q7" s="1122"/>
      <c r="R7" s="2"/>
      <c r="S7" s="2"/>
      <c r="W7" s="1125" t="s">
        <v>117</v>
      </c>
      <c r="X7" s="1125"/>
      <c r="Y7" s="1125"/>
      <c r="Z7" s="1125"/>
      <c r="AT7">
        <v>3755457</v>
      </c>
      <c r="AU7" s="1004">
        <v>2000</v>
      </c>
      <c r="AV7" s="1005" t="s">
        <v>1104</v>
      </c>
      <c r="AW7" t="s">
        <v>1105</v>
      </c>
      <c r="AX7">
        <v>1250</v>
      </c>
      <c r="AY7" s="862">
        <v>43199</v>
      </c>
      <c r="AZ7" s="700" t="s">
        <v>1171</v>
      </c>
    </row>
    <row r="8" spans="2:52" ht="15.75">
      <c r="B8">
        <v>3</v>
      </c>
      <c r="C8" s="281" t="s">
        <v>118</v>
      </c>
      <c r="I8" s="74"/>
      <c r="J8" s="74">
        <f>T21</f>
        <v>-181866.60539999991</v>
      </c>
      <c r="L8" s="74">
        <f>HLOOKUP($L$6,DONATIONSSCENARIO,M8,FALSE)</f>
        <v>-181866.60539999991</v>
      </c>
      <c r="M8">
        <v>3</v>
      </c>
      <c r="O8" s="84"/>
      <c r="P8" s="70" t="s">
        <v>1108</v>
      </c>
      <c r="Q8" s="70"/>
      <c r="R8" s="2"/>
      <c r="S8" s="2"/>
      <c r="W8" s="1125" t="s">
        <v>67</v>
      </c>
      <c r="X8" s="1125"/>
      <c r="Y8" s="1125"/>
      <c r="Z8" s="1125"/>
      <c r="AA8" s="2"/>
      <c r="AB8" s="2"/>
      <c r="AT8">
        <v>3747774</v>
      </c>
      <c r="AU8" s="1004">
        <v>543906</v>
      </c>
      <c r="AV8" s="11">
        <v>1231</v>
      </c>
      <c r="AW8" t="s">
        <v>1105</v>
      </c>
      <c r="AX8">
        <v>7000</v>
      </c>
      <c r="AY8" s="862">
        <v>43119</v>
      </c>
      <c r="AZ8" s="711" t="s">
        <v>1170</v>
      </c>
    </row>
    <row r="9" spans="2:52" ht="16.5" thickBot="1">
      <c r="B9">
        <v>4</v>
      </c>
      <c r="C9" s="281" t="s">
        <v>67</v>
      </c>
      <c r="I9" s="958"/>
      <c r="J9" s="571">
        <f>Y23</f>
        <v>0</v>
      </c>
      <c r="K9" s="75"/>
      <c r="L9" s="571">
        <f>HLOOKUP($L$6,DONATIONSSCENARIO,M9,FALSE)</f>
        <v>0</v>
      </c>
      <c r="M9">
        <v>4</v>
      </c>
      <c r="O9" s="84"/>
      <c r="P9" s="1123" t="s">
        <v>732</v>
      </c>
      <c r="Q9" s="1123"/>
      <c r="R9" s="33" t="s">
        <v>733</v>
      </c>
      <c r="S9" s="33" t="s">
        <v>734</v>
      </c>
      <c r="T9" s="33" t="s">
        <v>735</v>
      </c>
      <c r="U9" s="33"/>
      <c r="W9" s="2" t="s">
        <v>732</v>
      </c>
      <c r="X9" s="2" t="s">
        <v>733</v>
      </c>
      <c r="Y9" s="2" t="s">
        <v>734</v>
      </c>
      <c r="Z9" s="2" t="s">
        <v>735</v>
      </c>
      <c r="AA9" s="268"/>
      <c r="AB9" s="268"/>
      <c r="AU9" s="1004">
        <v>356602</v>
      </c>
      <c r="AW9" t="s">
        <v>1174</v>
      </c>
      <c r="AX9">
        <v>1250</v>
      </c>
      <c r="AZ9" s="711"/>
    </row>
    <row r="10" spans="2:52" ht="15.75">
      <c r="B10">
        <v>5</v>
      </c>
      <c r="C10" s="456" t="s">
        <v>145</v>
      </c>
      <c r="I10" s="74"/>
      <c r="J10" s="74">
        <f>SUM(J8:J9)</f>
        <v>-181866.60539999991</v>
      </c>
      <c r="L10" s="74">
        <f>HLOOKUP($L$6,DONATIONSSCENARIO,M10,FALSE)</f>
        <v>-181866.60539999991</v>
      </c>
      <c r="M10">
        <v>5</v>
      </c>
      <c r="O10" s="84"/>
      <c r="T10" s="957">
        <f>Report!F8</f>
        <v>45107</v>
      </c>
      <c r="U10" s="593"/>
      <c r="V10" s="90"/>
      <c r="W10" s="2"/>
      <c r="X10" s="2"/>
      <c r="Y10" s="2"/>
      <c r="Z10" s="2"/>
      <c r="AT10">
        <v>3899748</v>
      </c>
      <c r="AU10" s="1004">
        <v>2500</v>
      </c>
      <c r="AV10" s="11">
        <v>5845</v>
      </c>
      <c r="AW10" t="s">
        <v>19</v>
      </c>
      <c r="AX10">
        <v>7000</v>
      </c>
      <c r="AY10" s="862">
        <v>43349</v>
      </c>
      <c r="AZ10" s="711"/>
    </row>
    <row r="11" spans="2:52" ht="15.75">
      <c r="B11">
        <v>6</v>
      </c>
      <c r="L11" s="74"/>
      <c r="M11">
        <v>6</v>
      </c>
      <c r="O11" s="84"/>
      <c r="P11" s="1124" t="s">
        <v>776</v>
      </c>
      <c r="Q11" s="1124"/>
      <c r="R11" s="956" t="s">
        <v>1109</v>
      </c>
      <c r="S11" s="956" t="s">
        <v>1107</v>
      </c>
      <c r="T11" s="956" t="s">
        <v>1110</v>
      </c>
      <c r="U11" s="33"/>
      <c r="V11" s="90"/>
      <c r="W11" s="954" t="s">
        <v>6</v>
      </c>
      <c r="X11" s="954" t="s">
        <v>776</v>
      </c>
      <c r="Y11" s="954" t="s">
        <v>613</v>
      </c>
      <c r="Z11" s="955" t="s">
        <v>1051</v>
      </c>
      <c r="AA11" s="629"/>
      <c r="AB11" s="130"/>
      <c r="AW11" s="1004"/>
      <c r="AZ11" s="711"/>
    </row>
    <row r="12" spans="2:52">
      <c r="B12">
        <v>7</v>
      </c>
      <c r="L12" s="74"/>
      <c r="M12">
        <v>7</v>
      </c>
      <c r="O12" s="84">
        <v>1</v>
      </c>
      <c r="P12" s="70" t="s">
        <v>128</v>
      </c>
      <c r="Q12" s="240"/>
      <c r="R12" s="240"/>
      <c r="S12" s="240"/>
      <c r="T12" s="631"/>
      <c r="U12" s="631"/>
      <c r="V12" s="32"/>
      <c r="W12" s="128"/>
      <c r="Y12" s="1009">
        <f>YEAR(T10)</f>
        <v>2023</v>
      </c>
      <c r="AA12" s="629"/>
      <c r="AB12" s="130"/>
    </row>
    <row r="13" spans="2:52">
      <c r="B13">
        <v>8</v>
      </c>
      <c r="L13" s="74"/>
      <c r="M13">
        <v>8</v>
      </c>
      <c r="O13" s="84">
        <v>2</v>
      </c>
      <c r="P13" s="240">
        <v>921000</v>
      </c>
      <c r="Q13" s="63" t="s">
        <v>129</v>
      </c>
      <c r="R13" s="630">
        <v>0</v>
      </c>
      <c r="S13" s="10">
        <v>0</v>
      </c>
      <c r="T13" s="10">
        <f t="shared" ref="T13:T18" si="0">R13*S13</f>
        <v>0</v>
      </c>
      <c r="U13" s="630"/>
      <c r="V13" s="84">
        <v>1</v>
      </c>
      <c r="W13" s="128" t="s">
        <v>713</v>
      </c>
      <c r="X13" s="240" t="s">
        <v>258</v>
      </c>
      <c r="Y13" s="361">
        <v>0</v>
      </c>
      <c r="Z13" s="42">
        <v>1</v>
      </c>
      <c r="AA13" s="629"/>
      <c r="AB13" s="130"/>
      <c r="AT13" s="70" t="s">
        <v>938</v>
      </c>
      <c r="AU13" s="70"/>
      <c r="AV13" s="880">
        <v>3.1E-2</v>
      </c>
    </row>
    <row r="14" spans="2:52" ht="13.5" thickBot="1">
      <c r="B14">
        <v>9</v>
      </c>
      <c r="C14" s="280" t="s">
        <v>588</v>
      </c>
      <c r="F14" s="83"/>
      <c r="I14" s="83"/>
      <c r="J14" s="257">
        <f>'ROR-Model'!$M$2*J10</f>
        <v>-176368.66228823297</v>
      </c>
      <c r="L14" s="83">
        <f>HLOOKUP($L$6,DONATIONSSCENARIO,M14,FALSE)</f>
        <v>-176368.66228823297</v>
      </c>
      <c r="M14">
        <v>9</v>
      </c>
      <c r="O14" s="84">
        <v>3</v>
      </c>
      <c r="P14" s="240">
        <v>921000</v>
      </c>
      <c r="Q14" s="63" t="s">
        <v>131</v>
      </c>
      <c r="R14" s="630">
        <v>0</v>
      </c>
      <c r="S14" s="10">
        <v>0</v>
      </c>
      <c r="T14" s="10">
        <f t="shared" si="0"/>
        <v>0</v>
      </c>
      <c r="U14" s="630"/>
      <c r="V14" s="84">
        <v>2</v>
      </c>
      <c r="W14" s="128">
        <v>923000</v>
      </c>
      <c r="X14" s="240" t="s">
        <v>364</v>
      </c>
      <c r="Y14" s="361">
        <v>0</v>
      </c>
      <c r="Z14" s="42">
        <v>1</v>
      </c>
      <c r="AA14" s="629"/>
      <c r="AB14" s="130"/>
      <c r="AT14" s="787"/>
      <c r="AU14" s="787"/>
      <c r="AV14" s="787"/>
      <c r="AW14" s="787"/>
      <c r="AX14" s="787"/>
      <c r="AY14" s="787"/>
    </row>
    <row r="15" spans="2:52" ht="13.5" thickBot="1">
      <c r="B15">
        <v>10</v>
      </c>
      <c r="C15" s="280" t="s">
        <v>589</v>
      </c>
      <c r="F15" s="83"/>
      <c r="I15" s="83"/>
      <c r="J15" s="414">
        <f>'ROR-Model'!$N$2*J10</f>
        <v>-5497.9431117669528</v>
      </c>
      <c r="L15" s="278">
        <f>HLOOKUP($L$6,DONATIONSSCENARIO,M15,FALSE)</f>
        <v>-5497.9431117669528</v>
      </c>
      <c r="M15">
        <v>10</v>
      </c>
      <c r="O15" s="84">
        <v>4</v>
      </c>
      <c r="P15" s="240">
        <v>921000</v>
      </c>
      <c r="Q15" s="63" t="s">
        <v>421</v>
      </c>
      <c r="R15" s="630">
        <v>0</v>
      </c>
      <c r="S15" s="10">
        <v>0</v>
      </c>
      <c r="T15" s="10">
        <f t="shared" si="0"/>
        <v>0</v>
      </c>
      <c r="U15" s="630"/>
      <c r="V15" s="84">
        <v>3</v>
      </c>
      <c r="W15" s="128">
        <v>921000</v>
      </c>
      <c r="X15" s="240" t="s">
        <v>751</v>
      </c>
      <c r="Y15" s="361">
        <v>0</v>
      </c>
      <c r="Z15" s="42">
        <v>1</v>
      </c>
      <c r="AA15" s="629"/>
      <c r="AB15" s="130"/>
      <c r="AT15" s="786"/>
      <c r="AU15" s="786"/>
      <c r="AV15" s="788"/>
      <c r="AW15" s="786"/>
      <c r="AX15" s="789"/>
      <c r="AY15" s="786"/>
    </row>
    <row r="16" spans="2:52">
      <c r="B16">
        <v>11</v>
      </c>
      <c r="C16" s="457" t="s">
        <v>145</v>
      </c>
      <c r="F16" s="83"/>
      <c r="I16" s="83"/>
      <c r="J16" s="257">
        <f>SUM(J14:J15)</f>
        <v>-181866.60539999991</v>
      </c>
      <c r="L16" s="83">
        <f>HLOOKUP($L$6,DONATIONSSCENARIO,M16,FALSE)</f>
        <v>-181866.60539999991</v>
      </c>
      <c r="M16">
        <v>11</v>
      </c>
      <c r="O16" s="84">
        <v>5</v>
      </c>
      <c r="P16" s="240">
        <v>921000</v>
      </c>
      <c r="Q16" s="63" t="s">
        <v>665</v>
      </c>
      <c r="R16" s="130">
        <f>AI64</f>
        <v>319064.21999999986</v>
      </c>
      <c r="S16" s="81">
        <f>[15]Donations!$S$16</f>
        <v>0.56999999999999995</v>
      </c>
      <c r="T16" s="10">
        <f t="shared" si="0"/>
        <v>181866.60539999991</v>
      </c>
      <c r="U16" s="630"/>
      <c r="V16" s="84">
        <v>4</v>
      </c>
      <c r="W16" s="128">
        <v>908</v>
      </c>
      <c r="X16" s="240" t="s">
        <v>432</v>
      </c>
      <c r="Y16" s="361">
        <v>0</v>
      </c>
      <c r="Z16" s="42">
        <v>1</v>
      </c>
      <c r="AA16" s="629"/>
      <c r="AB16" s="130"/>
      <c r="AG16">
        <v>2022</v>
      </c>
    </row>
    <row r="17" spans="3:56">
      <c r="C17"/>
      <c r="L17" s="83"/>
      <c r="O17" s="84">
        <v>6</v>
      </c>
      <c r="P17" s="240">
        <v>921000</v>
      </c>
      <c r="Q17" s="63" t="s">
        <v>319</v>
      </c>
      <c r="R17" s="130">
        <f>[15]Donations!$R$17</f>
        <v>5.0163206921638448E-12</v>
      </c>
      <c r="S17" s="81">
        <f>[15]Donations!$S$17</f>
        <v>0.56999999999999995</v>
      </c>
      <c r="T17" s="10">
        <f t="shared" si="0"/>
        <v>2.8593027945333913E-12</v>
      </c>
      <c r="U17" s="630"/>
      <c r="V17" s="84">
        <v>5</v>
      </c>
      <c r="W17" s="240">
        <v>930200</v>
      </c>
      <c r="X17" s="63" t="s">
        <v>880</v>
      </c>
      <c r="Y17" s="1010">
        <v>0</v>
      </c>
      <c r="Z17" s="42">
        <v>1</v>
      </c>
      <c r="AA17" s="629"/>
      <c r="AB17" s="130"/>
      <c r="AG17" s="1014" t="s">
        <v>1281</v>
      </c>
      <c r="AH17" t="s">
        <v>1113</v>
      </c>
      <c r="AN17" t="s">
        <v>1205</v>
      </c>
      <c r="AP17" t="s">
        <v>89</v>
      </c>
      <c r="AT17" s="1014" t="s">
        <v>1113</v>
      </c>
      <c r="AV17" s="1014" t="s">
        <v>89</v>
      </c>
      <c r="AW17" s="1014" t="s">
        <v>408</v>
      </c>
    </row>
    <row r="18" spans="3:56">
      <c r="C18"/>
      <c r="L18" s="83"/>
      <c r="O18" s="84">
        <v>7</v>
      </c>
      <c r="P18" s="128">
        <v>921000</v>
      </c>
      <c r="Q18" s="240" t="s">
        <v>19</v>
      </c>
      <c r="R18" s="1010">
        <v>0</v>
      </c>
      <c r="S18" s="10">
        <v>0</v>
      </c>
      <c r="T18" s="359">
        <f t="shared" si="0"/>
        <v>0</v>
      </c>
      <c r="U18" s="630"/>
      <c r="V18" s="84">
        <v>6</v>
      </c>
      <c r="W18" s="128"/>
      <c r="X18" s="626"/>
      <c r="Y18" s="361"/>
      <c r="Z18" s="42"/>
      <c r="AA18" s="1011"/>
      <c r="AB18" s="130"/>
      <c r="AG18" s="44" t="s">
        <v>1282</v>
      </c>
      <c r="AH18" s="78">
        <v>643826.91999999981</v>
      </c>
      <c r="AI18" s="78">
        <v>643826.91999999981</v>
      </c>
      <c r="AN18" t="s">
        <v>1114</v>
      </c>
      <c r="AO18" t="s">
        <v>1206</v>
      </c>
      <c r="AP18">
        <v>2019</v>
      </c>
      <c r="AQ18" t="s">
        <v>771</v>
      </c>
      <c r="AR18" s="1014"/>
      <c r="AS18" s="1014"/>
      <c r="AT18" s="1014"/>
      <c r="AU18" s="1014"/>
      <c r="AV18">
        <v>2018</v>
      </c>
      <c r="AW18">
        <v>2019</v>
      </c>
      <c r="AX18" t="s">
        <v>771</v>
      </c>
      <c r="BA18" t="s">
        <v>1205</v>
      </c>
      <c r="BC18" s="157" t="s">
        <v>89</v>
      </c>
    </row>
    <row r="19" spans="3:56">
      <c r="C19"/>
      <c r="O19" s="84">
        <v>8</v>
      </c>
      <c r="P19" s="63"/>
      <c r="Q19" s="32" t="s">
        <v>145</v>
      </c>
      <c r="R19" s="256">
        <f>SUM(R13:R18)</f>
        <v>319064.21999999986</v>
      </c>
      <c r="S19" s="32"/>
      <c r="T19" s="10">
        <f>SUM(T13:T18)</f>
        <v>181866.60539999991</v>
      </c>
      <c r="U19" s="256"/>
      <c r="V19" s="84">
        <v>7</v>
      </c>
      <c r="W19" s="128"/>
      <c r="X19" s="240"/>
      <c r="Y19" s="361"/>
      <c r="Z19" s="42"/>
      <c r="AA19" s="629"/>
      <c r="AB19" s="130"/>
      <c r="AG19" s="1068" t="s">
        <v>1128</v>
      </c>
      <c r="AH19" s="78">
        <v>6500</v>
      </c>
      <c r="AI19" s="78">
        <v>6500</v>
      </c>
      <c r="AN19" s="610" t="s">
        <v>1118</v>
      </c>
      <c r="AO19" t="s">
        <v>1207</v>
      </c>
      <c r="AP19" s="78">
        <v>75.28</v>
      </c>
      <c r="AQ19" s="78">
        <v>75.28</v>
      </c>
      <c r="AT19" s="1014" t="s">
        <v>1114</v>
      </c>
      <c r="AU19" s="1014" t="s">
        <v>1115</v>
      </c>
      <c r="BA19" t="s">
        <v>1114</v>
      </c>
      <c r="BB19" t="s">
        <v>1248</v>
      </c>
      <c r="BC19">
        <v>2020</v>
      </c>
      <c r="BD19" t="s">
        <v>771</v>
      </c>
    </row>
    <row r="20" spans="3:56">
      <c r="C20"/>
      <c r="L20" s="81"/>
      <c r="O20" s="84">
        <v>9</v>
      </c>
      <c r="P20" s="145"/>
      <c r="Q20" s="144"/>
      <c r="R20" s="144"/>
      <c r="S20" s="144"/>
      <c r="T20" s="100"/>
      <c r="U20" s="100"/>
      <c r="V20" s="84">
        <v>8</v>
      </c>
      <c r="W20" s="128"/>
      <c r="X20" s="240"/>
      <c r="Y20" s="361"/>
      <c r="Z20" s="42"/>
      <c r="AA20" s="42"/>
      <c r="AB20" s="361"/>
      <c r="AG20" s="1069" t="s">
        <v>1129</v>
      </c>
      <c r="AH20" s="78">
        <v>6500</v>
      </c>
      <c r="AI20" s="78">
        <v>6500</v>
      </c>
      <c r="AN20" s="610" t="s">
        <v>1120</v>
      </c>
      <c r="AO20" t="s">
        <v>1208</v>
      </c>
      <c r="AP20" s="78">
        <v>4938.8</v>
      </c>
      <c r="AQ20" s="78">
        <v>4938.8</v>
      </c>
      <c r="AT20" t="s">
        <v>1116</v>
      </c>
      <c r="AU20" t="s">
        <v>1117</v>
      </c>
      <c r="AV20" s="1012">
        <v>67.47</v>
      </c>
      <c r="AW20" s="1012"/>
      <c r="AX20" s="1012">
        <v>67.47</v>
      </c>
      <c r="BA20" t="s">
        <v>1118</v>
      </c>
      <c r="BB20" t="str">
        <f>VLOOKUP(BA20,$AN$19:$AO$50,2,FALSE)</f>
        <v>Meals -Taxable</v>
      </c>
      <c r="BC20" s="157">
        <v>0</v>
      </c>
      <c r="BD20" s="157">
        <v>0</v>
      </c>
    </row>
    <row r="21" spans="3:56">
      <c r="C21"/>
      <c r="O21" s="84">
        <v>10</v>
      </c>
      <c r="P21" s="63" t="s">
        <v>719</v>
      </c>
      <c r="T21" s="10">
        <f>-T19</f>
        <v>-181866.60539999991</v>
      </c>
      <c r="U21" s="100"/>
      <c r="V21" s="84">
        <v>9</v>
      </c>
      <c r="X21" s="128"/>
      <c r="Y21" s="240"/>
      <c r="Z21" s="361"/>
      <c r="AB21" s="361"/>
      <c r="AG21" s="1068" t="s">
        <v>1130</v>
      </c>
      <c r="AH21" s="78">
        <v>27035.890000000003</v>
      </c>
      <c r="AI21" s="78">
        <v>27035.890000000003</v>
      </c>
      <c r="AN21" s="610" t="s">
        <v>1122</v>
      </c>
      <c r="AO21" t="s">
        <v>1209</v>
      </c>
      <c r="AP21" s="78">
        <v>621.66999999999996</v>
      </c>
      <c r="AQ21" s="78">
        <v>621.66999999999996</v>
      </c>
      <c r="AT21" t="s">
        <v>1118</v>
      </c>
      <c r="AU21" t="s">
        <v>1119</v>
      </c>
      <c r="AV21" s="1012"/>
      <c r="AW21" s="1012">
        <v>75.28</v>
      </c>
      <c r="AX21" s="1012">
        <v>75.28</v>
      </c>
      <c r="BA21" t="s">
        <v>1120</v>
      </c>
      <c r="BB21" t="str">
        <f t="shared" ref="BB21:BB43" si="1">VLOOKUP(BA21,$AN$19:$AO$50,2,FALSE)</f>
        <v>Meals-Non-Taxable</v>
      </c>
      <c r="BC21" s="157">
        <v>47.15</v>
      </c>
      <c r="BD21" s="157">
        <v>47.15</v>
      </c>
    </row>
    <row r="22" spans="3:56">
      <c r="C22"/>
      <c r="U22" s="87"/>
      <c r="V22" s="84">
        <v>10</v>
      </c>
      <c r="W22" s="78"/>
      <c r="X22" t="s">
        <v>145</v>
      </c>
      <c r="Y22" s="361">
        <f>SUM(Y13:Y21)</f>
        <v>0</v>
      </c>
      <c r="AA22" s="260"/>
      <c r="AB22" s="362"/>
      <c r="AG22" s="1069" t="s">
        <v>1213</v>
      </c>
      <c r="AH22" s="78">
        <v>27035.890000000003</v>
      </c>
      <c r="AI22" s="78">
        <v>27035.890000000003</v>
      </c>
      <c r="AN22" s="610" t="s">
        <v>1124</v>
      </c>
      <c r="AO22" t="s">
        <v>1210</v>
      </c>
      <c r="AP22" s="78">
        <v>5</v>
      </c>
      <c r="AQ22" s="78">
        <v>5</v>
      </c>
      <c r="AT22" t="s">
        <v>1120</v>
      </c>
      <c r="AU22" t="s">
        <v>1121</v>
      </c>
      <c r="AV22" s="1012">
        <v>2318.79</v>
      </c>
      <c r="AW22" s="1012">
        <v>134.42000000000002</v>
      </c>
      <c r="AX22" s="1012">
        <v>2453.21</v>
      </c>
      <c r="BA22" t="s">
        <v>1122</v>
      </c>
      <c r="BB22" t="str">
        <f t="shared" si="1"/>
        <v>Misc. Outside Svcs</v>
      </c>
      <c r="BC22" s="157">
        <v>0</v>
      </c>
      <c r="BD22" s="157">
        <v>0</v>
      </c>
    </row>
    <row r="23" spans="3:56">
      <c r="C23"/>
      <c r="U23" s="87"/>
      <c r="V23" s="84">
        <v>11</v>
      </c>
      <c r="W23" s="78"/>
      <c r="X23" s="260" t="s">
        <v>40</v>
      </c>
      <c r="Y23" s="257">
        <f>-Y22</f>
        <v>0</v>
      </c>
      <c r="Z23" s="260"/>
      <c r="AB23" s="78"/>
      <c r="AG23" s="1068" t="s">
        <v>1132</v>
      </c>
      <c r="AH23" s="78">
        <v>500</v>
      </c>
      <c r="AI23" s="78">
        <v>500</v>
      </c>
      <c r="AN23" t="s">
        <v>1126</v>
      </c>
      <c r="AO23" t="s">
        <v>1127</v>
      </c>
      <c r="AP23" s="78">
        <v>3248.4399999999996</v>
      </c>
      <c r="AQ23" s="78">
        <v>3248.4399999999996</v>
      </c>
      <c r="AT23" t="s">
        <v>1122</v>
      </c>
      <c r="AU23" t="s">
        <v>1123</v>
      </c>
      <c r="AV23" s="1012">
        <v>1668.6299999999999</v>
      </c>
      <c r="AW23" s="1012"/>
      <c r="AX23" s="1012">
        <v>1668.6299999999999</v>
      </c>
      <c r="BA23" t="s">
        <v>1124</v>
      </c>
      <c r="BB23" t="str">
        <f t="shared" si="1"/>
        <v>Pstge/Shppng/Frght</v>
      </c>
      <c r="BC23" s="157">
        <v>0</v>
      </c>
      <c r="BD23" s="157">
        <v>0</v>
      </c>
    </row>
    <row r="24" spans="3:56">
      <c r="C24"/>
      <c r="G24" s="63"/>
      <c r="J24" s="42"/>
      <c r="Q24" s="63"/>
      <c r="V24" s="84">
        <v>12</v>
      </c>
      <c r="W24" s="78"/>
      <c r="Y24" s="78"/>
      <c r="AA24" s="257"/>
      <c r="AB24" s="257"/>
      <c r="AG24" s="1069" t="s">
        <v>1214</v>
      </c>
      <c r="AH24" s="78">
        <v>500</v>
      </c>
      <c r="AI24" s="78">
        <v>500</v>
      </c>
      <c r="AN24" t="s">
        <v>1128</v>
      </c>
      <c r="AO24" t="s">
        <v>1129</v>
      </c>
      <c r="AP24" s="78">
        <v>300</v>
      </c>
      <c r="AQ24" s="78">
        <v>300</v>
      </c>
      <c r="AT24" t="s">
        <v>1124</v>
      </c>
      <c r="AU24" t="s">
        <v>1125</v>
      </c>
      <c r="AV24" s="1012">
        <v>-90</v>
      </c>
      <c r="AW24" s="1012">
        <v>-30</v>
      </c>
      <c r="AX24" s="1012">
        <v>-120</v>
      </c>
      <c r="BA24" t="s">
        <v>1211</v>
      </c>
      <c r="BB24" t="str">
        <f t="shared" si="1"/>
        <v>CA-Depr Exp Util Plt</v>
      </c>
      <c r="BC24" s="157">
        <v>2.12</v>
      </c>
      <c r="BD24" s="157">
        <v>2.12</v>
      </c>
    </row>
    <row r="25" spans="3:56">
      <c r="C25"/>
      <c r="U25" s="30"/>
      <c r="V25" s="84">
        <v>13</v>
      </c>
      <c r="W25" s="78"/>
      <c r="X25" s="280" t="s">
        <v>588</v>
      </c>
      <c r="Y25" s="257">
        <f>Y23*'ROR-Model'!M2</f>
        <v>0</v>
      </c>
      <c r="AA25" s="257"/>
      <c r="AB25" s="257"/>
      <c r="AG25" s="1068" t="s">
        <v>1134</v>
      </c>
      <c r="AH25" s="78">
        <v>15.959999999999999</v>
      </c>
      <c r="AI25" s="78">
        <v>15.959999999999999</v>
      </c>
      <c r="AN25" s="610" t="s">
        <v>1211</v>
      </c>
      <c r="AO25" t="s">
        <v>1212</v>
      </c>
      <c r="AP25" s="78">
        <v>9.3675067702747583E-17</v>
      </c>
      <c r="AQ25" s="78">
        <v>9.3675067702747583E-17</v>
      </c>
      <c r="AT25" t="s">
        <v>1126</v>
      </c>
      <c r="AU25" t="s">
        <v>1127</v>
      </c>
      <c r="AV25" s="1012">
        <v>1056.96</v>
      </c>
      <c r="AW25" s="1012"/>
      <c r="AX25" s="1012">
        <v>1056.96</v>
      </c>
      <c r="BA25" t="s">
        <v>1130</v>
      </c>
      <c r="BB25" t="str">
        <f t="shared" si="1"/>
        <v>CA-Payroll Taxes</v>
      </c>
      <c r="BC25" s="157">
        <v>16955.759999999998</v>
      </c>
      <c r="BD25" s="157">
        <v>16955.759999999998</v>
      </c>
    </row>
    <row r="26" spans="3:56">
      <c r="C26"/>
      <c r="U26" s="39"/>
      <c r="V26" s="84">
        <v>14</v>
      </c>
      <c r="X26" s="280" t="s">
        <v>589</v>
      </c>
      <c r="Y26" s="257">
        <f>Y23*'ROR-Model'!N2</f>
        <v>0</v>
      </c>
      <c r="AA26" s="257"/>
      <c r="AB26" s="257"/>
      <c r="AG26" s="1069" t="s">
        <v>1215</v>
      </c>
      <c r="AH26" s="78">
        <v>15.959999999999999</v>
      </c>
      <c r="AI26" s="78">
        <v>15.959999999999999</v>
      </c>
      <c r="AN26" s="610" t="s">
        <v>1130</v>
      </c>
      <c r="AO26" t="s">
        <v>1213</v>
      </c>
      <c r="AP26" s="78">
        <v>-2.4136248555350903E-13</v>
      </c>
      <c r="AQ26" s="78">
        <v>-2.4136248555350903E-13</v>
      </c>
      <c r="AT26" t="s">
        <v>1128</v>
      </c>
      <c r="AU26" t="s">
        <v>1129</v>
      </c>
      <c r="AV26" s="1012">
        <v>300</v>
      </c>
      <c r="AW26" s="1012"/>
      <c r="AX26" s="1012">
        <v>300</v>
      </c>
      <c r="BA26" t="s">
        <v>1132</v>
      </c>
      <c r="BB26" t="str">
        <f t="shared" si="1"/>
        <v>CA-Other Ded-Donatio</v>
      </c>
      <c r="BC26" s="157">
        <v>1879.61</v>
      </c>
      <c r="BD26" s="157">
        <v>1879.61</v>
      </c>
    </row>
    <row r="27" spans="3:56">
      <c r="C27"/>
      <c r="U27" s="89"/>
      <c r="V27" s="84">
        <v>15</v>
      </c>
      <c r="X27" s="279" t="s">
        <v>145</v>
      </c>
      <c r="Y27" s="257">
        <f>SUM(Y25:Y26)</f>
        <v>0</v>
      </c>
      <c r="AG27" s="1068" t="s">
        <v>1136</v>
      </c>
      <c r="AH27" s="78">
        <v>2865.7999999999993</v>
      </c>
      <c r="AI27" s="78">
        <v>2865.7999999999993</v>
      </c>
      <c r="AN27" s="610" t="s">
        <v>1132</v>
      </c>
      <c r="AO27" t="s">
        <v>1214</v>
      </c>
      <c r="AP27" s="78">
        <v>7.3074879480827803E-13</v>
      </c>
      <c r="AQ27" s="78">
        <v>7.3074879480827803E-13</v>
      </c>
      <c r="AT27" t="s">
        <v>1130</v>
      </c>
      <c r="AU27" t="s">
        <v>1131</v>
      </c>
      <c r="AV27" s="1012">
        <v>264.02999999999912</v>
      </c>
      <c r="AW27" s="1012">
        <v>-264.0299999999977</v>
      </c>
      <c r="AX27" s="1012">
        <v>1.4210854715202004E-12</v>
      </c>
      <c r="BA27" t="s">
        <v>1136</v>
      </c>
      <c r="BB27" t="str">
        <f t="shared" si="1"/>
        <v>CA-Vacation Liabilit</v>
      </c>
      <c r="BC27" s="157">
        <v>1114.8899999999999</v>
      </c>
      <c r="BD27" s="157">
        <v>1114.8899999999999</v>
      </c>
    </row>
    <row r="28" spans="3:56">
      <c r="C28"/>
      <c r="V28" s="84">
        <v>16</v>
      </c>
      <c r="AG28" s="1069" t="s">
        <v>1216</v>
      </c>
      <c r="AH28" s="78">
        <v>2865.7999999999993</v>
      </c>
      <c r="AI28" s="78">
        <v>2865.7999999999993</v>
      </c>
      <c r="AN28" t="s">
        <v>1134</v>
      </c>
      <c r="AO28" t="s">
        <v>1215</v>
      </c>
      <c r="AP28" s="78">
        <v>-4.8884507553026424E-15</v>
      </c>
      <c r="AQ28" s="78">
        <v>-4.8884507553026424E-15</v>
      </c>
      <c r="AT28" t="s">
        <v>1132</v>
      </c>
      <c r="AU28" t="s">
        <v>1133</v>
      </c>
      <c r="AV28" s="1012">
        <v>1000</v>
      </c>
      <c r="AW28" s="1012">
        <v>-999.99999999999909</v>
      </c>
      <c r="AX28" s="1012">
        <v>9.0949470177292824E-13</v>
      </c>
      <c r="BA28" t="s">
        <v>1138</v>
      </c>
      <c r="BB28" t="str">
        <f t="shared" si="1"/>
        <v>CA-AIP</v>
      </c>
      <c r="BC28" s="157">
        <v>40077.740000000005</v>
      </c>
      <c r="BD28" s="157">
        <v>40077.740000000005</v>
      </c>
    </row>
    <row r="29" spans="3:56">
      <c r="C29"/>
      <c r="U29" s="74"/>
      <c r="V29" s="84"/>
      <c r="AG29" s="1068" t="s">
        <v>1138</v>
      </c>
      <c r="AH29" s="78">
        <v>56196</v>
      </c>
      <c r="AI29" s="78">
        <v>56196</v>
      </c>
      <c r="AN29" s="610" t="s">
        <v>1136</v>
      </c>
      <c r="AO29" t="s">
        <v>1216</v>
      </c>
      <c r="AP29" s="78">
        <v>3.0819791163594346E-13</v>
      </c>
      <c r="AQ29" s="78">
        <v>3.0819791163594346E-13</v>
      </c>
      <c r="AT29" t="s">
        <v>1134</v>
      </c>
      <c r="AU29" t="s">
        <v>1135</v>
      </c>
      <c r="AV29" s="1012"/>
      <c r="AW29" s="1012">
        <v>0</v>
      </c>
      <c r="AX29" s="1012">
        <v>0</v>
      </c>
      <c r="BA29" t="s">
        <v>1140</v>
      </c>
      <c r="BB29" t="str">
        <f t="shared" si="1"/>
        <v>CA-LTIP/Restricted S</v>
      </c>
      <c r="BC29" s="157">
        <v>6098.84</v>
      </c>
      <c r="BD29" s="157">
        <v>6098.84</v>
      </c>
    </row>
    <row r="30" spans="3:56">
      <c r="C30"/>
      <c r="V30" s="84"/>
      <c r="X30" s="592"/>
      <c r="AG30" s="1069" t="s">
        <v>1217</v>
      </c>
      <c r="AH30" s="78">
        <v>56196</v>
      </c>
      <c r="AI30" s="78">
        <v>56196</v>
      </c>
      <c r="AN30" s="610" t="s">
        <v>1138</v>
      </c>
      <c r="AO30" t="s">
        <v>1217</v>
      </c>
      <c r="AP30" s="78">
        <v>-1.106670310946356E-12</v>
      </c>
      <c r="AQ30" s="78">
        <v>-1.106670310946356E-12</v>
      </c>
      <c r="AT30" t="s">
        <v>1136</v>
      </c>
      <c r="AU30" t="s">
        <v>1137</v>
      </c>
      <c r="AV30" s="1012">
        <v>-585.46</v>
      </c>
      <c r="AW30" s="1012">
        <v>585.45999999999981</v>
      </c>
      <c r="AX30" s="1012">
        <v>-2.2737367544323206E-13</v>
      </c>
      <c r="AY30" s="786"/>
      <c r="BA30" t="s">
        <v>1142</v>
      </c>
      <c r="BB30" t="str">
        <f t="shared" si="1"/>
        <v>CA-Office Supplies &amp;</v>
      </c>
      <c r="BC30" s="157">
        <v>5893.25</v>
      </c>
      <c r="BD30" s="157">
        <v>5893.25</v>
      </c>
    </row>
    <row r="31" spans="3:56">
      <c r="C31"/>
      <c r="AG31" s="1068" t="s">
        <v>1140</v>
      </c>
      <c r="AH31" s="78">
        <v>10241.36</v>
      </c>
      <c r="AI31" s="78">
        <v>10241.36</v>
      </c>
      <c r="AN31" s="610" t="s">
        <v>1140</v>
      </c>
      <c r="AO31" t="s">
        <v>1218</v>
      </c>
      <c r="AP31" s="78">
        <v>-3.5527136788005009E-14</v>
      </c>
      <c r="AQ31" s="78">
        <v>-3.5527136788005009E-14</v>
      </c>
      <c r="AT31" t="s">
        <v>1138</v>
      </c>
      <c r="AU31" t="s">
        <v>1139</v>
      </c>
      <c r="AV31" s="1012">
        <v>2659.1000000000008</v>
      </c>
      <c r="AW31" s="1012">
        <v>-2659.1000000000022</v>
      </c>
      <c r="AX31" s="1012">
        <v>-1.3642420526593924E-12</v>
      </c>
      <c r="AY31" s="786"/>
      <c r="BA31" t="s">
        <v>1220</v>
      </c>
      <c r="BB31" t="str">
        <f t="shared" si="1"/>
        <v>CA-Vehicle Expenses</v>
      </c>
      <c r="BC31" s="157">
        <v>2698.0699999999997</v>
      </c>
      <c r="BD31" s="157">
        <v>2698.0699999999997</v>
      </c>
    </row>
    <row r="32" spans="3:56">
      <c r="C32"/>
      <c r="AG32" s="1069" t="s">
        <v>1218</v>
      </c>
      <c r="AH32" s="78">
        <v>10241.36</v>
      </c>
      <c r="AI32" s="78">
        <v>10241.36</v>
      </c>
      <c r="AN32" s="610" t="s">
        <v>1142</v>
      </c>
      <c r="AO32" t="s">
        <v>1219</v>
      </c>
      <c r="AP32" s="78">
        <v>9.50350909079134E-14</v>
      </c>
      <c r="AQ32" s="78">
        <v>9.50350909079134E-14</v>
      </c>
      <c r="AT32" t="s">
        <v>1140</v>
      </c>
      <c r="AU32" t="s">
        <v>1141</v>
      </c>
      <c r="AV32" s="1012">
        <v>408.32999999999993</v>
      </c>
      <c r="AW32" s="1012">
        <v>-408.3300000000001</v>
      </c>
      <c r="AX32" s="1012">
        <v>-1.7053025658242404E-13</v>
      </c>
      <c r="AY32" s="786"/>
      <c r="BA32" t="s">
        <v>1144</v>
      </c>
      <c r="BB32" t="str">
        <f t="shared" si="1"/>
        <v>CA-Outside Services</v>
      </c>
      <c r="BC32" s="157">
        <v>734.35</v>
      </c>
      <c r="BD32" s="157">
        <v>734.35</v>
      </c>
    </row>
    <row r="33" spans="3:56">
      <c r="C33"/>
      <c r="AG33" s="1068" t="s">
        <v>1142</v>
      </c>
      <c r="AH33" s="78">
        <v>20288.75</v>
      </c>
      <c r="AI33" s="78">
        <v>20288.75</v>
      </c>
      <c r="AN33" s="610" t="s">
        <v>1220</v>
      </c>
      <c r="AO33" t="s">
        <v>1221</v>
      </c>
      <c r="AP33" s="78">
        <v>3.6429192995512949E-17</v>
      </c>
      <c r="AQ33" s="78">
        <v>3.6429192995512949E-17</v>
      </c>
      <c r="AT33" t="s">
        <v>1142</v>
      </c>
      <c r="AU33" t="s">
        <v>1143</v>
      </c>
      <c r="AV33" s="1012">
        <v>253.92000000000044</v>
      </c>
      <c r="AW33" s="1012">
        <v>-253.91999999999962</v>
      </c>
      <c r="AX33" s="1012">
        <v>8.2422957348171622E-13</v>
      </c>
      <c r="AY33" s="786"/>
      <c r="BA33" t="s">
        <v>1146</v>
      </c>
      <c r="BB33" t="str">
        <f t="shared" si="1"/>
        <v>CA-Emp Bfit-Medical</v>
      </c>
      <c r="BC33" s="157">
        <v>12970.93</v>
      </c>
      <c r="BD33" s="157">
        <v>12970.93</v>
      </c>
    </row>
    <row r="34" spans="3:56">
      <c r="C34"/>
      <c r="AG34" s="1069" t="s">
        <v>1219</v>
      </c>
      <c r="AH34" s="78">
        <v>20288.75</v>
      </c>
      <c r="AI34" s="78">
        <v>20288.75</v>
      </c>
      <c r="AN34" s="610" t="s">
        <v>1144</v>
      </c>
      <c r="AO34" t="s">
        <v>1222</v>
      </c>
      <c r="AP34" s="78">
        <v>-1.7541523789077473E-14</v>
      </c>
      <c r="AQ34" s="78">
        <v>-1.7541523789077473E-14</v>
      </c>
      <c r="AT34" t="s">
        <v>1144</v>
      </c>
      <c r="AU34" t="s">
        <v>1145</v>
      </c>
      <c r="AV34" s="1012">
        <v>5536.31</v>
      </c>
      <c r="AW34" s="1012">
        <v>-5536.31</v>
      </c>
      <c r="AX34" s="1012">
        <v>0</v>
      </c>
      <c r="AY34" s="786"/>
      <c r="BA34" t="s">
        <v>1148</v>
      </c>
      <c r="BB34" t="str">
        <f t="shared" si="1"/>
        <v>CA-Emp Bfit-Other</v>
      </c>
      <c r="BC34" s="157">
        <v>14651.71</v>
      </c>
      <c r="BD34" s="157">
        <v>14651.71</v>
      </c>
    </row>
    <row r="35" spans="3:56">
      <c r="C35"/>
      <c r="AG35" s="1068" t="s">
        <v>1220</v>
      </c>
      <c r="AH35" s="78">
        <v>305.78999999999996</v>
      </c>
      <c r="AI35" s="78">
        <v>305.78999999999996</v>
      </c>
      <c r="AN35" s="610" t="s">
        <v>1146</v>
      </c>
      <c r="AO35" t="s">
        <v>1223</v>
      </c>
      <c r="AP35" s="78">
        <v>-1.7763568394002505E-15</v>
      </c>
      <c r="AQ35" s="78">
        <v>-1.7763568394002505E-15</v>
      </c>
      <c r="AT35" t="s">
        <v>1146</v>
      </c>
      <c r="AU35" t="s">
        <v>1147</v>
      </c>
      <c r="AV35" s="1012">
        <v>960.36000000000035</v>
      </c>
      <c r="AW35" s="1012">
        <v>-960.3599999999999</v>
      </c>
      <c r="AX35" s="1012">
        <v>4.5474735088646412E-13</v>
      </c>
      <c r="AY35" s="786"/>
      <c r="BA35" t="s">
        <v>1150</v>
      </c>
      <c r="BB35" t="str">
        <f t="shared" si="1"/>
        <v>CA-Emp Bfit-OPEB</v>
      </c>
      <c r="BC35" s="157">
        <v>-9767.69</v>
      </c>
      <c r="BD35" s="157">
        <v>-9767.69</v>
      </c>
    </row>
    <row r="36" spans="3:56">
      <c r="C36"/>
      <c r="AG36" s="1069" t="s">
        <v>1221</v>
      </c>
      <c r="AH36" s="78">
        <v>305.78999999999996</v>
      </c>
      <c r="AI36" s="78">
        <v>305.78999999999996</v>
      </c>
      <c r="AN36" s="610" t="s">
        <v>1148</v>
      </c>
      <c r="AO36" t="s">
        <v>1224</v>
      </c>
      <c r="AP36" s="78">
        <v>1.6431300764452317E-13</v>
      </c>
      <c r="AQ36" s="78">
        <v>1.6431300764452317E-13</v>
      </c>
      <c r="AT36" t="s">
        <v>1148</v>
      </c>
      <c r="AU36" t="s">
        <v>1149</v>
      </c>
      <c r="AV36" s="1012">
        <v>1134.7000000000003</v>
      </c>
      <c r="AW36" s="1012">
        <v>-1134.6999999999994</v>
      </c>
      <c r="AX36" s="1012">
        <v>9.0949470177292824E-13</v>
      </c>
      <c r="AY36" s="786"/>
      <c r="BA36" t="s">
        <v>1152</v>
      </c>
      <c r="BB36" t="str">
        <f t="shared" si="1"/>
        <v>CA-Emp Bfit-Pensions</v>
      </c>
      <c r="BC36" s="157">
        <v>10565.100000000002</v>
      </c>
      <c r="BD36" s="157">
        <v>10565.100000000002</v>
      </c>
    </row>
    <row r="37" spans="3:56">
      <c r="C37"/>
      <c r="W37" s="367"/>
      <c r="AG37" s="1068" t="s">
        <v>1283</v>
      </c>
      <c r="AH37" s="78">
        <v>4335.3100000000004</v>
      </c>
      <c r="AI37" s="78">
        <v>4335.3100000000004</v>
      </c>
      <c r="AN37" s="610" t="s">
        <v>1150</v>
      </c>
      <c r="AO37" t="s">
        <v>1225</v>
      </c>
      <c r="AP37" s="78">
        <v>-2.2026824808563106E-13</v>
      </c>
      <c r="AQ37" s="78">
        <v>-2.2026824808563106E-13</v>
      </c>
      <c r="AT37" t="s">
        <v>1150</v>
      </c>
      <c r="AU37" t="s">
        <v>1151</v>
      </c>
      <c r="AV37" s="1012">
        <v>-422.94</v>
      </c>
      <c r="AW37" s="1012">
        <v>422.93999999999988</v>
      </c>
      <c r="AX37" s="1012">
        <v>-1.1368683772161603E-13</v>
      </c>
      <c r="AY37" s="786"/>
      <c r="BA37" t="s">
        <v>1154</v>
      </c>
      <c r="BC37" s="157">
        <v>705.09</v>
      </c>
      <c r="BD37" s="157">
        <v>705.09</v>
      </c>
    </row>
    <row r="38" spans="3:56">
      <c r="C38"/>
      <c r="AG38" s="1069" t="s">
        <v>1284</v>
      </c>
      <c r="AH38" s="78">
        <v>4335.3100000000004</v>
      </c>
      <c r="AI38" s="78">
        <v>4335.3100000000004</v>
      </c>
      <c r="AN38" s="610" t="s">
        <v>1152</v>
      </c>
      <c r="AO38" t="s">
        <v>1226</v>
      </c>
      <c r="AP38" s="78">
        <v>2.6556534749033744E-13</v>
      </c>
      <c r="AQ38" s="78">
        <v>2.6556534749033744E-13</v>
      </c>
      <c r="AT38" t="s">
        <v>1152</v>
      </c>
      <c r="AU38" t="s">
        <v>1153</v>
      </c>
      <c r="AV38" s="1012">
        <v>1337.629999999999</v>
      </c>
      <c r="AW38" s="1012">
        <v>-1337.6300000000006</v>
      </c>
      <c r="AX38" s="1012">
        <v>-1.5916157281026244E-12</v>
      </c>
      <c r="AY38" s="786"/>
      <c r="BA38" t="s">
        <v>1227</v>
      </c>
      <c r="BB38" t="str">
        <f t="shared" si="1"/>
        <v>CA-Rents/Facilities</v>
      </c>
      <c r="BC38" s="157">
        <v>3716.9599999999996</v>
      </c>
      <c r="BD38" s="157">
        <v>3716.9599999999996</v>
      </c>
    </row>
    <row r="39" spans="3:56">
      <c r="C39"/>
      <c r="AG39" s="1068" t="s">
        <v>1144</v>
      </c>
      <c r="AH39" s="78">
        <v>614.34</v>
      </c>
      <c r="AI39" s="78">
        <v>614.34</v>
      </c>
      <c r="AN39" s="610" t="s">
        <v>1227</v>
      </c>
      <c r="AO39" t="s">
        <v>1228</v>
      </c>
      <c r="AP39" s="78">
        <v>-5.262457136723242E-14</v>
      </c>
      <c r="AQ39" s="78">
        <v>-5.262457136723242E-14</v>
      </c>
      <c r="AT39" t="s">
        <v>1154</v>
      </c>
      <c r="AU39" t="s">
        <v>1155</v>
      </c>
      <c r="AV39" s="1012">
        <v>110</v>
      </c>
      <c r="AW39" s="1012">
        <v>-110</v>
      </c>
      <c r="AX39" s="1012">
        <v>0</v>
      </c>
      <c r="AY39" s="786"/>
      <c r="BA39" t="s">
        <v>1156</v>
      </c>
      <c r="BB39" t="str">
        <f t="shared" si="1"/>
        <v>CA-Maint-Elec Struc/</v>
      </c>
      <c r="BC39" s="157">
        <v>1475.17</v>
      </c>
      <c r="BD39" s="157">
        <v>1475.17</v>
      </c>
    </row>
    <row r="40" spans="3:56">
      <c r="C40"/>
      <c r="AG40" s="1069" t="s">
        <v>1222</v>
      </c>
      <c r="AH40" s="78">
        <v>614.34</v>
      </c>
      <c r="AI40" s="78">
        <v>614.34</v>
      </c>
      <c r="AN40" s="610" t="s">
        <v>1156</v>
      </c>
      <c r="AO40" t="s">
        <v>1229</v>
      </c>
      <c r="AP40" s="78">
        <v>5.9154070530809122E-16</v>
      </c>
      <c r="AQ40" s="78">
        <v>5.9154070530809122E-16</v>
      </c>
      <c r="AT40" t="s">
        <v>1156</v>
      </c>
      <c r="AU40" t="s">
        <v>1157</v>
      </c>
      <c r="AV40" s="1012">
        <v>205.10000000000022</v>
      </c>
      <c r="AW40" s="1012">
        <v>-205.09999999999988</v>
      </c>
      <c r="AX40" s="1012">
        <v>3.4106051316484809E-13</v>
      </c>
      <c r="AY40" s="786"/>
      <c r="BA40" t="s">
        <v>1158</v>
      </c>
      <c r="BB40" t="str">
        <f t="shared" si="1"/>
        <v>CA-Labor Residual Tr</v>
      </c>
      <c r="BC40" s="157">
        <v>527.03000000000065</v>
      </c>
      <c r="BD40" s="157">
        <v>527.03000000000065</v>
      </c>
    </row>
    <row r="41" spans="3:56">
      <c r="C41"/>
      <c r="AG41" s="1068" t="s">
        <v>1146</v>
      </c>
      <c r="AH41" s="78">
        <v>10406.340000000002</v>
      </c>
      <c r="AI41" s="78">
        <v>10406.340000000002</v>
      </c>
      <c r="AN41" s="610" t="s">
        <v>1158</v>
      </c>
      <c r="AO41" t="s">
        <v>1230</v>
      </c>
      <c r="AP41" s="78">
        <v>1.3784529073745944E-12</v>
      </c>
      <c r="AQ41" s="78">
        <v>1.3784529073745944E-12</v>
      </c>
      <c r="AT41" t="s">
        <v>1158</v>
      </c>
      <c r="AU41" t="s">
        <v>1159</v>
      </c>
      <c r="AV41" s="1012">
        <v>-5.0000000000191003E-2</v>
      </c>
      <c r="AW41" s="1012">
        <v>5.0000000000068212E-2</v>
      </c>
      <c r="AX41" s="1012">
        <v>-1.2279066652354231E-13</v>
      </c>
      <c r="AY41" s="786"/>
      <c r="BA41" t="s">
        <v>1160</v>
      </c>
      <c r="BB41" t="str">
        <f t="shared" si="1"/>
        <v>Donations- 501c3</v>
      </c>
      <c r="BC41" s="157">
        <v>341783</v>
      </c>
      <c r="BD41" s="157">
        <v>341783</v>
      </c>
    </row>
    <row r="42" spans="3:56">
      <c r="C42"/>
      <c r="AG42" s="1069" t="s">
        <v>1223</v>
      </c>
      <c r="AH42" s="78">
        <v>10406.340000000002</v>
      </c>
      <c r="AI42" s="78">
        <v>10406.340000000002</v>
      </c>
      <c r="AN42" s="610" t="s">
        <v>1160</v>
      </c>
      <c r="AO42" t="s">
        <v>1161</v>
      </c>
      <c r="AP42" s="78">
        <v>234779.6</v>
      </c>
      <c r="AQ42" s="78">
        <v>234779.6</v>
      </c>
      <c r="AT42" t="s">
        <v>1160</v>
      </c>
      <c r="AU42" t="s">
        <v>1161</v>
      </c>
      <c r="AV42" s="1012">
        <v>223081.25</v>
      </c>
      <c r="AW42" s="1012">
        <v>93200</v>
      </c>
      <c r="AX42" s="1012">
        <v>316281.25</v>
      </c>
      <c r="AY42" s="786"/>
      <c r="BA42" t="s">
        <v>1233</v>
      </c>
      <c r="BB42" t="str">
        <f t="shared" si="1"/>
        <v>Civic/Polt/Lobby Act</v>
      </c>
      <c r="BC42" s="157">
        <v>5000</v>
      </c>
      <c r="BD42" s="157">
        <v>5000</v>
      </c>
    </row>
    <row r="43" spans="3:56">
      <c r="C43"/>
      <c r="AG43" s="1068" t="s">
        <v>1148</v>
      </c>
      <c r="AH43" s="78">
        <v>23932.2</v>
      </c>
      <c r="AI43" s="78">
        <v>23932.2</v>
      </c>
      <c r="AN43" t="s">
        <v>1231</v>
      </c>
      <c r="AO43" t="s">
        <v>1232</v>
      </c>
      <c r="AP43" s="78">
        <v>1500</v>
      </c>
      <c r="AQ43" s="78">
        <v>1500</v>
      </c>
      <c r="AT43" t="s">
        <v>1162</v>
      </c>
      <c r="AU43" t="s">
        <v>1163</v>
      </c>
      <c r="AV43" s="1013">
        <v>224783.85999999975</v>
      </c>
      <c r="AW43" s="1012">
        <v>72912.459999999992</v>
      </c>
      <c r="AX43" s="1012">
        <v>297696.31999999972</v>
      </c>
      <c r="AY43" s="786"/>
      <c r="BA43" t="s">
        <v>1162</v>
      </c>
      <c r="BB43" s="610" t="str">
        <f t="shared" si="1"/>
        <v>External Affairs ST</v>
      </c>
      <c r="BC43" s="157">
        <v>247616.5799999999</v>
      </c>
      <c r="BD43" s="157">
        <v>247616.5799999999</v>
      </c>
    </row>
    <row r="44" spans="3:56">
      <c r="C44"/>
      <c r="AG44" s="1069" t="s">
        <v>1224</v>
      </c>
      <c r="AH44" s="78">
        <v>23932.2</v>
      </c>
      <c r="AI44" s="78">
        <v>23932.2</v>
      </c>
      <c r="AN44" s="610" t="s">
        <v>1233</v>
      </c>
      <c r="AO44" t="s">
        <v>1234</v>
      </c>
      <c r="AP44" s="78">
        <v>10000</v>
      </c>
      <c r="AQ44" s="78">
        <v>10000</v>
      </c>
      <c r="AT44" t="s">
        <v>1164</v>
      </c>
      <c r="AU44" t="s">
        <v>1165</v>
      </c>
      <c r="AV44" s="1012">
        <v>-210049.91000000006</v>
      </c>
      <c r="AW44" s="1012">
        <v>-74367.909999999989</v>
      </c>
      <c r="AX44" s="1012">
        <v>-284417.82000000007</v>
      </c>
      <c r="AY44" s="786"/>
      <c r="BA44" t="s">
        <v>771</v>
      </c>
      <c r="BC44" s="157">
        <v>704745.65999999992</v>
      </c>
      <c r="BD44" s="157">
        <v>704745.65999999992</v>
      </c>
    </row>
    <row r="45" spans="3:56">
      <c r="C45"/>
      <c r="AG45" s="1068" t="s">
        <v>1150</v>
      </c>
      <c r="AH45" s="78">
        <v>-10470.99</v>
      </c>
      <c r="AI45" s="78">
        <v>-10470.99</v>
      </c>
      <c r="AN45" s="610" t="s">
        <v>1162</v>
      </c>
      <c r="AO45" t="s">
        <v>1235</v>
      </c>
      <c r="AP45" s="1015">
        <v>218025.1799999997</v>
      </c>
      <c r="AQ45" s="78">
        <v>218025.1799999997</v>
      </c>
      <c r="AT45" t="s">
        <v>1166</v>
      </c>
      <c r="AU45" t="s">
        <v>1133</v>
      </c>
      <c r="AV45" s="1012">
        <v>-223081.25000000003</v>
      </c>
      <c r="AW45" s="1012">
        <v>-93199.999999999985</v>
      </c>
      <c r="AX45" s="1012">
        <v>-316281.25</v>
      </c>
      <c r="AY45" s="786"/>
      <c r="BC45" s="157"/>
    </row>
    <row r="46" spans="3:56">
      <c r="C46"/>
      <c r="AG46" s="1069" t="s">
        <v>1225</v>
      </c>
      <c r="AH46" s="78">
        <v>-10470.99</v>
      </c>
      <c r="AI46" s="78">
        <v>-10470.99</v>
      </c>
      <c r="AN46" t="s">
        <v>1164</v>
      </c>
      <c r="AO46" t="s">
        <v>1165</v>
      </c>
      <c r="AP46" s="78">
        <v>-218025.18000000014</v>
      </c>
      <c r="AQ46" s="78">
        <v>-218025.18000000014</v>
      </c>
      <c r="AT46" t="s">
        <v>1167</v>
      </c>
      <c r="AU46" t="s">
        <v>1143</v>
      </c>
      <c r="AV46" s="1012">
        <v>-3653.22</v>
      </c>
      <c r="AW46" s="1012">
        <v>-179.7</v>
      </c>
      <c r="AX46" s="1012">
        <v>-3832.9199999999996</v>
      </c>
      <c r="AY46" s="786"/>
      <c r="BC46" s="157"/>
    </row>
    <row r="47" spans="3:56">
      <c r="C47"/>
      <c r="AG47" s="1068" t="s">
        <v>1152</v>
      </c>
      <c r="AH47" s="78">
        <v>-14520.789999999999</v>
      </c>
      <c r="AI47" s="78">
        <v>-14520.789999999999</v>
      </c>
      <c r="AN47" t="s">
        <v>1166</v>
      </c>
      <c r="AO47" t="s">
        <v>1236</v>
      </c>
      <c r="AP47" s="78">
        <v>-236279.59999999995</v>
      </c>
      <c r="AQ47" s="78">
        <v>-236279.59999999995</v>
      </c>
      <c r="AT47" t="s">
        <v>1168</v>
      </c>
      <c r="AU47" t="s">
        <v>1145</v>
      </c>
      <c r="AV47" s="1012">
        <v>-1668.6299999999997</v>
      </c>
      <c r="AW47" s="1012"/>
      <c r="AX47" s="1012">
        <v>-1668.6299999999997</v>
      </c>
      <c r="AY47" s="786"/>
      <c r="BB47" t="s">
        <v>1169</v>
      </c>
      <c r="BC47" s="78">
        <f>SUM(BC20:BC40)</f>
        <v>110346.07999999999</v>
      </c>
    </row>
    <row r="48" spans="3:56">
      <c r="C48"/>
      <c r="AG48" s="1069" t="s">
        <v>1226</v>
      </c>
      <c r="AH48" s="78">
        <v>-14520.789999999999</v>
      </c>
      <c r="AI48" s="78">
        <v>-14520.789999999999</v>
      </c>
      <c r="AN48" t="s">
        <v>1237</v>
      </c>
      <c r="AO48" t="s">
        <v>1238</v>
      </c>
      <c r="AP48" s="78">
        <v>-10000</v>
      </c>
      <c r="AQ48" s="78">
        <v>-10000</v>
      </c>
      <c r="AT48" t="s">
        <v>771</v>
      </c>
      <c r="AV48" s="1012">
        <v>27594.979999999665</v>
      </c>
      <c r="AW48" s="1012">
        <v>-14316.47999999997</v>
      </c>
      <c r="AX48" s="1012">
        <v>13278.499999999582</v>
      </c>
      <c r="AY48" s="786"/>
      <c r="BC48" s="157"/>
    </row>
    <row r="49" spans="3:55">
      <c r="C49"/>
      <c r="AG49" s="1068" t="s">
        <v>1154</v>
      </c>
      <c r="AH49" s="78">
        <v>755.31999999999994</v>
      </c>
      <c r="AI49" s="78">
        <v>755.31999999999994</v>
      </c>
      <c r="AN49" t="s">
        <v>1167</v>
      </c>
      <c r="AO49" t="s">
        <v>1239</v>
      </c>
      <c r="AP49" s="78">
        <v>-8567.5199999999986</v>
      </c>
      <c r="AQ49" s="78">
        <v>-8567.5199999999986</v>
      </c>
      <c r="AY49" s="786"/>
      <c r="BC49" s="157"/>
    </row>
    <row r="50" spans="3:55">
      <c r="C50"/>
      <c r="AG50" s="1069" t="s">
        <v>1285</v>
      </c>
      <c r="AH50" s="78">
        <v>755.31999999999994</v>
      </c>
      <c r="AI50" s="78">
        <v>755.31999999999994</v>
      </c>
      <c r="AN50" t="s">
        <v>1168</v>
      </c>
      <c r="AO50" t="s">
        <v>1240</v>
      </c>
      <c r="AP50" s="78">
        <v>-621.67000000000007</v>
      </c>
      <c r="AQ50" s="78">
        <v>-621.67000000000007</v>
      </c>
      <c r="AU50" t="s">
        <v>1169</v>
      </c>
      <c r="AV50" s="1012">
        <f>SUM(AV46:AV47,AV20:AV41)</f>
        <v>12861.03</v>
      </c>
      <c r="AY50" s="786"/>
      <c r="BC50" s="157"/>
    </row>
    <row r="51" spans="3:55">
      <c r="C51"/>
      <c r="AG51" s="1068" t="s">
        <v>1227</v>
      </c>
      <c r="AH51" s="78">
        <v>6975.5</v>
      </c>
      <c r="AI51" s="78">
        <v>6975.5</v>
      </c>
      <c r="AN51" t="s">
        <v>771</v>
      </c>
      <c r="AP51" s="78">
        <v>-3.4560798667371273E-10</v>
      </c>
      <c r="AQ51" s="78">
        <v>-3.4560798667371273E-10</v>
      </c>
      <c r="AY51" s="786"/>
      <c r="BC51" s="157"/>
    </row>
    <row r="52" spans="3:55">
      <c r="C52"/>
      <c r="AG52" s="1069" t="s">
        <v>1228</v>
      </c>
      <c r="AH52" s="78">
        <v>6975.5</v>
      </c>
      <c r="AI52" s="78">
        <v>6975.5</v>
      </c>
      <c r="AY52" s="786"/>
      <c r="BC52" s="157"/>
    </row>
    <row r="53" spans="3:55">
      <c r="C53"/>
      <c r="AG53" s="1068" t="s">
        <v>1156</v>
      </c>
      <c r="AH53" s="78">
        <v>3.27</v>
      </c>
      <c r="AI53" s="78">
        <v>3.27</v>
      </c>
      <c r="AO53" t="s">
        <v>1169</v>
      </c>
      <c r="AP53" s="78">
        <f>SUM(AP19:AP41)</f>
        <v>9189.1899999999987</v>
      </c>
      <c r="AY53" s="786"/>
      <c r="BC53" s="157"/>
    </row>
    <row r="54" spans="3:55">
      <c r="C54"/>
      <c r="AG54" s="1069" t="s">
        <v>1229</v>
      </c>
      <c r="AH54" s="78">
        <v>3.27</v>
      </c>
      <c r="AI54" s="78">
        <v>3.27</v>
      </c>
      <c r="AY54" s="786"/>
    </row>
    <row r="55" spans="3:55">
      <c r="C55"/>
      <c r="AG55" s="1068" t="s">
        <v>1286</v>
      </c>
      <c r="AH55" s="78">
        <v>2509.3300000000004</v>
      </c>
      <c r="AI55" s="78">
        <v>2509.3300000000004</v>
      </c>
      <c r="AY55" s="786"/>
    </row>
    <row r="56" spans="3:55">
      <c r="C56"/>
      <c r="AG56" s="1069" t="s">
        <v>1287</v>
      </c>
      <c r="AH56" s="78">
        <v>2509.3300000000004</v>
      </c>
      <c r="AI56" s="78">
        <v>2509.3300000000004</v>
      </c>
      <c r="AY56" s="786"/>
    </row>
    <row r="57" spans="3:55">
      <c r="C57"/>
      <c r="AG57" s="1068" t="s">
        <v>1158</v>
      </c>
      <c r="AH57" s="78">
        <v>42773.32</v>
      </c>
      <c r="AI57" s="78">
        <v>42773.32</v>
      </c>
      <c r="AY57" s="786"/>
    </row>
    <row r="58" spans="3:55">
      <c r="C58"/>
      <c r="AG58" s="1069" t="s">
        <v>1230</v>
      </c>
      <c r="AH58" s="78">
        <v>42773.32</v>
      </c>
      <c r="AI58" s="78">
        <v>42773.32</v>
      </c>
      <c r="AY58" s="786"/>
    </row>
    <row r="59" spans="3:55">
      <c r="C59"/>
      <c r="AG59" s="1068" t="s">
        <v>1160</v>
      </c>
      <c r="AH59" s="78">
        <v>80500</v>
      </c>
      <c r="AI59" s="78">
        <v>80500</v>
      </c>
      <c r="AT59" s="786"/>
      <c r="AU59" s="786"/>
      <c r="AV59" s="788"/>
      <c r="AW59" s="786"/>
      <c r="AX59" s="789"/>
      <c r="AY59" s="786"/>
    </row>
    <row r="60" spans="3:55">
      <c r="C60"/>
      <c r="AG60" s="1069" t="s">
        <v>1161</v>
      </c>
      <c r="AH60" s="78">
        <v>80500</v>
      </c>
      <c r="AI60" s="78">
        <v>80500</v>
      </c>
      <c r="AT60" s="786"/>
      <c r="AU60" s="786"/>
      <c r="AV60" s="788"/>
      <c r="AW60" s="786"/>
      <c r="AX60" s="789"/>
      <c r="AY60" s="786"/>
    </row>
    <row r="61" spans="3:55">
      <c r="C61"/>
      <c r="AG61" s="1068" t="s">
        <v>1231</v>
      </c>
      <c r="AH61" s="78">
        <v>53000</v>
      </c>
      <c r="AI61" s="78">
        <v>53000</v>
      </c>
      <c r="AT61" s="786"/>
      <c r="AU61" s="786"/>
      <c r="AV61" s="788"/>
      <c r="AW61" s="786"/>
      <c r="AX61" s="789"/>
      <c r="AY61" s="786"/>
    </row>
    <row r="62" spans="3:55">
      <c r="C62"/>
      <c r="AG62" s="1069" t="s">
        <v>1232</v>
      </c>
      <c r="AH62" s="78">
        <v>53000</v>
      </c>
      <c r="AI62" s="78">
        <v>53000</v>
      </c>
      <c r="AT62" s="786"/>
      <c r="AU62" s="786"/>
      <c r="AV62" s="788"/>
      <c r="AW62" s="786"/>
      <c r="AX62" s="789"/>
      <c r="AY62" s="786"/>
    </row>
    <row r="63" spans="3:55">
      <c r="C63"/>
      <c r="AG63" s="1068" t="s">
        <v>1288</v>
      </c>
      <c r="AH63" s="78">
        <v>319064.21999999986</v>
      </c>
      <c r="AI63" s="78">
        <v>319064.21999999986</v>
      </c>
      <c r="AT63" s="786"/>
      <c r="AU63" s="786"/>
      <c r="AV63" s="788"/>
      <c r="AW63" s="786"/>
      <c r="AX63" s="789"/>
      <c r="AY63" s="786"/>
    </row>
    <row r="64" spans="3:55">
      <c r="C64"/>
      <c r="AG64" s="1069" t="s">
        <v>1289</v>
      </c>
      <c r="AH64" s="1015">
        <v>319064.21999999986</v>
      </c>
      <c r="AI64" s="78">
        <v>319064.21999999986</v>
      </c>
      <c r="AT64" s="786"/>
      <c r="AU64" s="786"/>
      <c r="AV64" s="788"/>
      <c r="AW64" s="786"/>
      <c r="AX64" s="789"/>
      <c r="AY64" s="786"/>
    </row>
    <row r="65" spans="3:51">
      <c r="C65"/>
      <c r="AG65" s="44" t="s">
        <v>771</v>
      </c>
      <c r="AH65" s="78">
        <v>643826.91999999981</v>
      </c>
      <c r="AI65" s="78">
        <v>643826.91999999981</v>
      </c>
      <c r="AT65" s="786"/>
      <c r="AU65" s="786"/>
      <c r="AV65" s="788"/>
      <c r="AW65" s="786"/>
      <c r="AX65" s="789"/>
      <c r="AY65" s="786"/>
    </row>
    <row r="66" spans="3:51">
      <c r="C66"/>
      <c r="AT66" s="786"/>
      <c r="AU66" s="786"/>
      <c r="AV66" s="788"/>
      <c r="AW66" s="786"/>
      <c r="AX66" s="789"/>
      <c r="AY66" s="786"/>
    </row>
    <row r="67" spans="3:51">
      <c r="C67"/>
      <c r="AT67" s="786"/>
      <c r="AU67" s="786"/>
      <c r="AV67" s="788"/>
      <c r="AW67" s="786"/>
      <c r="AX67" s="789"/>
      <c r="AY67" s="786"/>
    </row>
    <row r="68" spans="3:51">
      <c r="C68"/>
      <c r="AT68" s="786"/>
      <c r="AU68" s="786"/>
      <c r="AV68" s="788"/>
      <c r="AW68" s="786"/>
      <c r="AX68" s="789"/>
      <c r="AY68" s="786"/>
    </row>
    <row r="69" spans="3:51">
      <c r="C69"/>
      <c r="AT69" s="786"/>
      <c r="AU69" s="786"/>
      <c r="AV69" s="788"/>
      <c r="AW69" s="786"/>
      <c r="AX69" s="789"/>
      <c r="AY69" s="786"/>
    </row>
    <row r="70" spans="3:51">
      <c r="C70"/>
      <c r="AT70" s="786"/>
      <c r="AU70" s="786"/>
      <c r="AV70" s="788"/>
      <c r="AW70" s="786"/>
      <c r="AX70" s="789"/>
      <c r="AY70" s="786"/>
    </row>
    <row r="71" spans="3:51">
      <c r="C71"/>
      <c r="AT71" s="786"/>
      <c r="AU71" s="786"/>
      <c r="AV71" s="788"/>
      <c r="AW71" s="786"/>
      <c r="AX71" s="789"/>
      <c r="AY71" s="786"/>
    </row>
    <row r="72" spans="3:51">
      <c r="C72"/>
      <c r="AT72" s="786"/>
      <c r="AU72" s="786"/>
      <c r="AV72" s="788"/>
      <c r="AW72" s="786"/>
      <c r="AX72" s="789"/>
      <c r="AY72" s="786"/>
    </row>
    <row r="73" spans="3:51">
      <c r="C73"/>
      <c r="AT73" s="786"/>
      <c r="AU73" s="786"/>
      <c r="AV73" s="788"/>
      <c r="AW73" s="786"/>
      <c r="AX73" s="789"/>
      <c r="AY73" s="786"/>
    </row>
    <row r="74" spans="3:51">
      <c r="C74"/>
      <c r="AT74" s="786"/>
      <c r="AU74" s="786"/>
      <c r="AV74" s="788"/>
      <c r="AW74" s="786"/>
      <c r="AX74" s="789"/>
      <c r="AY74" s="786"/>
    </row>
    <row r="75" spans="3:51">
      <c r="C75"/>
      <c r="AT75" s="786"/>
      <c r="AU75" s="786"/>
      <c r="AV75" s="788"/>
      <c r="AW75" s="786"/>
      <c r="AX75" s="789"/>
      <c r="AY75" s="786"/>
    </row>
    <row r="76" spans="3:51">
      <c r="C76"/>
      <c r="AT76" s="786"/>
      <c r="AU76" s="786"/>
      <c r="AV76" s="788"/>
      <c r="AW76" s="786"/>
      <c r="AX76" s="789"/>
      <c r="AY76" s="786"/>
    </row>
    <row r="77" spans="3:51">
      <c r="C77"/>
      <c r="AT77" s="786"/>
      <c r="AU77" s="786"/>
      <c r="AV77" s="788"/>
      <c r="AW77" s="786"/>
      <c r="AX77" s="789"/>
      <c r="AY77" s="786"/>
    </row>
    <row r="78" spans="3:51">
      <c r="C78"/>
      <c r="AT78" s="786"/>
      <c r="AU78" s="786"/>
      <c r="AV78" s="788"/>
      <c r="AW78" s="786"/>
      <c r="AX78" s="789"/>
      <c r="AY78" s="786"/>
    </row>
    <row r="79" spans="3:51">
      <c r="C79"/>
      <c r="AT79" s="786"/>
      <c r="AU79" s="786"/>
      <c r="AV79" s="788"/>
      <c r="AW79" s="786"/>
      <c r="AX79" s="789"/>
      <c r="AY79" s="786"/>
    </row>
    <row r="80" spans="3:51">
      <c r="C80"/>
      <c r="AT80" s="786"/>
      <c r="AU80" s="786"/>
      <c r="AV80" s="788"/>
      <c r="AW80" s="786"/>
      <c r="AX80" s="789"/>
      <c r="AY80" s="786"/>
    </row>
    <row r="81" spans="3:51">
      <c r="C81"/>
      <c r="AT81" s="786"/>
      <c r="AU81" s="786"/>
      <c r="AV81" s="788"/>
      <c r="AW81" s="786"/>
      <c r="AX81" s="789"/>
      <c r="AY81" s="786"/>
    </row>
    <row r="82" spans="3:51">
      <c r="C82"/>
      <c r="AT82" s="786"/>
      <c r="AU82" s="786"/>
      <c r="AV82" s="788"/>
      <c r="AW82" s="786"/>
      <c r="AX82" s="789"/>
      <c r="AY82" s="786"/>
    </row>
    <row r="83" spans="3:51">
      <c r="C83"/>
      <c r="AT83" s="786"/>
      <c r="AU83" s="786"/>
      <c r="AV83" s="788"/>
      <c r="AW83" s="786"/>
      <c r="AX83" s="789"/>
      <c r="AY83" s="786"/>
    </row>
    <row r="84" spans="3:51">
      <c r="C84"/>
      <c r="AT84" s="786"/>
      <c r="AU84" s="786"/>
      <c r="AV84" s="788"/>
      <c r="AW84" s="786"/>
      <c r="AX84" s="789"/>
      <c r="AY84" s="786"/>
    </row>
    <row r="85" spans="3:51">
      <c r="C85"/>
      <c r="AT85" s="786"/>
      <c r="AU85" s="786"/>
      <c r="AV85" s="788"/>
      <c r="AW85" s="786"/>
      <c r="AX85" s="789"/>
      <c r="AY85" s="786"/>
    </row>
    <row r="86" spans="3:51">
      <c r="C86"/>
      <c r="AT86" s="786"/>
      <c r="AU86" s="786"/>
      <c r="AV86" s="788"/>
      <c r="AW86" s="786"/>
      <c r="AX86" s="789"/>
      <c r="AY86" s="786"/>
    </row>
    <row r="87" spans="3:51">
      <c r="C87"/>
      <c r="AT87" s="786"/>
      <c r="AU87" s="786"/>
      <c r="AV87" s="788"/>
      <c r="AW87" s="786"/>
      <c r="AX87" s="789"/>
      <c r="AY87" s="786"/>
    </row>
    <row r="88" spans="3:51">
      <c r="C88"/>
      <c r="AT88" s="786"/>
      <c r="AU88" s="786"/>
      <c r="AV88" s="788"/>
      <c r="AW88" s="786"/>
      <c r="AX88" s="789"/>
      <c r="AY88" s="786"/>
    </row>
    <row r="89" spans="3:51">
      <c r="C89"/>
      <c r="AT89" s="786"/>
      <c r="AU89" s="786"/>
      <c r="AV89" s="788"/>
      <c r="AW89" s="786"/>
      <c r="AX89" s="789"/>
      <c r="AY89" s="786"/>
    </row>
    <row r="90" spans="3:51">
      <c r="C90"/>
      <c r="AT90" s="786"/>
      <c r="AU90" s="786"/>
      <c r="AV90" s="788"/>
      <c r="AW90" s="786"/>
      <c r="AX90" s="789"/>
      <c r="AY90" s="786"/>
    </row>
    <row r="91" spans="3:51">
      <c r="C91"/>
      <c r="AT91" s="786"/>
      <c r="AU91" s="786"/>
      <c r="AV91" s="788"/>
      <c r="AW91" s="786"/>
      <c r="AX91" s="789"/>
      <c r="AY91" s="786"/>
    </row>
    <row r="92" spans="3:51">
      <c r="C92"/>
      <c r="AT92" s="786"/>
      <c r="AU92" s="786"/>
      <c r="AV92" s="788"/>
      <c r="AW92" s="786"/>
      <c r="AX92" s="789"/>
      <c r="AY92" s="786"/>
    </row>
    <row r="93" spans="3:51">
      <c r="C93"/>
      <c r="AT93" s="786"/>
      <c r="AU93" s="786"/>
      <c r="AV93" s="788"/>
      <c r="AW93" s="786"/>
      <c r="AX93" s="789"/>
      <c r="AY93" s="786"/>
    </row>
    <row r="94" spans="3:51">
      <c r="C94"/>
      <c r="AT94" s="786"/>
      <c r="AU94" s="786"/>
      <c r="AV94" s="788"/>
      <c r="AW94" s="786"/>
      <c r="AX94" s="789"/>
      <c r="AY94" s="786"/>
    </row>
    <row r="95" spans="3:51">
      <c r="C95"/>
      <c r="AT95" s="786"/>
      <c r="AU95" s="786"/>
      <c r="AV95" s="788"/>
      <c r="AW95" s="786"/>
      <c r="AX95" s="789"/>
      <c r="AY95" s="786"/>
    </row>
    <row r="96" spans="3:51">
      <c r="C96"/>
      <c r="AT96" s="786"/>
      <c r="AU96" s="786"/>
      <c r="AV96" s="788"/>
      <c r="AW96" s="786"/>
      <c r="AX96" s="789"/>
      <c r="AY96" s="786"/>
    </row>
    <row r="97" spans="3:51">
      <c r="C97"/>
      <c r="AT97" s="786"/>
      <c r="AU97" s="786"/>
      <c r="AV97" s="788"/>
      <c r="AW97" s="786"/>
      <c r="AX97" s="789"/>
      <c r="AY97" s="786"/>
    </row>
    <row r="98" spans="3:51">
      <c r="C98"/>
      <c r="AT98" s="786"/>
      <c r="AU98" s="786"/>
      <c r="AV98" s="788"/>
      <c r="AW98" s="786"/>
      <c r="AX98" s="789"/>
      <c r="AY98" s="786"/>
    </row>
    <row r="99" spans="3:51">
      <c r="C99"/>
      <c r="AT99" s="786"/>
      <c r="AU99" s="786"/>
      <c r="AV99" s="788"/>
      <c r="AW99" s="786"/>
      <c r="AX99" s="789"/>
      <c r="AY99" s="786"/>
    </row>
    <row r="100" spans="3:51">
      <c r="C100"/>
      <c r="AT100" s="786"/>
      <c r="AU100" s="786"/>
      <c r="AV100" s="788"/>
      <c r="AW100" s="786"/>
      <c r="AX100" s="789"/>
      <c r="AY100" s="786"/>
    </row>
    <row r="101" spans="3:51">
      <c r="C101"/>
      <c r="AT101" s="786"/>
      <c r="AU101" s="786"/>
      <c r="AV101" s="788"/>
      <c r="AW101" s="786"/>
      <c r="AX101" s="789"/>
      <c r="AY101" s="786"/>
    </row>
    <row r="102" spans="3:51">
      <c r="C102"/>
      <c r="AT102" s="786"/>
      <c r="AU102" s="786"/>
      <c r="AV102" s="788"/>
      <c r="AW102" s="786"/>
      <c r="AX102" s="789"/>
      <c r="AY102" s="786"/>
    </row>
    <row r="103" spans="3:51">
      <c r="C103"/>
      <c r="AT103" s="786"/>
      <c r="AU103" s="786"/>
      <c r="AV103" s="788"/>
      <c r="AW103" s="786"/>
      <c r="AX103" s="789"/>
      <c r="AY103" s="786"/>
    </row>
    <row r="104" spans="3:51">
      <c r="C104"/>
      <c r="AT104" s="786"/>
      <c r="AU104" s="786"/>
      <c r="AV104" s="788"/>
      <c r="AW104" s="786"/>
      <c r="AX104" s="789"/>
      <c r="AY104" s="786"/>
    </row>
    <row r="105" spans="3:51">
      <c r="C105"/>
      <c r="AT105" s="786"/>
      <c r="AU105" s="786"/>
      <c r="AV105" s="788"/>
      <c r="AW105" s="786"/>
      <c r="AX105" s="789"/>
      <c r="AY105" s="786"/>
    </row>
    <row r="106" spans="3:51">
      <c r="C106"/>
      <c r="AT106" s="786"/>
      <c r="AU106" s="786"/>
      <c r="AV106" s="788"/>
      <c r="AW106" s="786"/>
      <c r="AX106" s="789"/>
      <c r="AY106" s="786"/>
    </row>
    <row r="107" spans="3:51">
      <c r="C107"/>
      <c r="AT107" s="786"/>
      <c r="AU107" s="786"/>
      <c r="AV107" s="788"/>
      <c r="AW107" s="786"/>
      <c r="AX107" s="789"/>
      <c r="AY107" s="786"/>
    </row>
    <row r="108" spans="3:51">
      <c r="C108"/>
      <c r="AT108" s="786"/>
      <c r="AU108" s="786"/>
      <c r="AV108" s="788"/>
      <c r="AW108" s="786"/>
      <c r="AX108" s="789"/>
      <c r="AY108" s="786"/>
    </row>
    <row r="109" spans="3:51">
      <c r="C109"/>
      <c r="AT109" s="786"/>
      <c r="AU109" s="786"/>
      <c r="AV109" s="788"/>
      <c r="AW109" s="786"/>
      <c r="AX109" s="789"/>
      <c r="AY109" s="786"/>
    </row>
    <row r="110" spans="3:51">
      <c r="C110"/>
      <c r="AT110" s="786"/>
      <c r="AU110" s="786"/>
      <c r="AV110" s="788"/>
      <c r="AW110" s="786"/>
      <c r="AX110" s="789"/>
      <c r="AY110" s="786"/>
    </row>
    <row r="111" spans="3:51">
      <c r="C111"/>
      <c r="AT111" s="786"/>
      <c r="AU111" s="786"/>
      <c r="AV111" s="788"/>
      <c r="AW111" s="786"/>
      <c r="AX111" s="789"/>
      <c r="AY111" s="786"/>
    </row>
    <row r="112" spans="3:51">
      <c r="C112"/>
      <c r="AT112" s="786"/>
      <c r="AU112" s="786"/>
      <c r="AV112" s="788"/>
      <c r="AW112" s="786"/>
      <c r="AX112" s="789"/>
      <c r="AY112" s="786"/>
    </row>
    <row r="113" spans="3:51">
      <c r="C113"/>
      <c r="AT113" s="786"/>
      <c r="AU113" s="786"/>
      <c r="AV113" s="788"/>
      <c r="AW113" s="786"/>
      <c r="AX113" s="789"/>
      <c r="AY113" s="786"/>
    </row>
    <row r="114" spans="3:51">
      <c r="C114"/>
      <c r="AT114" s="786"/>
      <c r="AU114" s="786"/>
      <c r="AV114" s="788"/>
      <c r="AW114" s="786"/>
      <c r="AX114" s="789"/>
      <c r="AY114" s="786"/>
    </row>
    <row r="115" spans="3:51">
      <c r="C115"/>
      <c r="AT115" s="786"/>
      <c r="AU115" s="786"/>
      <c r="AV115" s="788"/>
      <c r="AW115" s="786"/>
      <c r="AX115" s="789"/>
      <c r="AY115" s="786"/>
    </row>
    <row r="116" spans="3:51">
      <c r="C116"/>
      <c r="AT116" s="786"/>
      <c r="AU116" s="786"/>
      <c r="AV116" s="788"/>
      <c r="AW116" s="786"/>
      <c r="AX116" s="789"/>
      <c r="AY116" s="786"/>
    </row>
    <row r="117" spans="3:51">
      <c r="C117"/>
      <c r="AT117" s="786"/>
      <c r="AU117" s="786"/>
      <c r="AV117" s="788"/>
      <c r="AW117" s="786"/>
      <c r="AX117" s="789"/>
      <c r="AY117" s="786"/>
    </row>
    <row r="118" spans="3:51">
      <c r="C118"/>
      <c r="AT118" s="786"/>
      <c r="AU118" s="786"/>
      <c r="AV118" s="788"/>
      <c r="AW118" s="786"/>
      <c r="AX118" s="789"/>
      <c r="AY118" s="786"/>
    </row>
    <row r="119" spans="3:51">
      <c r="C119"/>
      <c r="AT119" s="786"/>
      <c r="AU119" s="786"/>
      <c r="AV119" s="788"/>
      <c r="AW119" s="786"/>
      <c r="AX119" s="789"/>
      <c r="AY119" s="786"/>
    </row>
    <row r="120" spans="3:51">
      <c r="C120"/>
      <c r="AT120" s="786"/>
      <c r="AU120" s="786"/>
      <c r="AV120" s="788"/>
      <c r="AW120" s="786"/>
      <c r="AX120" s="789"/>
      <c r="AY120" s="786"/>
    </row>
    <row r="121" spans="3:51">
      <c r="C121"/>
      <c r="AT121" s="786"/>
      <c r="AU121" s="786"/>
      <c r="AV121" s="788"/>
      <c r="AW121" s="786"/>
      <c r="AX121" s="789"/>
      <c r="AY121" s="786"/>
    </row>
    <row r="122" spans="3:51">
      <c r="C122"/>
      <c r="AT122" s="786"/>
      <c r="AU122" s="786"/>
      <c r="AV122" s="788"/>
      <c r="AW122" s="786"/>
      <c r="AX122" s="789"/>
      <c r="AY122" s="786"/>
    </row>
    <row r="123" spans="3:51">
      <c r="C123"/>
      <c r="AT123" s="786"/>
      <c r="AU123" s="786"/>
      <c r="AV123" s="788"/>
      <c r="AW123" s="786"/>
      <c r="AX123" s="789"/>
      <c r="AY123" s="786"/>
    </row>
    <row r="124" spans="3:51">
      <c r="C124"/>
      <c r="AT124" s="786"/>
      <c r="AU124" s="786"/>
      <c r="AV124" s="788"/>
      <c r="AW124" s="786"/>
      <c r="AX124" s="789"/>
      <c r="AY124" s="786"/>
    </row>
    <row r="125" spans="3:51">
      <c r="C125"/>
      <c r="AT125" s="786"/>
      <c r="AU125" s="786"/>
      <c r="AV125" s="788"/>
      <c r="AW125" s="786"/>
      <c r="AX125" s="789"/>
      <c r="AY125" s="786"/>
    </row>
    <row r="126" spans="3:51">
      <c r="C126"/>
      <c r="AT126" s="786"/>
      <c r="AU126" s="786"/>
      <c r="AV126" s="788"/>
      <c r="AW126" s="786"/>
      <c r="AX126" s="789"/>
      <c r="AY126" s="786"/>
    </row>
    <row r="127" spans="3:51">
      <c r="C127"/>
      <c r="O127" s="63"/>
      <c r="AT127" s="786"/>
      <c r="AU127" s="786"/>
      <c r="AV127" s="788"/>
      <c r="AW127" s="786"/>
      <c r="AX127" s="789"/>
      <c r="AY127" s="786"/>
    </row>
    <row r="128" spans="3:51">
      <c r="C128"/>
      <c r="O128" s="63"/>
      <c r="AT128" s="786"/>
      <c r="AU128" s="786"/>
      <c r="AV128" s="788"/>
      <c r="AW128" s="786"/>
      <c r="AX128" s="789"/>
      <c r="AY128" s="786"/>
    </row>
    <row r="129" spans="3:51">
      <c r="C129"/>
      <c r="O129" s="63"/>
      <c r="AT129" s="786"/>
      <c r="AU129" s="786"/>
      <c r="AV129" s="788"/>
      <c r="AW129" s="786"/>
      <c r="AX129" s="789"/>
      <c r="AY129" s="786"/>
    </row>
    <row r="130" spans="3:51">
      <c r="C130"/>
      <c r="O130" s="63"/>
      <c r="AT130" s="786"/>
      <c r="AU130" s="786"/>
      <c r="AV130" s="788"/>
      <c r="AW130" s="786"/>
      <c r="AX130" s="789"/>
      <c r="AY130" s="786"/>
    </row>
    <row r="131" spans="3:51">
      <c r="C131"/>
      <c r="O131" s="63"/>
      <c r="AT131" s="786"/>
      <c r="AU131" s="786"/>
      <c r="AV131" s="788"/>
      <c r="AW131" s="786"/>
      <c r="AX131" s="789"/>
      <c r="AY131" s="786"/>
    </row>
    <row r="132" spans="3:51">
      <c r="C132"/>
      <c r="O132" s="63"/>
      <c r="AT132" s="786"/>
      <c r="AU132" s="786"/>
      <c r="AV132" s="788"/>
      <c r="AW132" s="786"/>
      <c r="AX132" s="789"/>
      <c r="AY132" s="786"/>
    </row>
    <row r="133" spans="3:51">
      <c r="C133"/>
      <c r="O133" s="63"/>
      <c r="AT133" s="786"/>
      <c r="AU133" s="786"/>
      <c r="AV133" s="788"/>
      <c r="AW133" s="786"/>
      <c r="AX133" s="789"/>
      <c r="AY133" s="786"/>
    </row>
    <row r="134" spans="3:51">
      <c r="C134"/>
      <c r="O134" s="63"/>
      <c r="AT134" s="786"/>
      <c r="AU134" s="786"/>
      <c r="AV134" s="788"/>
      <c r="AW134" s="786"/>
      <c r="AX134" s="789"/>
      <c r="AY134" s="786"/>
    </row>
    <row r="135" spans="3:51">
      <c r="C135"/>
      <c r="O135" s="63"/>
      <c r="AT135" s="786"/>
      <c r="AU135" s="786"/>
      <c r="AV135" s="788"/>
      <c r="AW135" s="786"/>
      <c r="AX135" s="789"/>
      <c r="AY135" s="786"/>
    </row>
    <row r="136" spans="3:51">
      <c r="C136"/>
      <c r="O136" s="63"/>
      <c r="AT136" s="786"/>
      <c r="AU136" s="786"/>
      <c r="AV136" s="788"/>
      <c r="AW136" s="786"/>
      <c r="AX136" s="789"/>
      <c r="AY136" s="786"/>
    </row>
    <row r="137" spans="3:51">
      <c r="C137"/>
      <c r="O137" s="63"/>
      <c r="AT137" s="786"/>
      <c r="AU137" s="786"/>
      <c r="AV137" s="788"/>
      <c r="AW137" s="786"/>
      <c r="AX137" s="789"/>
      <c r="AY137" s="786"/>
    </row>
    <row r="138" spans="3:51">
      <c r="C138"/>
      <c r="O138" s="63"/>
      <c r="AT138" s="786"/>
      <c r="AU138" s="786"/>
      <c r="AV138" s="788"/>
      <c r="AW138" s="786"/>
      <c r="AX138" s="789"/>
      <c r="AY138" s="786"/>
    </row>
    <row r="139" spans="3:51">
      <c r="C139"/>
      <c r="O139" s="63"/>
      <c r="AT139" s="786"/>
      <c r="AU139" s="786"/>
      <c r="AV139" s="788"/>
      <c r="AW139" s="786"/>
      <c r="AX139" s="789"/>
      <c r="AY139" s="786"/>
    </row>
    <row r="140" spans="3:51">
      <c r="C140"/>
      <c r="O140" s="63"/>
      <c r="AT140" s="786"/>
      <c r="AU140" s="786"/>
      <c r="AV140" s="788"/>
      <c r="AW140" s="786"/>
      <c r="AX140" s="789"/>
      <c r="AY140" s="786"/>
    </row>
    <row r="141" spans="3:51">
      <c r="C141"/>
      <c r="O141" s="63"/>
      <c r="AT141" s="786"/>
      <c r="AU141" s="786"/>
      <c r="AV141" s="788"/>
      <c r="AW141" s="786"/>
      <c r="AX141" s="789"/>
      <c r="AY141" s="786"/>
    </row>
    <row r="142" spans="3:51">
      <c r="C142"/>
      <c r="O142" s="63"/>
      <c r="AT142" s="786"/>
      <c r="AU142" s="786"/>
      <c r="AV142" s="788"/>
      <c r="AW142" s="786"/>
      <c r="AX142" s="789"/>
      <c r="AY142" s="786"/>
    </row>
    <row r="143" spans="3:51">
      <c r="C143"/>
      <c r="O143" s="63"/>
      <c r="AT143" s="786"/>
      <c r="AU143" s="786"/>
      <c r="AV143" s="788"/>
      <c r="AW143" s="786"/>
      <c r="AX143" s="789"/>
      <c r="AY143" s="786"/>
    </row>
    <row r="144" spans="3:51">
      <c r="C144"/>
      <c r="O144" s="63"/>
      <c r="AT144" s="786"/>
      <c r="AU144" s="786"/>
      <c r="AV144" s="788"/>
      <c r="AW144" s="786"/>
      <c r="AX144" s="789"/>
      <c r="AY144" s="786"/>
    </row>
    <row r="145" spans="3:51">
      <c r="C145"/>
      <c r="O145" s="63"/>
      <c r="AT145" s="786"/>
      <c r="AU145" s="786"/>
      <c r="AV145" s="788"/>
      <c r="AW145" s="786"/>
      <c r="AX145" s="789"/>
      <c r="AY145" s="786"/>
    </row>
    <row r="146" spans="3:51">
      <c r="C146"/>
      <c r="O146" s="63"/>
      <c r="AT146" s="786"/>
      <c r="AU146" s="786"/>
      <c r="AV146" s="788"/>
      <c r="AW146" s="786"/>
      <c r="AX146" s="789"/>
      <c r="AY146" s="786"/>
    </row>
    <row r="147" spans="3:51">
      <c r="C147"/>
      <c r="O147" s="63"/>
      <c r="AT147" s="786"/>
      <c r="AU147" s="786"/>
      <c r="AV147" s="788"/>
      <c r="AW147" s="786"/>
      <c r="AX147" s="789"/>
      <c r="AY147" s="786"/>
    </row>
    <row r="148" spans="3:51">
      <c r="C148"/>
      <c r="O148" s="63"/>
      <c r="AT148" s="786"/>
      <c r="AU148" s="786"/>
      <c r="AV148" s="788"/>
      <c r="AW148" s="786"/>
      <c r="AX148" s="789"/>
      <c r="AY148" s="786"/>
    </row>
    <row r="149" spans="3:51">
      <c r="C149"/>
      <c r="O149" s="63"/>
      <c r="AT149" s="786"/>
      <c r="AU149" s="786"/>
      <c r="AV149" s="788"/>
      <c r="AW149" s="786"/>
      <c r="AX149" s="789"/>
      <c r="AY149" s="786"/>
    </row>
    <row r="150" spans="3:51">
      <c r="C150"/>
      <c r="O150" s="63"/>
      <c r="AT150" s="786"/>
      <c r="AU150" s="786"/>
      <c r="AV150" s="788"/>
      <c r="AW150" s="786"/>
      <c r="AX150" s="789"/>
      <c r="AY150" s="786"/>
    </row>
    <row r="151" spans="3:51">
      <c r="C151"/>
      <c r="O151" s="63"/>
      <c r="AT151" s="786"/>
      <c r="AU151" s="786"/>
      <c r="AV151" s="788"/>
      <c r="AW151" s="786"/>
      <c r="AX151" s="789"/>
      <c r="AY151" s="786"/>
    </row>
    <row r="152" spans="3:51">
      <c r="C152"/>
      <c r="O152" s="63"/>
      <c r="AT152" s="786"/>
      <c r="AU152" s="786"/>
      <c r="AV152" s="788"/>
      <c r="AW152" s="786"/>
      <c r="AX152" s="789"/>
      <c r="AY152" s="786"/>
    </row>
    <row r="153" spans="3:51">
      <c r="C153"/>
      <c r="O153" s="63"/>
      <c r="AT153" s="786"/>
      <c r="AU153" s="786"/>
      <c r="AV153" s="788"/>
      <c r="AW153" s="786"/>
      <c r="AX153" s="789"/>
      <c r="AY153" s="786"/>
    </row>
    <row r="154" spans="3:51">
      <c r="C154"/>
      <c r="O154" s="63"/>
      <c r="AT154" s="786"/>
      <c r="AU154" s="786"/>
      <c r="AV154" s="788"/>
      <c r="AW154" s="786"/>
      <c r="AX154" s="789"/>
      <c r="AY154" s="786"/>
    </row>
    <row r="155" spans="3:51">
      <c r="C155"/>
      <c r="O155" s="63"/>
      <c r="AT155" s="786"/>
      <c r="AU155" s="786"/>
      <c r="AV155" s="788"/>
      <c r="AW155" s="786"/>
      <c r="AX155" s="789"/>
      <c r="AY155" s="786"/>
    </row>
    <row r="156" spans="3:51">
      <c r="C156"/>
      <c r="O156" s="63"/>
      <c r="AT156" s="786"/>
      <c r="AU156" s="786"/>
      <c r="AV156" s="788"/>
      <c r="AW156" s="786"/>
      <c r="AX156" s="789"/>
      <c r="AY156" s="786"/>
    </row>
    <row r="157" spans="3:51">
      <c r="C157"/>
      <c r="O157" s="63"/>
      <c r="AT157" s="786"/>
      <c r="AU157" s="786"/>
      <c r="AV157" s="788"/>
      <c r="AW157" s="786"/>
      <c r="AX157" s="789"/>
      <c r="AY157" s="786"/>
    </row>
    <row r="158" spans="3:51">
      <c r="C158"/>
      <c r="O158" s="63"/>
      <c r="AT158" s="786"/>
      <c r="AU158" s="786"/>
      <c r="AV158" s="788"/>
      <c r="AW158" s="786"/>
      <c r="AX158" s="789"/>
      <c r="AY158" s="786"/>
    </row>
    <row r="159" spans="3:51">
      <c r="C159"/>
      <c r="O159" s="63"/>
      <c r="AT159" s="786"/>
      <c r="AU159" s="786"/>
      <c r="AV159" s="788"/>
      <c r="AW159" s="786"/>
      <c r="AX159" s="789"/>
      <c r="AY159" s="786"/>
    </row>
    <row r="160" spans="3:51">
      <c r="C160"/>
      <c r="O160" s="63"/>
      <c r="AT160" s="786"/>
      <c r="AU160" s="786"/>
      <c r="AV160" s="788"/>
      <c r="AW160" s="786"/>
      <c r="AX160" s="789"/>
      <c r="AY160" s="786"/>
    </row>
    <row r="161" spans="3:51">
      <c r="C161"/>
      <c r="O161" s="63"/>
      <c r="AT161" s="786"/>
      <c r="AU161" s="786"/>
      <c r="AV161" s="788"/>
      <c r="AW161" s="786"/>
      <c r="AX161" s="789"/>
      <c r="AY161" s="786"/>
    </row>
    <row r="162" spans="3:51">
      <c r="C162"/>
      <c r="O162" s="63"/>
      <c r="AT162" s="786"/>
      <c r="AU162" s="786"/>
      <c r="AV162" s="788"/>
      <c r="AW162" s="786"/>
      <c r="AX162" s="789"/>
      <c r="AY162" s="786"/>
    </row>
    <row r="163" spans="3:51">
      <c r="C163"/>
      <c r="O163" s="63"/>
      <c r="AT163" s="786"/>
      <c r="AU163" s="786"/>
      <c r="AV163" s="788"/>
      <c r="AW163" s="786"/>
      <c r="AX163" s="789"/>
      <c r="AY163" s="786"/>
    </row>
    <row r="164" spans="3:51">
      <c r="C164"/>
      <c r="O164" s="63"/>
      <c r="AT164" s="786"/>
      <c r="AU164" s="786"/>
      <c r="AV164" s="788"/>
      <c r="AW164" s="786"/>
      <c r="AX164" s="789"/>
      <c r="AY164" s="786"/>
    </row>
    <row r="165" spans="3:51">
      <c r="C165"/>
      <c r="O165" s="63"/>
      <c r="AT165" s="786"/>
      <c r="AU165" s="786"/>
      <c r="AV165" s="788"/>
      <c r="AW165" s="786"/>
      <c r="AX165" s="789"/>
      <c r="AY165" s="786"/>
    </row>
    <row r="166" spans="3:51">
      <c r="C166"/>
      <c r="O166" s="63"/>
      <c r="AT166" s="786"/>
      <c r="AU166" s="786"/>
      <c r="AV166" s="788"/>
      <c r="AW166" s="786"/>
      <c r="AX166" s="789"/>
      <c r="AY166" s="786"/>
    </row>
    <row r="167" spans="3:51">
      <c r="C167"/>
      <c r="O167" s="63"/>
      <c r="AT167" s="786"/>
      <c r="AU167" s="786"/>
      <c r="AV167" s="788"/>
      <c r="AW167" s="786"/>
      <c r="AX167" s="789"/>
      <c r="AY167" s="786"/>
    </row>
    <row r="168" spans="3:51">
      <c r="C168"/>
      <c r="O168" s="63"/>
      <c r="AT168" s="786"/>
      <c r="AU168" s="786"/>
      <c r="AV168" s="788"/>
      <c r="AW168" s="786"/>
      <c r="AX168" s="789"/>
      <c r="AY168" s="786"/>
    </row>
    <row r="169" spans="3:51">
      <c r="C169"/>
      <c r="O169" s="63"/>
      <c r="AT169" s="786"/>
      <c r="AU169" s="786"/>
      <c r="AV169" s="788"/>
      <c r="AW169" s="786"/>
      <c r="AX169" s="789"/>
      <c r="AY169" s="786"/>
    </row>
    <row r="170" spans="3:51">
      <c r="C170"/>
      <c r="O170" s="63"/>
      <c r="AT170" s="786"/>
      <c r="AU170" s="786"/>
      <c r="AV170" s="788"/>
      <c r="AW170" s="786"/>
      <c r="AX170" s="789"/>
      <c r="AY170" s="786"/>
    </row>
    <row r="171" spans="3:51">
      <c r="C171"/>
      <c r="O171" s="63"/>
      <c r="AT171" s="786"/>
      <c r="AU171" s="786"/>
      <c r="AV171" s="788"/>
      <c r="AW171" s="786"/>
      <c r="AX171" s="789"/>
      <c r="AY171" s="786"/>
    </row>
    <row r="172" spans="3:51">
      <c r="C172"/>
      <c r="O172" s="63"/>
      <c r="AT172" s="786"/>
      <c r="AU172" s="786"/>
      <c r="AV172" s="788"/>
      <c r="AW172" s="786"/>
      <c r="AX172" s="789"/>
      <c r="AY172" s="786"/>
    </row>
    <row r="173" spans="3:51">
      <c r="C173"/>
      <c r="O173" s="63"/>
      <c r="AT173" s="786"/>
      <c r="AU173" s="786"/>
      <c r="AV173" s="788"/>
      <c r="AW173" s="786"/>
      <c r="AX173" s="789"/>
      <c r="AY173" s="786"/>
    </row>
    <row r="174" spans="3:51">
      <c r="C174"/>
      <c r="O174" s="63"/>
      <c r="AT174" s="786"/>
      <c r="AU174" s="786"/>
      <c r="AV174" s="788"/>
      <c r="AW174" s="786"/>
      <c r="AX174" s="789"/>
      <c r="AY174" s="786"/>
    </row>
    <row r="175" spans="3:51">
      <c r="C175"/>
      <c r="O175" s="63"/>
      <c r="AT175" s="786"/>
      <c r="AU175" s="786"/>
      <c r="AV175" s="788"/>
      <c r="AW175" s="786"/>
      <c r="AX175" s="789"/>
      <c r="AY175" s="786"/>
    </row>
    <row r="176" spans="3:51">
      <c r="C176"/>
      <c r="O176" s="63"/>
      <c r="AT176" s="786"/>
      <c r="AU176" s="786"/>
      <c r="AV176" s="788"/>
      <c r="AW176" s="786"/>
      <c r="AX176" s="789"/>
      <c r="AY176" s="786"/>
    </row>
    <row r="177" spans="3:51">
      <c r="C177"/>
      <c r="O177" s="63"/>
      <c r="AT177" s="786"/>
      <c r="AU177" s="786"/>
      <c r="AV177" s="788"/>
      <c r="AW177" s="786"/>
      <c r="AX177" s="789"/>
      <c r="AY177" s="786"/>
    </row>
    <row r="178" spans="3:51">
      <c r="C178"/>
      <c r="O178" s="63"/>
      <c r="AT178" s="786"/>
      <c r="AU178" s="786"/>
      <c r="AV178" s="788"/>
      <c r="AW178" s="786"/>
      <c r="AX178" s="789"/>
      <c r="AY178" s="786"/>
    </row>
    <row r="179" spans="3:51">
      <c r="C179"/>
      <c r="O179" s="63"/>
      <c r="AT179" s="786"/>
      <c r="AU179" s="786"/>
      <c r="AV179" s="788"/>
      <c r="AW179" s="786"/>
      <c r="AX179" s="789"/>
      <c r="AY179" s="786"/>
    </row>
    <row r="180" spans="3:51">
      <c r="C180"/>
      <c r="O180" s="63"/>
      <c r="AT180" s="786"/>
      <c r="AU180" s="786"/>
      <c r="AV180" s="788"/>
      <c r="AW180" s="786"/>
      <c r="AX180" s="789"/>
      <c r="AY180" s="786"/>
    </row>
    <row r="181" spans="3:51">
      <c r="C181"/>
      <c r="O181" s="63"/>
      <c r="AT181" s="786"/>
      <c r="AU181" s="786"/>
      <c r="AV181" s="788"/>
      <c r="AW181" s="786"/>
      <c r="AX181" s="789"/>
      <c r="AY181" s="786"/>
    </row>
    <row r="182" spans="3:51">
      <c r="C182"/>
      <c r="O182" s="63"/>
      <c r="AT182" s="786"/>
      <c r="AU182" s="786"/>
      <c r="AV182" s="788"/>
      <c r="AW182" s="786"/>
      <c r="AX182" s="789"/>
      <c r="AY182" s="786"/>
    </row>
    <row r="183" spans="3:51">
      <c r="C183"/>
      <c r="O183" s="63"/>
      <c r="AT183" s="786"/>
      <c r="AU183" s="786"/>
      <c r="AV183" s="788"/>
      <c r="AW183" s="786"/>
      <c r="AX183" s="789"/>
      <c r="AY183" s="786"/>
    </row>
    <row r="184" spans="3:51">
      <c r="C184"/>
      <c r="O184" s="63"/>
      <c r="AT184" s="786"/>
      <c r="AU184" s="786"/>
      <c r="AV184" s="788"/>
      <c r="AW184" s="786"/>
      <c r="AX184" s="789"/>
      <c r="AY184" s="786"/>
    </row>
    <row r="185" spans="3:51">
      <c r="C185"/>
      <c r="O185" s="63"/>
      <c r="AT185" s="786"/>
      <c r="AU185" s="786"/>
      <c r="AV185" s="788"/>
      <c r="AW185" s="786"/>
      <c r="AX185" s="789"/>
      <c r="AY185" s="786"/>
    </row>
    <row r="186" spans="3:51">
      <c r="C186"/>
      <c r="O186" s="63"/>
      <c r="AT186" s="786"/>
      <c r="AU186" s="786"/>
      <c r="AV186" s="788"/>
      <c r="AW186" s="786"/>
      <c r="AX186" s="789"/>
      <c r="AY186" s="786"/>
    </row>
    <row r="187" spans="3:51">
      <c r="C187"/>
      <c r="O187" s="63"/>
      <c r="AT187" s="786"/>
      <c r="AU187" s="786"/>
      <c r="AV187" s="788"/>
      <c r="AW187" s="786"/>
      <c r="AX187" s="789"/>
      <c r="AY187" s="786"/>
    </row>
    <row r="188" spans="3:51">
      <c r="C188"/>
      <c r="O188" s="63"/>
      <c r="AT188" s="786"/>
      <c r="AU188" s="786"/>
      <c r="AV188" s="788"/>
      <c r="AW188" s="786"/>
      <c r="AX188" s="789"/>
      <c r="AY188" s="786"/>
    </row>
    <row r="189" spans="3:51">
      <c r="C189"/>
      <c r="O189" s="63"/>
      <c r="AT189" s="786"/>
      <c r="AU189" s="786"/>
      <c r="AV189" s="788"/>
      <c r="AW189" s="786"/>
      <c r="AX189" s="789"/>
      <c r="AY189" s="786"/>
    </row>
    <row r="190" spans="3:51">
      <c r="C190"/>
      <c r="O190" s="63"/>
      <c r="AT190" s="786"/>
      <c r="AU190" s="786"/>
      <c r="AV190" s="788"/>
      <c r="AW190" s="786"/>
      <c r="AX190" s="789"/>
      <c r="AY190" s="786"/>
    </row>
    <row r="191" spans="3:51">
      <c r="C191"/>
      <c r="O191" s="63"/>
      <c r="AT191" s="786"/>
      <c r="AU191" s="786"/>
      <c r="AV191" s="788"/>
      <c r="AW191" s="786"/>
      <c r="AX191" s="789"/>
      <c r="AY191" s="786"/>
    </row>
    <row r="192" spans="3:51">
      <c r="C192"/>
      <c r="O192" s="63"/>
      <c r="AT192" s="786"/>
      <c r="AU192" s="786"/>
      <c r="AV192" s="788"/>
      <c r="AW192" s="786"/>
      <c r="AX192" s="789"/>
      <c r="AY192" s="786"/>
    </row>
    <row r="193" spans="3:51">
      <c r="C193"/>
      <c r="O193" s="63"/>
      <c r="AT193" s="786"/>
      <c r="AU193" s="786"/>
      <c r="AV193" s="788"/>
      <c r="AW193" s="786"/>
      <c r="AX193" s="789"/>
      <c r="AY193" s="786"/>
    </row>
    <row r="194" spans="3:51">
      <c r="C194"/>
      <c r="O194" s="63"/>
      <c r="AT194" s="786"/>
      <c r="AU194" s="786"/>
      <c r="AV194" s="788"/>
      <c r="AW194" s="786"/>
      <c r="AX194" s="789"/>
      <c r="AY194" s="786"/>
    </row>
    <row r="195" spans="3:51">
      <c r="C195"/>
      <c r="O195" s="63"/>
      <c r="AT195" s="786"/>
      <c r="AU195" s="786"/>
      <c r="AV195" s="788"/>
      <c r="AW195" s="786"/>
      <c r="AX195" s="789"/>
      <c r="AY195" s="786"/>
    </row>
    <row r="196" spans="3:51">
      <c r="C196"/>
      <c r="O196" s="63"/>
      <c r="AT196" s="786"/>
      <c r="AU196" s="786"/>
      <c r="AV196" s="788"/>
      <c r="AW196" s="786"/>
      <c r="AX196" s="789"/>
      <c r="AY196" s="786"/>
    </row>
    <row r="197" spans="3:51">
      <c r="C197"/>
      <c r="O197" s="63"/>
      <c r="AT197" s="786"/>
      <c r="AU197" s="786"/>
      <c r="AV197" s="788"/>
      <c r="AW197" s="786"/>
      <c r="AX197" s="789"/>
      <c r="AY197" s="786"/>
    </row>
    <row r="198" spans="3:51">
      <c r="C198"/>
      <c r="O198" s="63"/>
      <c r="AT198" s="786"/>
      <c r="AU198" s="786"/>
      <c r="AV198" s="788"/>
      <c r="AW198" s="786"/>
      <c r="AX198" s="789"/>
      <c r="AY198" s="786"/>
    </row>
    <row r="199" spans="3:51">
      <c r="C199"/>
      <c r="O199" s="63"/>
      <c r="AT199" s="786"/>
      <c r="AU199" s="786"/>
      <c r="AV199" s="788"/>
      <c r="AW199" s="786"/>
      <c r="AX199" s="789"/>
      <c r="AY199" s="786"/>
    </row>
    <row r="200" spans="3:51">
      <c r="C200"/>
      <c r="O200" s="63"/>
      <c r="AT200" s="786"/>
      <c r="AU200" s="786"/>
      <c r="AV200" s="788"/>
      <c r="AW200" s="786"/>
      <c r="AX200" s="789"/>
      <c r="AY200" s="786"/>
    </row>
    <row r="201" spans="3:51">
      <c r="C201"/>
      <c r="O201" s="63"/>
      <c r="AT201" s="786"/>
      <c r="AU201" s="786"/>
      <c r="AV201" s="788"/>
      <c r="AW201" s="786"/>
      <c r="AX201" s="789"/>
      <c r="AY201" s="786"/>
    </row>
    <row r="202" spans="3:51">
      <c r="C202"/>
      <c r="O202" s="63"/>
      <c r="AT202" s="786"/>
      <c r="AU202" s="786"/>
      <c r="AV202" s="788"/>
      <c r="AW202" s="786"/>
      <c r="AX202" s="789"/>
      <c r="AY202" s="786"/>
    </row>
    <row r="203" spans="3:51">
      <c r="C203"/>
      <c r="O203" s="63"/>
      <c r="AT203" s="786"/>
      <c r="AU203" s="786"/>
      <c r="AV203" s="788"/>
      <c r="AW203" s="786"/>
      <c r="AX203" s="789"/>
      <c r="AY203" s="786"/>
    </row>
    <row r="204" spans="3:51">
      <c r="C204"/>
      <c r="O204" s="63"/>
      <c r="AT204" s="786"/>
      <c r="AU204" s="786"/>
      <c r="AV204" s="788"/>
      <c r="AW204" s="786"/>
      <c r="AX204" s="789"/>
      <c r="AY204" s="786"/>
    </row>
    <row r="205" spans="3:51">
      <c r="C205"/>
      <c r="O205" s="63"/>
      <c r="AT205" s="786"/>
      <c r="AU205" s="786"/>
      <c r="AV205" s="788"/>
      <c r="AW205" s="786"/>
      <c r="AX205" s="789"/>
      <c r="AY205" s="786"/>
    </row>
    <row r="206" spans="3:51">
      <c r="C206"/>
      <c r="O206" s="63"/>
      <c r="AT206" s="786"/>
      <c r="AU206" s="786"/>
      <c r="AV206" s="788"/>
      <c r="AW206" s="786"/>
      <c r="AX206" s="789"/>
      <c r="AY206" s="786"/>
    </row>
    <row r="207" spans="3:51">
      <c r="C207"/>
      <c r="O207" s="63"/>
      <c r="AT207" s="786"/>
      <c r="AU207" s="786"/>
      <c r="AV207" s="788"/>
      <c r="AW207" s="786"/>
      <c r="AX207" s="789"/>
      <c r="AY207" s="786"/>
    </row>
    <row r="208" spans="3:51">
      <c r="C208"/>
      <c r="O208" s="63"/>
      <c r="AT208" s="786"/>
      <c r="AU208" s="786"/>
      <c r="AV208" s="788"/>
      <c r="AW208" s="786"/>
      <c r="AX208" s="789"/>
      <c r="AY208" s="786"/>
    </row>
    <row r="209" spans="3:51">
      <c r="C209"/>
      <c r="O209" s="63"/>
      <c r="AT209" s="786"/>
      <c r="AU209" s="786"/>
      <c r="AV209" s="788"/>
      <c r="AW209" s="786"/>
      <c r="AX209" s="789"/>
      <c r="AY209" s="786"/>
    </row>
    <row r="210" spans="3:51">
      <c r="C210"/>
      <c r="O210" s="63"/>
      <c r="AT210" s="786"/>
      <c r="AU210" s="786"/>
      <c r="AV210" s="788"/>
      <c r="AW210" s="786"/>
      <c r="AX210" s="789"/>
      <c r="AY210" s="786"/>
    </row>
    <row r="211" spans="3:51">
      <c r="C211"/>
      <c r="O211" s="63"/>
      <c r="AT211" s="786"/>
      <c r="AU211" s="786"/>
      <c r="AV211" s="788"/>
      <c r="AW211" s="786"/>
      <c r="AX211" s="789"/>
      <c r="AY211" s="786"/>
    </row>
    <row r="212" spans="3:51">
      <c r="C212"/>
      <c r="O212" s="63"/>
      <c r="AT212" s="786"/>
      <c r="AU212" s="786"/>
      <c r="AV212" s="788"/>
      <c r="AW212" s="786"/>
      <c r="AX212" s="789"/>
      <c r="AY212" s="786"/>
    </row>
    <row r="213" spans="3:51">
      <c r="C213"/>
      <c r="O213" s="63"/>
      <c r="AT213" s="786"/>
      <c r="AU213" s="786"/>
      <c r="AV213" s="788"/>
      <c r="AW213" s="786"/>
      <c r="AX213" s="789"/>
      <c r="AY213" s="786"/>
    </row>
    <row r="214" spans="3:51">
      <c r="C214"/>
      <c r="O214" s="63"/>
      <c r="AT214" s="786"/>
      <c r="AU214" s="786"/>
      <c r="AV214" s="788"/>
      <c r="AW214" s="786"/>
      <c r="AX214" s="789"/>
      <c r="AY214" s="786"/>
    </row>
    <row r="215" spans="3:51">
      <c r="C215"/>
      <c r="O215" s="63"/>
      <c r="AT215" s="786"/>
      <c r="AU215" s="786"/>
      <c r="AV215" s="788"/>
      <c r="AW215" s="786"/>
      <c r="AX215" s="789"/>
      <c r="AY215" s="786"/>
    </row>
    <row r="216" spans="3:51">
      <c r="C216"/>
      <c r="O216" s="63"/>
      <c r="AT216" s="786"/>
      <c r="AU216" s="786"/>
      <c r="AV216" s="788"/>
      <c r="AW216" s="786"/>
      <c r="AX216" s="789"/>
      <c r="AY216" s="786"/>
    </row>
    <row r="217" spans="3:51">
      <c r="C217"/>
      <c r="O217" s="63"/>
      <c r="AT217" s="786"/>
      <c r="AU217" s="786"/>
      <c r="AV217" s="788"/>
      <c r="AW217" s="786"/>
      <c r="AX217" s="789"/>
      <c r="AY217" s="786"/>
    </row>
    <row r="218" spans="3:51">
      <c r="C218"/>
      <c r="O218" s="63"/>
      <c r="AT218" s="786"/>
      <c r="AU218" s="786"/>
      <c r="AV218" s="788"/>
      <c r="AW218" s="786"/>
      <c r="AX218" s="789"/>
      <c r="AY218" s="786"/>
    </row>
    <row r="219" spans="3:51">
      <c r="C219"/>
      <c r="O219" s="63"/>
      <c r="AT219" s="786"/>
      <c r="AU219" s="786"/>
      <c r="AV219" s="788"/>
      <c r="AW219" s="786"/>
      <c r="AX219" s="789"/>
      <c r="AY219" s="786"/>
    </row>
    <row r="220" spans="3:51">
      <c r="C220"/>
      <c r="O220" s="63"/>
      <c r="AT220" s="786"/>
      <c r="AU220" s="786"/>
      <c r="AV220" s="788"/>
      <c r="AW220" s="786"/>
      <c r="AX220" s="789"/>
      <c r="AY220" s="786"/>
    </row>
    <row r="221" spans="3:51">
      <c r="C221"/>
      <c r="O221" s="63"/>
      <c r="AT221" s="786"/>
      <c r="AU221" s="786"/>
      <c r="AV221" s="788"/>
      <c r="AW221" s="786"/>
      <c r="AX221" s="789"/>
      <c r="AY221" s="786"/>
    </row>
    <row r="222" spans="3:51">
      <c r="C222"/>
      <c r="O222" s="63"/>
      <c r="AT222" s="786"/>
      <c r="AU222" s="786"/>
      <c r="AV222" s="788"/>
      <c r="AW222" s="786"/>
      <c r="AX222" s="789"/>
      <c r="AY222" s="786"/>
    </row>
    <row r="223" spans="3:51">
      <c r="C223"/>
      <c r="O223" s="63"/>
      <c r="AT223" s="786"/>
      <c r="AU223" s="786"/>
      <c r="AV223" s="788"/>
      <c r="AW223" s="786"/>
      <c r="AX223" s="789"/>
      <c r="AY223" s="786"/>
    </row>
    <row r="224" spans="3:51">
      <c r="C224"/>
      <c r="O224" s="63"/>
      <c r="AT224" s="786"/>
      <c r="AU224" s="786"/>
      <c r="AV224" s="788"/>
      <c r="AW224" s="786"/>
      <c r="AX224" s="789"/>
      <c r="AY224" s="786"/>
    </row>
    <row r="225" spans="3:51">
      <c r="C225"/>
      <c r="O225" s="63"/>
      <c r="AT225" s="786"/>
      <c r="AU225" s="786"/>
      <c r="AV225" s="788"/>
      <c r="AW225" s="786"/>
      <c r="AX225" s="789"/>
      <c r="AY225" s="786"/>
    </row>
    <row r="226" spans="3:51">
      <c r="C226"/>
      <c r="O226" s="63"/>
      <c r="AT226" s="786"/>
      <c r="AU226" s="786"/>
      <c r="AV226" s="788"/>
      <c r="AW226" s="786"/>
      <c r="AX226" s="789"/>
      <c r="AY226" s="786"/>
    </row>
    <row r="227" spans="3:51">
      <c r="C227"/>
      <c r="O227" s="63"/>
      <c r="AT227" s="786"/>
      <c r="AU227" s="786"/>
      <c r="AV227" s="788"/>
      <c r="AW227" s="786"/>
      <c r="AX227" s="789"/>
      <c r="AY227" s="786"/>
    </row>
    <row r="228" spans="3:51">
      <c r="C228"/>
      <c r="O228" s="63"/>
      <c r="AT228" s="786"/>
      <c r="AU228" s="786"/>
      <c r="AV228" s="788"/>
      <c r="AW228" s="786"/>
      <c r="AX228" s="789"/>
      <c r="AY228" s="786"/>
    </row>
    <row r="229" spans="3:51">
      <c r="C229"/>
      <c r="O229" s="63"/>
      <c r="AT229" s="786"/>
      <c r="AU229" s="786"/>
      <c r="AV229" s="788"/>
      <c r="AW229" s="786"/>
      <c r="AX229" s="789"/>
      <c r="AY229" s="786"/>
    </row>
    <row r="230" spans="3:51">
      <c r="C230"/>
      <c r="O230" s="63"/>
      <c r="AT230" s="786"/>
      <c r="AU230" s="786"/>
      <c r="AV230" s="788"/>
      <c r="AW230" s="786"/>
      <c r="AX230" s="789"/>
      <c r="AY230" s="786"/>
    </row>
    <row r="231" spans="3:51">
      <c r="C231"/>
      <c r="O231" s="63"/>
      <c r="AT231" s="786"/>
      <c r="AU231" s="786"/>
      <c r="AV231" s="788"/>
      <c r="AW231" s="786"/>
      <c r="AX231" s="789"/>
      <c r="AY231" s="786"/>
    </row>
    <row r="232" spans="3:51">
      <c r="C232"/>
      <c r="O232" s="63"/>
      <c r="AT232" s="786"/>
      <c r="AU232" s="786"/>
      <c r="AV232" s="788"/>
      <c r="AW232" s="786"/>
      <c r="AX232" s="789"/>
      <c r="AY232" s="786"/>
    </row>
    <row r="233" spans="3:51">
      <c r="C233"/>
      <c r="O233" s="63"/>
      <c r="AT233" s="786"/>
      <c r="AU233" s="786"/>
      <c r="AV233" s="788"/>
      <c r="AW233" s="786"/>
      <c r="AX233" s="789"/>
      <c r="AY233" s="786"/>
    </row>
    <row r="234" spans="3:51">
      <c r="C234"/>
      <c r="O234" s="63"/>
      <c r="AT234" s="786"/>
      <c r="AU234" s="786"/>
      <c r="AV234" s="788"/>
      <c r="AW234" s="786"/>
      <c r="AX234" s="789"/>
      <c r="AY234" s="786"/>
    </row>
    <row r="235" spans="3:51">
      <c r="C235"/>
      <c r="O235" s="63"/>
      <c r="AT235" s="786"/>
      <c r="AU235" s="786"/>
      <c r="AV235" s="788"/>
      <c r="AW235" s="786"/>
      <c r="AX235" s="789"/>
      <c r="AY235" s="786"/>
    </row>
    <row r="236" spans="3:51">
      <c r="C236"/>
      <c r="O236" s="63"/>
      <c r="AT236" s="786"/>
      <c r="AU236" s="786"/>
      <c r="AV236" s="788"/>
      <c r="AW236" s="786"/>
      <c r="AX236" s="789"/>
      <c r="AY236" s="786"/>
    </row>
    <row r="237" spans="3:51">
      <c r="C237"/>
      <c r="O237" s="63"/>
      <c r="AT237" s="786"/>
      <c r="AU237" s="786"/>
      <c r="AV237" s="788"/>
      <c r="AW237" s="786"/>
      <c r="AX237" s="789"/>
      <c r="AY237" s="786"/>
    </row>
    <row r="238" spans="3:51">
      <c r="C238"/>
      <c r="O238" s="63"/>
      <c r="AT238" s="786"/>
      <c r="AU238" s="786"/>
      <c r="AV238" s="788"/>
      <c r="AW238" s="786"/>
      <c r="AX238" s="789"/>
      <c r="AY238" s="786"/>
    </row>
    <row r="239" spans="3:51">
      <c r="C239"/>
      <c r="O239" s="63"/>
      <c r="AT239" s="786"/>
      <c r="AU239" s="786"/>
      <c r="AV239" s="788"/>
      <c r="AW239" s="786"/>
      <c r="AX239" s="789"/>
      <c r="AY239" s="786"/>
    </row>
    <row r="240" spans="3:51">
      <c r="C240"/>
      <c r="O240" s="63"/>
      <c r="AT240" s="786"/>
      <c r="AU240" s="786"/>
      <c r="AV240" s="788"/>
      <c r="AW240" s="786"/>
      <c r="AX240" s="789"/>
      <c r="AY240" s="786"/>
    </row>
    <row r="241" spans="3:51">
      <c r="C241"/>
      <c r="O241" s="63"/>
      <c r="AT241" s="786"/>
      <c r="AU241" s="786"/>
      <c r="AV241" s="788"/>
      <c r="AW241" s="786"/>
      <c r="AX241" s="789"/>
      <c r="AY241" s="786"/>
    </row>
    <row r="242" spans="3:51">
      <c r="C242"/>
      <c r="O242" s="63"/>
      <c r="AT242" s="786"/>
      <c r="AU242" s="786"/>
      <c r="AV242" s="788"/>
      <c r="AW242" s="786"/>
      <c r="AX242" s="789"/>
      <c r="AY242" s="786"/>
    </row>
    <row r="243" spans="3:51">
      <c r="C243"/>
      <c r="O243" s="63"/>
      <c r="AT243" s="786"/>
      <c r="AU243" s="786"/>
      <c r="AV243" s="788"/>
      <c r="AW243" s="786"/>
      <c r="AX243" s="789"/>
      <c r="AY243" s="786"/>
    </row>
    <row r="244" spans="3:51">
      <c r="C244"/>
      <c r="O244" s="63"/>
      <c r="AT244" s="786"/>
      <c r="AU244" s="786"/>
      <c r="AV244" s="788"/>
      <c r="AW244" s="786"/>
      <c r="AX244" s="789"/>
      <c r="AY244" s="786"/>
    </row>
    <row r="245" spans="3:51">
      <c r="C245"/>
      <c r="O245" s="63"/>
      <c r="AT245" s="786"/>
      <c r="AU245" s="786"/>
      <c r="AV245" s="788"/>
      <c r="AW245" s="786"/>
      <c r="AX245" s="789"/>
      <c r="AY245" s="786"/>
    </row>
    <row r="246" spans="3:51">
      <c r="C246"/>
      <c r="O246" s="63"/>
      <c r="AT246" s="786"/>
      <c r="AU246" s="786"/>
      <c r="AV246" s="788"/>
      <c r="AW246" s="786"/>
      <c r="AX246" s="789"/>
      <c r="AY246" s="786"/>
    </row>
    <row r="247" spans="3:51">
      <c r="C247"/>
      <c r="O247" s="63"/>
      <c r="AT247" s="786"/>
      <c r="AU247" s="786"/>
      <c r="AV247" s="788"/>
      <c r="AW247" s="786"/>
      <c r="AX247" s="789"/>
      <c r="AY247" s="786"/>
    </row>
    <row r="248" spans="3:51">
      <c r="C248"/>
      <c r="O248" s="63"/>
      <c r="AT248" s="786"/>
      <c r="AU248" s="786"/>
      <c r="AV248" s="788"/>
      <c r="AW248" s="786"/>
      <c r="AX248" s="789"/>
      <c r="AY248" s="786"/>
    </row>
    <row r="249" spans="3:51">
      <c r="C249"/>
      <c r="O249" s="63"/>
    </row>
    <row r="250" spans="3:51">
      <c r="C250"/>
      <c r="O250" s="63"/>
    </row>
    <row r="251" spans="3:51">
      <c r="C251"/>
      <c r="O251" s="63"/>
    </row>
    <row r="252" spans="3:51">
      <c r="C252"/>
      <c r="O252" s="63"/>
    </row>
    <row r="253" spans="3:51">
      <c r="C253"/>
      <c r="O253" s="63"/>
    </row>
    <row r="254" spans="3:51">
      <c r="C254"/>
      <c r="O254" s="63"/>
    </row>
    <row r="255" spans="3:51">
      <c r="C255"/>
      <c r="O255" s="63"/>
    </row>
    <row r="256" spans="3:51">
      <c r="C256"/>
      <c r="O256" s="63"/>
    </row>
    <row r="257" spans="3:15">
      <c r="C257"/>
      <c r="O257" s="63"/>
    </row>
    <row r="258" spans="3:15">
      <c r="C258"/>
      <c r="O258" s="63"/>
    </row>
    <row r="259" spans="3:15">
      <c r="C259"/>
      <c r="O259" s="63"/>
    </row>
    <row r="260" spans="3:15">
      <c r="C260"/>
      <c r="O260" s="63"/>
    </row>
    <row r="261" spans="3:15">
      <c r="C261"/>
      <c r="O261" s="63"/>
    </row>
    <row r="262" spans="3:15">
      <c r="C262"/>
      <c r="O262" s="63"/>
    </row>
    <row r="263" spans="3:15">
      <c r="C263"/>
      <c r="O263" s="63"/>
    </row>
    <row r="264" spans="3:15">
      <c r="C264"/>
      <c r="O264" s="63"/>
    </row>
    <row r="265" spans="3:15">
      <c r="C265"/>
      <c r="O265" s="63"/>
    </row>
    <row r="266" spans="3:15">
      <c r="C266"/>
      <c r="O266" s="63"/>
    </row>
    <row r="267" spans="3:15">
      <c r="C267"/>
      <c r="O267" s="63"/>
    </row>
    <row r="268" spans="3:15">
      <c r="C268"/>
      <c r="O268" s="63"/>
    </row>
    <row r="269" spans="3:15">
      <c r="C269"/>
      <c r="O269" s="63"/>
    </row>
    <row r="270" spans="3:15">
      <c r="C270"/>
      <c r="O270" s="63"/>
    </row>
    <row r="271" spans="3:15">
      <c r="C271"/>
      <c r="O271" s="63"/>
    </row>
    <row r="272" spans="3:15">
      <c r="C272"/>
      <c r="O272" s="63"/>
    </row>
    <row r="273" spans="3:15">
      <c r="C273"/>
      <c r="O273" s="63"/>
    </row>
    <row r="274" spans="3:15">
      <c r="C274"/>
      <c r="O274" s="63"/>
    </row>
    <row r="275" spans="3:15">
      <c r="C275"/>
      <c r="O275" s="63"/>
    </row>
    <row r="276" spans="3:15">
      <c r="C276"/>
      <c r="O276" s="63"/>
    </row>
    <row r="277" spans="3:15">
      <c r="C277"/>
      <c r="O277" s="63"/>
    </row>
    <row r="278" spans="3:15">
      <c r="C278"/>
      <c r="O278" s="63"/>
    </row>
    <row r="279" spans="3:15">
      <c r="C279"/>
      <c r="O279" s="63"/>
    </row>
    <row r="280" spans="3:15">
      <c r="C280"/>
      <c r="O280" s="63"/>
    </row>
    <row r="281" spans="3:15">
      <c r="C281"/>
      <c r="O281" s="63"/>
    </row>
    <row r="282" spans="3:15">
      <c r="C282"/>
      <c r="O282" s="63"/>
    </row>
    <row r="283" spans="3:15">
      <c r="C283"/>
      <c r="O283" s="63"/>
    </row>
    <row r="284" spans="3:15">
      <c r="C284"/>
      <c r="O284" s="63"/>
    </row>
    <row r="285" spans="3:15">
      <c r="C285"/>
      <c r="O285" s="63"/>
    </row>
    <row r="286" spans="3:15">
      <c r="C286"/>
      <c r="O286" s="63"/>
    </row>
    <row r="287" spans="3:15">
      <c r="C287"/>
      <c r="O287" s="63"/>
    </row>
    <row r="288" spans="3:15">
      <c r="C288"/>
      <c r="O288" s="63"/>
    </row>
    <row r="289" spans="3:15">
      <c r="C289"/>
      <c r="O289" s="63"/>
    </row>
    <row r="290" spans="3:15">
      <c r="C290"/>
      <c r="O290" s="63"/>
    </row>
    <row r="291" spans="3:15">
      <c r="C291"/>
      <c r="O291" s="63"/>
    </row>
    <row r="292" spans="3:15">
      <c r="C292"/>
      <c r="O292" s="63"/>
    </row>
    <row r="293" spans="3:15">
      <c r="C293"/>
      <c r="O293" s="63"/>
    </row>
    <row r="294" spans="3:15">
      <c r="C294"/>
      <c r="O294" s="63"/>
    </row>
    <row r="295" spans="3:15">
      <c r="C295"/>
      <c r="O295" s="63"/>
    </row>
    <row r="296" spans="3:15">
      <c r="C296"/>
      <c r="O296" s="63"/>
    </row>
    <row r="297" spans="3:15">
      <c r="C297"/>
      <c r="O297" s="63"/>
    </row>
    <row r="298" spans="3:15">
      <c r="C298"/>
      <c r="O298" s="63"/>
    </row>
    <row r="299" spans="3:15">
      <c r="C299"/>
      <c r="O299" s="63"/>
    </row>
    <row r="300" spans="3:15">
      <c r="C300"/>
      <c r="O300" s="63"/>
    </row>
    <row r="301" spans="3:15">
      <c r="C301"/>
      <c r="O301" s="63"/>
    </row>
    <row r="302" spans="3:15">
      <c r="C302"/>
      <c r="O302" s="63"/>
    </row>
    <row r="303" spans="3:15">
      <c r="C303"/>
      <c r="O303" s="63"/>
    </row>
    <row r="304" spans="3:15">
      <c r="C304"/>
      <c r="O304" s="63"/>
    </row>
    <row r="305" spans="3:15">
      <c r="C305"/>
      <c r="O305" s="63"/>
    </row>
    <row r="306" spans="3:15">
      <c r="C306"/>
      <c r="O306" s="63"/>
    </row>
    <row r="307" spans="3:15">
      <c r="C307"/>
      <c r="O307" s="63"/>
    </row>
    <row r="308" spans="3:15">
      <c r="C308"/>
      <c r="O308" s="63"/>
    </row>
    <row r="309" spans="3:15">
      <c r="C309"/>
      <c r="O309" s="63"/>
    </row>
    <row r="310" spans="3:15">
      <c r="C310"/>
      <c r="O310" s="63"/>
    </row>
    <row r="311" spans="3:15">
      <c r="C311"/>
      <c r="O311" s="63"/>
    </row>
    <row r="312" spans="3:15">
      <c r="C312"/>
      <c r="O312" s="63"/>
    </row>
    <row r="313" spans="3:15">
      <c r="C313"/>
      <c r="O313" s="63"/>
    </row>
    <row r="314" spans="3:15">
      <c r="C314"/>
      <c r="O314" s="63"/>
    </row>
    <row r="315" spans="3:15">
      <c r="C315"/>
      <c r="O315" s="63"/>
    </row>
    <row r="316" spans="3:15">
      <c r="C316"/>
      <c r="O316" s="63"/>
    </row>
    <row r="317" spans="3:15">
      <c r="C317"/>
      <c r="O317" s="63"/>
    </row>
    <row r="318" spans="3:15">
      <c r="C318"/>
      <c r="O318" s="63"/>
    </row>
    <row r="319" spans="3:15">
      <c r="C319"/>
      <c r="O319" s="63"/>
    </row>
    <row r="320" spans="3:15">
      <c r="C320"/>
      <c r="O320" s="63"/>
    </row>
    <row r="321" spans="3:15">
      <c r="C321"/>
      <c r="O321" s="63"/>
    </row>
    <row r="322" spans="3:15">
      <c r="C322"/>
      <c r="O322" s="63"/>
    </row>
    <row r="323" spans="3:15">
      <c r="C323"/>
      <c r="O323" s="63"/>
    </row>
    <row r="324" spans="3:15">
      <c r="C324"/>
      <c r="O324" s="63"/>
    </row>
    <row r="325" spans="3:15">
      <c r="C325"/>
      <c r="O325" s="63"/>
    </row>
    <row r="326" spans="3:15">
      <c r="C326"/>
      <c r="O326" s="63"/>
    </row>
    <row r="327" spans="3:15">
      <c r="C327"/>
      <c r="O327" s="63"/>
    </row>
    <row r="328" spans="3:15">
      <c r="C328"/>
      <c r="O328" s="63"/>
    </row>
    <row r="329" spans="3:15">
      <c r="C329"/>
      <c r="O329" s="63"/>
    </row>
    <row r="330" spans="3:15">
      <c r="C330"/>
      <c r="O330" s="63"/>
    </row>
    <row r="331" spans="3:15">
      <c r="C331"/>
      <c r="O331" s="63"/>
    </row>
    <row r="332" spans="3:15">
      <c r="C332"/>
      <c r="O332" s="63"/>
    </row>
    <row r="333" spans="3:15">
      <c r="C333"/>
      <c r="O333" s="63"/>
    </row>
    <row r="334" spans="3:15">
      <c r="C334"/>
      <c r="O334" s="63"/>
    </row>
    <row r="335" spans="3:15">
      <c r="C335"/>
      <c r="O335" s="63"/>
    </row>
    <row r="336" spans="3:15">
      <c r="C336"/>
      <c r="O336" s="63"/>
    </row>
    <row r="337" spans="3:15">
      <c r="C337"/>
      <c r="O337" s="63"/>
    </row>
    <row r="338" spans="3:15">
      <c r="C338"/>
      <c r="O338" s="63"/>
    </row>
    <row r="339" spans="3:15">
      <c r="C339"/>
      <c r="O339" s="63"/>
    </row>
    <row r="340" spans="3:15">
      <c r="C340"/>
      <c r="O340" s="63"/>
    </row>
    <row r="341" spans="3:15">
      <c r="C341"/>
      <c r="O341" s="63"/>
    </row>
    <row r="342" spans="3:15">
      <c r="C342"/>
      <c r="O342" s="63"/>
    </row>
    <row r="343" spans="3:15">
      <c r="C343"/>
      <c r="O343" s="63"/>
    </row>
    <row r="344" spans="3:15">
      <c r="C344"/>
      <c r="O344" s="63"/>
    </row>
    <row r="345" spans="3:15">
      <c r="C345"/>
      <c r="O345" s="63"/>
    </row>
    <row r="346" spans="3:15">
      <c r="C346"/>
      <c r="O346" s="63"/>
    </row>
    <row r="347" spans="3:15">
      <c r="C347"/>
      <c r="O347" s="63"/>
    </row>
    <row r="348" spans="3:15">
      <c r="C348"/>
      <c r="O348" s="63"/>
    </row>
    <row r="349" spans="3:15">
      <c r="C349"/>
      <c r="O349" s="63"/>
    </row>
    <row r="350" spans="3:15">
      <c r="C350"/>
      <c r="O350" s="63"/>
    </row>
    <row r="351" spans="3:15">
      <c r="C351"/>
      <c r="O351" s="63"/>
    </row>
    <row r="352" spans="3:15">
      <c r="C352"/>
      <c r="O352" s="63"/>
    </row>
    <row r="353" spans="3:15">
      <c r="C353"/>
      <c r="O353" s="63"/>
    </row>
    <row r="354" spans="3:15">
      <c r="C354"/>
      <c r="O354" s="63"/>
    </row>
    <row r="355" spans="3:15">
      <c r="C355"/>
      <c r="O355" s="63"/>
    </row>
    <row r="356" spans="3:15">
      <c r="C356"/>
      <c r="O356" s="63"/>
    </row>
    <row r="357" spans="3:15">
      <c r="C357"/>
      <c r="O357" s="63"/>
    </row>
    <row r="358" spans="3:15">
      <c r="C358"/>
      <c r="O358" s="63"/>
    </row>
    <row r="359" spans="3:15">
      <c r="C359"/>
      <c r="O359" s="63"/>
    </row>
    <row r="360" spans="3:15">
      <c r="C360"/>
      <c r="O360" s="63"/>
    </row>
    <row r="361" spans="3:15">
      <c r="C361"/>
      <c r="O361" s="63"/>
    </row>
    <row r="362" spans="3:15">
      <c r="C362"/>
      <c r="O362" s="63"/>
    </row>
    <row r="363" spans="3:15">
      <c r="C363"/>
      <c r="O363" s="63"/>
    </row>
    <row r="364" spans="3:15">
      <c r="C364"/>
      <c r="O364" s="63"/>
    </row>
    <row r="365" spans="3:15">
      <c r="C365"/>
      <c r="O365" s="63"/>
    </row>
    <row r="366" spans="3:15">
      <c r="C366"/>
      <c r="O366" s="63"/>
    </row>
    <row r="367" spans="3:15">
      <c r="C367"/>
      <c r="O367" s="63"/>
    </row>
    <row r="368" spans="3:15">
      <c r="C368"/>
      <c r="O368" s="63"/>
    </row>
    <row r="369" spans="3:15">
      <c r="C369"/>
      <c r="O369" s="63"/>
    </row>
    <row r="370" spans="3:15">
      <c r="C370"/>
      <c r="O370" s="63"/>
    </row>
    <row r="371" spans="3:15">
      <c r="C371"/>
      <c r="O371" s="63"/>
    </row>
    <row r="372" spans="3:15">
      <c r="C372"/>
      <c r="O372" s="63"/>
    </row>
    <row r="373" spans="3:15">
      <c r="C373"/>
      <c r="O373" s="63"/>
    </row>
    <row r="374" spans="3:15">
      <c r="C374"/>
      <c r="O374" s="63"/>
    </row>
    <row r="375" spans="3:15">
      <c r="C375"/>
      <c r="O375" s="63"/>
    </row>
    <row r="376" spans="3:15">
      <c r="C376"/>
      <c r="O376" s="63"/>
    </row>
    <row r="377" spans="3:15">
      <c r="C377"/>
      <c r="O377" s="63"/>
    </row>
    <row r="378" spans="3:15">
      <c r="C378"/>
      <c r="O378" s="63"/>
    </row>
    <row r="379" spans="3:15">
      <c r="C379"/>
      <c r="O379" s="63"/>
    </row>
    <row r="380" spans="3:15">
      <c r="C380"/>
      <c r="O380" s="63"/>
    </row>
    <row r="381" spans="3:15">
      <c r="C381"/>
      <c r="O381" s="63"/>
    </row>
    <row r="382" spans="3:15">
      <c r="C382"/>
      <c r="O382" s="63"/>
    </row>
    <row r="383" spans="3:15">
      <c r="C383"/>
      <c r="O383" s="63"/>
    </row>
    <row r="384" spans="3:15">
      <c r="C384"/>
      <c r="O384" s="63"/>
    </row>
    <row r="385" spans="3:15">
      <c r="C385"/>
      <c r="O385" s="63"/>
    </row>
    <row r="386" spans="3:15">
      <c r="C386"/>
      <c r="O386" s="63"/>
    </row>
    <row r="387" spans="3:15">
      <c r="C387"/>
      <c r="O387" s="63"/>
    </row>
    <row r="388" spans="3:15">
      <c r="C388"/>
      <c r="O388" s="63"/>
    </row>
    <row r="389" spans="3:15">
      <c r="C389"/>
      <c r="O389" s="63"/>
    </row>
    <row r="390" spans="3:15">
      <c r="C390"/>
      <c r="O390" s="63"/>
    </row>
    <row r="391" spans="3:15">
      <c r="C391"/>
      <c r="O391" s="63"/>
    </row>
    <row r="392" spans="3:15">
      <c r="C392"/>
      <c r="O392" s="63"/>
    </row>
    <row r="393" spans="3:15">
      <c r="C393"/>
      <c r="O393" s="63"/>
    </row>
    <row r="394" spans="3:15">
      <c r="C394"/>
      <c r="O394" s="63"/>
    </row>
    <row r="395" spans="3:15">
      <c r="C395"/>
      <c r="O395" s="63"/>
    </row>
    <row r="396" spans="3:15">
      <c r="C396"/>
      <c r="O396" s="63"/>
    </row>
    <row r="397" spans="3:15">
      <c r="C397"/>
      <c r="O397" s="63"/>
    </row>
    <row r="398" spans="3:15">
      <c r="C398"/>
      <c r="O398" s="63"/>
    </row>
    <row r="399" spans="3:15">
      <c r="C399"/>
      <c r="O399" s="63"/>
    </row>
    <row r="400" spans="3:15">
      <c r="C400"/>
      <c r="O400" s="63"/>
    </row>
    <row r="401" spans="3:15">
      <c r="C401"/>
      <c r="O401" s="63"/>
    </row>
    <row r="402" spans="3:15">
      <c r="C402"/>
      <c r="O402" s="63"/>
    </row>
    <row r="403" spans="3:15">
      <c r="C403"/>
      <c r="O403" s="63"/>
    </row>
    <row r="404" spans="3:15">
      <c r="C404"/>
      <c r="O404" s="63"/>
    </row>
    <row r="405" spans="3:15">
      <c r="C405"/>
      <c r="O405" s="63"/>
    </row>
    <row r="406" spans="3:15">
      <c r="C406"/>
      <c r="O406" s="63"/>
    </row>
    <row r="407" spans="3:15">
      <c r="C407"/>
      <c r="O407" s="63"/>
    </row>
    <row r="408" spans="3:15">
      <c r="C408"/>
      <c r="O408" s="63"/>
    </row>
    <row r="409" spans="3:15">
      <c r="C409"/>
      <c r="O409" s="63"/>
    </row>
    <row r="410" spans="3:15">
      <c r="C410"/>
      <c r="O410" s="63"/>
    </row>
    <row r="411" spans="3:15">
      <c r="C411"/>
      <c r="O411" s="63"/>
    </row>
    <row r="412" spans="3:15">
      <c r="C412"/>
      <c r="O412" s="63"/>
    </row>
    <row r="413" spans="3:15">
      <c r="C413"/>
      <c r="O413" s="63"/>
    </row>
    <row r="414" spans="3:15">
      <c r="C414"/>
      <c r="O414" s="63"/>
    </row>
    <row r="415" spans="3:15">
      <c r="C415"/>
      <c r="O415" s="63"/>
    </row>
    <row r="416" spans="3:15">
      <c r="C416"/>
      <c r="O416" s="63"/>
    </row>
    <row r="417" spans="3:15">
      <c r="C417"/>
      <c r="O417" s="63"/>
    </row>
    <row r="418" spans="3:15">
      <c r="C418"/>
      <c r="O418" s="63"/>
    </row>
    <row r="419" spans="3:15">
      <c r="C419"/>
      <c r="O419" s="63"/>
    </row>
    <row r="420" spans="3:15">
      <c r="C420"/>
      <c r="O420" s="63"/>
    </row>
    <row r="421" spans="3:15">
      <c r="C421"/>
      <c r="O421" s="63"/>
    </row>
    <row r="422" spans="3:15">
      <c r="C422"/>
      <c r="O422" s="63"/>
    </row>
    <row r="423" spans="3:15">
      <c r="C423"/>
      <c r="O423" s="63"/>
    </row>
    <row r="424" spans="3:15">
      <c r="C424"/>
      <c r="O424" s="63"/>
    </row>
    <row r="425" spans="3:15">
      <c r="C425"/>
      <c r="O425" s="63"/>
    </row>
    <row r="426" spans="3:15">
      <c r="C426"/>
      <c r="O426" s="63"/>
    </row>
    <row r="427" spans="3:15">
      <c r="C427"/>
      <c r="O427" s="63"/>
    </row>
    <row r="428" spans="3:15">
      <c r="C428"/>
      <c r="O428" s="63"/>
    </row>
    <row r="429" spans="3:15">
      <c r="C429"/>
      <c r="O429" s="63"/>
    </row>
    <row r="430" spans="3:15">
      <c r="C430"/>
      <c r="O430" s="63"/>
    </row>
    <row r="431" spans="3:15">
      <c r="C431"/>
      <c r="O431" s="63"/>
    </row>
    <row r="432" spans="3:15">
      <c r="C432"/>
      <c r="O432" s="63"/>
    </row>
    <row r="433" spans="3:15">
      <c r="C433"/>
      <c r="O433" s="63"/>
    </row>
    <row r="434" spans="3:15">
      <c r="C434"/>
      <c r="O434" s="63"/>
    </row>
    <row r="435" spans="3:15">
      <c r="C435"/>
      <c r="O435" s="63"/>
    </row>
    <row r="436" spans="3:15">
      <c r="C436"/>
      <c r="O436" s="63"/>
    </row>
    <row r="437" spans="3:15">
      <c r="C437"/>
      <c r="O437" s="63"/>
    </row>
    <row r="438" spans="3:15">
      <c r="C438"/>
      <c r="O438" s="63"/>
    </row>
    <row r="439" spans="3:15">
      <c r="C439"/>
      <c r="O439" s="63"/>
    </row>
    <row r="440" spans="3:15">
      <c r="C440"/>
      <c r="O440" s="63"/>
    </row>
    <row r="441" spans="3:15">
      <c r="C441"/>
      <c r="O441" s="63"/>
    </row>
    <row r="442" spans="3:15">
      <c r="C442"/>
      <c r="O442" s="63"/>
    </row>
    <row r="443" spans="3:15">
      <c r="C443"/>
      <c r="O443" s="63"/>
    </row>
    <row r="444" spans="3:15">
      <c r="C444"/>
      <c r="O444" s="63"/>
    </row>
    <row r="445" spans="3:15">
      <c r="C445"/>
      <c r="O445" s="63"/>
    </row>
    <row r="446" spans="3:15">
      <c r="C446"/>
      <c r="O446" s="63"/>
    </row>
    <row r="447" spans="3:15">
      <c r="C447"/>
      <c r="O447" s="63"/>
    </row>
    <row r="448" spans="3:15">
      <c r="C448"/>
      <c r="O448" s="63"/>
    </row>
    <row r="449" spans="3:15">
      <c r="C449"/>
      <c r="O449" s="63"/>
    </row>
    <row r="450" spans="3:15">
      <c r="C450"/>
      <c r="O450" s="63"/>
    </row>
    <row r="451" spans="3:15">
      <c r="C451"/>
      <c r="O451" s="63"/>
    </row>
    <row r="452" spans="3:15">
      <c r="C452"/>
      <c r="O452" s="63"/>
    </row>
    <row r="453" spans="3:15">
      <c r="C453"/>
      <c r="O453" s="63"/>
    </row>
    <row r="454" spans="3:15">
      <c r="C454"/>
      <c r="O454" s="63"/>
    </row>
    <row r="455" spans="3:15">
      <c r="C455"/>
      <c r="O455" s="63"/>
    </row>
    <row r="456" spans="3:15">
      <c r="C456"/>
      <c r="O456" s="63"/>
    </row>
    <row r="457" spans="3:15">
      <c r="C457"/>
      <c r="O457" s="63"/>
    </row>
    <row r="458" spans="3:15">
      <c r="C458"/>
      <c r="O458" s="63"/>
    </row>
    <row r="459" spans="3:15">
      <c r="C459"/>
      <c r="O459" s="63"/>
    </row>
    <row r="460" spans="3:15">
      <c r="C460"/>
      <c r="O460" s="63"/>
    </row>
    <row r="461" spans="3:15">
      <c r="C461"/>
      <c r="O461" s="63"/>
    </row>
    <row r="462" spans="3:15">
      <c r="C462"/>
      <c r="O462" s="63"/>
    </row>
    <row r="463" spans="3:15">
      <c r="C463"/>
      <c r="O463" s="63"/>
    </row>
    <row r="464" spans="3:15">
      <c r="C464"/>
      <c r="O464" s="63"/>
    </row>
    <row r="465" spans="3:15">
      <c r="C465"/>
      <c r="O465" s="63"/>
    </row>
    <row r="466" spans="3:15">
      <c r="C466"/>
      <c r="O466" s="63"/>
    </row>
    <row r="467" spans="3:15">
      <c r="C467"/>
      <c r="O467" s="63"/>
    </row>
    <row r="468" spans="3:15">
      <c r="C468"/>
      <c r="O468" s="63"/>
    </row>
    <row r="469" spans="3:15">
      <c r="C469"/>
      <c r="O469" s="63"/>
    </row>
    <row r="470" spans="3:15">
      <c r="C470"/>
      <c r="O470" s="63"/>
    </row>
    <row r="471" spans="3:15">
      <c r="C471"/>
      <c r="O471" s="63"/>
    </row>
    <row r="472" spans="3:15">
      <c r="C472"/>
      <c r="O472" s="63"/>
    </row>
    <row r="473" spans="3:15">
      <c r="C473"/>
      <c r="O473" s="63"/>
    </row>
    <row r="474" spans="3:15">
      <c r="C474"/>
      <c r="O474" s="63"/>
    </row>
    <row r="475" spans="3:15">
      <c r="C475"/>
      <c r="O475" s="63"/>
    </row>
    <row r="476" spans="3:15">
      <c r="C476"/>
      <c r="O476" s="63"/>
    </row>
    <row r="477" spans="3:15">
      <c r="C477"/>
      <c r="O477" s="63"/>
    </row>
    <row r="478" spans="3:15">
      <c r="C478"/>
      <c r="O478" s="63"/>
    </row>
    <row r="479" spans="3:15">
      <c r="C479"/>
      <c r="O479" s="63"/>
    </row>
    <row r="480" spans="3:15">
      <c r="C480"/>
      <c r="O480" s="63"/>
    </row>
    <row r="481" spans="3:15">
      <c r="C481"/>
      <c r="O481" s="63"/>
    </row>
    <row r="482" spans="3:15">
      <c r="C482"/>
      <c r="O482" s="63"/>
    </row>
    <row r="483" spans="3:15">
      <c r="C483"/>
      <c r="O483" s="63"/>
    </row>
    <row r="484" spans="3:15">
      <c r="C484"/>
      <c r="O484" s="63"/>
    </row>
    <row r="485" spans="3:15">
      <c r="C485"/>
      <c r="O485" s="63"/>
    </row>
    <row r="486" spans="3:15">
      <c r="C486"/>
      <c r="O486" s="63"/>
    </row>
    <row r="487" spans="3:15">
      <c r="C487"/>
      <c r="O487" s="63"/>
    </row>
    <row r="488" spans="3:15">
      <c r="C488"/>
      <c r="O488" s="63"/>
    </row>
    <row r="489" spans="3:15">
      <c r="C489"/>
      <c r="O489" s="63"/>
    </row>
    <row r="490" spans="3:15">
      <c r="C490"/>
      <c r="O490" s="63"/>
    </row>
    <row r="491" spans="3:15">
      <c r="C491"/>
      <c r="O491" s="63"/>
    </row>
    <row r="492" spans="3:15">
      <c r="C492"/>
      <c r="O492" s="63"/>
    </row>
    <row r="493" spans="3:15">
      <c r="C493"/>
      <c r="O493" s="63"/>
    </row>
    <row r="494" spans="3:15">
      <c r="C494"/>
      <c r="O494" s="63"/>
    </row>
    <row r="495" spans="3:15">
      <c r="C495"/>
      <c r="O495" s="63"/>
    </row>
    <row r="496" spans="3:15">
      <c r="C496"/>
      <c r="O496" s="63"/>
    </row>
    <row r="497" spans="3:15">
      <c r="C497"/>
      <c r="O497" s="63"/>
    </row>
    <row r="498" spans="3:15">
      <c r="C498"/>
      <c r="O498" s="63"/>
    </row>
    <row r="499" spans="3:15">
      <c r="C499"/>
      <c r="O499" s="63"/>
    </row>
    <row r="500" spans="3:15">
      <c r="C500"/>
      <c r="O500" s="63"/>
    </row>
    <row r="501" spans="3:15">
      <c r="C501"/>
      <c r="O501" s="63"/>
    </row>
    <row r="502" spans="3:15">
      <c r="C502"/>
      <c r="O502" s="63"/>
    </row>
    <row r="503" spans="3:15">
      <c r="C503"/>
      <c r="O503" s="63"/>
    </row>
    <row r="504" spans="3:15">
      <c r="C504"/>
      <c r="O504" s="63"/>
    </row>
    <row r="505" spans="3:15">
      <c r="C505"/>
      <c r="O505" s="63"/>
    </row>
    <row r="506" spans="3:15">
      <c r="C506"/>
      <c r="O506" s="63"/>
    </row>
    <row r="507" spans="3:15">
      <c r="C507"/>
      <c r="O507" s="63"/>
    </row>
    <row r="508" spans="3:15">
      <c r="C508"/>
      <c r="O508" s="63"/>
    </row>
    <row r="509" spans="3:15">
      <c r="C509"/>
      <c r="O509" s="63"/>
    </row>
    <row r="510" spans="3:15">
      <c r="C510"/>
      <c r="O510" s="63"/>
    </row>
    <row r="511" spans="3:15">
      <c r="C511"/>
      <c r="O511" s="63"/>
    </row>
    <row r="512" spans="3:15">
      <c r="C512"/>
      <c r="O512" s="63"/>
    </row>
    <row r="513" spans="3:15">
      <c r="C513"/>
      <c r="O513" s="63"/>
    </row>
    <row r="514" spans="3:15">
      <c r="C514"/>
      <c r="O514" s="63"/>
    </row>
    <row r="515" spans="3:15">
      <c r="C515"/>
      <c r="O515" s="63"/>
    </row>
    <row r="516" spans="3:15">
      <c r="C516"/>
      <c r="O516" s="63"/>
    </row>
    <row r="517" spans="3:15">
      <c r="C517"/>
      <c r="O517" s="63"/>
    </row>
    <row r="518" spans="3:15">
      <c r="C518"/>
      <c r="O518" s="63"/>
    </row>
    <row r="519" spans="3:15">
      <c r="C519"/>
      <c r="O519" s="63"/>
    </row>
    <row r="520" spans="3:15">
      <c r="C520"/>
      <c r="O520" s="63"/>
    </row>
    <row r="521" spans="3:15">
      <c r="C521"/>
      <c r="O521" s="63"/>
    </row>
    <row r="522" spans="3:15">
      <c r="C522"/>
      <c r="O522" s="63"/>
    </row>
    <row r="523" spans="3:15">
      <c r="C523"/>
      <c r="O523" s="63"/>
    </row>
    <row r="524" spans="3:15">
      <c r="C524"/>
      <c r="O524" s="63"/>
    </row>
    <row r="525" spans="3:15">
      <c r="C525"/>
      <c r="O525" s="63"/>
    </row>
    <row r="526" spans="3:15">
      <c r="C526"/>
      <c r="O526" s="63"/>
    </row>
    <row r="527" spans="3:15">
      <c r="C527"/>
      <c r="O527" s="63"/>
    </row>
    <row r="528" spans="3:15">
      <c r="C528"/>
      <c r="O528" s="63"/>
    </row>
    <row r="529" spans="3:15">
      <c r="C529"/>
      <c r="O529" s="63"/>
    </row>
    <row r="530" spans="3:15">
      <c r="C530"/>
      <c r="O530" s="63"/>
    </row>
    <row r="531" spans="3:15">
      <c r="C531"/>
      <c r="O531" s="63"/>
    </row>
    <row r="532" spans="3:15">
      <c r="C532"/>
      <c r="O532" s="63"/>
    </row>
    <row r="533" spans="3:15">
      <c r="C533"/>
      <c r="O533" s="63"/>
    </row>
    <row r="534" spans="3:15">
      <c r="C534"/>
      <c r="O534" s="63"/>
    </row>
    <row r="535" spans="3:15">
      <c r="C535"/>
      <c r="O535" s="63"/>
    </row>
    <row r="536" spans="3:15">
      <c r="C536"/>
      <c r="O536" s="63"/>
    </row>
    <row r="537" spans="3:15">
      <c r="C537"/>
      <c r="O537" s="63"/>
    </row>
    <row r="538" spans="3:15">
      <c r="C538"/>
      <c r="O538" s="63"/>
    </row>
    <row r="539" spans="3:15">
      <c r="C539"/>
      <c r="O539" s="63"/>
    </row>
    <row r="540" spans="3:15">
      <c r="C540"/>
      <c r="O540" s="63"/>
    </row>
    <row r="541" spans="3:15">
      <c r="C541"/>
      <c r="O541" s="63"/>
    </row>
    <row r="542" spans="3:15">
      <c r="C542"/>
      <c r="O542" s="63"/>
    </row>
    <row r="543" spans="3:15">
      <c r="C543"/>
      <c r="O543" s="63"/>
    </row>
    <row r="544" spans="3:15">
      <c r="C544"/>
      <c r="O544" s="63"/>
    </row>
    <row r="545" spans="3:15">
      <c r="C545"/>
      <c r="O545" s="63"/>
    </row>
    <row r="546" spans="3:15">
      <c r="C546"/>
      <c r="O546" s="63"/>
    </row>
    <row r="547" spans="3:15">
      <c r="C547"/>
      <c r="O547" s="63"/>
    </row>
    <row r="548" spans="3:15">
      <c r="C548"/>
      <c r="O548" s="63"/>
    </row>
    <row r="549" spans="3:15">
      <c r="C549"/>
      <c r="O549" s="63"/>
    </row>
    <row r="550" spans="3:15">
      <c r="C550"/>
      <c r="O550" s="63"/>
    </row>
    <row r="551" spans="3:15">
      <c r="C551"/>
      <c r="O551" s="63"/>
    </row>
    <row r="552" spans="3:15">
      <c r="C552"/>
      <c r="O552" s="63"/>
    </row>
    <row r="553" spans="3:15">
      <c r="C553"/>
      <c r="O553" s="63"/>
    </row>
    <row r="554" spans="3:15">
      <c r="C554"/>
      <c r="O554" s="63"/>
    </row>
    <row r="555" spans="3:15">
      <c r="C555"/>
      <c r="O555" s="63"/>
    </row>
    <row r="556" spans="3:15">
      <c r="C556"/>
      <c r="O556" s="63"/>
    </row>
    <row r="557" spans="3:15">
      <c r="C557"/>
      <c r="O557" s="63"/>
    </row>
    <row r="558" spans="3:15">
      <c r="C558"/>
      <c r="O558" s="63"/>
    </row>
    <row r="559" spans="3:15">
      <c r="C559"/>
      <c r="O559" s="63"/>
    </row>
    <row r="560" spans="3:15">
      <c r="C560"/>
      <c r="O560" s="63"/>
    </row>
    <row r="561" spans="3:15">
      <c r="C561"/>
      <c r="O561" s="63"/>
    </row>
    <row r="562" spans="3:15">
      <c r="C562"/>
      <c r="O562" s="63"/>
    </row>
    <row r="563" spans="3:15">
      <c r="C563"/>
      <c r="O563" s="63"/>
    </row>
    <row r="564" spans="3:15">
      <c r="C564"/>
      <c r="O564" s="63"/>
    </row>
    <row r="565" spans="3:15">
      <c r="C565"/>
      <c r="O565" s="63"/>
    </row>
    <row r="566" spans="3:15">
      <c r="C566"/>
      <c r="O566" s="63"/>
    </row>
    <row r="567" spans="3:15">
      <c r="C567"/>
      <c r="O567" s="63"/>
    </row>
    <row r="568" spans="3:15">
      <c r="C568"/>
      <c r="O568" s="63"/>
    </row>
    <row r="569" spans="3:15">
      <c r="C569"/>
      <c r="O569" s="63"/>
    </row>
    <row r="570" spans="3:15">
      <c r="C570"/>
      <c r="O570" s="63"/>
    </row>
    <row r="571" spans="3:15">
      <c r="C571"/>
      <c r="O571" s="63"/>
    </row>
    <row r="572" spans="3:15">
      <c r="C572"/>
      <c r="O572" s="63"/>
    </row>
    <row r="573" spans="3:15">
      <c r="C573"/>
      <c r="O573" s="63"/>
    </row>
    <row r="574" spans="3:15">
      <c r="C574"/>
      <c r="O574" s="63"/>
    </row>
    <row r="575" spans="3:15">
      <c r="C575"/>
      <c r="O575" s="63"/>
    </row>
    <row r="576" spans="3:15">
      <c r="C576"/>
      <c r="O576" s="63"/>
    </row>
    <row r="577" spans="3:15">
      <c r="C577"/>
      <c r="O577" s="63"/>
    </row>
    <row r="578" spans="3:15">
      <c r="C578"/>
      <c r="O578" s="63"/>
    </row>
    <row r="579" spans="3:15">
      <c r="C579"/>
      <c r="O579" s="63"/>
    </row>
    <row r="580" spans="3:15">
      <c r="C580"/>
      <c r="O580" s="63"/>
    </row>
    <row r="581" spans="3:15">
      <c r="C581"/>
      <c r="O581" s="63"/>
    </row>
    <row r="582" spans="3:15">
      <c r="C582"/>
      <c r="O582" s="63"/>
    </row>
    <row r="583" spans="3:15">
      <c r="C583"/>
      <c r="O583" s="63"/>
    </row>
    <row r="584" spans="3:15">
      <c r="C584"/>
      <c r="O584" s="63"/>
    </row>
    <row r="585" spans="3:15">
      <c r="C585"/>
      <c r="O585" s="63"/>
    </row>
    <row r="586" spans="3:15">
      <c r="C586"/>
      <c r="O586" s="63"/>
    </row>
    <row r="587" spans="3:15">
      <c r="C587"/>
      <c r="O587" s="63"/>
    </row>
    <row r="588" spans="3:15">
      <c r="C588"/>
      <c r="O588" s="63"/>
    </row>
    <row r="589" spans="3:15">
      <c r="C589"/>
      <c r="O589" s="63"/>
    </row>
    <row r="590" spans="3:15">
      <c r="C590"/>
      <c r="O590" s="63"/>
    </row>
    <row r="591" spans="3:15">
      <c r="C591"/>
      <c r="O591" s="63"/>
    </row>
    <row r="592" spans="3:15">
      <c r="C592"/>
      <c r="O592" s="63"/>
    </row>
    <row r="593" spans="3:15">
      <c r="C593"/>
      <c r="O593" s="63"/>
    </row>
    <row r="594" spans="3:15">
      <c r="C594"/>
      <c r="O594" s="63"/>
    </row>
    <row r="595" spans="3:15">
      <c r="C595"/>
      <c r="O595" s="63"/>
    </row>
    <row r="596" spans="3:15">
      <c r="C596"/>
      <c r="O596" s="63"/>
    </row>
    <row r="597" spans="3:15">
      <c r="C597"/>
      <c r="O597" s="63"/>
    </row>
    <row r="598" spans="3:15">
      <c r="C598"/>
      <c r="O598" s="63"/>
    </row>
    <row r="599" spans="3:15">
      <c r="C599"/>
      <c r="O599" s="63"/>
    </row>
    <row r="600" spans="3:15">
      <c r="C600"/>
      <c r="O600" s="63"/>
    </row>
    <row r="601" spans="3:15">
      <c r="C601"/>
      <c r="O601" s="63"/>
    </row>
    <row r="602" spans="3:15">
      <c r="C602"/>
      <c r="O602" s="63"/>
    </row>
    <row r="603" spans="3:15">
      <c r="C603"/>
      <c r="O603" s="63"/>
    </row>
    <row r="604" spans="3:15">
      <c r="C604"/>
      <c r="O604" s="63"/>
    </row>
    <row r="605" spans="3:15">
      <c r="C605"/>
      <c r="O605" s="63"/>
    </row>
    <row r="606" spans="3:15">
      <c r="C606"/>
      <c r="O606" s="63"/>
    </row>
    <row r="607" spans="3:15">
      <c r="C607"/>
      <c r="O607" s="63"/>
    </row>
    <row r="608" spans="3:15">
      <c r="C608"/>
      <c r="O608" s="63"/>
    </row>
    <row r="609" spans="3:15">
      <c r="C609"/>
      <c r="O609" s="63"/>
    </row>
    <row r="610" spans="3:15">
      <c r="C610"/>
      <c r="O610" s="63"/>
    </row>
    <row r="611" spans="3:15">
      <c r="C611"/>
      <c r="O611" s="63"/>
    </row>
    <row r="612" spans="3:15">
      <c r="C612"/>
      <c r="O612" s="63"/>
    </row>
    <row r="613" spans="3:15">
      <c r="C613"/>
      <c r="O613" s="63"/>
    </row>
    <row r="614" spans="3:15">
      <c r="C614"/>
      <c r="O614" s="63"/>
    </row>
    <row r="615" spans="3:15">
      <c r="C615"/>
      <c r="O615" s="63"/>
    </row>
    <row r="616" spans="3:15">
      <c r="C616"/>
      <c r="O616" s="63"/>
    </row>
    <row r="617" spans="3:15">
      <c r="C617"/>
      <c r="O617" s="63"/>
    </row>
    <row r="618" spans="3:15">
      <c r="C618"/>
      <c r="O618" s="63"/>
    </row>
    <row r="619" spans="3:15">
      <c r="C619"/>
      <c r="O619" s="63"/>
    </row>
    <row r="620" spans="3:15">
      <c r="C620"/>
      <c r="O620" s="63"/>
    </row>
    <row r="621" spans="3:15">
      <c r="C621"/>
      <c r="O621" s="63"/>
    </row>
    <row r="622" spans="3:15">
      <c r="C622"/>
      <c r="O622" s="63"/>
    </row>
    <row r="623" spans="3:15">
      <c r="C623"/>
      <c r="O623" s="63"/>
    </row>
    <row r="624" spans="3:15">
      <c r="C624"/>
      <c r="O624" s="63"/>
    </row>
    <row r="625" spans="3:15">
      <c r="C625"/>
      <c r="O625" s="63"/>
    </row>
    <row r="626" spans="3:15">
      <c r="C626"/>
      <c r="O626" s="63"/>
    </row>
    <row r="627" spans="3:15">
      <c r="C627"/>
      <c r="O627" s="63"/>
    </row>
    <row r="628" spans="3:15">
      <c r="C628"/>
      <c r="O628" s="63"/>
    </row>
    <row r="629" spans="3:15">
      <c r="C629"/>
      <c r="O629" s="63"/>
    </row>
    <row r="630" spans="3:15">
      <c r="C630"/>
      <c r="O630" s="63"/>
    </row>
    <row r="631" spans="3:15">
      <c r="C631"/>
      <c r="O631" s="63"/>
    </row>
    <row r="632" spans="3:15">
      <c r="C632"/>
      <c r="O632" s="63"/>
    </row>
    <row r="633" spans="3:15">
      <c r="C633"/>
      <c r="O633" s="63"/>
    </row>
    <row r="634" spans="3:15">
      <c r="C634"/>
      <c r="O634" s="63"/>
    </row>
    <row r="635" spans="3:15">
      <c r="C635"/>
      <c r="O635" s="63"/>
    </row>
    <row r="636" spans="3:15">
      <c r="C636"/>
      <c r="O636" s="63"/>
    </row>
    <row r="637" spans="3:15">
      <c r="C637"/>
      <c r="O637" s="63"/>
    </row>
    <row r="638" spans="3:15">
      <c r="C638"/>
      <c r="O638" s="63"/>
    </row>
    <row r="639" spans="3:15">
      <c r="C639"/>
      <c r="O639" s="63"/>
    </row>
    <row r="640" spans="3:15">
      <c r="C640"/>
      <c r="O640" s="63"/>
    </row>
    <row r="641" spans="3:15">
      <c r="C641"/>
      <c r="O641" s="63"/>
    </row>
    <row r="642" spans="3:15">
      <c r="C642"/>
      <c r="O642" s="63"/>
    </row>
    <row r="643" spans="3:15">
      <c r="C643"/>
      <c r="O643" s="63"/>
    </row>
    <row r="644" spans="3:15">
      <c r="C644"/>
      <c r="O644" s="63"/>
    </row>
    <row r="645" spans="3:15">
      <c r="C645"/>
      <c r="O645" s="63"/>
    </row>
    <row r="646" spans="3:15">
      <c r="C646"/>
      <c r="O646" s="63"/>
    </row>
    <row r="647" spans="3:15">
      <c r="C647"/>
      <c r="O647" s="63"/>
    </row>
    <row r="648" spans="3:15">
      <c r="C648"/>
      <c r="O648" s="63"/>
    </row>
    <row r="649" spans="3:15">
      <c r="C649"/>
      <c r="O649" s="63"/>
    </row>
    <row r="650" spans="3:15">
      <c r="C650"/>
      <c r="O650" s="63"/>
    </row>
    <row r="651" spans="3:15">
      <c r="C651"/>
      <c r="O651" s="63"/>
    </row>
    <row r="652" spans="3:15">
      <c r="C652"/>
      <c r="O652" s="63"/>
    </row>
    <row r="653" spans="3:15">
      <c r="C653"/>
      <c r="O653" s="63"/>
    </row>
    <row r="654" spans="3:15">
      <c r="C654"/>
      <c r="O654" s="63"/>
    </row>
    <row r="655" spans="3:15">
      <c r="C655"/>
      <c r="O655" s="63"/>
    </row>
    <row r="656" spans="3:15">
      <c r="C656"/>
      <c r="O656" s="63"/>
    </row>
    <row r="657" spans="3:15">
      <c r="C657"/>
      <c r="O657" s="63"/>
    </row>
    <row r="658" spans="3:15">
      <c r="C658"/>
      <c r="O658" s="63"/>
    </row>
    <row r="659" spans="3:15">
      <c r="C659"/>
      <c r="O659" s="63"/>
    </row>
    <row r="660" spans="3:15">
      <c r="C660"/>
      <c r="O660" s="63"/>
    </row>
    <row r="661" spans="3:15">
      <c r="C661"/>
      <c r="O661" s="63"/>
    </row>
    <row r="662" spans="3:15">
      <c r="C662"/>
      <c r="O662" s="63"/>
    </row>
    <row r="663" spans="3:15">
      <c r="C663"/>
      <c r="O663" s="63"/>
    </row>
    <row r="664" spans="3:15">
      <c r="C664"/>
      <c r="O664" s="63"/>
    </row>
    <row r="665" spans="3:15">
      <c r="C665"/>
      <c r="O665" s="63"/>
    </row>
    <row r="666" spans="3:15">
      <c r="C666"/>
      <c r="O666" s="63"/>
    </row>
    <row r="667" spans="3:15">
      <c r="C667"/>
      <c r="O667" s="63"/>
    </row>
    <row r="668" spans="3:15">
      <c r="C668"/>
      <c r="O668" s="63"/>
    </row>
    <row r="669" spans="3:15">
      <c r="C669"/>
      <c r="O669" s="63"/>
    </row>
    <row r="670" spans="3:15">
      <c r="C670"/>
      <c r="O670" s="63"/>
    </row>
    <row r="671" spans="3:15">
      <c r="C671"/>
      <c r="O671" s="63"/>
    </row>
    <row r="672" spans="3:15">
      <c r="C672"/>
      <c r="O672" s="63"/>
    </row>
    <row r="673" spans="3:15">
      <c r="C673"/>
      <c r="O673" s="63"/>
    </row>
    <row r="674" spans="3:15">
      <c r="C674"/>
      <c r="O674" s="63"/>
    </row>
    <row r="675" spans="3:15">
      <c r="C675"/>
      <c r="O675" s="63"/>
    </row>
    <row r="676" spans="3:15">
      <c r="C676"/>
      <c r="O676" s="63"/>
    </row>
    <row r="677" spans="3:15">
      <c r="C677"/>
      <c r="O677" s="63"/>
    </row>
    <row r="678" spans="3:15">
      <c r="C678"/>
      <c r="O678" s="63"/>
    </row>
    <row r="679" spans="3:15">
      <c r="C679"/>
      <c r="O679" s="63"/>
    </row>
    <row r="680" spans="3:15">
      <c r="C680"/>
      <c r="O680" s="63"/>
    </row>
    <row r="681" spans="3:15">
      <c r="C681"/>
      <c r="O681" s="63"/>
    </row>
    <row r="682" spans="3:15">
      <c r="C682"/>
      <c r="O682" s="63"/>
    </row>
    <row r="683" spans="3:15">
      <c r="C683"/>
      <c r="O683" s="63"/>
    </row>
    <row r="684" spans="3:15">
      <c r="C684"/>
      <c r="O684" s="63"/>
    </row>
    <row r="685" spans="3:15">
      <c r="C685"/>
      <c r="O685" s="63"/>
    </row>
    <row r="686" spans="3:15">
      <c r="C686"/>
      <c r="O686" s="63"/>
    </row>
    <row r="687" spans="3:15">
      <c r="C687"/>
      <c r="O687" s="63"/>
    </row>
    <row r="688" spans="3:15">
      <c r="C688"/>
      <c r="O688" s="63"/>
    </row>
    <row r="689" spans="3:15">
      <c r="C689"/>
      <c r="O689" s="63"/>
    </row>
    <row r="690" spans="3:15">
      <c r="C690"/>
      <c r="O690" s="63"/>
    </row>
    <row r="691" spans="3:15">
      <c r="C691"/>
      <c r="O691" s="63"/>
    </row>
    <row r="692" spans="3:15">
      <c r="C692"/>
      <c r="O692" s="63"/>
    </row>
    <row r="693" spans="3:15">
      <c r="C693"/>
      <c r="O693" s="63"/>
    </row>
    <row r="694" spans="3:15">
      <c r="C694"/>
      <c r="O694" s="63"/>
    </row>
    <row r="695" spans="3:15">
      <c r="C695"/>
      <c r="O695" s="63"/>
    </row>
    <row r="696" spans="3:15">
      <c r="C696"/>
      <c r="O696" s="63"/>
    </row>
    <row r="697" spans="3:15">
      <c r="C697"/>
      <c r="O697" s="63"/>
    </row>
    <row r="698" spans="3:15">
      <c r="C698"/>
      <c r="O698" s="63"/>
    </row>
    <row r="699" spans="3:15">
      <c r="C699"/>
      <c r="O699" s="63"/>
    </row>
    <row r="700" spans="3:15">
      <c r="C700"/>
      <c r="O700" s="63"/>
    </row>
    <row r="701" spans="3:15">
      <c r="C701"/>
      <c r="O701" s="63"/>
    </row>
    <row r="702" spans="3:15">
      <c r="C702"/>
      <c r="O702" s="63"/>
    </row>
    <row r="703" spans="3:15">
      <c r="C703"/>
      <c r="O703" s="63"/>
    </row>
    <row r="704" spans="3:15">
      <c r="C704"/>
      <c r="O704" s="63"/>
    </row>
    <row r="705" spans="3:15">
      <c r="C705"/>
      <c r="O705" s="63"/>
    </row>
    <row r="706" spans="3:15">
      <c r="C706"/>
      <c r="O706" s="63"/>
    </row>
    <row r="707" spans="3:15">
      <c r="C707"/>
      <c r="O707" s="63"/>
    </row>
    <row r="708" spans="3:15">
      <c r="C708"/>
      <c r="O708" s="63"/>
    </row>
    <row r="709" spans="3:15">
      <c r="C709"/>
      <c r="O709" s="63"/>
    </row>
    <row r="710" spans="3:15">
      <c r="C710"/>
      <c r="O710" s="63"/>
    </row>
    <row r="711" spans="3:15">
      <c r="C711"/>
      <c r="O711" s="63"/>
    </row>
    <row r="712" spans="3:15">
      <c r="C712"/>
      <c r="O712" s="63"/>
    </row>
    <row r="713" spans="3:15">
      <c r="C713"/>
      <c r="O713" s="63"/>
    </row>
    <row r="714" spans="3:15">
      <c r="C714"/>
      <c r="O714" s="63"/>
    </row>
    <row r="715" spans="3:15">
      <c r="C715"/>
      <c r="O715" s="63"/>
    </row>
    <row r="716" spans="3:15">
      <c r="C716"/>
      <c r="O716" s="63"/>
    </row>
    <row r="717" spans="3:15">
      <c r="C717"/>
      <c r="O717" s="63"/>
    </row>
    <row r="718" spans="3:15">
      <c r="C718"/>
      <c r="O718" s="63"/>
    </row>
    <row r="719" spans="3:15">
      <c r="C719"/>
      <c r="O719" s="63"/>
    </row>
    <row r="720" spans="3:15">
      <c r="C720"/>
      <c r="O720" s="63"/>
    </row>
    <row r="721" spans="3:15">
      <c r="C721"/>
      <c r="O721" s="63"/>
    </row>
    <row r="722" spans="3:15">
      <c r="C722"/>
      <c r="O722" s="63"/>
    </row>
    <row r="723" spans="3:15">
      <c r="C723"/>
      <c r="O723" s="63"/>
    </row>
    <row r="724" spans="3:15">
      <c r="C724"/>
      <c r="O724" s="63"/>
    </row>
    <row r="725" spans="3:15">
      <c r="C725"/>
      <c r="O725" s="63"/>
    </row>
    <row r="726" spans="3:15">
      <c r="C726"/>
      <c r="O726" s="63"/>
    </row>
    <row r="727" spans="3:15">
      <c r="C727"/>
      <c r="O727" s="63"/>
    </row>
    <row r="728" spans="3:15">
      <c r="C728"/>
      <c r="O728" s="63"/>
    </row>
    <row r="729" spans="3:15">
      <c r="C729"/>
      <c r="O729" s="63"/>
    </row>
    <row r="730" spans="3:15">
      <c r="C730"/>
      <c r="O730" s="63"/>
    </row>
    <row r="731" spans="3:15">
      <c r="C731"/>
      <c r="O731" s="63"/>
    </row>
    <row r="732" spans="3:15">
      <c r="C732"/>
      <c r="O732" s="63"/>
    </row>
    <row r="733" spans="3:15">
      <c r="C733"/>
      <c r="O733" s="63"/>
    </row>
    <row r="734" spans="3:15">
      <c r="C734"/>
      <c r="O734" s="63"/>
    </row>
    <row r="735" spans="3:15">
      <c r="C735"/>
      <c r="O735" s="63"/>
    </row>
    <row r="736" spans="3:15">
      <c r="C736"/>
      <c r="O736" s="63"/>
    </row>
    <row r="737" spans="3:15">
      <c r="C737"/>
      <c r="O737" s="63"/>
    </row>
    <row r="738" spans="3:15">
      <c r="C738"/>
      <c r="O738" s="63"/>
    </row>
    <row r="739" spans="3:15">
      <c r="C739"/>
      <c r="O739" s="63"/>
    </row>
    <row r="740" spans="3:15">
      <c r="C740"/>
      <c r="O740" s="63"/>
    </row>
    <row r="741" spans="3:15">
      <c r="C741"/>
      <c r="O741" s="63"/>
    </row>
    <row r="742" spans="3:15">
      <c r="C742"/>
      <c r="O742" s="63"/>
    </row>
    <row r="743" spans="3:15">
      <c r="C743"/>
      <c r="O743" s="63"/>
    </row>
    <row r="744" spans="3:15">
      <c r="C744"/>
      <c r="O744" s="63"/>
    </row>
    <row r="745" spans="3:15">
      <c r="C745"/>
      <c r="O745" s="63"/>
    </row>
    <row r="746" spans="3:15">
      <c r="C746"/>
      <c r="O746" s="63"/>
    </row>
    <row r="747" spans="3:15">
      <c r="C747"/>
      <c r="O747" s="63"/>
    </row>
    <row r="748" spans="3:15">
      <c r="C748"/>
      <c r="O748" s="63"/>
    </row>
    <row r="749" spans="3:15">
      <c r="C749"/>
      <c r="O749" s="63"/>
    </row>
    <row r="750" spans="3:15">
      <c r="C750"/>
      <c r="O750" s="63"/>
    </row>
    <row r="751" spans="3:15">
      <c r="C751"/>
      <c r="O751" s="63"/>
    </row>
    <row r="752" spans="3:15">
      <c r="C752"/>
      <c r="O752" s="63"/>
    </row>
    <row r="753" spans="3:15">
      <c r="C753"/>
      <c r="O753" s="63"/>
    </row>
    <row r="754" spans="3:15">
      <c r="C754"/>
      <c r="O754" s="63"/>
    </row>
    <row r="755" spans="3:15">
      <c r="C755"/>
      <c r="O755" s="63"/>
    </row>
    <row r="756" spans="3:15">
      <c r="C756"/>
      <c r="O756" s="63"/>
    </row>
    <row r="757" spans="3:15">
      <c r="C757"/>
      <c r="O757" s="63"/>
    </row>
    <row r="758" spans="3:15">
      <c r="C758"/>
      <c r="O758" s="63"/>
    </row>
    <row r="759" spans="3:15">
      <c r="C759"/>
      <c r="O759" s="63"/>
    </row>
    <row r="760" spans="3:15">
      <c r="C760"/>
      <c r="O760" s="63"/>
    </row>
    <row r="761" spans="3:15">
      <c r="C761"/>
      <c r="O761" s="63"/>
    </row>
    <row r="762" spans="3:15">
      <c r="C762"/>
      <c r="O762" s="63"/>
    </row>
    <row r="763" spans="3:15">
      <c r="C763"/>
      <c r="O763" s="63"/>
    </row>
    <row r="764" spans="3:15">
      <c r="C764"/>
      <c r="O764" s="63"/>
    </row>
    <row r="765" spans="3:15">
      <c r="C765"/>
      <c r="O765" s="63"/>
    </row>
    <row r="766" spans="3:15">
      <c r="C766"/>
      <c r="O766" s="63"/>
    </row>
    <row r="767" spans="3:15">
      <c r="C767"/>
      <c r="O767" s="63"/>
    </row>
    <row r="768" spans="3:15">
      <c r="C768"/>
      <c r="O768" s="63"/>
    </row>
    <row r="769" spans="3:15">
      <c r="C769"/>
      <c r="O769" s="63"/>
    </row>
    <row r="770" spans="3:15">
      <c r="C770"/>
      <c r="O770" s="63"/>
    </row>
    <row r="771" spans="3:15">
      <c r="C771"/>
      <c r="O771" s="63"/>
    </row>
    <row r="772" spans="3:15">
      <c r="C772"/>
      <c r="O772" s="63"/>
    </row>
    <row r="773" spans="3:15">
      <c r="C773"/>
      <c r="O773" s="63"/>
    </row>
    <row r="774" spans="3:15">
      <c r="C774"/>
      <c r="O774" s="63"/>
    </row>
    <row r="775" spans="3:15">
      <c r="C775"/>
      <c r="O775" s="63"/>
    </row>
    <row r="776" spans="3:15">
      <c r="C776"/>
      <c r="O776" s="63"/>
    </row>
    <row r="777" spans="3:15">
      <c r="C777"/>
      <c r="O777" s="63"/>
    </row>
    <row r="778" spans="3:15">
      <c r="C778"/>
      <c r="O778" s="63"/>
    </row>
    <row r="779" spans="3:15">
      <c r="C779"/>
      <c r="O779" s="63"/>
    </row>
    <row r="780" spans="3:15">
      <c r="C780"/>
      <c r="O780" s="63"/>
    </row>
    <row r="781" spans="3:15">
      <c r="C781"/>
      <c r="O781" s="63"/>
    </row>
    <row r="782" spans="3:15">
      <c r="C782"/>
      <c r="O782" s="63"/>
    </row>
    <row r="783" spans="3:15">
      <c r="C783"/>
      <c r="O783" s="63"/>
    </row>
    <row r="784" spans="3:15">
      <c r="C784"/>
      <c r="O784" s="63"/>
    </row>
    <row r="785" spans="3:15">
      <c r="C785"/>
      <c r="O785" s="63"/>
    </row>
    <row r="786" spans="3:15">
      <c r="C786"/>
      <c r="O786" s="63"/>
    </row>
    <row r="787" spans="3:15">
      <c r="C787"/>
      <c r="O787" s="63"/>
    </row>
    <row r="788" spans="3:15">
      <c r="C788"/>
      <c r="O788" s="63"/>
    </row>
    <row r="789" spans="3:15">
      <c r="C789"/>
      <c r="O789" s="63"/>
    </row>
    <row r="790" spans="3:15">
      <c r="C790"/>
      <c r="O790" s="63"/>
    </row>
    <row r="791" spans="3:15">
      <c r="C791"/>
      <c r="O791" s="63"/>
    </row>
    <row r="792" spans="3:15">
      <c r="C792"/>
      <c r="O792" s="63"/>
    </row>
    <row r="793" spans="3:15">
      <c r="C793"/>
      <c r="O793" s="63"/>
    </row>
    <row r="794" spans="3:15">
      <c r="C794"/>
      <c r="O794" s="63"/>
    </row>
    <row r="795" spans="3:15">
      <c r="C795"/>
      <c r="O795" s="63"/>
    </row>
    <row r="796" spans="3:15">
      <c r="C796"/>
      <c r="O796" s="63"/>
    </row>
    <row r="797" spans="3:15">
      <c r="C797"/>
      <c r="O797" s="63"/>
    </row>
    <row r="798" spans="3:15">
      <c r="C798"/>
      <c r="O798" s="63"/>
    </row>
    <row r="799" spans="3:15">
      <c r="C799"/>
      <c r="O799" s="63"/>
    </row>
    <row r="800" spans="3:15">
      <c r="C800"/>
      <c r="O800" s="63"/>
    </row>
    <row r="801" spans="3:15">
      <c r="C801"/>
      <c r="O801" s="63"/>
    </row>
    <row r="802" spans="3:15">
      <c r="C802"/>
      <c r="O802" s="63"/>
    </row>
    <row r="803" spans="3:15">
      <c r="C803"/>
      <c r="O803" s="63"/>
    </row>
    <row r="804" spans="3:15">
      <c r="C804"/>
      <c r="O804" s="63"/>
    </row>
    <row r="805" spans="3:15">
      <c r="C805"/>
      <c r="O805" s="63"/>
    </row>
    <row r="806" spans="3:15">
      <c r="C806"/>
      <c r="O806" s="63"/>
    </row>
    <row r="807" spans="3:15">
      <c r="C807"/>
      <c r="O807" s="63"/>
    </row>
    <row r="808" spans="3:15">
      <c r="C808"/>
      <c r="O808" s="63"/>
    </row>
    <row r="809" spans="3:15">
      <c r="C809"/>
      <c r="O809" s="63"/>
    </row>
    <row r="810" spans="3:15">
      <c r="C810"/>
      <c r="O810" s="63"/>
    </row>
    <row r="811" spans="3:15">
      <c r="C811"/>
      <c r="O811" s="63"/>
    </row>
    <row r="812" spans="3:15">
      <c r="C812"/>
      <c r="O812" s="63"/>
    </row>
    <row r="813" spans="3:15">
      <c r="C813"/>
      <c r="O813" s="63"/>
    </row>
    <row r="814" spans="3:15">
      <c r="C814"/>
      <c r="O814" s="63"/>
    </row>
    <row r="815" spans="3:15">
      <c r="C815"/>
      <c r="O815" s="63"/>
    </row>
    <row r="816" spans="3:15">
      <c r="C816"/>
      <c r="O816" s="63"/>
    </row>
    <row r="817" spans="3:15">
      <c r="C817"/>
      <c r="O817" s="63"/>
    </row>
    <row r="818" spans="3:15">
      <c r="C818"/>
      <c r="O818" s="63"/>
    </row>
    <row r="819" spans="3:15">
      <c r="C819"/>
      <c r="O819" s="63"/>
    </row>
    <row r="820" spans="3:15">
      <c r="C820"/>
      <c r="O820" s="63"/>
    </row>
    <row r="821" spans="3:15">
      <c r="C821"/>
      <c r="O821" s="63"/>
    </row>
    <row r="822" spans="3:15">
      <c r="C822"/>
      <c r="O822" s="63"/>
    </row>
    <row r="823" spans="3:15">
      <c r="C823"/>
      <c r="O823" s="63"/>
    </row>
    <row r="824" spans="3:15">
      <c r="C824"/>
      <c r="O824" s="63"/>
    </row>
    <row r="825" spans="3:15">
      <c r="C825"/>
      <c r="O825" s="63"/>
    </row>
    <row r="826" spans="3:15">
      <c r="C826"/>
      <c r="O826" s="63"/>
    </row>
    <row r="827" spans="3:15">
      <c r="C827"/>
      <c r="O827" s="63"/>
    </row>
    <row r="828" spans="3:15">
      <c r="C828"/>
      <c r="O828" s="63"/>
    </row>
    <row r="829" spans="3:15">
      <c r="C829"/>
      <c r="O829" s="63"/>
    </row>
    <row r="830" spans="3:15">
      <c r="C830"/>
      <c r="O830" s="63"/>
    </row>
    <row r="831" spans="3:15">
      <c r="C831"/>
      <c r="O831" s="63"/>
    </row>
    <row r="832" spans="3:15">
      <c r="C832"/>
      <c r="O832" s="63"/>
    </row>
    <row r="833" spans="3:15">
      <c r="C833"/>
      <c r="O833" s="63"/>
    </row>
    <row r="834" spans="3:15">
      <c r="C834"/>
      <c r="O834" s="63"/>
    </row>
    <row r="835" spans="3:15">
      <c r="C835"/>
      <c r="O835" s="63"/>
    </row>
    <row r="836" spans="3:15">
      <c r="C836"/>
      <c r="O836" s="63"/>
    </row>
    <row r="837" spans="3:15">
      <c r="C837"/>
      <c r="O837" s="63"/>
    </row>
    <row r="838" spans="3:15">
      <c r="C838"/>
      <c r="O838" s="63"/>
    </row>
    <row r="839" spans="3:15">
      <c r="C839"/>
      <c r="O839" s="63"/>
    </row>
    <row r="840" spans="3:15">
      <c r="C840"/>
      <c r="O840" s="63"/>
    </row>
    <row r="841" spans="3:15">
      <c r="C841"/>
      <c r="O841" s="63"/>
    </row>
    <row r="842" spans="3:15">
      <c r="C842"/>
      <c r="O842" s="63"/>
    </row>
    <row r="843" spans="3:15">
      <c r="C843"/>
      <c r="O843" s="63"/>
    </row>
    <row r="844" spans="3:15">
      <c r="C844"/>
      <c r="O844" s="63"/>
    </row>
    <row r="845" spans="3:15">
      <c r="C845"/>
      <c r="O845" s="63"/>
    </row>
    <row r="846" spans="3:15">
      <c r="C846"/>
      <c r="O846" s="63"/>
    </row>
    <row r="847" spans="3:15">
      <c r="C847"/>
      <c r="O847" s="63"/>
    </row>
    <row r="848" spans="3:15">
      <c r="C848"/>
      <c r="O848" s="63"/>
    </row>
    <row r="849" spans="3:15">
      <c r="C849"/>
      <c r="O849" s="63"/>
    </row>
    <row r="850" spans="3:15">
      <c r="C850"/>
      <c r="O850" s="63"/>
    </row>
    <row r="851" spans="3:15">
      <c r="C851"/>
      <c r="O851" s="63"/>
    </row>
    <row r="852" spans="3:15">
      <c r="C852"/>
      <c r="O852" s="63"/>
    </row>
    <row r="853" spans="3:15">
      <c r="C853"/>
      <c r="O853" s="63"/>
    </row>
    <row r="854" spans="3:15">
      <c r="C854"/>
      <c r="O854" s="63"/>
    </row>
    <row r="855" spans="3:15">
      <c r="C855"/>
      <c r="O855" s="63"/>
    </row>
    <row r="856" spans="3:15">
      <c r="C856"/>
      <c r="O856" s="63"/>
    </row>
    <row r="857" spans="3:15">
      <c r="C857"/>
      <c r="O857" s="63"/>
    </row>
    <row r="858" spans="3:15">
      <c r="C858"/>
      <c r="O858" s="63"/>
    </row>
    <row r="859" spans="3:15">
      <c r="C859"/>
      <c r="O859" s="63"/>
    </row>
    <row r="860" spans="3:15">
      <c r="C860"/>
      <c r="O860" s="63"/>
    </row>
    <row r="861" spans="3:15">
      <c r="C861"/>
      <c r="O861" s="63"/>
    </row>
    <row r="862" spans="3:15">
      <c r="C862"/>
      <c r="O862" s="63"/>
    </row>
    <row r="863" spans="3:15">
      <c r="C863"/>
      <c r="O863" s="63"/>
    </row>
    <row r="864" spans="3:15">
      <c r="C864"/>
      <c r="O864" s="63"/>
    </row>
    <row r="865" spans="3:15">
      <c r="C865"/>
      <c r="O865" s="63"/>
    </row>
    <row r="866" spans="3:15">
      <c r="C866"/>
      <c r="O866" s="63"/>
    </row>
    <row r="867" spans="3:15">
      <c r="C867"/>
      <c r="O867" s="63"/>
    </row>
    <row r="868" spans="3:15">
      <c r="C868"/>
      <c r="O868" s="63"/>
    </row>
    <row r="869" spans="3:15">
      <c r="C869"/>
      <c r="O869" s="63"/>
    </row>
    <row r="870" spans="3:15">
      <c r="C870"/>
      <c r="O870" s="63"/>
    </row>
    <row r="871" spans="3:15">
      <c r="C871"/>
      <c r="O871" s="63"/>
    </row>
    <row r="872" spans="3:15">
      <c r="C872"/>
      <c r="O872" s="63"/>
    </row>
    <row r="873" spans="3:15">
      <c r="C873"/>
      <c r="O873" s="63"/>
    </row>
    <row r="874" spans="3:15">
      <c r="C874"/>
      <c r="O874" s="63"/>
    </row>
    <row r="875" spans="3:15">
      <c r="C875"/>
      <c r="O875" s="63"/>
    </row>
    <row r="876" spans="3:15">
      <c r="C876"/>
      <c r="O876" s="63"/>
    </row>
    <row r="877" spans="3:15">
      <c r="C877"/>
      <c r="O877" s="63"/>
    </row>
    <row r="878" spans="3:15">
      <c r="C878"/>
      <c r="O878" s="63"/>
    </row>
    <row r="879" spans="3:15">
      <c r="C879"/>
      <c r="O879" s="63"/>
    </row>
    <row r="880" spans="3:15">
      <c r="C880"/>
      <c r="O880" s="63"/>
    </row>
    <row r="881" spans="3:15">
      <c r="C881"/>
      <c r="O881" s="63"/>
    </row>
    <row r="882" spans="3:15">
      <c r="C882"/>
      <c r="O882" s="63"/>
    </row>
    <row r="883" spans="3:15">
      <c r="C883"/>
      <c r="O883" s="63"/>
    </row>
    <row r="884" spans="3:15">
      <c r="C884"/>
      <c r="O884" s="63"/>
    </row>
    <row r="885" spans="3:15">
      <c r="C885"/>
      <c r="O885" s="63"/>
    </row>
    <row r="886" spans="3:15">
      <c r="C886"/>
      <c r="O886" s="63"/>
    </row>
    <row r="887" spans="3:15">
      <c r="C887"/>
      <c r="O887" s="63"/>
    </row>
    <row r="888" spans="3:15">
      <c r="C888"/>
      <c r="O888" s="63"/>
    </row>
    <row r="889" spans="3:15">
      <c r="C889"/>
      <c r="O889" s="63"/>
    </row>
    <row r="890" spans="3:15">
      <c r="C890"/>
      <c r="O890" s="63"/>
    </row>
    <row r="891" spans="3:15">
      <c r="C891"/>
      <c r="O891" s="63"/>
    </row>
    <row r="892" spans="3:15">
      <c r="C892"/>
      <c r="O892" s="63"/>
    </row>
    <row r="893" spans="3:15">
      <c r="C893"/>
      <c r="O893" s="63"/>
    </row>
    <row r="894" spans="3:15">
      <c r="C894"/>
      <c r="O894" s="63"/>
    </row>
    <row r="895" spans="3:15">
      <c r="C895"/>
      <c r="O895" s="63"/>
    </row>
    <row r="896" spans="3:15">
      <c r="C896"/>
      <c r="O896" s="63"/>
    </row>
    <row r="897" spans="3:15">
      <c r="C897"/>
      <c r="O897" s="63"/>
    </row>
    <row r="898" spans="3:15">
      <c r="C898"/>
      <c r="O898" s="63"/>
    </row>
    <row r="899" spans="3:15">
      <c r="C899"/>
      <c r="O899" s="63"/>
    </row>
    <row r="900" spans="3:15">
      <c r="C900"/>
      <c r="O900" s="63"/>
    </row>
    <row r="901" spans="3:15">
      <c r="C901"/>
      <c r="O901" s="63"/>
    </row>
    <row r="902" spans="3:15">
      <c r="C902"/>
      <c r="O902" s="63"/>
    </row>
    <row r="903" spans="3:15">
      <c r="C903"/>
      <c r="O903" s="63"/>
    </row>
    <row r="904" spans="3:15">
      <c r="C904"/>
      <c r="O904" s="63"/>
    </row>
    <row r="905" spans="3:15">
      <c r="C905"/>
      <c r="O905" s="63"/>
    </row>
    <row r="906" spans="3:15">
      <c r="C906"/>
      <c r="O906" s="63"/>
    </row>
    <row r="907" spans="3:15">
      <c r="C907"/>
      <c r="O907" s="63"/>
    </row>
    <row r="908" spans="3:15">
      <c r="C908"/>
      <c r="O908" s="63"/>
    </row>
    <row r="909" spans="3:15">
      <c r="C909"/>
      <c r="O909" s="63"/>
    </row>
    <row r="910" spans="3:15">
      <c r="C910"/>
      <c r="O910" s="63"/>
    </row>
    <row r="911" spans="3:15">
      <c r="C911"/>
      <c r="O911" s="63"/>
    </row>
    <row r="912" spans="3:15">
      <c r="C912"/>
      <c r="O912" s="63"/>
    </row>
    <row r="913" spans="3:15">
      <c r="C913"/>
      <c r="O913" s="63"/>
    </row>
    <row r="914" spans="3:15">
      <c r="C914"/>
      <c r="O914" s="63"/>
    </row>
    <row r="915" spans="3:15">
      <c r="C915"/>
      <c r="O915" s="63"/>
    </row>
    <row r="916" spans="3:15">
      <c r="C916"/>
      <c r="O916" s="63"/>
    </row>
    <row r="917" spans="3:15">
      <c r="C917"/>
      <c r="O917" s="63"/>
    </row>
    <row r="918" spans="3:15">
      <c r="C918"/>
      <c r="O918" s="63"/>
    </row>
    <row r="919" spans="3:15">
      <c r="C919"/>
      <c r="O919" s="63"/>
    </row>
    <row r="920" spans="3:15">
      <c r="C920"/>
      <c r="O920" s="63"/>
    </row>
    <row r="921" spans="3:15">
      <c r="C921"/>
      <c r="O921" s="63"/>
    </row>
    <row r="922" spans="3:15">
      <c r="C922"/>
      <c r="O922" s="63"/>
    </row>
    <row r="923" spans="3:15">
      <c r="C923"/>
      <c r="O923" s="63"/>
    </row>
    <row r="924" spans="3:15">
      <c r="C924"/>
      <c r="O924" s="63"/>
    </row>
    <row r="925" spans="3:15">
      <c r="C925"/>
      <c r="O925" s="63"/>
    </row>
    <row r="926" spans="3:15">
      <c r="C926"/>
      <c r="O926" s="63"/>
    </row>
    <row r="927" spans="3:15">
      <c r="C927"/>
      <c r="O927" s="63"/>
    </row>
    <row r="928" spans="3:15">
      <c r="C928"/>
      <c r="O928" s="63"/>
    </row>
    <row r="929" spans="3:15">
      <c r="C929"/>
      <c r="O929" s="63"/>
    </row>
    <row r="930" spans="3:15">
      <c r="C930"/>
      <c r="O930" s="63"/>
    </row>
    <row r="931" spans="3:15">
      <c r="C931"/>
      <c r="O931" s="63"/>
    </row>
    <row r="932" spans="3:15">
      <c r="C932"/>
      <c r="O932" s="63"/>
    </row>
    <row r="933" spans="3:15">
      <c r="C933"/>
      <c r="O933" s="63"/>
    </row>
    <row r="934" spans="3:15">
      <c r="C934"/>
      <c r="O934" s="63"/>
    </row>
    <row r="935" spans="3:15">
      <c r="C935"/>
      <c r="O935" s="63"/>
    </row>
    <row r="936" spans="3:15">
      <c r="C936"/>
      <c r="O936" s="63"/>
    </row>
    <row r="937" spans="3:15">
      <c r="C937"/>
      <c r="O937" s="63"/>
    </row>
    <row r="938" spans="3:15">
      <c r="C938"/>
      <c r="O938" s="63"/>
    </row>
    <row r="939" spans="3:15">
      <c r="C939"/>
      <c r="O939" s="63"/>
    </row>
    <row r="940" spans="3:15">
      <c r="C940"/>
      <c r="O940" s="63"/>
    </row>
    <row r="941" spans="3:15">
      <c r="C941"/>
      <c r="O941" s="63"/>
    </row>
    <row r="942" spans="3:15">
      <c r="C942"/>
      <c r="O942" s="63"/>
    </row>
    <row r="943" spans="3:15">
      <c r="C943"/>
      <c r="O943" s="63"/>
    </row>
    <row r="944" spans="3:15">
      <c r="C944"/>
      <c r="O944" s="63"/>
    </row>
    <row r="945" spans="3:15">
      <c r="C945"/>
      <c r="O945" s="63"/>
    </row>
    <row r="946" spans="3:15">
      <c r="C946"/>
      <c r="O946" s="63"/>
    </row>
    <row r="947" spans="3:15">
      <c r="C947"/>
      <c r="O947" s="63"/>
    </row>
    <row r="948" spans="3:15">
      <c r="C948"/>
      <c r="O948" s="63"/>
    </row>
    <row r="949" spans="3:15">
      <c r="C949"/>
      <c r="O949" s="63"/>
    </row>
    <row r="950" spans="3:15">
      <c r="C950"/>
      <c r="O950" s="63"/>
    </row>
    <row r="951" spans="3:15">
      <c r="C951"/>
      <c r="O951" s="63"/>
    </row>
    <row r="952" spans="3:15">
      <c r="C952"/>
      <c r="O952" s="63"/>
    </row>
    <row r="953" spans="3:15">
      <c r="C953"/>
      <c r="O953" s="63"/>
    </row>
    <row r="954" spans="3:15">
      <c r="C954"/>
      <c r="O954" s="63"/>
    </row>
    <row r="955" spans="3:15">
      <c r="C955"/>
      <c r="O955" s="63"/>
    </row>
    <row r="956" spans="3:15">
      <c r="C956"/>
      <c r="O956" s="63"/>
    </row>
    <row r="957" spans="3:15">
      <c r="C957"/>
      <c r="O957" s="63"/>
    </row>
    <row r="958" spans="3:15">
      <c r="C958"/>
      <c r="O958" s="63"/>
    </row>
    <row r="959" spans="3:15">
      <c r="C959"/>
      <c r="O959" s="63"/>
    </row>
    <row r="960" spans="3:15">
      <c r="C960"/>
      <c r="O960" s="63"/>
    </row>
    <row r="961" spans="3:15">
      <c r="C961"/>
      <c r="O961" s="63"/>
    </row>
    <row r="962" spans="3:15">
      <c r="C962"/>
      <c r="O962" s="63"/>
    </row>
    <row r="963" spans="3:15">
      <c r="C963"/>
      <c r="O963" s="63"/>
    </row>
    <row r="964" spans="3:15">
      <c r="C964"/>
      <c r="O964" s="63"/>
    </row>
    <row r="965" spans="3:15">
      <c r="C965"/>
      <c r="O965" s="63"/>
    </row>
    <row r="966" spans="3:15">
      <c r="C966"/>
      <c r="O966" s="63"/>
    </row>
    <row r="967" spans="3:15">
      <c r="C967"/>
      <c r="O967" s="63"/>
    </row>
    <row r="968" spans="3:15">
      <c r="C968"/>
      <c r="O968" s="63"/>
    </row>
    <row r="969" spans="3:15">
      <c r="C969"/>
      <c r="O969" s="63"/>
    </row>
    <row r="970" spans="3:15">
      <c r="C970"/>
      <c r="O970" s="63"/>
    </row>
    <row r="971" spans="3:15">
      <c r="C971"/>
      <c r="O971" s="63"/>
    </row>
    <row r="972" spans="3:15">
      <c r="C972"/>
      <c r="O972" s="63"/>
    </row>
    <row r="973" spans="3:15">
      <c r="C973"/>
      <c r="O973" s="63"/>
    </row>
    <row r="974" spans="3:15">
      <c r="C974"/>
      <c r="O974" s="63"/>
    </row>
    <row r="975" spans="3:15">
      <c r="C975"/>
      <c r="O975" s="63"/>
    </row>
    <row r="976" spans="3:15">
      <c r="C976"/>
      <c r="O976" s="63"/>
    </row>
    <row r="977" spans="3:15">
      <c r="C977"/>
      <c r="O977" s="63"/>
    </row>
    <row r="978" spans="3:15">
      <c r="C978"/>
      <c r="O978" s="63"/>
    </row>
    <row r="979" spans="3:15">
      <c r="C979"/>
      <c r="O979" s="63"/>
    </row>
    <row r="980" spans="3:15">
      <c r="C980"/>
      <c r="O980" s="63"/>
    </row>
    <row r="981" spans="3:15">
      <c r="C981"/>
      <c r="O981" s="63"/>
    </row>
    <row r="982" spans="3:15">
      <c r="C982"/>
      <c r="O982" s="63"/>
    </row>
    <row r="983" spans="3:15">
      <c r="C983"/>
      <c r="O983" s="63"/>
    </row>
    <row r="984" spans="3:15">
      <c r="C984"/>
      <c r="O984" s="63"/>
    </row>
    <row r="985" spans="3:15">
      <c r="C985"/>
      <c r="O985" s="63"/>
    </row>
    <row r="986" spans="3:15">
      <c r="C986"/>
      <c r="O986" s="63"/>
    </row>
    <row r="987" spans="3:15">
      <c r="C987"/>
      <c r="O987" s="63"/>
    </row>
    <row r="988" spans="3:15">
      <c r="C988"/>
      <c r="O988" s="63"/>
    </row>
    <row r="989" spans="3:15">
      <c r="C989"/>
      <c r="O989" s="63"/>
    </row>
    <row r="990" spans="3:15">
      <c r="C990"/>
      <c r="O990" s="63"/>
    </row>
    <row r="991" spans="3:15">
      <c r="C991"/>
      <c r="O991" s="63"/>
    </row>
    <row r="992" spans="3:15">
      <c r="C992"/>
      <c r="O992" s="63"/>
    </row>
    <row r="993" spans="3:15">
      <c r="C993"/>
      <c r="O993" s="63"/>
    </row>
    <row r="994" spans="3:15">
      <c r="C994"/>
      <c r="O994" s="63"/>
    </row>
    <row r="995" spans="3:15">
      <c r="C995"/>
      <c r="O995" s="63"/>
    </row>
    <row r="996" spans="3:15">
      <c r="C996"/>
      <c r="O996" s="63"/>
    </row>
    <row r="997" spans="3:15">
      <c r="C997"/>
      <c r="O997" s="63"/>
    </row>
    <row r="998" spans="3:15">
      <c r="C998"/>
      <c r="O998" s="63"/>
    </row>
    <row r="999" spans="3:15">
      <c r="C999"/>
      <c r="O999" s="63"/>
    </row>
    <row r="1000" spans="3:15">
      <c r="C1000"/>
      <c r="O1000" s="63"/>
    </row>
    <row r="1001" spans="3:15">
      <c r="C1001"/>
      <c r="O1001" s="63"/>
    </row>
    <row r="1002" spans="3:15">
      <c r="C1002"/>
      <c r="O1002" s="63"/>
    </row>
    <row r="1003" spans="3:15">
      <c r="C1003"/>
      <c r="O1003" s="63"/>
    </row>
    <row r="1004" spans="3:15">
      <c r="C1004"/>
      <c r="O1004" s="63"/>
    </row>
    <row r="1005" spans="3:15">
      <c r="C1005"/>
      <c r="O1005" s="63"/>
    </row>
    <row r="1006" spans="3:15">
      <c r="C1006"/>
      <c r="O1006" s="63"/>
    </row>
    <row r="1007" spans="3:15">
      <c r="C1007"/>
      <c r="O1007" s="63"/>
    </row>
    <row r="1008" spans="3:15">
      <c r="C1008"/>
      <c r="O1008" s="63"/>
    </row>
    <row r="1009" spans="3:15">
      <c r="C1009"/>
      <c r="O1009" s="63"/>
    </row>
    <row r="1010" spans="3:15">
      <c r="C1010"/>
      <c r="O1010" s="63"/>
    </row>
    <row r="1011" spans="3:15">
      <c r="C1011"/>
      <c r="O1011" s="63"/>
    </row>
    <row r="1012" spans="3:15">
      <c r="C1012"/>
      <c r="O1012" s="63"/>
    </row>
    <row r="1013" spans="3:15">
      <c r="C1013"/>
      <c r="O1013" s="63"/>
    </row>
    <row r="1014" spans="3:15">
      <c r="C1014"/>
      <c r="O1014" s="63"/>
    </row>
    <row r="1015" spans="3:15">
      <c r="C1015"/>
      <c r="O1015" s="63"/>
    </row>
    <row r="1016" spans="3:15">
      <c r="C1016"/>
      <c r="O1016" s="63"/>
    </row>
    <row r="1017" spans="3:15">
      <c r="C1017"/>
      <c r="O1017" s="63"/>
    </row>
    <row r="1018" spans="3:15">
      <c r="C1018"/>
      <c r="O1018" s="63"/>
    </row>
    <row r="1019" spans="3:15">
      <c r="C1019"/>
      <c r="O1019" s="63"/>
    </row>
    <row r="1020" spans="3:15">
      <c r="C1020"/>
      <c r="O1020" s="63"/>
    </row>
    <row r="1021" spans="3:15">
      <c r="C1021"/>
      <c r="O1021" s="63"/>
    </row>
    <row r="1022" spans="3:15">
      <c r="C1022"/>
      <c r="O1022" s="63"/>
    </row>
    <row r="1023" spans="3:15">
      <c r="C1023"/>
      <c r="O1023" s="63"/>
    </row>
    <row r="1024" spans="3:15">
      <c r="C1024"/>
      <c r="O1024" s="63"/>
    </row>
    <row r="1025" spans="3:15">
      <c r="C1025"/>
      <c r="O1025" s="63"/>
    </row>
    <row r="1026" spans="3:15">
      <c r="C1026"/>
      <c r="O1026" s="63"/>
    </row>
    <row r="1027" spans="3:15">
      <c r="C1027"/>
      <c r="O1027" s="63"/>
    </row>
    <row r="1028" spans="3:15">
      <c r="C1028"/>
      <c r="O1028" s="63"/>
    </row>
    <row r="1029" spans="3:15">
      <c r="C1029"/>
      <c r="O1029" s="63"/>
    </row>
    <row r="1030" spans="3:15">
      <c r="C1030"/>
      <c r="O1030" s="63"/>
    </row>
    <row r="1031" spans="3:15">
      <c r="C1031"/>
      <c r="O1031" s="63"/>
    </row>
    <row r="1032" spans="3:15">
      <c r="C1032"/>
      <c r="O1032" s="63"/>
    </row>
    <row r="1033" spans="3:15">
      <c r="C1033"/>
      <c r="O1033" s="63"/>
    </row>
    <row r="1034" spans="3:15">
      <c r="C1034"/>
      <c r="O1034" s="63"/>
    </row>
    <row r="1035" spans="3:15">
      <c r="C1035"/>
      <c r="O1035" s="63"/>
    </row>
    <row r="1036" spans="3:15">
      <c r="C1036"/>
      <c r="O1036" s="63"/>
    </row>
    <row r="1037" spans="3:15">
      <c r="C1037"/>
      <c r="O1037" s="63"/>
    </row>
    <row r="1038" spans="3:15">
      <c r="C1038"/>
      <c r="O1038" s="63"/>
    </row>
    <row r="1039" spans="3:15">
      <c r="C1039"/>
      <c r="O1039" s="63"/>
    </row>
    <row r="1040" spans="3:15">
      <c r="C1040"/>
      <c r="O1040" s="63"/>
    </row>
    <row r="1041" spans="3:15">
      <c r="C1041"/>
      <c r="O1041" s="63"/>
    </row>
    <row r="1042" spans="3:15">
      <c r="C1042"/>
      <c r="O1042" s="63"/>
    </row>
    <row r="1043" spans="3:15">
      <c r="C1043"/>
      <c r="O1043" s="63"/>
    </row>
    <row r="1044" spans="3:15">
      <c r="C1044"/>
      <c r="O1044" s="63"/>
    </row>
    <row r="1045" spans="3:15">
      <c r="C1045"/>
      <c r="O1045" s="63"/>
    </row>
    <row r="1046" spans="3:15">
      <c r="C1046"/>
      <c r="O1046" s="63"/>
    </row>
    <row r="1047" spans="3:15">
      <c r="C1047"/>
      <c r="O1047" s="63"/>
    </row>
    <row r="1048" spans="3:15">
      <c r="C1048"/>
      <c r="O1048" s="63"/>
    </row>
    <row r="1049" spans="3:15">
      <c r="C1049"/>
      <c r="O1049" s="63"/>
    </row>
    <row r="1050" spans="3:15">
      <c r="C1050"/>
      <c r="O1050" s="63"/>
    </row>
    <row r="1051" spans="3:15">
      <c r="C1051"/>
      <c r="O1051" s="63"/>
    </row>
    <row r="1052" spans="3:15">
      <c r="C1052"/>
      <c r="O1052" s="63"/>
    </row>
    <row r="1053" spans="3:15">
      <c r="C1053"/>
      <c r="O1053" s="63"/>
    </row>
    <row r="1054" spans="3:15">
      <c r="C1054"/>
      <c r="O1054" s="63"/>
    </row>
    <row r="1055" spans="3:15">
      <c r="C1055"/>
      <c r="O1055" s="63"/>
    </row>
    <row r="1056" spans="3:15">
      <c r="C1056"/>
      <c r="O1056" s="63"/>
    </row>
    <row r="1057" spans="3:15">
      <c r="C1057"/>
      <c r="O1057" s="63"/>
    </row>
    <row r="1058" spans="3:15">
      <c r="C1058"/>
      <c r="O1058" s="63"/>
    </row>
    <row r="1059" spans="3:15">
      <c r="C1059"/>
      <c r="O1059" s="63"/>
    </row>
    <row r="1060" spans="3:15">
      <c r="C1060"/>
      <c r="O1060" s="63"/>
    </row>
    <row r="1061" spans="3:15">
      <c r="C1061"/>
      <c r="O1061" s="63"/>
    </row>
    <row r="1062" spans="3:15">
      <c r="C1062"/>
      <c r="O1062" s="63"/>
    </row>
    <row r="1063" spans="3:15">
      <c r="C1063"/>
      <c r="O1063" s="63"/>
    </row>
    <row r="1064" spans="3:15">
      <c r="C1064"/>
      <c r="O1064" s="63"/>
    </row>
    <row r="1065" spans="3:15">
      <c r="C1065"/>
      <c r="O1065" s="63"/>
    </row>
    <row r="1066" spans="3:15">
      <c r="C1066"/>
      <c r="O1066" s="63"/>
    </row>
    <row r="1067" spans="3:15">
      <c r="C1067"/>
      <c r="O1067" s="63"/>
    </row>
    <row r="1068" spans="3:15">
      <c r="C1068"/>
      <c r="O1068" s="63"/>
    </row>
    <row r="1069" spans="3:15">
      <c r="C1069"/>
    </row>
    <row r="1070" spans="3:15">
      <c r="C1070"/>
    </row>
    <row r="1071" spans="3:15">
      <c r="C1071"/>
    </row>
    <row r="1072" spans="3:15">
      <c r="C1072"/>
    </row>
    <row r="1073" spans="3:3">
      <c r="C1073"/>
    </row>
    <row r="1074" spans="3:3">
      <c r="C1074"/>
    </row>
    <row r="1075" spans="3:3">
      <c r="C1075"/>
    </row>
    <row r="1076" spans="3:3">
      <c r="C1076"/>
    </row>
    <row r="1089" spans="3:3">
      <c r="C1089"/>
    </row>
    <row r="1090" spans="3:3">
      <c r="C1090"/>
    </row>
    <row r="1091" spans="3:3">
      <c r="C1091"/>
    </row>
    <row r="1092" spans="3:3">
      <c r="C1092"/>
    </row>
    <row r="1093" spans="3:3">
      <c r="C1093"/>
    </row>
    <row r="1094" spans="3:3">
      <c r="C1094"/>
    </row>
    <row r="1095" spans="3:3">
      <c r="C1095"/>
    </row>
    <row r="1096" spans="3:3">
      <c r="C1096"/>
    </row>
    <row r="1097" spans="3:3">
      <c r="C1097"/>
    </row>
    <row r="1098" spans="3:3">
      <c r="C1098"/>
    </row>
    <row r="1099" spans="3:3">
      <c r="C1099"/>
    </row>
    <row r="1100" spans="3:3">
      <c r="C1100"/>
    </row>
    <row r="1101" spans="3:3">
      <c r="C1101"/>
    </row>
    <row r="1102" spans="3:3">
      <c r="C1102"/>
    </row>
    <row r="1103" spans="3:3">
      <c r="C1103"/>
    </row>
    <row r="1104" spans="3:3">
      <c r="C1104"/>
    </row>
    <row r="1105" spans="3:3">
      <c r="C1105"/>
    </row>
    <row r="1106" spans="3:3">
      <c r="C1106"/>
    </row>
    <row r="1107" spans="3:3">
      <c r="C1107"/>
    </row>
    <row r="1108" spans="3:3">
      <c r="C1108"/>
    </row>
    <row r="1109" spans="3:3">
      <c r="C1109"/>
    </row>
    <row r="1110" spans="3:3">
      <c r="C1110"/>
    </row>
    <row r="1111" spans="3:3">
      <c r="C1111"/>
    </row>
    <row r="1112" spans="3:3">
      <c r="C1112"/>
    </row>
    <row r="1113" spans="3:3">
      <c r="C1113"/>
    </row>
    <row r="1114" spans="3:3">
      <c r="C1114"/>
    </row>
    <row r="1115" spans="3:3">
      <c r="C1115"/>
    </row>
    <row r="1116" spans="3:3">
      <c r="C1116"/>
    </row>
    <row r="1117" spans="3:3">
      <c r="C1117"/>
    </row>
    <row r="1118" spans="3:3">
      <c r="C1118"/>
    </row>
    <row r="1119" spans="3:3">
      <c r="C1119"/>
    </row>
    <row r="1120" spans="3:3">
      <c r="C1120"/>
    </row>
    <row r="1121" spans="3:3">
      <c r="C1121"/>
    </row>
    <row r="1122" spans="3:3">
      <c r="C1122"/>
    </row>
    <row r="1123" spans="3:3">
      <c r="C1123"/>
    </row>
    <row r="1124" spans="3:3">
      <c r="C1124"/>
    </row>
    <row r="1125" spans="3:3">
      <c r="C1125"/>
    </row>
    <row r="1126" spans="3:3">
      <c r="C1126"/>
    </row>
    <row r="1127" spans="3:3">
      <c r="C1127"/>
    </row>
    <row r="1128" spans="3:3">
      <c r="C1128"/>
    </row>
    <row r="1129" spans="3:3">
      <c r="C1129"/>
    </row>
    <row r="1130" spans="3:3">
      <c r="C1130"/>
    </row>
    <row r="1131" spans="3:3">
      <c r="C1131"/>
    </row>
    <row r="1132" spans="3:3">
      <c r="C1132"/>
    </row>
    <row r="1133" spans="3:3">
      <c r="C1133"/>
    </row>
    <row r="1134" spans="3:3">
      <c r="C1134"/>
    </row>
    <row r="1135" spans="3:3">
      <c r="C1135"/>
    </row>
    <row r="1136" spans="3:3">
      <c r="C1136"/>
    </row>
    <row r="1137" spans="3:3">
      <c r="C1137"/>
    </row>
    <row r="1138" spans="3:3">
      <c r="C1138"/>
    </row>
    <row r="1139" spans="3:3">
      <c r="C1139"/>
    </row>
    <row r="1140" spans="3:3">
      <c r="C1140"/>
    </row>
    <row r="1141" spans="3:3">
      <c r="C1141"/>
    </row>
    <row r="1142" spans="3:3">
      <c r="C1142"/>
    </row>
    <row r="1143" spans="3:3">
      <c r="C1143"/>
    </row>
    <row r="1144" spans="3:3">
      <c r="C1144"/>
    </row>
    <row r="1145" spans="3:3">
      <c r="C1145"/>
    </row>
    <row r="1146" spans="3:3">
      <c r="C1146"/>
    </row>
    <row r="1147" spans="3:3">
      <c r="C1147"/>
    </row>
    <row r="1148" spans="3:3">
      <c r="C1148"/>
    </row>
    <row r="1149" spans="3:3">
      <c r="C1149"/>
    </row>
    <row r="1150" spans="3:3">
      <c r="C1150"/>
    </row>
    <row r="1151" spans="3:3">
      <c r="C1151"/>
    </row>
    <row r="1152" spans="3:3">
      <c r="C1152"/>
    </row>
    <row r="1153" spans="3:3">
      <c r="C1153"/>
    </row>
    <row r="1154" spans="3:3">
      <c r="C1154"/>
    </row>
    <row r="1155" spans="3:3">
      <c r="C1155"/>
    </row>
    <row r="1156" spans="3:3">
      <c r="C1156"/>
    </row>
    <row r="1157" spans="3:3">
      <c r="C1157"/>
    </row>
    <row r="1158" spans="3:3">
      <c r="C1158"/>
    </row>
    <row r="1159" spans="3:3">
      <c r="C1159"/>
    </row>
    <row r="1160" spans="3:3">
      <c r="C1160"/>
    </row>
    <row r="1161" spans="3:3">
      <c r="C1161"/>
    </row>
    <row r="1162" spans="3:3">
      <c r="C1162"/>
    </row>
    <row r="1163" spans="3:3">
      <c r="C1163"/>
    </row>
    <row r="1164" spans="3:3">
      <c r="C1164"/>
    </row>
    <row r="1165" spans="3:3">
      <c r="C1165"/>
    </row>
    <row r="1166" spans="3:3">
      <c r="C1166"/>
    </row>
    <row r="1167" spans="3:3">
      <c r="C1167"/>
    </row>
    <row r="1168" spans="3:3">
      <c r="C1168"/>
    </row>
    <row r="1169" spans="3:3">
      <c r="C1169"/>
    </row>
    <row r="1170" spans="3:3">
      <c r="C1170"/>
    </row>
    <row r="1171" spans="3:3">
      <c r="C1171"/>
    </row>
    <row r="1172" spans="3:3">
      <c r="C1172"/>
    </row>
    <row r="1173" spans="3:3">
      <c r="C1173"/>
    </row>
    <row r="1174" spans="3:3">
      <c r="C1174"/>
    </row>
    <row r="1175" spans="3:3">
      <c r="C1175"/>
    </row>
    <row r="1176" spans="3:3">
      <c r="C1176"/>
    </row>
    <row r="1177" spans="3:3">
      <c r="C1177"/>
    </row>
    <row r="1178" spans="3:3">
      <c r="C1178"/>
    </row>
    <row r="1179" spans="3:3">
      <c r="C1179"/>
    </row>
    <row r="1180" spans="3:3">
      <c r="C1180"/>
    </row>
    <row r="1181" spans="3:3">
      <c r="C1181"/>
    </row>
    <row r="1182" spans="3:3">
      <c r="C1182"/>
    </row>
    <row r="1183" spans="3:3">
      <c r="C1183"/>
    </row>
    <row r="1184" spans="3:3">
      <c r="C1184"/>
    </row>
    <row r="1185" spans="3:3">
      <c r="C1185"/>
    </row>
    <row r="1186" spans="3:3">
      <c r="C1186"/>
    </row>
    <row r="1187" spans="3:3">
      <c r="C1187"/>
    </row>
    <row r="1188" spans="3:3">
      <c r="C1188"/>
    </row>
    <row r="1189" spans="3:3">
      <c r="C1189"/>
    </row>
    <row r="1190" spans="3:3">
      <c r="C1190"/>
    </row>
    <row r="1191" spans="3:3">
      <c r="C1191"/>
    </row>
    <row r="1192" spans="3:3">
      <c r="C1192"/>
    </row>
    <row r="1193" spans="3:3">
      <c r="C1193"/>
    </row>
    <row r="1194" spans="3:3">
      <c r="C1194"/>
    </row>
    <row r="1195" spans="3:3">
      <c r="C1195"/>
    </row>
    <row r="1196" spans="3:3">
      <c r="C1196"/>
    </row>
    <row r="1197" spans="3:3">
      <c r="C1197"/>
    </row>
    <row r="1198" spans="3:3">
      <c r="C1198"/>
    </row>
    <row r="1199" spans="3:3">
      <c r="C1199"/>
    </row>
    <row r="1200" spans="3:3">
      <c r="C1200"/>
    </row>
    <row r="1201" spans="3:3">
      <c r="C1201"/>
    </row>
    <row r="1202" spans="3:3">
      <c r="C1202"/>
    </row>
    <row r="1203" spans="3:3">
      <c r="C1203"/>
    </row>
    <row r="1204" spans="3:3">
      <c r="C1204"/>
    </row>
    <row r="1205" spans="3:3">
      <c r="C1205"/>
    </row>
    <row r="1206" spans="3:3">
      <c r="C1206"/>
    </row>
    <row r="1207" spans="3:3">
      <c r="C1207"/>
    </row>
    <row r="1208" spans="3:3">
      <c r="C1208"/>
    </row>
    <row r="1209" spans="3:3">
      <c r="C1209"/>
    </row>
    <row r="1210" spans="3:3">
      <c r="C1210"/>
    </row>
    <row r="1211" spans="3:3">
      <c r="C1211"/>
    </row>
    <row r="1212" spans="3:3">
      <c r="C1212"/>
    </row>
    <row r="1213" spans="3:3">
      <c r="C1213"/>
    </row>
    <row r="1214" spans="3:3">
      <c r="C1214"/>
    </row>
    <row r="1215" spans="3:3">
      <c r="C1215"/>
    </row>
    <row r="1216" spans="3:3">
      <c r="C1216"/>
    </row>
    <row r="1217" spans="3:3">
      <c r="C1217"/>
    </row>
    <row r="1218" spans="3:3">
      <c r="C1218"/>
    </row>
    <row r="1219" spans="3:3">
      <c r="C1219"/>
    </row>
    <row r="1220" spans="3:3">
      <c r="C1220"/>
    </row>
    <row r="1221" spans="3:3">
      <c r="C1221"/>
    </row>
    <row r="1222" spans="3:3">
      <c r="C1222"/>
    </row>
    <row r="1223" spans="3:3">
      <c r="C1223"/>
    </row>
    <row r="1224" spans="3:3">
      <c r="C1224"/>
    </row>
    <row r="1225" spans="3:3">
      <c r="C1225"/>
    </row>
    <row r="1226" spans="3:3">
      <c r="C1226"/>
    </row>
    <row r="1227" spans="3:3">
      <c r="C1227"/>
    </row>
    <row r="1228" spans="3:3">
      <c r="C1228"/>
    </row>
    <row r="1229" spans="3:3">
      <c r="C1229"/>
    </row>
    <row r="1230" spans="3:3">
      <c r="C1230"/>
    </row>
    <row r="1231" spans="3:3">
      <c r="C1231"/>
    </row>
    <row r="1232" spans="3:3">
      <c r="C1232"/>
    </row>
    <row r="1233" spans="3:3">
      <c r="C1233"/>
    </row>
    <row r="1234" spans="3:3">
      <c r="C1234"/>
    </row>
    <row r="1235" spans="3:3">
      <c r="C1235"/>
    </row>
    <row r="1236" spans="3:3">
      <c r="C1236"/>
    </row>
    <row r="1237" spans="3:3">
      <c r="C1237"/>
    </row>
    <row r="1238" spans="3:3">
      <c r="C1238"/>
    </row>
    <row r="1239" spans="3:3">
      <c r="C1239"/>
    </row>
    <row r="1240" spans="3:3">
      <c r="C1240"/>
    </row>
    <row r="1241" spans="3:3">
      <c r="C1241"/>
    </row>
    <row r="1242" spans="3:3">
      <c r="C1242"/>
    </row>
    <row r="1243" spans="3:3">
      <c r="C1243"/>
    </row>
    <row r="1244" spans="3:3">
      <c r="C1244"/>
    </row>
    <row r="1245" spans="3:3">
      <c r="C1245"/>
    </row>
    <row r="1246" spans="3:3">
      <c r="C1246"/>
    </row>
    <row r="1247" spans="3:3">
      <c r="C1247"/>
    </row>
    <row r="1248" spans="3:3">
      <c r="C1248"/>
    </row>
    <row r="1249" spans="3:3">
      <c r="C1249"/>
    </row>
    <row r="1250" spans="3:3">
      <c r="C1250"/>
    </row>
    <row r="1251" spans="3:3">
      <c r="C1251"/>
    </row>
    <row r="1252" spans="3:3">
      <c r="C1252"/>
    </row>
    <row r="1253" spans="3:3">
      <c r="C1253"/>
    </row>
    <row r="1254" spans="3:3">
      <c r="C1254"/>
    </row>
    <row r="1255" spans="3:3">
      <c r="C1255"/>
    </row>
    <row r="1256" spans="3:3">
      <c r="C1256"/>
    </row>
    <row r="1257" spans="3:3">
      <c r="C1257"/>
    </row>
    <row r="1258" spans="3:3">
      <c r="C1258"/>
    </row>
    <row r="1259" spans="3:3">
      <c r="C1259"/>
    </row>
    <row r="1260" spans="3:3">
      <c r="C1260"/>
    </row>
    <row r="1261" spans="3:3">
      <c r="C1261"/>
    </row>
    <row r="1262" spans="3:3">
      <c r="C1262"/>
    </row>
    <row r="1263" spans="3:3">
      <c r="C1263"/>
    </row>
    <row r="1264" spans="3:3">
      <c r="C1264"/>
    </row>
    <row r="1265" spans="3:3">
      <c r="C1265"/>
    </row>
    <row r="1266" spans="3:3">
      <c r="C1266"/>
    </row>
    <row r="1267" spans="3:3">
      <c r="C1267"/>
    </row>
    <row r="1268" spans="3:3">
      <c r="C1268"/>
    </row>
    <row r="1269" spans="3:3">
      <c r="C1269"/>
    </row>
    <row r="1270" spans="3:3">
      <c r="C1270"/>
    </row>
    <row r="1271" spans="3:3">
      <c r="C1271"/>
    </row>
    <row r="1272" spans="3:3">
      <c r="C1272"/>
    </row>
    <row r="1273" spans="3:3">
      <c r="C1273"/>
    </row>
    <row r="1274" spans="3:3">
      <c r="C1274"/>
    </row>
    <row r="1275" spans="3:3">
      <c r="C1275"/>
    </row>
    <row r="1276" spans="3:3">
      <c r="C1276"/>
    </row>
    <row r="1277" spans="3:3">
      <c r="C1277"/>
    </row>
    <row r="1278" spans="3:3">
      <c r="C1278"/>
    </row>
    <row r="1279" spans="3:3">
      <c r="C1279"/>
    </row>
    <row r="1280" spans="3:3">
      <c r="C1280"/>
    </row>
    <row r="1281" spans="3:3">
      <c r="C1281"/>
    </row>
    <row r="1282" spans="3:3">
      <c r="C1282"/>
    </row>
    <row r="1283" spans="3:3">
      <c r="C1283"/>
    </row>
    <row r="1284" spans="3:3">
      <c r="C1284"/>
    </row>
    <row r="1285" spans="3:3">
      <c r="C1285"/>
    </row>
    <row r="1286" spans="3:3">
      <c r="C1286"/>
    </row>
    <row r="1287" spans="3:3">
      <c r="C1287"/>
    </row>
    <row r="1288" spans="3:3">
      <c r="C1288"/>
    </row>
    <row r="1289" spans="3:3">
      <c r="C1289"/>
    </row>
    <row r="1290" spans="3:3">
      <c r="C1290"/>
    </row>
    <row r="1291" spans="3:3">
      <c r="C1291"/>
    </row>
    <row r="1292" spans="3:3">
      <c r="C1292"/>
    </row>
    <row r="1293" spans="3:3">
      <c r="C1293"/>
    </row>
    <row r="1294" spans="3:3">
      <c r="C1294"/>
    </row>
    <row r="1295" spans="3:3">
      <c r="C1295"/>
    </row>
    <row r="1296" spans="3:3">
      <c r="C1296"/>
    </row>
    <row r="1297" spans="3:3">
      <c r="C1297"/>
    </row>
    <row r="1298" spans="3:3">
      <c r="C1298"/>
    </row>
    <row r="1299" spans="3:3">
      <c r="C1299"/>
    </row>
    <row r="1300" spans="3:3">
      <c r="C1300"/>
    </row>
    <row r="1301" spans="3:3">
      <c r="C1301"/>
    </row>
    <row r="1302" spans="3:3">
      <c r="C1302"/>
    </row>
    <row r="1303" spans="3:3">
      <c r="C1303"/>
    </row>
    <row r="1304" spans="3:3">
      <c r="C1304"/>
    </row>
    <row r="1305" spans="3:3">
      <c r="C1305"/>
    </row>
    <row r="1306" spans="3:3">
      <c r="C1306"/>
    </row>
    <row r="1307" spans="3:3">
      <c r="C1307"/>
    </row>
    <row r="1308" spans="3:3">
      <c r="C1308"/>
    </row>
    <row r="1309" spans="3:3">
      <c r="C1309"/>
    </row>
    <row r="1310" spans="3:3">
      <c r="C1310"/>
    </row>
    <row r="1311" spans="3:3">
      <c r="C1311"/>
    </row>
    <row r="1312" spans="3:3">
      <c r="C1312"/>
    </row>
    <row r="1313" spans="3:3">
      <c r="C1313"/>
    </row>
    <row r="1314" spans="3:3">
      <c r="C1314"/>
    </row>
    <row r="1315" spans="3:3">
      <c r="C1315"/>
    </row>
    <row r="1316" spans="3:3">
      <c r="C1316"/>
    </row>
    <row r="1317" spans="3:3">
      <c r="C1317"/>
    </row>
    <row r="1318" spans="3:3">
      <c r="C1318"/>
    </row>
    <row r="1319" spans="3:3">
      <c r="C1319"/>
    </row>
    <row r="1320" spans="3:3">
      <c r="C1320"/>
    </row>
    <row r="1321" spans="3:3">
      <c r="C1321"/>
    </row>
    <row r="1322" spans="3:3">
      <c r="C1322"/>
    </row>
    <row r="1323" spans="3:3">
      <c r="C1323"/>
    </row>
    <row r="1324" spans="3:3">
      <c r="C1324"/>
    </row>
    <row r="1325" spans="3:3">
      <c r="C1325"/>
    </row>
    <row r="1326" spans="3:3">
      <c r="C1326"/>
    </row>
    <row r="1327" spans="3:3">
      <c r="C1327"/>
    </row>
    <row r="1328" spans="3:3">
      <c r="C1328"/>
    </row>
    <row r="1329" spans="3:3">
      <c r="C1329"/>
    </row>
    <row r="1330" spans="3:3">
      <c r="C1330"/>
    </row>
    <row r="1331" spans="3:3">
      <c r="C1331"/>
    </row>
    <row r="1332" spans="3:3">
      <c r="C1332"/>
    </row>
    <row r="1333" spans="3:3">
      <c r="C1333"/>
    </row>
    <row r="1334" spans="3:3">
      <c r="C1334"/>
    </row>
    <row r="1335" spans="3:3">
      <c r="C1335"/>
    </row>
    <row r="1336" spans="3:3">
      <c r="C1336"/>
    </row>
    <row r="1337" spans="3:3">
      <c r="C1337"/>
    </row>
    <row r="1338" spans="3:3">
      <c r="C1338"/>
    </row>
    <row r="1339" spans="3:3">
      <c r="C1339"/>
    </row>
    <row r="1340" spans="3:3">
      <c r="C1340"/>
    </row>
    <row r="1341" spans="3:3">
      <c r="C1341"/>
    </row>
    <row r="1342" spans="3:3">
      <c r="C1342"/>
    </row>
    <row r="1343" spans="3:3">
      <c r="C1343"/>
    </row>
    <row r="1344" spans="3:3">
      <c r="C1344"/>
    </row>
    <row r="1345" spans="3:3">
      <c r="C1345"/>
    </row>
    <row r="1346" spans="3:3">
      <c r="C1346"/>
    </row>
    <row r="1347" spans="3:3">
      <c r="C1347"/>
    </row>
    <row r="1348" spans="3:3">
      <c r="C1348"/>
    </row>
    <row r="1349" spans="3:3">
      <c r="C1349"/>
    </row>
    <row r="1350" spans="3:3">
      <c r="C1350"/>
    </row>
    <row r="1351" spans="3:3">
      <c r="C1351"/>
    </row>
    <row r="1352" spans="3:3">
      <c r="C1352"/>
    </row>
    <row r="1353" spans="3:3">
      <c r="C1353"/>
    </row>
    <row r="1354" spans="3:3">
      <c r="C1354"/>
    </row>
    <row r="1355" spans="3:3">
      <c r="C1355"/>
    </row>
    <row r="1356" spans="3:3">
      <c r="C1356"/>
    </row>
    <row r="1357" spans="3:3">
      <c r="C1357"/>
    </row>
    <row r="1358" spans="3:3">
      <c r="C1358"/>
    </row>
    <row r="1359" spans="3:3">
      <c r="C1359"/>
    </row>
    <row r="1360" spans="3:3">
      <c r="C1360"/>
    </row>
    <row r="1361" spans="3:3">
      <c r="C1361"/>
    </row>
    <row r="1362" spans="3:3">
      <c r="C1362"/>
    </row>
    <row r="1363" spans="3:3">
      <c r="C1363"/>
    </row>
    <row r="1364" spans="3:3">
      <c r="C1364"/>
    </row>
    <row r="1365" spans="3:3">
      <c r="C1365"/>
    </row>
    <row r="1366" spans="3:3">
      <c r="C1366"/>
    </row>
    <row r="1367" spans="3:3">
      <c r="C1367"/>
    </row>
    <row r="1368" spans="3:3">
      <c r="C1368"/>
    </row>
    <row r="1369" spans="3:3">
      <c r="C1369"/>
    </row>
    <row r="1370" spans="3:3">
      <c r="C1370"/>
    </row>
    <row r="1371" spans="3:3">
      <c r="C1371"/>
    </row>
    <row r="1372" spans="3:3">
      <c r="C1372"/>
    </row>
    <row r="1373" spans="3:3">
      <c r="C1373"/>
    </row>
    <row r="1374" spans="3:3">
      <c r="C1374"/>
    </row>
    <row r="1375" spans="3:3">
      <c r="C1375"/>
    </row>
    <row r="1376" spans="3:3">
      <c r="C1376"/>
    </row>
    <row r="1377" spans="3:3">
      <c r="C1377"/>
    </row>
    <row r="1378" spans="3:3">
      <c r="C1378"/>
    </row>
    <row r="1379" spans="3:3">
      <c r="C1379"/>
    </row>
    <row r="1380" spans="3:3">
      <c r="C1380"/>
    </row>
    <row r="1381" spans="3:3">
      <c r="C1381"/>
    </row>
    <row r="1382" spans="3:3">
      <c r="C1382"/>
    </row>
    <row r="1383" spans="3:3">
      <c r="C1383"/>
    </row>
    <row r="1384" spans="3:3">
      <c r="C1384"/>
    </row>
    <row r="1385" spans="3:3">
      <c r="C1385"/>
    </row>
    <row r="1386" spans="3:3">
      <c r="C1386"/>
    </row>
    <row r="1387" spans="3:3">
      <c r="C1387"/>
    </row>
    <row r="1388" spans="3:3">
      <c r="C1388"/>
    </row>
    <row r="1389" spans="3:3">
      <c r="C1389"/>
    </row>
    <row r="1390" spans="3:3">
      <c r="C1390"/>
    </row>
    <row r="1391" spans="3:3">
      <c r="C1391"/>
    </row>
    <row r="1392" spans="3:3">
      <c r="C1392"/>
    </row>
    <row r="1393" spans="3:3">
      <c r="C1393"/>
    </row>
    <row r="1394" spans="3:3">
      <c r="C1394"/>
    </row>
    <row r="1395" spans="3:3">
      <c r="C1395"/>
    </row>
    <row r="1396" spans="3:3">
      <c r="C1396"/>
    </row>
    <row r="1397" spans="3:3">
      <c r="C1397"/>
    </row>
    <row r="1398" spans="3:3">
      <c r="C1398"/>
    </row>
    <row r="1399" spans="3:3">
      <c r="C1399"/>
    </row>
    <row r="1400" spans="3:3">
      <c r="C1400"/>
    </row>
    <row r="1401" spans="3:3">
      <c r="C1401"/>
    </row>
    <row r="1402" spans="3:3">
      <c r="C1402"/>
    </row>
    <row r="1403" spans="3:3">
      <c r="C1403"/>
    </row>
    <row r="1404" spans="3:3">
      <c r="C1404"/>
    </row>
    <row r="1405" spans="3:3">
      <c r="C1405"/>
    </row>
    <row r="1406" spans="3:3">
      <c r="C1406"/>
    </row>
    <row r="1407" spans="3:3">
      <c r="C1407"/>
    </row>
    <row r="1408" spans="3:3">
      <c r="C1408"/>
    </row>
    <row r="1409" spans="3:3">
      <c r="C1409"/>
    </row>
    <row r="1410" spans="3:3">
      <c r="C1410"/>
    </row>
    <row r="1411" spans="3:3">
      <c r="C1411"/>
    </row>
    <row r="1412" spans="3:3">
      <c r="C1412"/>
    </row>
    <row r="1413" spans="3:3">
      <c r="C1413"/>
    </row>
    <row r="1414" spans="3:3">
      <c r="C1414"/>
    </row>
    <row r="1415" spans="3:3">
      <c r="C1415"/>
    </row>
    <row r="1416" spans="3:3">
      <c r="C1416"/>
    </row>
    <row r="1417" spans="3:3">
      <c r="C1417"/>
    </row>
    <row r="1418" spans="3:3">
      <c r="C1418"/>
    </row>
    <row r="1419" spans="3:3">
      <c r="C1419"/>
    </row>
    <row r="1420" spans="3:3">
      <c r="C1420"/>
    </row>
    <row r="1421" spans="3:3">
      <c r="C1421"/>
    </row>
    <row r="1422" spans="3:3">
      <c r="C1422"/>
    </row>
    <row r="1423" spans="3:3">
      <c r="C1423"/>
    </row>
    <row r="1424" spans="3:3">
      <c r="C1424"/>
    </row>
    <row r="1425" spans="3:3">
      <c r="C1425"/>
    </row>
    <row r="1426" spans="3:3">
      <c r="C1426"/>
    </row>
    <row r="1427" spans="3:3">
      <c r="C1427"/>
    </row>
    <row r="1428" spans="3:3">
      <c r="C1428"/>
    </row>
    <row r="1429" spans="3:3">
      <c r="C1429"/>
    </row>
    <row r="1430" spans="3:3">
      <c r="C1430"/>
    </row>
    <row r="1431" spans="3:3">
      <c r="C1431"/>
    </row>
    <row r="1432" spans="3:3">
      <c r="C1432"/>
    </row>
    <row r="1433" spans="3:3">
      <c r="C1433"/>
    </row>
    <row r="1434" spans="3:3">
      <c r="C1434"/>
    </row>
    <row r="1435" spans="3:3">
      <c r="C1435"/>
    </row>
    <row r="1436" spans="3:3">
      <c r="C1436"/>
    </row>
    <row r="1437" spans="3:3">
      <c r="C1437"/>
    </row>
    <row r="1438" spans="3:3">
      <c r="C1438"/>
    </row>
    <row r="1439" spans="3:3">
      <c r="C1439"/>
    </row>
    <row r="1440" spans="3:3">
      <c r="C1440"/>
    </row>
    <row r="1441" spans="3:3">
      <c r="C1441"/>
    </row>
    <row r="1442" spans="3:3">
      <c r="C1442"/>
    </row>
    <row r="1443" spans="3:3">
      <c r="C1443"/>
    </row>
    <row r="1444" spans="3:3">
      <c r="C1444"/>
    </row>
    <row r="1445" spans="3:3">
      <c r="C1445"/>
    </row>
    <row r="1446" spans="3:3">
      <c r="C1446"/>
    </row>
    <row r="1447" spans="3:3">
      <c r="C1447"/>
    </row>
    <row r="1448" spans="3:3">
      <c r="C1448"/>
    </row>
    <row r="1449" spans="3:3">
      <c r="C1449"/>
    </row>
    <row r="1450" spans="3:3">
      <c r="C1450"/>
    </row>
    <row r="1451" spans="3:3">
      <c r="C1451"/>
    </row>
    <row r="1452" spans="3:3">
      <c r="C1452"/>
    </row>
    <row r="1453" spans="3:3">
      <c r="C1453"/>
    </row>
    <row r="1454" spans="3:3">
      <c r="C1454"/>
    </row>
    <row r="1455" spans="3:3">
      <c r="C1455"/>
    </row>
    <row r="1456" spans="3:3">
      <c r="C1456"/>
    </row>
    <row r="1457" spans="3:3">
      <c r="C1457"/>
    </row>
    <row r="1458" spans="3:3">
      <c r="C1458"/>
    </row>
    <row r="1459" spans="3:3">
      <c r="C1459"/>
    </row>
    <row r="1460" spans="3:3">
      <c r="C1460"/>
    </row>
    <row r="1461" spans="3:3">
      <c r="C1461"/>
    </row>
    <row r="1462" spans="3:3">
      <c r="C1462"/>
    </row>
    <row r="1463" spans="3:3">
      <c r="C1463"/>
    </row>
    <row r="1464" spans="3:3">
      <c r="C1464"/>
    </row>
    <row r="1465" spans="3:3">
      <c r="C1465"/>
    </row>
    <row r="1466" spans="3:3">
      <c r="C1466"/>
    </row>
    <row r="1467" spans="3:3">
      <c r="C1467"/>
    </row>
    <row r="1468" spans="3:3">
      <c r="C1468"/>
    </row>
    <row r="1469" spans="3:3">
      <c r="C1469"/>
    </row>
    <row r="1470" spans="3:3">
      <c r="C1470"/>
    </row>
    <row r="1471" spans="3:3">
      <c r="C1471"/>
    </row>
    <row r="1472" spans="3:3">
      <c r="C1472"/>
    </row>
    <row r="1473" spans="3:3">
      <c r="C1473"/>
    </row>
    <row r="1474" spans="3:3">
      <c r="C1474"/>
    </row>
    <row r="1475" spans="3:3">
      <c r="C1475"/>
    </row>
    <row r="1476" spans="3:3">
      <c r="C1476"/>
    </row>
    <row r="1477" spans="3:3">
      <c r="C1477"/>
    </row>
    <row r="1478" spans="3:3">
      <c r="C1478"/>
    </row>
    <row r="1479" spans="3:3">
      <c r="C1479"/>
    </row>
    <row r="1480" spans="3:3">
      <c r="C1480"/>
    </row>
    <row r="1481" spans="3:3">
      <c r="C1481"/>
    </row>
    <row r="1482" spans="3:3">
      <c r="C1482"/>
    </row>
    <row r="1483" spans="3:3">
      <c r="C1483"/>
    </row>
    <row r="1484" spans="3:3">
      <c r="C1484"/>
    </row>
    <row r="1485" spans="3:3">
      <c r="C1485"/>
    </row>
    <row r="1486" spans="3:3">
      <c r="C1486"/>
    </row>
    <row r="1487" spans="3:3">
      <c r="C1487"/>
    </row>
    <row r="1488" spans="3:3">
      <c r="C1488"/>
    </row>
    <row r="1489" spans="3:3">
      <c r="C1489"/>
    </row>
    <row r="1490" spans="3:3">
      <c r="C1490"/>
    </row>
    <row r="1491" spans="3:3">
      <c r="C1491"/>
    </row>
    <row r="1492" spans="3:3">
      <c r="C1492"/>
    </row>
    <row r="1493" spans="3:3">
      <c r="C1493"/>
    </row>
    <row r="1494" spans="3:3">
      <c r="C1494"/>
    </row>
    <row r="1495" spans="3:3">
      <c r="C1495"/>
    </row>
    <row r="1496" spans="3:3">
      <c r="C1496"/>
    </row>
    <row r="1497" spans="3:3">
      <c r="C1497"/>
    </row>
    <row r="1498" spans="3:3">
      <c r="C1498"/>
    </row>
    <row r="1499" spans="3:3">
      <c r="C1499"/>
    </row>
    <row r="1500" spans="3:3">
      <c r="C1500"/>
    </row>
    <row r="1501" spans="3:3">
      <c r="C1501"/>
    </row>
    <row r="1502" spans="3:3">
      <c r="C1502"/>
    </row>
    <row r="1503" spans="3:3">
      <c r="C1503"/>
    </row>
    <row r="1504" spans="3:3">
      <c r="C1504"/>
    </row>
    <row r="1505" spans="3:3">
      <c r="C1505"/>
    </row>
    <row r="1506" spans="3:3">
      <c r="C1506"/>
    </row>
    <row r="1507" spans="3:3">
      <c r="C1507"/>
    </row>
    <row r="1508" spans="3:3">
      <c r="C1508"/>
    </row>
    <row r="1509" spans="3:3">
      <c r="C1509"/>
    </row>
    <row r="1510" spans="3:3">
      <c r="C1510"/>
    </row>
    <row r="1511" spans="3:3">
      <c r="C1511"/>
    </row>
    <row r="1512" spans="3:3">
      <c r="C1512"/>
    </row>
    <row r="1513" spans="3:3">
      <c r="C1513"/>
    </row>
    <row r="1514" spans="3:3">
      <c r="C1514"/>
    </row>
    <row r="1515" spans="3:3">
      <c r="C1515"/>
    </row>
    <row r="1516" spans="3:3">
      <c r="C1516"/>
    </row>
    <row r="1517" spans="3:3">
      <c r="C1517"/>
    </row>
    <row r="1518" spans="3:3">
      <c r="C1518"/>
    </row>
    <row r="1519" spans="3:3">
      <c r="C1519"/>
    </row>
    <row r="1520" spans="3:3">
      <c r="C1520"/>
    </row>
    <row r="1521" spans="3:3">
      <c r="C1521"/>
    </row>
    <row r="1522" spans="3:3">
      <c r="C1522"/>
    </row>
    <row r="1523" spans="3:3">
      <c r="C1523"/>
    </row>
    <row r="1524" spans="3:3">
      <c r="C1524"/>
    </row>
    <row r="1525" spans="3:3">
      <c r="C1525"/>
    </row>
    <row r="1526" spans="3:3">
      <c r="C1526"/>
    </row>
    <row r="1527" spans="3:3">
      <c r="C1527"/>
    </row>
    <row r="1528" spans="3:3">
      <c r="C1528"/>
    </row>
    <row r="1529" spans="3:3">
      <c r="C1529"/>
    </row>
    <row r="1530" spans="3:3">
      <c r="C1530"/>
    </row>
    <row r="1531" spans="3:3">
      <c r="C1531"/>
    </row>
    <row r="1532" spans="3:3">
      <c r="C1532"/>
    </row>
    <row r="1533" spans="3:3">
      <c r="C1533"/>
    </row>
    <row r="1534" spans="3:3">
      <c r="C1534"/>
    </row>
    <row r="1535" spans="3:3">
      <c r="C1535"/>
    </row>
    <row r="1536" spans="3:3">
      <c r="C1536"/>
    </row>
    <row r="1537" spans="3:3">
      <c r="C1537"/>
    </row>
    <row r="1538" spans="3:3">
      <c r="C1538"/>
    </row>
    <row r="1539" spans="3:3">
      <c r="C1539"/>
    </row>
    <row r="1540" spans="3:3">
      <c r="C1540"/>
    </row>
    <row r="1541" spans="3:3">
      <c r="C1541"/>
    </row>
    <row r="1542" spans="3:3">
      <c r="C1542"/>
    </row>
    <row r="1543" spans="3:3">
      <c r="C1543"/>
    </row>
    <row r="1544" spans="3:3">
      <c r="C1544"/>
    </row>
    <row r="1545" spans="3:3">
      <c r="C1545"/>
    </row>
    <row r="1546" spans="3:3">
      <c r="C1546"/>
    </row>
    <row r="1547" spans="3:3">
      <c r="C1547"/>
    </row>
    <row r="1548" spans="3:3">
      <c r="C1548"/>
    </row>
    <row r="1549" spans="3:3">
      <c r="C1549"/>
    </row>
    <row r="1550" spans="3:3">
      <c r="C1550"/>
    </row>
    <row r="1551" spans="3:3">
      <c r="C1551"/>
    </row>
    <row r="1552" spans="3:3">
      <c r="C1552"/>
    </row>
    <row r="1553" spans="3:3">
      <c r="C1553"/>
    </row>
    <row r="1554" spans="3:3">
      <c r="C1554"/>
    </row>
    <row r="1555" spans="3:3">
      <c r="C1555"/>
    </row>
    <row r="1556" spans="3:3">
      <c r="C1556"/>
    </row>
    <row r="1557" spans="3:3">
      <c r="C1557"/>
    </row>
    <row r="1558" spans="3:3">
      <c r="C1558"/>
    </row>
    <row r="1559" spans="3:3">
      <c r="C1559"/>
    </row>
    <row r="1560" spans="3:3">
      <c r="C1560"/>
    </row>
    <row r="1561" spans="3:3">
      <c r="C1561"/>
    </row>
    <row r="1562" spans="3:3">
      <c r="C1562"/>
    </row>
    <row r="1563" spans="3:3">
      <c r="C1563"/>
    </row>
    <row r="1564" spans="3:3">
      <c r="C1564"/>
    </row>
    <row r="1565" spans="3:3">
      <c r="C1565"/>
    </row>
    <row r="1566" spans="3:3">
      <c r="C1566"/>
    </row>
    <row r="1567" spans="3:3">
      <c r="C1567"/>
    </row>
    <row r="1568" spans="3:3">
      <c r="C1568"/>
    </row>
    <row r="1569" spans="3:3">
      <c r="C1569"/>
    </row>
    <row r="1570" spans="3:3">
      <c r="C1570"/>
    </row>
    <row r="1571" spans="3:3">
      <c r="C1571"/>
    </row>
    <row r="1572" spans="3:3">
      <c r="C1572"/>
    </row>
    <row r="1573" spans="3:3">
      <c r="C1573"/>
    </row>
    <row r="1574" spans="3:3">
      <c r="C1574"/>
    </row>
    <row r="1575" spans="3:3">
      <c r="C1575"/>
    </row>
    <row r="1576" spans="3:3">
      <c r="C1576"/>
    </row>
    <row r="1577" spans="3:3">
      <c r="C1577"/>
    </row>
    <row r="1578" spans="3:3">
      <c r="C1578"/>
    </row>
    <row r="1579" spans="3:3">
      <c r="C1579"/>
    </row>
    <row r="1580" spans="3:3">
      <c r="C1580"/>
    </row>
    <row r="1581" spans="3:3">
      <c r="C1581"/>
    </row>
    <row r="1582" spans="3:3">
      <c r="C1582"/>
    </row>
    <row r="1583" spans="3:3">
      <c r="C1583"/>
    </row>
    <row r="1584" spans="3:3">
      <c r="C1584"/>
    </row>
    <row r="1585" spans="3:3">
      <c r="C1585"/>
    </row>
    <row r="1586" spans="3:3">
      <c r="C1586"/>
    </row>
    <row r="1587" spans="3:3">
      <c r="C1587"/>
    </row>
    <row r="1588" spans="3:3">
      <c r="C1588"/>
    </row>
    <row r="1589" spans="3:3">
      <c r="C1589"/>
    </row>
    <row r="1590" spans="3:3">
      <c r="C1590"/>
    </row>
    <row r="1591" spans="3:3">
      <c r="C1591"/>
    </row>
    <row r="1592" spans="3:3">
      <c r="C1592"/>
    </row>
    <row r="1593" spans="3:3">
      <c r="C1593"/>
    </row>
    <row r="1594" spans="3:3">
      <c r="C1594"/>
    </row>
    <row r="1595" spans="3:3">
      <c r="C1595"/>
    </row>
    <row r="1596" spans="3:3">
      <c r="C1596"/>
    </row>
    <row r="1597" spans="3:3">
      <c r="C1597"/>
    </row>
    <row r="1598" spans="3:3">
      <c r="C1598"/>
    </row>
    <row r="1599" spans="3:3">
      <c r="C1599"/>
    </row>
    <row r="1600" spans="3:3">
      <c r="C1600"/>
    </row>
    <row r="1601" spans="3:3">
      <c r="C1601"/>
    </row>
    <row r="1602" spans="3:3">
      <c r="C1602"/>
    </row>
    <row r="1603" spans="3:3">
      <c r="C1603"/>
    </row>
    <row r="1604" spans="3:3">
      <c r="C1604"/>
    </row>
    <row r="1605" spans="3:3">
      <c r="C1605"/>
    </row>
    <row r="1606" spans="3:3">
      <c r="C1606"/>
    </row>
    <row r="1607" spans="3:3">
      <c r="C1607"/>
    </row>
    <row r="1608" spans="3:3">
      <c r="C1608"/>
    </row>
    <row r="1609" spans="3:3">
      <c r="C1609"/>
    </row>
    <row r="1610" spans="3:3">
      <c r="C1610"/>
    </row>
    <row r="1611" spans="3:3">
      <c r="C1611"/>
    </row>
    <row r="1612" spans="3:3">
      <c r="C1612"/>
    </row>
    <row r="1613" spans="3:3">
      <c r="C1613"/>
    </row>
    <row r="1614" spans="3:3">
      <c r="C1614"/>
    </row>
    <row r="1615" spans="3:3">
      <c r="C1615"/>
    </row>
    <row r="1616" spans="3:3">
      <c r="C1616"/>
    </row>
    <row r="1617" spans="3:3">
      <c r="C1617"/>
    </row>
    <row r="1618" spans="3:3">
      <c r="C1618"/>
    </row>
    <row r="1619" spans="3:3">
      <c r="C1619"/>
    </row>
    <row r="1620" spans="3:3">
      <c r="C1620"/>
    </row>
    <row r="1621" spans="3:3">
      <c r="C1621"/>
    </row>
    <row r="1622" spans="3:3">
      <c r="C1622"/>
    </row>
    <row r="1623" spans="3:3">
      <c r="C1623"/>
    </row>
    <row r="1624" spans="3:3">
      <c r="C1624"/>
    </row>
    <row r="1625" spans="3:3">
      <c r="C1625"/>
    </row>
    <row r="1626" spans="3:3">
      <c r="C1626"/>
    </row>
    <row r="1627" spans="3:3">
      <c r="C1627"/>
    </row>
    <row r="1628" spans="3:3">
      <c r="C1628"/>
    </row>
    <row r="1629" spans="3:3">
      <c r="C1629"/>
    </row>
    <row r="1630" spans="3:3">
      <c r="C1630"/>
    </row>
    <row r="1631" spans="3:3">
      <c r="C1631"/>
    </row>
    <row r="1632" spans="3:3">
      <c r="C1632"/>
    </row>
    <row r="1633" spans="3:3">
      <c r="C1633"/>
    </row>
    <row r="1634" spans="3:3">
      <c r="C1634"/>
    </row>
    <row r="1635" spans="3:3">
      <c r="C1635"/>
    </row>
    <row r="1636" spans="3:3">
      <c r="C1636"/>
    </row>
    <row r="1637" spans="3:3">
      <c r="C1637"/>
    </row>
    <row r="1638" spans="3:3">
      <c r="C1638"/>
    </row>
    <row r="1639" spans="3:3">
      <c r="C1639"/>
    </row>
    <row r="1640" spans="3:3">
      <c r="C1640"/>
    </row>
    <row r="1641" spans="3:3">
      <c r="C1641"/>
    </row>
    <row r="1642" spans="3:3">
      <c r="C1642"/>
    </row>
    <row r="1643" spans="3:3">
      <c r="C1643"/>
    </row>
    <row r="1644" spans="3:3">
      <c r="C1644"/>
    </row>
    <row r="1645" spans="3:3">
      <c r="C1645"/>
    </row>
    <row r="1646" spans="3:3">
      <c r="C1646"/>
    </row>
    <row r="1647" spans="3:3">
      <c r="C1647"/>
    </row>
    <row r="1648" spans="3:3">
      <c r="C1648"/>
    </row>
    <row r="1649" spans="3:3">
      <c r="C1649"/>
    </row>
    <row r="1650" spans="3:3">
      <c r="C1650"/>
    </row>
    <row r="1651" spans="3:3">
      <c r="C1651"/>
    </row>
    <row r="1652" spans="3:3">
      <c r="C1652"/>
    </row>
    <row r="1653" spans="3:3">
      <c r="C1653"/>
    </row>
    <row r="1654" spans="3:3">
      <c r="C1654"/>
    </row>
    <row r="1655" spans="3:3">
      <c r="C1655"/>
    </row>
    <row r="1656" spans="3:3">
      <c r="C1656"/>
    </row>
    <row r="1657" spans="3:3">
      <c r="C1657"/>
    </row>
    <row r="1658" spans="3:3">
      <c r="C1658"/>
    </row>
    <row r="1659" spans="3:3">
      <c r="C1659"/>
    </row>
    <row r="1660" spans="3:3">
      <c r="C1660"/>
    </row>
    <row r="1661" spans="3:3">
      <c r="C1661"/>
    </row>
    <row r="1662" spans="3:3">
      <c r="C1662"/>
    </row>
    <row r="1663" spans="3:3">
      <c r="C1663"/>
    </row>
    <row r="1664" spans="3:3">
      <c r="C1664"/>
    </row>
    <row r="1665" spans="3:3">
      <c r="C1665"/>
    </row>
    <row r="1666" spans="3:3">
      <c r="C1666"/>
    </row>
    <row r="1667" spans="3:3">
      <c r="C1667"/>
    </row>
    <row r="1668" spans="3:3">
      <c r="C1668"/>
    </row>
    <row r="1669" spans="3:3">
      <c r="C1669"/>
    </row>
    <row r="1670" spans="3:3">
      <c r="C1670"/>
    </row>
    <row r="1671" spans="3:3">
      <c r="C1671"/>
    </row>
    <row r="1672" spans="3:3">
      <c r="C1672"/>
    </row>
    <row r="1673" spans="3:3">
      <c r="C1673"/>
    </row>
    <row r="1674" spans="3:3">
      <c r="C1674"/>
    </row>
    <row r="1675" spans="3:3">
      <c r="C1675"/>
    </row>
    <row r="1676" spans="3:3">
      <c r="C1676"/>
    </row>
    <row r="1677" spans="3:3">
      <c r="C1677"/>
    </row>
    <row r="1678" spans="3:3">
      <c r="C1678"/>
    </row>
    <row r="1679" spans="3:3">
      <c r="C1679"/>
    </row>
    <row r="1680" spans="3:3">
      <c r="C1680"/>
    </row>
    <row r="1681" spans="3:3">
      <c r="C1681"/>
    </row>
    <row r="1682" spans="3:3">
      <c r="C1682"/>
    </row>
    <row r="1683" spans="3:3">
      <c r="C1683"/>
    </row>
    <row r="1684" spans="3:3">
      <c r="C1684"/>
    </row>
    <row r="1685" spans="3:3">
      <c r="C1685"/>
    </row>
    <row r="1686" spans="3:3">
      <c r="C1686"/>
    </row>
    <row r="1687" spans="3:3">
      <c r="C1687"/>
    </row>
    <row r="1688" spans="3:3">
      <c r="C1688"/>
    </row>
    <row r="1689" spans="3:3">
      <c r="C1689"/>
    </row>
    <row r="1690" spans="3:3">
      <c r="C1690"/>
    </row>
    <row r="1691" spans="3:3">
      <c r="C1691"/>
    </row>
    <row r="1692" spans="3:3">
      <c r="C1692"/>
    </row>
    <row r="1693" spans="3:3">
      <c r="C1693"/>
    </row>
    <row r="1694" spans="3:3">
      <c r="C1694"/>
    </row>
    <row r="1695" spans="3:3">
      <c r="C1695"/>
    </row>
    <row r="1696" spans="3:3">
      <c r="C1696"/>
    </row>
    <row r="1697" spans="3:3">
      <c r="C1697"/>
    </row>
    <row r="1698" spans="3:3">
      <c r="C1698"/>
    </row>
    <row r="1699" spans="3:3">
      <c r="C1699"/>
    </row>
    <row r="1700" spans="3:3">
      <c r="C1700"/>
    </row>
    <row r="1701" spans="3:3">
      <c r="C1701"/>
    </row>
    <row r="1702" spans="3:3">
      <c r="C1702"/>
    </row>
    <row r="1703" spans="3:3">
      <c r="C1703"/>
    </row>
    <row r="1704" spans="3:3">
      <c r="C1704"/>
    </row>
    <row r="1705" spans="3:3">
      <c r="C1705"/>
    </row>
    <row r="1706" spans="3:3">
      <c r="C1706"/>
    </row>
    <row r="1707" spans="3:3">
      <c r="C1707"/>
    </row>
    <row r="1708" spans="3:3">
      <c r="C1708"/>
    </row>
    <row r="1709" spans="3:3">
      <c r="C1709"/>
    </row>
    <row r="1710" spans="3:3">
      <c r="C1710"/>
    </row>
    <row r="1711" spans="3:3">
      <c r="C1711"/>
    </row>
    <row r="1712" spans="3:3">
      <c r="C1712"/>
    </row>
    <row r="1713" spans="3:3">
      <c r="C1713"/>
    </row>
    <row r="1714" spans="3:3">
      <c r="C1714"/>
    </row>
    <row r="1715" spans="3:3">
      <c r="C1715"/>
    </row>
    <row r="1716" spans="3:3">
      <c r="C1716"/>
    </row>
    <row r="1717" spans="3:3">
      <c r="C1717"/>
    </row>
    <row r="1718" spans="3:3">
      <c r="C1718"/>
    </row>
    <row r="1719" spans="3:3">
      <c r="C1719"/>
    </row>
    <row r="1720" spans="3:3">
      <c r="C1720"/>
    </row>
    <row r="1721" spans="3:3">
      <c r="C1721"/>
    </row>
    <row r="1722" spans="3:3">
      <c r="C1722"/>
    </row>
    <row r="1723" spans="3:3">
      <c r="C1723"/>
    </row>
    <row r="1724" spans="3:3">
      <c r="C1724"/>
    </row>
    <row r="1725" spans="3:3">
      <c r="C1725"/>
    </row>
    <row r="1726" spans="3:3">
      <c r="C1726"/>
    </row>
    <row r="1727" spans="3:3">
      <c r="C1727"/>
    </row>
    <row r="1728" spans="3:3">
      <c r="C1728"/>
    </row>
    <row r="1729" spans="3:3">
      <c r="C1729"/>
    </row>
    <row r="1730" spans="3:3">
      <c r="C1730"/>
    </row>
    <row r="1731" spans="3:3">
      <c r="C1731"/>
    </row>
    <row r="1732" spans="3:3">
      <c r="C1732"/>
    </row>
    <row r="1733" spans="3:3">
      <c r="C1733"/>
    </row>
    <row r="1734" spans="3:3">
      <c r="C1734"/>
    </row>
    <row r="1735" spans="3:3">
      <c r="C1735"/>
    </row>
    <row r="1736" spans="3:3">
      <c r="C1736"/>
    </row>
    <row r="1737" spans="3:3">
      <c r="C1737"/>
    </row>
    <row r="1738" spans="3:3">
      <c r="C1738"/>
    </row>
    <row r="1739" spans="3:3">
      <c r="C1739"/>
    </row>
    <row r="1740" spans="3:3">
      <c r="C1740"/>
    </row>
    <row r="1741" spans="3:3">
      <c r="C1741"/>
    </row>
    <row r="1742" spans="3:3">
      <c r="C1742"/>
    </row>
    <row r="1743" spans="3:3">
      <c r="C1743"/>
    </row>
    <row r="1744" spans="3:3">
      <c r="C1744"/>
    </row>
    <row r="1745" spans="3:3">
      <c r="C1745"/>
    </row>
    <row r="1746" spans="3:3">
      <c r="C1746"/>
    </row>
    <row r="1747" spans="3:3">
      <c r="C1747"/>
    </row>
    <row r="1748" spans="3:3">
      <c r="C1748"/>
    </row>
    <row r="1749" spans="3:3">
      <c r="C1749"/>
    </row>
    <row r="1750" spans="3:3">
      <c r="C1750"/>
    </row>
    <row r="1751" spans="3:3">
      <c r="C1751"/>
    </row>
    <row r="1752" spans="3:3">
      <c r="C1752"/>
    </row>
    <row r="1753" spans="3:3">
      <c r="C1753"/>
    </row>
    <row r="1754" spans="3:3">
      <c r="C1754"/>
    </row>
    <row r="1755" spans="3:3">
      <c r="C1755"/>
    </row>
    <row r="1756" spans="3:3">
      <c r="C1756"/>
    </row>
    <row r="1757" spans="3:3">
      <c r="C1757"/>
    </row>
    <row r="1758" spans="3:3">
      <c r="C1758"/>
    </row>
    <row r="1759" spans="3:3">
      <c r="C1759"/>
    </row>
    <row r="1760" spans="3:3">
      <c r="C1760"/>
    </row>
    <row r="1761" spans="3:3">
      <c r="C1761"/>
    </row>
    <row r="1762" spans="3:3">
      <c r="C1762"/>
    </row>
    <row r="1763" spans="3:3">
      <c r="C1763"/>
    </row>
    <row r="1764" spans="3:3">
      <c r="C1764"/>
    </row>
    <row r="1765" spans="3:3">
      <c r="C1765"/>
    </row>
    <row r="1766" spans="3:3">
      <c r="C1766"/>
    </row>
    <row r="1767" spans="3:3">
      <c r="C1767"/>
    </row>
    <row r="1768" spans="3:3">
      <c r="C1768"/>
    </row>
    <row r="1769" spans="3:3">
      <c r="C1769"/>
    </row>
    <row r="1770" spans="3:3">
      <c r="C1770"/>
    </row>
    <row r="1771" spans="3:3">
      <c r="C1771"/>
    </row>
    <row r="1772" spans="3:3">
      <c r="C1772"/>
    </row>
    <row r="1773" spans="3:3">
      <c r="C1773"/>
    </row>
    <row r="1774" spans="3:3">
      <c r="C1774"/>
    </row>
    <row r="1775" spans="3:3">
      <c r="C1775"/>
    </row>
    <row r="1776" spans="3:3">
      <c r="C1776"/>
    </row>
    <row r="1777" spans="3:3">
      <c r="C1777"/>
    </row>
    <row r="1778" spans="3:3">
      <c r="C1778"/>
    </row>
    <row r="1779" spans="3:3">
      <c r="C1779"/>
    </row>
    <row r="1780" spans="3:3">
      <c r="C1780"/>
    </row>
    <row r="1781" spans="3:3">
      <c r="C1781"/>
    </row>
    <row r="1782" spans="3:3">
      <c r="C1782"/>
    </row>
    <row r="1783" spans="3:3">
      <c r="C1783"/>
    </row>
    <row r="1784" spans="3:3">
      <c r="C1784"/>
    </row>
    <row r="1785" spans="3:3">
      <c r="C1785"/>
    </row>
    <row r="1786" spans="3:3">
      <c r="C1786"/>
    </row>
    <row r="1787" spans="3:3">
      <c r="C1787"/>
    </row>
    <row r="1788" spans="3:3">
      <c r="C1788"/>
    </row>
    <row r="1789" spans="3:3">
      <c r="C1789"/>
    </row>
    <row r="1790" spans="3:3">
      <c r="C1790"/>
    </row>
    <row r="1791" spans="3:3">
      <c r="C1791"/>
    </row>
    <row r="1792" spans="3:3">
      <c r="C1792"/>
    </row>
    <row r="1793" spans="3:3">
      <c r="C1793"/>
    </row>
    <row r="1794" spans="3:3">
      <c r="C1794"/>
    </row>
    <row r="1795" spans="3:3">
      <c r="C1795"/>
    </row>
    <row r="1796" spans="3:3">
      <c r="C1796"/>
    </row>
    <row r="1797" spans="3:3">
      <c r="C1797"/>
    </row>
    <row r="1798" spans="3:3">
      <c r="C1798"/>
    </row>
    <row r="1799" spans="3:3">
      <c r="C1799"/>
    </row>
    <row r="1800" spans="3:3">
      <c r="C1800"/>
    </row>
    <row r="1801" spans="3:3">
      <c r="C1801"/>
    </row>
    <row r="1802" spans="3:3">
      <c r="C1802"/>
    </row>
    <row r="1803" spans="3:3">
      <c r="C1803"/>
    </row>
    <row r="1804" spans="3:3">
      <c r="C1804"/>
    </row>
    <row r="1805" spans="3:3">
      <c r="C1805"/>
    </row>
    <row r="1806" spans="3:3">
      <c r="C1806"/>
    </row>
    <row r="1807" spans="3:3">
      <c r="C1807"/>
    </row>
    <row r="1808" spans="3:3">
      <c r="C1808"/>
    </row>
    <row r="1809" spans="3:3">
      <c r="C1809"/>
    </row>
    <row r="1810" spans="3:3">
      <c r="C1810"/>
    </row>
    <row r="1811" spans="3:3">
      <c r="C1811"/>
    </row>
    <row r="1812" spans="3:3">
      <c r="C1812"/>
    </row>
    <row r="1813" spans="3:3">
      <c r="C1813"/>
    </row>
    <row r="1814" spans="3:3">
      <c r="C1814"/>
    </row>
    <row r="1815" spans="3:3">
      <c r="C1815"/>
    </row>
    <row r="1816" spans="3:3">
      <c r="C1816"/>
    </row>
    <row r="1817" spans="3:3">
      <c r="C1817"/>
    </row>
    <row r="1818" spans="3:3">
      <c r="C1818"/>
    </row>
    <row r="1819" spans="3:3">
      <c r="C1819"/>
    </row>
    <row r="1820" spans="3:3">
      <c r="C1820"/>
    </row>
    <row r="1821" spans="3:3">
      <c r="C1821"/>
    </row>
    <row r="1822" spans="3:3">
      <c r="C1822"/>
    </row>
    <row r="1823" spans="3:3">
      <c r="C1823"/>
    </row>
    <row r="1824" spans="3:3">
      <c r="C1824"/>
    </row>
    <row r="1825" spans="3:3">
      <c r="C1825"/>
    </row>
    <row r="1826" spans="3:3">
      <c r="C1826"/>
    </row>
    <row r="1827" spans="3:3">
      <c r="C1827"/>
    </row>
    <row r="1828" spans="3:3">
      <c r="C1828"/>
    </row>
    <row r="1829" spans="3:3">
      <c r="C1829"/>
    </row>
    <row r="1830" spans="3:3">
      <c r="C1830"/>
    </row>
    <row r="1831" spans="3:3">
      <c r="C1831"/>
    </row>
    <row r="1832" spans="3:3">
      <c r="C1832"/>
    </row>
    <row r="1833" spans="3:3">
      <c r="C1833"/>
    </row>
    <row r="1834" spans="3:3">
      <c r="C1834"/>
    </row>
    <row r="1835" spans="3:3">
      <c r="C1835"/>
    </row>
    <row r="1836" spans="3:3">
      <c r="C1836"/>
    </row>
    <row r="1837" spans="3:3">
      <c r="C1837"/>
    </row>
    <row r="1838" spans="3:3">
      <c r="C1838"/>
    </row>
    <row r="1839" spans="3:3">
      <c r="C1839"/>
    </row>
    <row r="1840" spans="3:3">
      <c r="C1840"/>
    </row>
    <row r="1841" spans="3:3">
      <c r="C1841"/>
    </row>
    <row r="1842" spans="3:3">
      <c r="C1842"/>
    </row>
    <row r="1843" spans="3:3">
      <c r="C1843"/>
    </row>
    <row r="1844" spans="3:3">
      <c r="C1844"/>
    </row>
    <row r="1845" spans="3:3">
      <c r="C1845"/>
    </row>
    <row r="1846" spans="3:3">
      <c r="C1846"/>
    </row>
    <row r="1847" spans="3:3">
      <c r="C1847"/>
    </row>
    <row r="1848" spans="3:3">
      <c r="C1848"/>
    </row>
    <row r="1849" spans="3:3">
      <c r="C1849"/>
    </row>
    <row r="1850" spans="3:3">
      <c r="C1850"/>
    </row>
    <row r="1851" spans="3:3">
      <c r="C1851"/>
    </row>
    <row r="1852" spans="3:3">
      <c r="C1852"/>
    </row>
    <row r="1853" spans="3:3">
      <c r="C1853"/>
    </row>
    <row r="1854" spans="3:3">
      <c r="C1854"/>
    </row>
    <row r="1855" spans="3:3">
      <c r="C1855"/>
    </row>
    <row r="1856" spans="3:3">
      <c r="C1856"/>
    </row>
    <row r="1857" spans="3:3">
      <c r="C1857"/>
    </row>
    <row r="1858" spans="3:3">
      <c r="C1858"/>
    </row>
    <row r="1859" spans="3:3">
      <c r="C1859"/>
    </row>
    <row r="1860" spans="3:3">
      <c r="C1860"/>
    </row>
    <row r="1861" spans="3:3">
      <c r="C1861"/>
    </row>
    <row r="1862" spans="3:3">
      <c r="C1862"/>
    </row>
    <row r="1863" spans="3:3">
      <c r="C1863"/>
    </row>
    <row r="1864" spans="3:3">
      <c r="C1864"/>
    </row>
    <row r="1865" spans="3:3">
      <c r="C1865"/>
    </row>
    <row r="1866" spans="3:3">
      <c r="C1866"/>
    </row>
    <row r="1867" spans="3:3">
      <c r="C1867"/>
    </row>
    <row r="1868" spans="3:3">
      <c r="C1868"/>
    </row>
    <row r="1869" spans="3:3">
      <c r="C1869"/>
    </row>
    <row r="1870" spans="3:3">
      <c r="C1870"/>
    </row>
    <row r="1871" spans="3:3">
      <c r="C1871"/>
    </row>
    <row r="1872" spans="3:3">
      <c r="C1872"/>
    </row>
    <row r="1873" spans="3:3">
      <c r="C1873"/>
    </row>
    <row r="1874" spans="3:3">
      <c r="C1874"/>
    </row>
    <row r="1875" spans="3:3">
      <c r="C1875"/>
    </row>
    <row r="1876" spans="3:3">
      <c r="C1876"/>
    </row>
    <row r="1877" spans="3:3">
      <c r="C1877"/>
    </row>
    <row r="1878" spans="3:3">
      <c r="C1878"/>
    </row>
    <row r="1879" spans="3:3">
      <c r="C1879"/>
    </row>
    <row r="1880" spans="3:3">
      <c r="C1880"/>
    </row>
    <row r="1881" spans="3:3">
      <c r="C1881"/>
    </row>
    <row r="1882" spans="3:3">
      <c r="C1882"/>
    </row>
    <row r="1883" spans="3:3">
      <c r="C1883"/>
    </row>
    <row r="1884" spans="3:3">
      <c r="C1884"/>
    </row>
    <row r="1885" spans="3:3">
      <c r="C1885"/>
    </row>
    <row r="1886" spans="3:3">
      <c r="C1886"/>
    </row>
    <row r="1887" spans="3:3">
      <c r="C1887"/>
    </row>
    <row r="1888" spans="3:3">
      <c r="C1888"/>
    </row>
    <row r="1889" spans="3:3">
      <c r="C1889"/>
    </row>
    <row r="1890" spans="3:3">
      <c r="C1890"/>
    </row>
    <row r="1891" spans="3:3">
      <c r="C1891"/>
    </row>
    <row r="1892" spans="3:3">
      <c r="C1892"/>
    </row>
    <row r="1893" spans="3:3">
      <c r="C1893"/>
    </row>
    <row r="1894" spans="3:3">
      <c r="C1894"/>
    </row>
    <row r="1895" spans="3:3">
      <c r="C1895"/>
    </row>
    <row r="1896" spans="3:3">
      <c r="C1896"/>
    </row>
    <row r="1897" spans="3:3">
      <c r="C1897"/>
    </row>
    <row r="1898" spans="3:3">
      <c r="C1898"/>
    </row>
    <row r="1899" spans="3:3">
      <c r="C1899"/>
    </row>
    <row r="1900" spans="3:3">
      <c r="C1900"/>
    </row>
    <row r="1901" spans="3:3">
      <c r="C1901"/>
    </row>
    <row r="1902" spans="3:3">
      <c r="C1902"/>
    </row>
    <row r="1903" spans="3:3">
      <c r="C1903"/>
    </row>
    <row r="1904" spans="3:3">
      <c r="C1904"/>
    </row>
    <row r="1905" spans="3:3">
      <c r="C1905"/>
    </row>
    <row r="1906" spans="3:3">
      <c r="C1906"/>
    </row>
    <row r="1907" spans="3:3">
      <c r="C1907"/>
    </row>
    <row r="1908" spans="3:3">
      <c r="C1908"/>
    </row>
    <row r="1909" spans="3:3">
      <c r="C1909"/>
    </row>
    <row r="1910" spans="3:3">
      <c r="C1910"/>
    </row>
    <row r="1911" spans="3:3">
      <c r="C1911"/>
    </row>
    <row r="1912" spans="3:3">
      <c r="C1912"/>
    </row>
    <row r="1913" spans="3:3">
      <c r="C1913"/>
    </row>
    <row r="1914" spans="3:3">
      <c r="C1914"/>
    </row>
    <row r="1915" spans="3:3">
      <c r="C1915"/>
    </row>
    <row r="1916" spans="3:3">
      <c r="C1916"/>
    </row>
    <row r="1917" spans="3:3">
      <c r="C1917"/>
    </row>
    <row r="1918" spans="3:3">
      <c r="C1918"/>
    </row>
    <row r="1919" spans="3:3">
      <c r="C1919"/>
    </row>
    <row r="1920" spans="3:3">
      <c r="C1920"/>
    </row>
    <row r="1921" spans="3:3">
      <c r="C1921"/>
    </row>
    <row r="1922" spans="3:3">
      <c r="C1922"/>
    </row>
    <row r="1923" spans="3:3">
      <c r="C1923"/>
    </row>
    <row r="1924" spans="3:3">
      <c r="C1924"/>
    </row>
    <row r="1925" spans="3:3">
      <c r="C1925"/>
    </row>
    <row r="1926" spans="3:3">
      <c r="C1926"/>
    </row>
    <row r="1927" spans="3:3">
      <c r="C1927"/>
    </row>
    <row r="1928" spans="3:3">
      <c r="C1928"/>
    </row>
    <row r="1929" spans="3:3">
      <c r="C1929"/>
    </row>
    <row r="1930" spans="3:3">
      <c r="C1930"/>
    </row>
    <row r="1931" spans="3:3">
      <c r="C1931"/>
    </row>
    <row r="1932" spans="3:3">
      <c r="C1932"/>
    </row>
    <row r="1933" spans="3:3">
      <c r="C1933"/>
    </row>
    <row r="1934" spans="3:3">
      <c r="C1934"/>
    </row>
    <row r="1935" spans="3:3">
      <c r="C1935"/>
    </row>
    <row r="1936" spans="3:3">
      <c r="C1936"/>
    </row>
    <row r="1937" spans="3:3">
      <c r="C1937"/>
    </row>
    <row r="1938" spans="3:3">
      <c r="C1938"/>
    </row>
    <row r="1939" spans="3:3">
      <c r="C1939"/>
    </row>
    <row r="1940" spans="3:3">
      <c r="C1940"/>
    </row>
    <row r="1941" spans="3:3">
      <c r="C1941"/>
    </row>
    <row r="1942" spans="3:3">
      <c r="C1942"/>
    </row>
    <row r="1943" spans="3:3">
      <c r="C1943"/>
    </row>
    <row r="1944" spans="3:3">
      <c r="C1944"/>
    </row>
    <row r="1945" spans="3:3">
      <c r="C1945"/>
    </row>
    <row r="1946" spans="3:3">
      <c r="C1946"/>
    </row>
    <row r="1947" spans="3:3">
      <c r="C1947"/>
    </row>
    <row r="1948" spans="3:3">
      <c r="C1948"/>
    </row>
    <row r="1949" spans="3:3">
      <c r="C1949"/>
    </row>
    <row r="1950" spans="3:3">
      <c r="C1950"/>
    </row>
    <row r="1951" spans="3:3">
      <c r="C1951"/>
    </row>
    <row r="1952" spans="3:3">
      <c r="C1952"/>
    </row>
    <row r="1953" spans="3:3">
      <c r="C1953"/>
    </row>
    <row r="1954" spans="3:3">
      <c r="C1954"/>
    </row>
    <row r="1955" spans="3:3">
      <c r="C1955"/>
    </row>
    <row r="1956" spans="3:3">
      <c r="C1956"/>
    </row>
    <row r="1957" spans="3:3">
      <c r="C1957"/>
    </row>
    <row r="1958" spans="3:3">
      <c r="C1958"/>
    </row>
    <row r="1959" spans="3:3">
      <c r="C1959"/>
    </row>
    <row r="1960" spans="3:3">
      <c r="C1960"/>
    </row>
    <row r="1961" spans="3:3">
      <c r="C1961"/>
    </row>
    <row r="1962" spans="3:3">
      <c r="C1962"/>
    </row>
    <row r="1963" spans="3:3">
      <c r="C1963"/>
    </row>
    <row r="1964" spans="3:3">
      <c r="C1964"/>
    </row>
    <row r="1965" spans="3:3">
      <c r="C1965"/>
    </row>
    <row r="1966" spans="3:3">
      <c r="C1966"/>
    </row>
    <row r="1967" spans="3:3">
      <c r="C1967"/>
    </row>
    <row r="1968" spans="3:3">
      <c r="C1968"/>
    </row>
    <row r="1969" spans="3:3">
      <c r="C1969"/>
    </row>
    <row r="1970" spans="3:3">
      <c r="C1970"/>
    </row>
    <row r="1971" spans="3:3">
      <c r="C1971"/>
    </row>
    <row r="1972" spans="3:3">
      <c r="C1972"/>
    </row>
    <row r="1973" spans="3:3">
      <c r="C1973"/>
    </row>
    <row r="1974" spans="3:3">
      <c r="C1974"/>
    </row>
    <row r="1975" spans="3:3">
      <c r="C1975"/>
    </row>
    <row r="1976" spans="3:3">
      <c r="C1976"/>
    </row>
    <row r="1977" spans="3:3">
      <c r="C1977"/>
    </row>
    <row r="1978" spans="3:3">
      <c r="C1978"/>
    </row>
    <row r="1979" spans="3:3">
      <c r="C1979"/>
    </row>
    <row r="1980" spans="3:3">
      <c r="C1980"/>
    </row>
    <row r="1981" spans="3:3">
      <c r="C1981"/>
    </row>
    <row r="1982" spans="3:3">
      <c r="C1982"/>
    </row>
    <row r="1983" spans="3:3">
      <c r="C1983"/>
    </row>
    <row r="1984" spans="3:3">
      <c r="C1984"/>
    </row>
    <row r="1985" spans="3:3">
      <c r="C1985"/>
    </row>
    <row r="1986" spans="3:3">
      <c r="C1986"/>
    </row>
    <row r="1987" spans="3:3">
      <c r="C1987"/>
    </row>
    <row r="1988" spans="3:3">
      <c r="C1988"/>
    </row>
    <row r="1989" spans="3:3">
      <c r="C1989"/>
    </row>
    <row r="1990" spans="3:3">
      <c r="C1990"/>
    </row>
    <row r="1991" spans="3:3">
      <c r="C1991"/>
    </row>
    <row r="1992" spans="3:3">
      <c r="C1992"/>
    </row>
    <row r="1993" spans="3:3">
      <c r="C1993"/>
    </row>
    <row r="1994" spans="3:3">
      <c r="C1994"/>
    </row>
    <row r="1995" spans="3:3">
      <c r="C1995"/>
    </row>
    <row r="1996" spans="3:3">
      <c r="C1996"/>
    </row>
    <row r="1997" spans="3:3">
      <c r="C1997"/>
    </row>
    <row r="1998" spans="3:3">
      <c r="C1998"/>
    </row>
    <row r="1999" spans="3:3">
      <c r="C1999"/>
    </row>
    <row r="2000" spans="3:3">
      <c r="C2000"/>
    </row>
    <row r="2001" spans="3:3">
      <c r="C2001"/>
    </row>
    <row r="2002" spans="3:3">
      <c r="C2002"/>
    </row>
    <row r="2003" spans="3:3">
      <c r="C2003"/>
    </row>
    <row r="2004" spans="3:3">
      <c r="C2004"/>
    </row>
    <row r="2005" spans="3:3">
      <c r="C2005"/>
    </row>
    <row r="2006" spans="3:3">
      <c r="C2006"/>
    </row>
    <row r="2007" spans="3:3">
      <c r="C2007"/>
    </row>
    <row r="2008" spans="3:3">
      <c r="C2008"/>
    </row>
    <row r="2009" spans="3:3">
      <c r="C2009"/>
    </row>
    <row r="2010" spans="3:3">
      <c r="C2010"/>
    </row>
    <row r="2011" spans="3:3">
      <c r="C2011"/>
    </row>
    <row r="2012" spans="3:3">
      <c r="C2012"/>
    </row>
    <row r="2013" spans="3:3">
      <c r="C2013"/>
    </row>
    <row r="2014" spans="3:3">
      <c r="C2014"/>
    </row>
    <row r="2015" spans="3:3">
      <c r="C2015"/>
    </row>
    <row r="2016" spans="3:3">
      <c r="C2016"/>
    </row>
    <row r="2017" spans="3:3">
      <c r="C2017"/>
    </row>
    <row r="2018" spans="3:3">
      <c r="C2018"/>
    </row>
    <row r="2019" spans="3:3">
      <c r="C2019"/>
    </row>
    <row r="2020" spans="3:3">
      <c r="C2020"/>
    </row>
    <row r="2021" spans="3:3">
      <c r="C2021"/>
    </row>
    <row r="2022" spans="3:3">
      <c r="C2022"/>
    </row>
    <row r="2023" spans="3:3">
      <c r="C2023"/>
    </row>
    <row r="2024" spans="3:3">
      <c r="C2024"/>
    </row>
    <row r="2025" spans="3:3">
      <c r="C2025"/>
    </row>
    <row r="2026" spans="3:3">
      <c r="C2026"/>
    </row>
    <row r="2027" spans="3:3">
      <c r="C2027"/>
    </row>
    <row r="2028" spans="3:3">
      <c r="C2028"/>
    </row>
    <row r="2029" spans="3:3">
      <c r="C2029"/>
    </row>
    <row r="2030" spans="3:3">
      <c r="C2030"/>
    </row>
    <row r="2031" spans="3:3">
      <c r="C2031"/>
    </row>
    <row r="2032" spans="3:3">
      <c r="C2032"/>
    </row>
    <row r="2033" spans="3:3">
      <c r="C2033"/>
    </row>
    <row r="2034" spans="3:3">
      <c r="C2034"/>
    </row>
    <row r="2035" spans="3:3">
      <c r="C2035"/>
    </row>
    <row r="2036" spans="3:3">
      <c r="C2036"/>
    </row>
    <row r="2037" spans="3:3">
      <c r="C2037"/>
    </row>
    <row r="2038" spans="3:3">
      <c r="C2038"/>
    </row>
    <row r="2039" spans="3:3">
      <c r="C2039"/>
    </row>
    <row r="2040" spans="3:3">
      <c r="C2040"/>
    </row>
    <row r="2041" spans="3:3">
      <c r="C2041"/>
    </row>
    <row r="2042" spans="3:3">
      <c r="C2042"/>
    </row>
    <row r="2043" spans="3:3">
      <c r="C2043"/>
    </row>
    <row r="2044" spans="3:3">
      <c r="C2044"/>
    </row>
    <row r="2045" spans="3:3">
      <c r="C2045"/>
    </row>
    <row r="2046" spans="3:3">
      <c r="C2046"/>
    </row>
    <row r="2047" spans="3:3">
      <c r="C2047"/>
    </row>
    <row r="2048" spans="3:3">
      <c r="C2048"/>
    </row>
    <row r="2049" spans="3:3">
      <c r="C2049"/>
    </row>
    <row r="2050" spans="3:3">
      <c r="C2050"/>
    </row>
    <row r="2051" spans="3:3">
      <c r="C2051"/>
    </row>
    <row r="2052" spans="3:3">
      <c r="C2052"/>
    </row>
    <row r="2053" spans="3:3">
      <c r="C2053"/>
    </row>
    <row r="2054" spans="3:3">
      <c r="C2054"/>
    </row>
    <row r="2055" spans="3:3">
      <c r="C2055"/>
    </row>
    <row r="2056" spans="3:3">
      <c r="C2056"/>
    </row>
    <row r="2057" spans="3:3">
      <c r="C2057"/>
    </row>
    <row r="2058" spans="3:3">
      <c r="C2058"/>
    </row>
    <row r="2059" spans="3:3">
      <c r="C2059"/>
    </row>
    <row r="2060" spans="3:3">
      <c r="C2060"/>
    </row>
    <row r="2061" spans="3:3">
      <c r="C2061"/>
    </row>
    <row r="2062" spans="3:3">
      <c r="C2062"/>
    </row>
    <row r="2063" spans="3:3">
      <c r="C2063"/>
    </row>
    <row r="2064" spans="3:3">
      <c r="C2064"/>
    </row>
    <row r="2065" spans="3:3">
      <c r="C2065"/>
    </row>
    <row r="2066" spans="3:3">
      <c r="C2066"/>
    </row>
    <row r="2067" spans="3:3">
      <c r="C2067"/>
    </row>
    <row r="2068" spans="3:3">
      <c r="C2068"/>
    </row>
    <row r="2069" spans="3:3">
      <c r="C2069"/>
    </row>
    <row r="2070" spans="3:3">
      <c r="C2070"/>
    </row>
    <row r="2071" spans="3:3">
      <c r="C2071"/>
    </row>
    <row r="2072" spans="3:3">
      <c r="C2072"/>
    </row>
    <row r="2073" spans="3:3">
      <c r="C2073"/>
    </row>
    <row r="2074" spans="3:3">
      <c r="C2074"/>
    </row>
    <row r="2075" spans="3:3">
      <c r="C2075"/>
    </row>
    <row r="2076" spans="3:3">
      <c r="C2076"/>
    </row>
    <row r="2077" spans="3:3">
      <c r="C2077"/>
    </row>
    <row r="2078" spans="3:3">
      <c r="C2078"/>
    </row>
    <row r="2079" spans="3:3">
      <c r="C2079"/>
    </row>
    <row r="2080" spans="3:3">
      <c r="C2080"/>
    </row>
    <row r="2081" spans="3:3">
      <c r="C2081"/>
    </row>
    <row r="2082" spans="3:3">
      <c r="C2082"/>
    </row>
    <row r="2083" spans="3:3">
      <c r="C2083"/>
    </row>
    <row r="2084" spans="3:3">
      <c r="C2084"/>
    </row>
    <row r="2085" spans="3:3">
      <c r="C2085"/>
    </row>
    <row r="2086" spans="3:3">
      <c r="C2086"/>
    </row>
    <row r="2087" spans="3:3">
      <c r="C2087"/>
    </row>
    <row r="2088" spans="3:3">
      <c r="C2088"/>
    </row>
    <row r="2089" spans="3:3">
      <c r="C2089"/>
    </row>
    <row r="2090" spans="3:3">
      <c r="C2090"/>
    </row>
    <row r="2091" spans="3:3">
      <c r="C2091"/>
    </row>
    <row r="2092" spans="3:3">
      <c r="C2092"/>
    </row>
    <row r="2093" spans="3:3">
      <c r="C2093"/>
    </row>
    <row r="2094" spans="3:3">
      <c r="C2094"/>
    </row>
    <row r="2095" spans="3:3">
      <c r="C2095"/>
    </row>
    <row r="2096" spans="3:3">
      <c r="C2096"/>
    </row>
    <row r="2097" spans="3:3">
      <c r="C2097"/>
    </row>
    <row r="2098" spans="3:3">
      <c r="C2098"/>
    </row>
    <row r="2099" spans="3:3">
      <c r="C2099"/>
    </row>
    <row r="2100" spans="3:3">
      <c r="C2100"/>
    </row>
    <row r="2101" spans="3:3">
      <c r="C2101"/>
    </row>
    <row r="2102" spans="3:3">
      <c r="C2102"/>
    </row>
    <row r="2103" spans="3:3">
      <c r="C2103"/>
    </row>
    <row r="2104" spans="3:3">
      <c r="C2104"/>
    </row>
    <row r="2105" spans="3:3">
      <c r="C2105"/>
    </row>
    <row r="2106" spans="3:3">
      <c r="C2106"/>
    </row>
    <row r="2107" spans="3:3">
      <c r="C2107"/>
    </row>
    <row r="2108" spans="3:3">
      <c r="C2108"/>
    </row>
    <row r="2109" spans="3:3">
      <c r="C2109"/>
    </row>
    <row r="2110" spans="3:3">
      <c r="C2110"/>
    </row>
    <row r="2111" spans="3:3">
      <c r="C2111"/>
    </row>
    <row r="2112" spans="3:3">
      <c r="C2112"/>
    </row>
    <row r="2113" spans="3:3">
      <c r="C2113"/>
    </row>
    <row r="2114" spans="3:3">
      <c r="C2114"/>
    </row>
    <row r="2115" spans="3:3">
      <c r="C2115"/>
    </row>
    <row r="2116" spans="3:3">
      <c r="C2116"/>
    </row>
    <row r="2117" spans="3:3">
      <c r="C2117"/>
    </row>
    <row r="2118" spans="3:3">
      <c r="C2118"/>
    </row>
    <row r="2119" spans="3:3">
      <c r="C2119"/>
    </row>
    <row r="2120" spans="3:3">
      <c r="C2120"/>
    </row>
    <row r="2121" spans="3:3">
      <c r="C2121"/>
    </row>
    <row r="2122" spans="3:3">
      <c r="C2122"/>
    </row>
    <row r="2123" spans="3:3">
      <c r="C2123"/>
    </row>
    <row r="2124" spans="3:3">
      <c r="C2124"/>
    </row>
    <row r="2125" spans="3:3">
      <c r="C2125"/>
    </row>
    <row r="2126" spans="3:3">
      <c r="C2126"/>
    </row>
    <row r="2127" spans="3:3">
      <c r="C2127"/>
    </row>
    <row r="2128" spans="3:3">
      <c r="C2128"/>
    </row>
    <row r="2129" spans="3:3">
      <c r="C2129"/>
    </row>
    <row r="2130" spans="3:3">
      <c r="C2130"/>
    </row>
    <row r="2131" spans="3:3">
      <c r="C2131"/>
    </row>
    <row r="2132" spans="3:3">
      <c r="C2132"/>
    </row>
    <row r="2133" spans="3:3">
      <c r="C2133"/>
    </row>
    <row r="2134" spans="3:3">
      <c r="C2134"/>
    </row>
    <row r="2135" spans="3:3">
      <c r="C2135"/>
    </row>
    <row r="2136" spans="3:3">
      <c r="C2136"/>
    </row>
    <row r="2137" spans="3:3">
      <c r="C2137"/>
    </row>
    <row r="2138" spans="3:3">
      <c r="C2138"/>
    </row>
    <row r="2139" spans="3:3">
      <c r="C2139"/>
    </row>
    <row r="2140" spans="3:3">
      <c r="C2140"/>
    </row>
    <row r="2141" spans="3:3">
      <c r="C2141"/>
    </row>
    <row r="2142" spans="3:3">
      <c r="C2142"/>
    </row>
    <row r="2143" spans="3:3">
      <c r="C2143"/>
    </row>
    <row r="2144" spans="3:3">
      <c r="C2144"/>
    </row>
    <row r="2145" spans="3:3">
      <c r="C2145"/>
    </row>
    <row r="2146" spans="3:3">
      <c r="C2146"/>
    </row>
    <row r="2147" spans="3:3">
      <c r="C2147"/>
    </row>
    <row r="2148" spans="3:3">
      <c r="C2148"/>
    </row>
    <row r="2149" spans="3:3">
      <c r="C2149"/>
    </row>
    <row r="2150" spans="3:3">
      <c r="C2150"/>
    </row>
    <row r="2151" spans="3:3">
      <c r="C2151"/>
    </row>
    <row r="2152" spans="3:3">
      <c r="C2152"/>
    </row>
    <row r="2153" spans="3:3">
      <c r="C2153"/>
    </row>
    <row r="2154" spans="3:3">
      <c r="C2154"/>
    </row>
    <row r="2155" spans="3:3">
      <c r="C2155"/>
    </row>
    <row r="2156" spans="3:3">
      <c r="C2156"/>
    </row>
    <row r="2157" spans="3:3">
      <c r="C2157"/>
    </row>
    <row r="2158" spans="3:3">
      <c r="C2158"/>
    </row>
    <row r="2159" spans="3:3">
      <c r="C2159"/>
    </row>
    <row r="2160" spans="3:3">
      <c r="C2160"/>
    </row>
    <row r="2161" spans="3:3">
      <c r="C2161"/>
    </row>
    <row r="2162" spans="3:3">
      <c r="C2162"/>
    </row>
    <row r="2163" spans="3:3">
      <c r="C2163"/>
    </row>
    <row r="2164" spans="3:3">
      <c r="C2164"/>
    </row>
    <row r="2165" spans="3:3">
      <c r="C2165"/>
    </row>
    <row r="2166" spans="3:3">
      <c r="C2166"/>
    </row>
    <row r="2167" spans="3:3">
      <c r="C2167"/>
    </row>
    <row r="2168" spans="3:3">
      <c r="C2168"/>
    </row>
    <row r="2169" spans="3:3">
      <c r="C2169"/>
    </row>
    <row r="2170" spans="3:3">
      <c r="C2170"/>
    </row>
    <row r="2171" spans="3:3">
      <c r="C2171"/>
    </row>
    <row r="2172" spans="3:3">
      <c r="C2172"/>
    </row>
    <row r="2173" spans="3:3">
      <c r="C2173"/>
    </row>
    <row r="2174" spans="3:3">
      <c r="C2174"/>
    </row>
    <row r="2175" spans="3:3">
      <c r="C2175"/>
    </row>
    <row r="2176" spans="3:3">
      <c r="C2176"/>
    </row>
    <row r="2177" spans="3:3">
      <c r="C2177"/>
    </row>
    <row r="2178" spans="3:3">
      <c r="C2178"/>
    </row>
    <row r="2179" spans="3:3">
      <c r="C2179"/>
    </row>
    <row r="2180" spans="3:3">
      <c r="C2180"/>
    </row>
    <row r="2181" spans="3:3">
      <c r="C2181"/>
    </row>
    <row r="2182" spans="3:3">
      <c r="C2182"/>
    </row>
    <row r="2183" spans="3:3">
      <c r="C2183"/>
    </row>
    <row r="2184" spans="3:3">
      <c r="C2184"/>
    </row>
    <row r="2185" spans="3:3">
      <c r="C2185"/>
    </row>
    <row r="2186" spans="3:3">
      <c r="C2186"/>
    </row>
    <row r="2187" spans="3:3">
      <c r="C2187"/>
    </row>
    <row r="2188" spans="3:3">
      <c r="C2188"/>
    </row>
    <row r="2189" spans="3:3">
      <c r="C2189"/>
    </row>
    <row r="2190" spans="3:3">
      <c r="C2190"/>
    </row>
    <row r="2191" spans="3:3">
      <c r="C2191"/>
    </row>
    <row r="2192" spans="3:3">
      <c r="C2192"/>
    </row>
    <row r="2193" spans="3:3">
      <c r="C2193"/>
    </row>
    <row r="2194" spans="3:3">
      <c r="C2194"/>
    </row>
    <row r="2195" spans="3:3">
      <c r="C2195"/>
    </row>
    <row r="2196" spans="3:3">
      <c r="C2196"/>
    </row>
    <row r="2197" spans="3:3">
      <c r="C2197"/>
    </row>
    <row r="2198" spans="3:3">
      <c r="C2198"/>
    </row>
    <row r="2199" spans="3:3">
      <c r="C2199"/>
    </row>
    <row r="2200" spans="3:3">
      <c r="C2200"/>
    </row>
    <row r="2201" spans="3:3">
      <c r="C2201"/>
    </row>
    <row r="2202" spans="3:3">
      <c r="C2202"/>
    </row>
    <row r="2203" spans="3:3">
      <c r="C2203"/>
    </row>
    <row r="2204" spans="3:3">
      <c r="C2204"/>
    </row>
    <row r="2205" spans="3:3">
      <c r="C2205"/>
    </row>
    <row r="2206" spans="3:3">
      <c r="C2206"/>
    </row>
    <row r="2207" spans="3:3">
      <c r="C2207"/>
    </row>
    <row r="2208" spans="3:3">
      <c r="C2208"/>
    </row>
    <row r="2209" spans="3:3">
      <c r="C2209"/>
    </row>
    <row r="2210" spans="3:3">
      <c r="C2210"/>
    </row>
    <row r="2211" spans="3:3">
      <c r="C2211"/>
    </row>
    <row r="2212" spans="3:3">
      <c r="C2212"/>
    </row>
    <row r="2213" spans="3:3">
      <c r="C2213"/>
    </row>
    <row r="2214" spans="3:3">
      <c r="C2214"/>
    </row>
    <row r="2215" spans="3:3">
      <c r="C2215"/>
    </row>
    <row r="2216" spans="3:3">
      <c r="C2216"/>
    </row>
    <row r="2217" spans="3:3">
      <c r="C2217"/>
    </row>
    <row r="2218" spans="3:3">
      <c r="C2218"/>
    </row>
    <row r="2219" spans="3:3">
      <c r="C2219"/>
    </row>
    <row r="2220" spans="3:3">
      <c r="C2220"/>
    </row>
    <row r="2221" spans="3:3">
      <c r="C2221"/>
    </row>
    <row r="2222" spans="3:3">
      <c r="C2222"/>
    </row>
    <row r="2223" spans="3:3">
      <c r="C2223"/>
    </row>
    <row r="2224" spans="3:3">
      <c r="C2224"/>
    </row>
    <row r="2225" spans="3:3">
      <c r="C2225"/>
    </row>
    <row r="2226" spans="3:3">
      <c r="C2226"/>
    </row>
    <row r="2227" spans="3:3">
      <c r="C2227"/>
    </row>
    <row r="2228" spans="3:3">
      <c r="C2228"/>
    </row>
    <row r="2229" spans="3:3">
      <c r="C2229"/>
    </row>
    <row r="2230" spans="3:3">
      <c r="C2230"/>
    </row>
    <row r="2231" spans="3:3">
      <c r="C2231"/>
    </row>
    <row r="2232" spans="3:3">
      <c r="C2232"/>
    </row>
    <row r="2233" spans="3:3">
      <c r="C2233"/>
    </row>
    <row r="2234" spans="3:3">
      <c r="C2234"/>
    </row>
    <row r="2235" spans="3:3">
      <c r="C2235"/>
    </row>
    <row r="2236" spans="3:3">
      <c r="C2236"/>
    </row>
    <row r="2237" spans="3:3">
      <c r="C2237"/>
    </row>
    <row r="2238" spans="3:3">
      <c r="C2238"/>
    </row>
    <row r="2239" spans="3:3">
      <c r="C2239"/>
    </row>
    <row r="2240" spans="3:3">
      <c r="C2240"/>
    </row>
    <row r="2241" spans="3:3">
      <c r="C2241"/>
    </row>
    <row r="2242" spans="3:3">
      <c r="C2242"/>
    </row>
    <row r="2243" spans="3:3">
      <c r="C2243"/>
    </row>
    <row r="2244" spans="3:3">
      <c r="C2244"/>
    </row>
    <row r="2245" spans="3:3">
      <c r="C2245"/>
    </row>
    <row r="2246" spans="3:3">
      <c r="C2246"/>
    </row>
    <row r="2247" spans="3:3">
      <c r="C2247"/>
    </row>
    <row r="2248" spans="3:3">
      <c r="C2248"/>
    </row>
    <row r="2249" spans="3:3">
      <c r="C2249"/>
    </row>
    <row r="2250" spans="3:3">
      <c r="C2250"/>
    </row>
    <row r="2251" spans="3:3">
      <c r="C2251"/>
    </row>
    <row r="2252" spans="3:3">
      <c r="C2252"/>
    </row>
    <row r="2253" spans="3:3">
      <c r="C2253"/>
    </row>
    <row r="2254" spans="3:3">
      <c r="C2254"/>
    </row>
    <row r="2255" spans="3:3">
      <c r="C2255"/>
    </row>
    <row r="2256" spans="3:3">
      <c r="C2256"/>
    </row>
    <row r="2257" spans="3:3">
      <c r="C2257"/>
    </row>
    <row r="2258" spans="3:3">
      <c r="C2258"/>
    </row>
    <row r="2259" spans="3:3">
      <c r="C2259"/>
    </row>
    <row r="2260" spans="3:3">
      <c r="C2260"/>
    </row>
    <row r="2261" spans="3:3">
      <c r="C2261"/>
    </row>
    <row r="2262" spans="3:3">
      <c r="C2262"/>
    </row>
    <row r="2263" spans="3:3">
      <c r="C2263"/>
    </row>
    <row r="2264" spans="3:3">
      <c r="C2264"/>
    </row>
    <row r="2265" spans="3:3">
      <c r="C2265"/>
    </row>
    <row r="2266" spans="3:3">
      <c r="C2266"/>
    </row>
    <row r="2267" spans="3:3">
      <c r="C2267"/>
    </row>
    <row r="2268" spans="3:3">
      <c r="C2268"/>
    </row>
    <row r="2269" spans="3:3">
      <c r="C2269"/>
    </row>
    <row r="2270" spans="3:3">
      <c r="C2270"/>
    </row>
    <row r="2271" spans="3:3">
      <c r="C2271"/>
    </row>
    <row r="2272" spans="3:3">
      <c r="C2272"/>
    </row>
    <row r="2273" spans="3:3">
      <c r="C2273"/>
    </row>
    <row r="2274" spans="3:3">
      <c r="C2274"/>
    </row>
    <row r="2275" spans="3:3">
      <c r="C2275"/>
    </row>
    <row r="2276" spans="3:3">
      <c r="C2276"/>
    </row>
    <row r="2277" spans="3:3">
      <c r="C2277"/>
    </row>
    <row r="2278" spans="3:3">
      <c r="C2278"/>
    </row>
    <row r="2279" spans="3:3">
      <c r="C2279"/>
    </row>
    <row r="2280" spans="3:3">
      <c r="C2280"/>
    </row>
    <row r="2281" spans="3:3">
      <c r="C2281"/>
    </row>
    <row r="2282" spans="3:3">
      <c r="C2282"/>
    </row>
    <row r="2283" spans="3:3">
      <c r="C2283"/>
    </row>
    <row r="2284" spans="3:3">
      <c r="C2284"/>
    </row>
    <row r="2285" spans="3:3">
      <c r="C2285"/>
    </row>
    <row r="2286" spans="3:3">
      <c r="C2286"/>
    </row>
    <row r="2287" spans="3:3">
      <c r="C2287"/>
    </row>
    <row r="2288" spans="3:3">
      <c r="C2288"/>
    </row>
    <row r="2289" spans="3:3">
      <c r="C2289"/>
    </row>
    <row r="2290" spans="3:3">
      <c r="C2290"/>
    </row>
    <row r="2291" spans="3:3">
      <c r="C2291"/>
    </row>
    <row r="2292" spans="3:3">
      <c r="C2292"/>
    </row>
    <row r="2293" spans="3:3">
      <c r="C2293"/>
    </row>
    <row r="2294" spans="3:3">
      <c r="C2294"/>
    </row>
    <row r="2295" spans="3:3">
      <c r="C2295"/>
    </row>
    <row r="2296" spans="3:3">
      <c r="C2296"/>
    </row>
    <row r="2297" spans="3:3">
      <c r="C2297"/>
    </row>
    <row r="2298" spans="3:3">
      <c r="C2298"/>
    </row>
    <row r="2299" spans="3:3">
      <c r="C2299"/>
    </row>
    <row r="2300" spans="3:3">
      <c r="C2300"/>
    </row>
    <row r="2301" spans="3:3">
      <c r="C2301"/>
    </row>
    <row r="2302" spans="3:3">
      <c r="C2302"/>
    </row>
    <row r="2303" spans="3:3">
      <c r="C2303"/>
    </row>
    <row r="2304" spans="3:3">
      <c r="C2304"/>
    </row>
    <row r="2305" spans="3:3">
      <c r="C2305"/>
    </row>
    <row r="2306" spans="3:3">
      <c r="C2306"/>
    </row>
    <row r="2307" spans="3:3">
      <c r="C2307"/>
    </row>
    <row r="2308" spans="3:3">
      <c r="C2308"/>
    </row>
    <row r="2309" spans="3:3">
      <c r="C2309"/>
    </row>
    <row r="2310" spans="3:3">
      <c r="C2310"/>
    </row>
    <row r="2311" spans="3:3">
      <c r="C2311"/>
    </row>
    <row r="2312" spans="3:3">
      <c r="C2312"/>
    </row>
    <row r="2313" spans="3:3">
      <c r="C2313"/>
    </row>
    <row r="2314" spans="3:3">
      <c r="C2314"/>
    </row>
    <row r="2315" spans="3:3">
      <c r="C2315"/>
    </row>
    <row r="2316" spans="3:3">
      <c r="C2316"/>
    </row>
    <row r="2317" spans="3:3">
      <c r="C2317"/>
    </row>
    <row r="2318" spans="3:3">
      <c r="C2318"/>
    </row>
    <row r="2319" spans="3:3">
      <c r="C2319"/>
    </row>
    <row r="2320" spans="3:3">
      <c r="C2320"/>
    </row>
    <row r="2321" spans="3:3">
      <c r="C2321"/>
    </row>
    <row r="2322" spans="3:3">
      <c r="C2322"/>
    </row>
    <row r="2323" spans="3:3">
      <c r="C2323"/>
    </row>
    <row r="2324" spans="3:3">
      <c r="C2324"/>
    </row>
    <row r="2325" spans="3:3">
      <c r="C2325"/>
    </row>
    <row r="2326" spans="3:3">
      <c r="C2326"/>
    </row>
    <row r="2327" spans="3:3">
      <c r="C2327"/>
    </row>
    <row r="2328" spans="3:3">
      <c r="C2328"/>
    </row>
    <row r="2329" spans="3:3">
      <c r="C2329"/>
    </row>
    <row r="2330" spans="3:3">
      <c r="C2330"/>
    </row>
    <row r="2331" spans="3:3">
      <c r="C2331"/>
    </row>
    <row r="2332" spans="3:3">
      <c r="C2332"/>
    </row>
    <row r="2333" spans="3:3">
      <c r="C2333"/>
    </row>
    <row r="2334" spans="3:3">
      <c r="C2334"/>
    </row>
    <row r="2335" spans="3:3">
      <c r="C2335"/>
    </row>
    <row r="2336" spans="3:3">
      <c r="C2336"/>
    </row>
    <row r="2337" spans="3:3">
      <c r="C2337"/>
    </row>
    <row r="2338" spans="3:3">
      <c r="C2338"/>
    </row>
    <row r="2339" spans="3:3">
      <c r="C2339"/>
    </row>
    <row r="2340" spans="3:3">
      <c r="C2340"/>
    </row>
    <row r="2341" spans="3:3">
      <c r="C2341"/>
    </row>
    <row r="2342" spans="3:3">
      <c r="C2342"/>
    </row>
    <row r="2343" spans="3:3">
      <c r="C2343"/>
    </row>
    <row r="2344" spans="3:3">
      <c r="C2344"/>
    </row>
    <row r="2345" spans="3:3">
      <c r="C2345"/>
    </row>
    <row r="2346" spans="3:3">
      <c r="C2346"/>
    </row>
    <row r="2347" spans="3:3">
      <c r="C2347"/>
    </row>
    <row r="2348" spans="3:3">
      <c r="C2348"/>
    </row>
    <row r="2349" spans="3:3">
      <c r="C2349"/>
    </row>
    <row r="2350" spans="3:3">
      <c r="C2350"/>
    </row>
    <row r="2351" spans="3:3">
      <c r="C2351"/>
    </row>
    <row r="2352" spans="3:3">
      <c r="C2352"/>
    </row>
    <row r="2353" spans="3:3">
      <c r="C2353"/>
    </row>
    <row r="2354" spans="3:3">
      <c r="C2354"/>
    </row>
    <row r="2355" spans="3:3">
      <c r="C2355"/>
    </row>
    <row r="2356" spans="3:3">
      <c r="C2356"/>
    </row>
    <row r="2357" spans="3:3">
      <c r="C2357"/>
    </row>
    <row r="2358" spans="3:3">
      <c r="C2358"/>
    </row>
    <row r="2359" spans="3:3">
      <c r="C2359"/>
    </row>
    <row r="2360" spans="3:3">
      <c r="C2360"/>
    </row>
    <row r="2361" spans="3:3">
      <c r="C2361"/>
    </row>
    <row r="2362" spans="3:3">
      <c r="C2362"/>
    </row>
    <row r="2363" spans="3:3">
      <c r="C2363"/>
    </row>
    <row r="2364" spans="3:3">
      <c r="C2364"/>
    </row>
    <row r="2365" spans="3:3">
      <c r="C2365"/>
    </row>
    <row r="2366" spans="3:3">
      <c r="C2366"/>
    </row>
    <row r="2367" spans="3:3">
      <c r="C2367"/>
    </row>
    <row r="2368" spans="3:3">
      <c r="C2368"/>
    </row>
    <row r="2369" spans="3:3">
      <c r="C2369"/>
    </row>
    <row r="2370" spans="3:3">
      <c r="C2370"/>
    </row>
    <row r="2371" spans="3:3">
      <c r="C2371"/>
    </row>
    <row r="2372" spans="3:3">
      <c r="C2372"/>
    </row>
    <row r="2373" spans="3:3">
      <c r="C2373"/>
    </row>
    <row r="2374" spans="3:3">
      <c r="C2374"/>
    </row>
    <row r="2375" spans="3:3">
      <c r="C2375"/>
    </row>
    <row r="2376" spans="3:3">
      <c r="C2376"/>
    </row>
    <row r="2377" spans="3:3">
      <c r="C2377"/>
    </row>
    <row r="2378" spans="3:3">
      <c r="C2378"/>
    </row>
    <row r="2379" spans="3:3">
      <c r="C2379"/>
    </row>
    <row r="2380" spans="3:3">
      <c r="C2380"/>
    </row>
    <row r="2381" spans="3:3">
      <c r="C2381"/>
    </row>
    <row r="2382" spans="3:3">
      <c r="C2382"/>
    </row>
    <row r="2383" spans="3:3">
      <c r="C2383"/>
    </row>
    <row r="2384" spans="3:3">
      <c r="C2384"/>
    </row>
    <row r="2385" spans="3:3">
      <c r="C2385"/>
    </row>
    <row r="2386" spans="3:3">
      <c r="C2386"/>
    </row>
    <row r="2387" spans="3:3">
      <c r="C2387"/>
    </row>
    <row r="2388" spans="3:3">
      <c r="C2388"/>
    </row>
    <row r="2389" spans="3:3">
      <c r="C2389"/>
    </row>
    <row r="2390" spans="3:3">
      <c r="C2390"/>
    </row>
    <row r="2391" spans="3:3">
      <c r="C2391"/>
    </row>
    <row r="2392" spans="3:3">
      <c r="C2392"/>
    </row>
    <row r="2393" spans="3:3">
      <c r="C2393"/>
    </row>
    <row r="2394" spans="3:3">
      <c r="C2394"/>
    </row>
    <row r="2395" spans="3:3">
      <c r="C2395"/>
    </row>
    <row r="2396" spans="3:3">
      <c r="C2396"/>
    </row>
    <row r="2397" spans="3:3">
      <c r="C2397"/>
    </row>
    <row r="2398" spans="3:3">
      <c r="C2398"/>
    </row>
    <row r="2399" spans="3:3">
      <c r="C2399"/>
    </row>
    <row r="2400" spans="3:3">
      <c r="C2400"/>
    </row>
    <row r="2401" spans="3:3">
      <c r="C2401"/>
    </row>
    <row r="2402" spans="3:3">
      <c r="C2402"/>
    </row>
    <row r="2403" spans="3:3">
      <c r="C2403"/>
    </row>
    <row r="2404" spans="3:3">
      <c r="C2404"/>
    </row>
    <row r="2405" spans="3:3">
      <c r="C2405"/>
    </row>
    <row r="2406" spans="3:3">
      <c r="C2406"/>
    </row>
    <row r="2407" spans="3:3">
      <c r="C2407"/>
    </row>
    <row r="2408" spans="3:3">
      <c r="C2408"/>
    </row>
    <row r="2409" spans="3:3">
      <c r="C2409"/>
    </row>
    <row r="2410" spans="3:3">
      <c r="C2410"/>
    </row>
    <row r="2411" spans="3:3">
      <c r="C2411"/>
    </row>
    <row r="2412" spans="3:3">
      <c r="C2412"/>
    </row>
    <row r="2413" spans="3:3">
      <c r="C2413"/>
    </row>
    <row r="2414" spans="3:3">
      <c r="C2414"/>
    </row>
    <row r="2415" spans="3:3">
      <c r="C2415"/>
    </row>
    <row r="2416" spans="3:3">
      <c r="C2416"/>
    </row>
    <row r="2417" spans="3:3">
      <c r="C2417"/>
    </row>
    <row r="2418" spans="3:3">
      <c r="C2418"/>
    </row>
    <row r="2419" spans="3:3">
      <c r="C2419"/>
    </row>
    <row r="2420" spans="3:3">
      <c r="C2420"/>
    </row>
    <row r="2421" spans="3:3">
      <c r="C2421"/>
    </row>
    <row r="2422" spans="3:3">
      <c r="C2422"/>
    </row>
    <row r="2423" spans="3:3">
      <c r="C2423"/>
    </row>
    <row r="2424" spans="3:3">
      <c r="C2424"/>
    </row>
    <row r="2425" spans="3:3">
      <c r="C2425"/>
    </row>
    <row r="2426" spans="3:3">
      <c r="C2426"/>
    </row>
    <row r="2427" spans="3:3">
      <c r="C2427"/>
    </row>
    <row r="2428" spans="3:3">
      <c r="C2428"/>
    </row>
    <row r="2429" spans="3:3">
      <c r="C2429"/>
    </row>
    <row r="2430" spans="3:3">
      <c r="C2430"/>
    </row>
    <row r="2431" spans="3:3">
      <c r="C2431"/>
    </row>
    <row r="2432" spans="3:3">
      <c r="C2432"/>
    </row>
    <row r="2433" spans="3:3">
      <c r="C2433"/>
    </row>
    <row r="2434" spans="3:3">
      <c r="C2434"/>
    </row>
    <row r="2435" spans="3:3">
      <c r="C2435"/>
    </row>
    <row r="2436" spans="3:3">
      <c r="C2436"/>
    </row>
    <row r="2437" spans="3:3">
      <c r="C2437"/>
    </row>
    <row r="2438" spans="3:3">
      <c r="C2438"/>
    </row>
    <row r="2439" spans="3:3">
      <c r="C2439"/>
    </row>
    <row r="2440" spans="3:3">
      <c r="C2440"/>
    </row>
    <row r="2441" spans="3:3">
      <c r="C2441"/>
    </row>
    <row r="2442" spans="3:3">
      <c r="C2442"/>
    </row>
    <row r="2443" spans="3:3">
      <c r="C2443"/>
    </row>
    <row r="2444" spans="3:3">
      <c r="C2444"/>
    </row>
    <row r="2445" spans="3:3">
      <c r="C2445"/>
    </row>
    <row r="2446" spans="3:3">
      <c r="C2446"/>
    </row>
    <row r="2447" spans="3:3">
      <c r="C2447"/>
    </row>
    <row r="2448" spans="3:3">
      <c r="C2448"/>
    </row>
    <row r="2449" spans="3:3">
      <c r="C2449"/>
    </row>
    <row r="2450" spans="3:3">
      <c r="C2450"/>
    </row>
    <row r="2451" spans="3:3">
      <c r="C2451"/>
    </row>
    <row r="2452" spans="3:3">
      <c r="C2452"/>
    </row>
    <row r="2453" spans="3:3">
      <c r="C2453"/>
    </row>
    <row r="2454" spans="3:3">
      <c r="C2454"/>
    </row>
    <row r="2455" spans="3:3">
      <c r="C2455"/>
    </row>
    <row r="2456" spans="3:3">
      <c r="C2456"/>
    </row>
    <row r="2457" spans="3:3">
      <c r="C2457"/>
    </row>
    <row r="2458" spans="3:3">
      <c r="C2458"/>
    </row>
    <row r="2459" spans="3:3">
      <c r="C2459"/>
    </row>
    <row r="2460" spans="3:3">
      <c r="C2460"/>
    </row>
    <row r="2461" spans="3:3">
      <c r="C2461"/>
    </row>
    <row r="2462" spans="3:3">
      <c r="C2462"/>
    </row>
    <row r="2463" spans="3:3">
      <c r="C2463"/>
    </row>
    <row r="2464" spans="3:3">
      <c r="C2464"/>
    </row>
    <row r="2465" spans="3:3">
      <c r="C2465"/>
    </row>
    <row r="2466" spans="3:3">
      <c r="C2466"/>
    </row>
    <row r="2467" spans="3:3">
      <c r="C2467"/>
    </row>
    <row r="2468" spans="3:3">
      <c r="C2468"/>
    </row>
    <row r="2469" spans="3:3">
      <c r="C2469"/>
    </row>
    <row r="2470" spans="3:3">
      <c r="C2470"/>
    </row>
    <row r="2471" spans="3:3">
      <c r="C2471"/>
    </row>
    <row r="2472" spans="3:3">
      <c r="C2472"/>
    </row>
    <row r="2473" spans="3:3">
      <c r="C2473"/>
    </row>
    <row r="2474" spans="3:3">
      <c r="C2474"/>
    </row>
    <row r="2475" spans="3:3">
      <c r="C2475"/>
    </row>
    <row r="2476" spans="3:3">
      <c r="C2476"/>
    </row>
    <row r="2477" spans="3:3">
      <c r="C2477"/>
    </row>
    <row r="2478" spans="3:3">
      <c r="C2478"/>
    </row>
    <row r="2479" spans="3:3">
      <c r="C2479"/>
    </row>
    <row r="2480" spans="3:3">
      <c r="C2480"/>
    </row>
    <row r="2481" spans="3:3">
      <c r="C2481"/>
    </row>
    <row r="2482" spans="3:3">
      <c r="C2482"/>
    </row>
    <row r="2483" spans="3:3">
      <c r="C2483"/>
    </row>
    <row r="2484" spans="3:3">
      <c r="C2484"/>
    </row>
    <row r="2485" spans="3:3">
      <c r="C2485"/>
    </row>
    <row r="2486" spans="3:3">
      <c r="C2486"/>
    </row>
    <row r="2487" spans="3:3">
      <c r="C2487"/>
    </row>
    <row r="2488" spans="3:3">
      <c r="C2488"/>
    </row>
    <row r="2489" spans="3:3">
      <c r="C2489"/>
    </row>
    <row r="2490" spans="3:3">
      <c r="C2490"/>
    </row>
    <row r="2491" spans="3:3">
      <c r="C2491"/>
    </row>
    <row r="2492" spans="3:3">
      <c r="C2492"/>
    </row>
    <row r="2493" spans="3:3">
      <c r="C2493"/>
    </row>
    <row r="2494" spans="3:3">
      <c r="C2494"/>
    </row>
    <row r="2495" spans="3:3">
      <c r="C2495"/>
    </row>
    <row r="2496" spans="3:3">
      <c r="C2496"/>
    </row>
    <row r="2497" spans="3:3">
      <c r="C2497"/>
    </row>
    <row r="2498" spans="3:3">
      <c r="C2498"/>
    </row>
    <row r="2499" spans="3:3">
      <c r="C2499"/>
    </row>
    <row r="2500" spans="3:3">
      <c r="C2500"/>
    </row>
    <row r="2501" spans="3:3">
      <c r="C2501"/>
    </row>
    <row r="2502" spans="3:3">
      <c r="C2502"/>
    </row>
    <row r="2503" spans="3:3">
      <c r="C2503"/>
    </row>
    <row r="2504" spans="3:3">
      <c r="C2504"/>
    </row>
    <row r="2505" spans="3:3">
      <c r="C2505"/>
    </row>
    <row r="2506" spans="3:3">
      <c r="C2506"/>
    </row>
    <row r="2507" spans="3:3">
      <c r="C2507"/>
    </row>
    <row r="2508" spans="3:3">
      <c r="C2508"/>
    </row>
    <row r="2509" spans="3:3">
      <c r="C2509"/>
    </row>
    <row r="2510" spans="3:3">
      <c r="C2510"/>
    </row>
    <row r="2511" spans="3:3">
      <c r="C2511"/>
    </row>
    <row r="2512" spans="3:3">
      <c r="C2512"/>
    </row>
    <row r="2513" spans="3:3">
      <c r="C2513"/>
    </row>
    <row r="2514" spans="3:3">
      <c r="C2514"/>
    </row>
    <row r="2515" spans="3:3">
      <c r="C2515"/>
    </row>
    <row r="2516" spans="3:3">
      <c r="C2516"/>
    </row>
    <row r="2517" spans="3:3">
      <c r="C2517"/>
    </row>
    <row r="2518" spans="3:3">
      <c r="C2518"/>
    </row>
    <row r="2519" spans="3:3">
      <c r="C2519"/>
    </row>
    <row r="2520" spans="3:3">
      <c r="C2520"/>
    </row>
    <row r="2521" spans="3:3">
      <c r="C2521"/>
    </row>
    <row r="2522" spans="3:3">
      <c r="C2522"/>
    </row>
    <row r="2523" spans="3:3">
      <c r="C2523"/>
    </row>
    <row r="2524" spans="3:3">
      <c r="C2524"/>
    </row>
    <row r="2525" spans="3:3">
      <c r="C2525"/>
    </row>
    <row r="2526" spans="3:3">
      <c r="C2526"/>
    </row>
    <row r="2527" spans="3:3">
      <c r="C2527"/>
    </row>
    <row r="2528" spans="3:3">
      <c r="C2528"/>
    </row>
    <row r="2529" spans="3:3">
      <c r="C2529"/>
    </row>
    <row r="2530" spans="3:3">
      <c r="C2530"/>
    </row>
    <row r="2531" spans="3:3">
      <c r="C2531"/>
    </row>
    <row r="2532" spans="3:3">
      <c r="C2532"/>
    </row>
    <row r="2533" spans="3:3">
      <c r="C2533"/>
    </row>
    <row r="2534" spans="3:3">
      <c r="C2534"/>
    </row>
    <row r="2535" spans="3:3">
      <c r="C2535"/>
    </row>
    <row r="2536" spans="3:3">
      <c r="C2536"/>
    </row>
    <row r="2537" spans="3:3">
      <c r="C2537"/>
    </row>
    <row r="2538" spans="3:3">
      <c r="C2538"/>
    </row>
    <row r="2539" spans="3:3">
      <c r="C2539"/>
    </row>
    <row r="2540" spans="3:3">
      <c r="C2540"/>
    </row>
    <row r="2541" spans="3:3">
      <c r="C2541"/>
    </row>
    <row r="2542" spans="3:3">
      <c r="C2542"/>
    </row>
    <row r="2543" spans="3:3">
      <c r="C2543"/>
    </row>
    <row r="2544" spans="3:3">
      <c r="C2544"/>
    </row>
    <row r="2545" spans="3:3">
      <c r="C2545"/>
    </row>
    <row r="2546" spans="3:3">
      <c r="C2546"/>
    </row>
    <row r="2547" spans="3:3">
      <c r="C2547"/>
    </row>
    <row r="2548" spans="3:3">
      <c r="C2548"/>
    </row>
    <row r="2549" spans="3:3">
      <c r="C2549"/>
    </row>
    <row r="2550" spans="3:3">
      <c r="C2550"/>
    </row>
    <row r="2551" spans="3:3">
      <c r="C2551"/>
    </row>
    <row r="2552" spans="3:3">
      <c r="C2552"/>
    </row>
    <row r="2553" spans="3:3">
      <c r="C2553"/>
    </row>
    <row r="2554" spans="3:3">
      <c r="C2554"/>
    </row>
    <row r="2555" spans="3:3">
      <c r="C2555"/>
    </row>
    <row r="2556" spans="3:3">
      <c r="C2556"/>
    </row>
    <row r="2557" spans="3:3">
      <c r="C2557"/>
    </row>
    <row r="2558" spans="3:3">
      <c r="C2558"/>
    </row>
    <row r="2559" spans="3:3">
      <c r="C2559"/>
    </row>
    <row r="2560" spans="3:3">
      <c r="C2560"/>
    </row>
    <row r="2561" spans="3:3">
      <c r="C2561"/>
    </row>
    <row r="2562" spans="3:3">
      <c r="C2562"/>
    </row>
    <row r="2563" spans="3:3">
      <c r="C2563"/>
    </row>
    <row r="2564" spans="3:3">
      <c r="C2564"/>
    </row>
    <row r="2565" spans="3:3">
      <c r="C2565"/>
    </row>
    <row r="2566" spans="3:3">
      <c r="C2566"/>
    </row>
    <row r="2567" spans="3:3">
      <c r="C2567"/>
    </row>
    <row r="2568" spans="3:3">
      <c r="C2568"/>
    </row>
    <row r="2569" spans="3:3">
      <c r="C2569"/>
    </row>
    <row r="2570" spans="3:3">
      <c r="C2570"/>
    </row>
    <row r="2571" spans="3:3">
      <c r="C2571"/>
    </row>
    <row r="2572" spans="3:3">
      <c r="C2572"/>
    </row>
    <row r="2573" spans="3:3">
      <c r="C2573"/>
    </row>
    <row r="2574" spans="3:3">
      <c r="C2574"/>
    </row>
    <row r="2575" spans="3:3">
      <c r="C2575"/>
    </row>
    <row r="2576" spans="3:3">
      <c r="C2576"/>
    </row>
    <row r="2577" spans="3:3">
      <c r="C2577"/>
    </row>
    <row r="2578" spans="3:3">
      <c r="C2578"/>
    </row>
    <row r="2579" spans="3:3">
      <c r="C2579"/>
    </row>
    <row r="2580" spans="3:3">
      <c r="C2580"/>
    </row>
    <row r="2581" spans="3:3">
      <c r="C2581"/>
    </row>
    <row r="2582" spans="3:3">
      <c r="C2582"/>
    </row>
    <row r="2583" spans="3:3">
      <c r="C2583"/>
    </row>
    <row r="2584" spans="3:3">
      <c r="C2584"/>
    </row>
    <row r="2585" spans="3:3">
      <c r="C2585"/>
    </row>
    <row r="2586" spans="3:3">
      <c r="C2586"/>
    </row>
    <row r="2587" spans="3:3">
      <c r="C2587"/>
    </row>
    <row r="2588" spans="3:3">
      <c r="C2588"/>
    </row>
    <row r="2589" spans="3:3">
      <c r="C2589"/>
    </row>
    <row r="2590" spans="3:3">
      <c r="C2590"/>
    </row>
    <row r="2591" spans="3:3">
      <c r="C2591"/>
    </row>
    <row r="2592" spans="3:3">
      <c r="C2592"/>
    </row>
    <row r="2593" spans="3:3">
      <c r="C2593"/>
    </row>
    <row r="2594" spans="3:3">
      <c r="C2594"/>
    </row>
    <row r="2595" spans="3:3">
      <c r="C2595"/>
    </row>
    <row r="2596" spans="3:3">
      <c r="C2596"/>
    </row>
    <row r="2597" spans="3:3">
      <c r="C2597"/>
    </row>
    <row r="2598" spans="3:3">
      <c r="C2598"/>
    </row>
    <row r="2599" spans="3:3">
      <c r="C2599"/>
    </row>
    <row r="2600" spans="3:3">
      <c r="C2600"/>
    </row>
    <row r="2601" spans="3:3">
      <c r="C2601"/>
    </row>
    <row r="2602" spans="3:3">
      <c r="C2602"/>
    </row>
    <row r="2603" spans="3:3">
      <c r="C2603"/>
    </row>
    <row r="2604" spans="3:3">
      <c r="C2604"/>
    </row>
    <row r="2605" spans="3:3">
      <c r="C2605"/>
    </row>
    <row r="2606" spans="3:3">
      <c r="C2606"/>
    </row>
    <row r="2607" spans="3:3">
      <c r="C2607"/>
    </row>
    <row r="2608" spans="3:3">
      <c r="C2608"/>
    </row>
    <row r="2609" spans="3:3">
      <c r="C2609"/>
    </row>
    <row r="2610" spans="3:3">
      <c r="C2610"/>
    </row>
    <row r="2611" spans="3:3">
      <c r="C2611"/>
    </row>
    <row r="2612" spans="3:3">
      <c r="C2612"/>
    </row>
    <row r="2613" spans="3:3">
      <c r="C2613"/>
    </row>
    <row r="2614" spans="3:3">
      <c r="C2614"/>
    </row>
    <row r="2615" spans="3:3">
      <c r="C2615"/>
    </row>
    <row r="2616" spans="3:3">
      <c r="C2616"/>
    </row>
    <row r="2617" spans="3:3">
      <c r="C2617"/>
    </row>
    <row r="2618" spans="3:3">
      <c r="C2618"/>
    </row>
    <row r="2619" spans="3:3">
      <c r="C2619"/>
    </row>
    <row r="2620" spans="3:3">
      <c r="C2620"/>
    </row>
    <row r="2621" spans="3:3">
      <c r="C2621"/>
    </row>
    <row r="2622" spans="3:3">
      <c r="C2622"/>
    </row>
    <row r="2623" spans="3:3">
      <c r="C2623"/>
    </row>
    <row r="2624" spans="3:3">
      <c r="C2624"/>
    </row>
    <row r="2625" spans="3:3">
      <c r="C2625"/>
    </row>
    <row r="2626" spans="3:3">
      <c r="C2626"/>
    </row>
    <row r="2627" spans="3:3">
      <c r="C2627"/>
    </row>
    <row r="2628" spans="3:3">
      <c r="C2628"/>
    </row>
    <row r="2629" spans="3:3">
      <c r="C2629"/>
    </row>
    <row r="2630" spans="3:3">
      <c r="C2630"/>
    </row>
    <row r="2631" spans="3:3">
      <c r="C2631"/>
    </row>
    <row r="2632" spans="3:3">
      <c r="C2632"/>
    </row>
    <row r="2633" spans="3:3">
      <c r="C2633"/>
    </row>
    <row r="2634" spans="3:3">
      <c r="C2634"/>
    </row>
    <row r="2635" spans="3:3">
      <c r="C2635"/>
    </row>
    <row r="2636" spans="3:3">
      <c r="C2636"/>
    </row>
    <row r="2637" spans="3:3">
      <c r="C2637"/>
    </row>
    <row r="2638" spans="3:3">
      <c r="C2638"/>
    </row>
    <row r="2639" spans="3:3">
      <c r="C2639"/>
    </row>
    <row r="2640" spans="3:3">
      <c r="C2640"/>
    </row>
    <row r="2641" spans="3:3">
      <c r="C2641"/>
    </row>
    <row r="2642" spans="3:3">
      <c r="C2642"/>
    </row>
    <row r="2643" spans="3:3">
      <c r="C2643"/>
    </row>
    <row r="2644" spans="3:3">
      <c r="C2644"/>
    </row>
    <row r="2645" spans="3:3">
      <c r="C2645"/>
    </row>
    <row r="2646" spans="3:3">
      <c r="C2646"/>
    </row>
    <row r="2647" spans="3:3">
      <c r="C2647"/>
    </row>
    <row r="2648" spans="3:3">
      <c r="C2648"/>
    </row>
    <row r="2649" spans="3:3">
      <c r="C2649"/>
    </row>
    <row r="2650" spans="3:3">
      <c r="C2650"/>
    </row>
    <row r="2651" spans="3:3">
      <c r="C2651"/>
    </row>
    <row r="2652" spans="3:3">
      <c r="C2652"/>
    </row>
    <row r="2653" spans="3:3">
      <c r="C2653"/>
    </row>
    <row r="2654" spans="3:3">
      <c r="C2654"/>
    </row>
    <row r="2655" spans="3:3">
      <c r="C2655"/>
    </row>
    <row r="2656" spans="3:3">
      <c r="C2656"/>
    </row>
    <row r="2657" spans="3:3">
      <c r="C2657"/>
    </row>
    <row r="2658" spans="3:3">
      <c r="C2658"/>
    </row>
    <row r="2659" spans="3:3">
      <c r="C2659"/>
    </row>
    <row r="2660" spans="3:3">
      <c r="C2660"/>
    </row>
    <row r="2661" spans="3:3">
      <c r="C2661"/>
    </row>
    <row r="2662" spans="3:3">
      <c r="C2662"/>
    </row>
    <row r="2663" spans="3:3">
      <c r="C2663"/>
    </row>
    <row r="2664" spans="3:3">
      <c r="C2664"/>
    </row>
    <row r="2665" spans="3:3">
      <c r="C2665"/>
    </row>
    <row r="2666" spans="3:3">
      <c r="C2666"/>
    </row>
    <row r="2667" spans="3:3">
      <c r="C2667"/>
    </row>
    <row r="2668" spans="3:3">
      <c r="C2668"/>
    </row>
    <row r="2669" spans="3:3">
      <c r="C2669"/>
    </row>
    <row r="2670" spans="3:3">
      <c r="C2670"/>
    </row>
    <row r="2671" spans="3:3">
      <c r="C2671"/>
    </row>
    <row r="2672" spans="3:3">
      <c r="C2672"/>
    </row>
    <row r="2673" spans="3:3">
      <c r="C2673"/>
    </row>
    <row r="2674" spans="3:3">
      <c r="C2674"/>
    </row>
    <row r="2675" spans="3:3">
      <c r="C2675"/>
    </row>
    <row r="2676" spans="3:3">
      <c r="C2676"/>
    </row>
    <row r="2677" spans="3:3">
      <c r="C2677"/>
    </row>
    <row r="2678" spans="3:3">
      <c r="C2678"/>
    </row>
    <row r="2679" spans="3:3">
      <c r="C2679"/>
    </row>
    <row r="2680" spans="3:3">
      <c r="C2680"/>
    </row>
    <row r="2681" spans="3:3">
      <c r="C2681"/>
    </row>
    <row r="2682" spans="3:3">
      <c r="C2682"/>
    </row>
    <row r="2683" spans="3:3">
      <c r="C2683"/>
    </row>
    <row r="2684" spans="3:3">
      <c r="C2684"/>
    </row>
    <row r="2685" spans="3:3">
      <c r="C2685"/>
    </row>
    <row r="2686" spans="3:3">
      <c r="C2686"/>
    </row>
    <row r="2687" spans="3:3">
      <c r="C2687"/>
    </row>
    <row r="2688" spans="3:3">
      <c r="C2688"/>
    </row>
    <row r="2689" spans="3:3">
      <c r="C2689"/>
    </row>
    <row r="2690" spans="3:3">
      <c r="C2690"/>
    </row>
    <row r="2691" spans="3:3">
      <c r="C2691"/>
    </row>
    <row r="2692" spans="3:3">
      <c r="C2692"/>
    </row>
    <row r="2693" spans="3:3">
      <c r="C2693"/>
    </row>
    <row r="2694" spans="3:3">
      <c r="C2694"/>
    </row>
    <row r="2695" spans="3:3">
      <c r="C2695"/>
    </row>
    <row r="2696" spans="3:3">
      <c r="C2696"/>
    </row>
    <row r="2697" spans="3:3">
      <c r="C2697"/>
    </row>
    <row r="2698" spans="3:3">
      <c r="C2698"/>
    </row>
    <row r="2699" spans="3:3">
      <c r="C2699"/>
    </row>
    <row r="2700" spans="3:3">
      <c r="C2700"/>
    </row>
    <row r="2701" spans="3:3">
      <c r="C2701"/>
    </row>
    <row r="2702" spans="3:3">
      <c r="C2702"/>
    </row>
    <row r="2703" spans="3:3">
      <c r="C2703"/>
    </row>
    <row r="2704" spans="3:3">
      <c r="C2704"/>
    </row>
    <row r="2705" spans="3:3">
      <c r="C2705"/>
    </row>
    <row r="2706" spans="3:3">
      <c r="C2706"/>
    </row>
    <row r="2707" spans="3:3">
      <c r="C2707"/>
    </row>
    <row r="2708" spans="3:3">
      <c r="C2708"/>
    </row>
    <row r="2709" spans="3:3">
      <c r="C2709"/>
    </row>
    <row r="2710" spans="3:3">
      <c r="C2710"/>
    </row>
    <row r="2711" spans="3:3">
      <c r="C2711"/>
    </row>
    <row r="2712" spans="3:3">
      <c r="C2712"/>
    </row>
    <row r="2713" spans="3:3">
      <c r="C2713"/>
    </row>
    <row r="2714" spans="3:3">
      <c r="C2714"/>
    </row>
    <row r="2715" spans="3:3">
      <c r="C2715"/>
    </row>
    <row r="2716" spans="3:3">
      <c r="C2716"/>
    </row>
    <row r="2717" spans="3:3">
      <c r="C2717"/>
    </row>
    <row r="2718" spans="3:3">
      <c r="C2718"/>
    </row>
    <row r="2719" spans="3:3">
      <c r="C2719"/>
    </row>
    <row r="2720" spans="3:3">
      <c r="C2720"/>
    </row>
    <row r="2721" spans="3:3">
      <c r="C2721"/>
    </row>
    <row r="2722" spans="3:3">
      <c r="C2722"/>
    </row>
    <row r="2723" spans="3:3">
      <c r="C2723"/>
    </row>
    <row r="2724" spans="3:3">
      <c r="C2724"/>
    </row>
    <row r="2725" spans="3:3">
      <c r="C2725"/>
    </row>
    <row r="2726" spans="3:3">
      <c r="C2726"/>
    </row>
    <row r="2727" spans="3:3">
      <c r="C2727"/>
    </row>
    <row r="2728" spans="3:3">
      <c r="C2728"/>
    </row>
    <row r="2729" spans="3:3">
      <c r="C2729"/>
    </row>
    <row r="2730" spans="3:3">
      <c r="C2730"/>
    </row>
    <row r="2731" spans="3:3">
      <c r="C2731"/>
    </row>
    <row r="2732" spans="3:3">
      <c r="C2732"/>
    </row>
    <row r="2733" spans="3:3">
      <c r="C2733"/>
    </row>
    <row r="2734" spans="3:3">
      <c r="C2734"/>
    </row>
    <row r="2735" spans="3:3">
      <c r="C2735"/>
    </row>
    <row r="2736" spans="3:3">
      <c r="C2736"/>
    </row>
    <row r="2737" spans="3:3">
      <c r="C2737"/>
    </row>
    <row r="2738" spans="3:3">
      <c r="C2738"/>
    </row>
    <row r="2739" spans="3:3">
      <c r="C2739"/>
    </row>
    <row r="2740" spans="3:3">
      <c r="C2740"/>
    </row>
    <row r="2741" spans="3:3">
      <c r="C2741"/>
    </row>
    <row r="2742" spans="3:3">
      <c r="C2742"/>
    </row>
    <row r="2743" spans="3:3">
      <c r="C2743"/>
    </row>
    <row r="2744" spans="3:3">
      <c r="C2744"/>
    </row>
    <row r="2745" spans="3:3">
      <c r="C2745"/>
    </row>
    <row r="2746" spans="3:3">
      <c r="C2746"/>
    </row>
    <row r="2747" spans="3:3">
      <c r="C2747"/>
    </row>
    <row r="2748" spans="3:3">
      <c r="C2748"/>
    </row>
    <row r="2749" spans="3:3">
      <c r="C2749"/>
    </row>
    <row r="2750" spans="3:3">
      <c r="C2750"/>
    </row>
    <row r="2751" spans="3:3">
      <c r="C2751"/>
    </row>
    <row r="2752" spans="3:3">
      <c r="C2752"/>
    </row>
    <row r="2753" spans="3:3">
      <c r="C2753"/>
    </row>
    <row r="2754" spans="3:3">
      <c r="C2754"/>
    </row>
    <row r="2755" spans="3:3">
      <c r="C2755"/>
    </row>
    <row r="2756" spans="3:3">
      <c r="C2756"/>
    </row>
    <row r="2757" spans="3:3">
      <c r="C2757"/>
    </row>
    <row r="2758" spans="3:3">
      <c r="C2758"/>
    </row>
    <row r="2759" spans="3:3">
      <c r="C2759"/>
    </row>
    <row r="2760" spans="3:3">
      <c r="C2760"/>
    </row>
    <row r="2761" spans="3:3">
      <c r="C2761"/>
    </row>
    <row r="2762" spans="3:3">
      <c r="C2762"/>
    </row>
    <row r="2763" spans="3:3">
      <c r="C2763"/>
    </row>
    <row r="2764" spans="3:3">
      <c r="C2764"/>
    </row>
    <row r="2765" spans="3:3">
      <c r="C2765"/>
    </row>
    <row r="2766" spans="3:3">
      <c r="C2766"/>
    </row>
    <row r="2767" spans="3:3">
      <c r="C2767"/>
    </row>
    <row r="2768" spans="3:3">
      <c r="C2768"/>
    </row>
    <row r="2769" spans="3:3">
      <c r="C2769"/>
    </row>
    <row r="2770" spans="3:3">
      <c r="C2770"/>
    </row>
    <row r="2771" spans="3:3">
      <c r="C2771"/>
    </row>
    <row r="2772" spans="3:3">
      <c r="C2772"/>
    </row>
    <row r="2773" spans="3:3">
      <c r="C2773"/>
    </row>
    <row r="2774" spans="3:3">
      <c r="C2774"/>
    </row>
    <row r="2775" spans="3:3">
      <c r="C2775"/>
    </row>
    <row r="2776" spans="3:3">
      <c r="C2776"/>
    </row>
    <row r="2777" spans="3:3">
      <c r="C2777"/>
    </row>
    <row r="2778" spans="3:3">
      <c r="C2778"/>
    </row>
    <row r="2779" spans="3:3">
      <c r="C2779"/>
    </row>
    <row r="2780" spans="3:3">
      <c r="C2780"/>
    </row>
    <row r="2781" spans="3:3">
      <c r="C2781"/>
    </row>
    <row r="2782" spans="3:3">
      <c r="C2782"/>
    </row>
    <row r="2783" spans="3:3">
      <c r="C2783"/>
    </row>
    <row r="2784" spans="3:3">
      <c r="C2784"/>
    </row>
    <row r="2785" spans="3:3">
      <c r="C2785"/>
    </row>
    <row r="2786" spans="3:3">
      <c r="C2786"/>
    </row>
    <row r="2787" spans="3:3">
      <c r="C2787"/>
    </row>
    <row r="2788" spans="3:3">
      <c r="C2788"/>
    </row>
    <row r="2789" spans="3:3">
      <c r="C2789"/>
    </row>
    <row r="2790" spans="3:3">
      <c r="C2790"/>
    </row>
    <row r="2791" spans="3:3">
      <c r="C2791"/>
    </row>
    <row r="2792" spans="3:3">
      <c r="C2792"/>
    </row>
    <row r="2793" spans="3:3">
      <c r="C2793"/>
    </row>
    <row r="2794" spans="3:3">
      <c r="C2794"/>
    </row>
    <row r="2795" spans="3:3">
      <c r="C2795"/>
    </row>
    <row r="2796" spans="3:3">
      <c r="C2796"/>
    </row>
    <row r="2797" spans="3:3">
      <c r="C2797"/>
    </row>
    <row r="2798" spans="3:3">
      <c r="C2798"/>
    </row>
    <row r="2799" spans="3:3">
      <c r="C2799"/>
    </row>
    <row r="2800" spans="3:3">
      <c r="C2800"/>
    </row>
    <row r="2801" spans="3:3">
      <c r="C2801"/>
    </row>
    <row r="2802" spans="3:3">
      <c r="C2802"/>
    </row>
    <row r="2803" spans="3:3">
      <c r="C2803"/>
    </row>
    <row r="2804" spans="3:3">
      <c r="C2804"/>
    </row>
    <row r="2805" spans="3:3">
      <c r="C2805"/>
    </row>
    <row r="2806" spans="3:3">
      <c r="C2806"/>
    </row>
    <row r="2807" spans="3:3">
      <c r="C2807"/>
    </row>
    <row r="2808" spans="3:3">
      <c r="C2808"/>
    </row>
    <row r="2809" spans="3:3">
      <c r="C2809"/>
    </row>
    <row r="2810" spans="3:3">
      <c r="C2810"/>
    </row>
    <row r="2811" spans="3:3">
      <c r="C2811"/>
    </row>
    <row r="2812" spans="3:3">
      <c r="C2812"/>
    </row>
    <row r="2813" spans="3:3">
      <c r="C2813"/>
    </row>
    <row r="2814" spans="3:3">
      <c r="C2814"/>
    </row>
    <row r="2815" spans="3:3">
      <c r="C2815"/>
    </row>
    <row r="2816" spans="3:3">
      <c r="C2816"/>
    </row>
    <row r="2817" spans="3:3">
      <c r="C2817"/>
    </row>
    <row r="2818" spans="3:3">
      <c r="C2818"/>
    </row>
    <row r="2819" spans="3:3">
      <c r="C2819"/>
    </row>
    <row r="2820" spans="3:3">
      <c r="C2820"/>
    </row>
    <row r="2821" spans="3:3">
      <c r="C2821"/>
    </row>
    <row r="2822" spans="3:3">
      <c r="C2822"/>
    </row>
    <row r="2823" spans="3:3">
      <c r="C2823"/>
    </row>
    <row r="2824" spans="3:3">
      <c r="C2824"/>
    </row>
    <row r="2825" spans="3:3">
      <c r="C2825"/>
    </row>
    <row r="2826" spans="3:3">
      <c r="C2826"/>
    </row>
    <row r="2827" spans="3:3">
      <c r="C2827"/>
    </row>
    <row r="2828" spans="3:3">
      <c r="C2828"/>
    </row>
    <row r="2829" spans="3:3">
      <c r="C2829"/>
    </row>
    <row r="2830" spans="3:3">
      <c r="C2830"/>
    </row>
    <row r="2831" spans="3:3">
      <c r="C2831"/>
    </row>
    <row r="2832" spans="3:3">
      <c r="C2832"/>
    </row>
    <row r="2833" spans="3:3">
      <c r="C2833"/>
    </row>
    <row r="2834" spans="3:3">
      <c r="C2834"/>
    </row>
    <row r="2835" spans="3:3">
      <c r="C2835"/>
    </row>
    <row r="2836" spans="3:3">
      <c r="C2836"/>
    </row>
    <row r="2837" spans="3:3">
      <c r="C2837"/>
    </row>
    <row r="2838" spans="3:3">
      <c r="C2838"/>
    </row>
    <row r="2839" spans="3:3">
      <c r="C2839"/>
    </row>
    <row r="2840" spans="3:3">
      <c r="C2840"/>
    </row>
    <row r="2841" spans="3:3">
      <c r="C2841"/>
    </row>
    <row r="2842" spans="3:3">
      <c r="C2842"/>
    </row>
    <row r="2843" spans="3:3">
      <c r="C2843"/>
    </row>
    <row r="2844" spans="3:3">
      <c r="C2844"/>
    </row>
    <row r="2845" spans="3:3">
      <c r="C2845"/>
    </row>
    <row r="2846" spans="3:3">
      <c r="C2846"/>
    </row>
    <row r="2847" spans="3:3">
      <c r="C2847"/>
    </row>
    <row r="2848" spans="3:3">
      <c r="C2848"/>
    </row>
    <row r="2849" spans="3:3">
      <c r="C2849"/>
    </row>
    <row r="2850" spans="3:3">
      <c r="C2850"/>
    </row>
    <row r="2851" spans="3:3">
      <c r="C2851"/>
    </row>
    <row r="2852" spans="3:3">
      <c r="C2852"/>
    </row>
    <row r="2853" spans="3:3">
      <c r="C2853"/>
    </row>
    <row r="2854" spans="3:3">
      <c r="C2854"/>
    </row>
    <row r="2855" spans="3:3">
      <c r="C2855"/>
    </row>
    <row r="2856" spans="3:3">
      <c r="C2856"/>
    </row>
    <row r="2857" spans="3:3">
      <c r="C2857"/>
    </row>
    <row r="2858" spans="3:3">
      <c r="C2858"/>
    </row>
    <row r="2859" spans="3:3">
      <c r="C2859"/>
    </row>
    <row r="2860" spans="3:3">
      <c r="C2860"/>
    </row>
    <row r="2861" spans="3:3">
      <c r="C2861"/>
    </row>
    <row r="2862" spans="3:3">
      <c r="C2862"/>
    </row>
    <row r="2863" spans="3:3">
      <c r="C2863"/>
    </row>
    <row r="2864" spans="3:3">
      <c r="C2864"/>
    </row>
    <row r="2865" spans="3:3">
      <c r="C2865"/>
    </row>
    <row r="2866" spans="3:3">
      <c r="C2866"/>
    </row>
    <row r="2867" spans="3:3">
      <c r="C2867"/>
    </row>
    <row r="2868" spans="3:3">
      <c r="C2868"/>
    </row>
    <row r="2869" spans="3:3">
      <c r="C2869"/>
    </row>
    <row r="2870" spans="3:3">
      <c r="C2870"/>
    </row>
    <row r="2871" spans="3:3">
      <c r="C2871"/>
    </row>
    <row r="2872" spans="3:3">
      <c r="C2872"/>
    </row>
    <row r="2873" spans="3:3">
      <c r="C2873"/>
    </row>
    <row r="2874" spans="3:3">
      <c r="C2874"/>
    </row>
    <row r="2875" spans="3:3">
      <c r="C2875"/>
    </row>
    <row r="2876" spans="3:3">
      <c r="C2876"/>
    </row>
    <row r="2877" spans="3:3">
      <c r="C2877"/>
    </row>
    <row r="2878" spans="3:3">
      <c r="C2878"/>
    </row>
    <row r="2879" spans="3:3">
      <c r="C2879"/>
    </row>
    <row r="2880" spans="3:3">
      <c r="C2880"/>
    </row>
    <row r="2881" spans="3:3">
      <c r="C2881"/>
    </row>
    <row r="2882" spans="3:3">
      <c r="C2882"/>
    </row>
    <row r="2883" spans="3:3">
      <c r="C2883"/>
    </row>
    <row r="2884" spans="3:3">
      <c r="C2884"/>
    </row>
    <row r="2885" spans="3:3">
      <c r="C2885"/>
    </row>
    <row r="2886" spans="3:3">
      <c r="C2886"/>
    </row>
    <row r="2887" spans="3:3">
      <c r="C2887"/>
    </row>
    <row r="2888" spans="3:3">
      <c r="C2888"/>
    </row>
    <row r="2889" spans="3:3">
      <c r="C2889"/>
    </row>
    <row r="2890" spans="3:3">
      <c r="C2890"/>
    </row>
    <row r="2891" spans="3:3">
      <c r="C2891"/>
    </row>
    <row r="2892" spans="3:3">
      <c r="C2892"/>
    </row>
    <row r="2893" spans="3:3">
      <c r="C2893"/>
    </row>
    <row r="2894" spans="3:3">
      <c r="C2894"/>
    </row>
    <row r="2895" spans="3:3">
      <c r="C2895"/>
    </row>
    <row r="2896" spans="3:3">
      <c r="C2896"/>
    </row>
    <row r="2897" spans="3:3">
      <c r="C2897"/>
    </row>
    <row r="2898" spans="3:3">
      <c r="C2898"/>
    </row>
    <row r="2899" spans="3:3">
      <c r="C2899"/>
    </row>
    <row r="2900" spans="3:3">
      <c r="C2900"/>
    </row>
    <row r="2901" spans="3:3">
      <c r="C2901"/>
    </row>
    <row r="2902" spans="3:3">
      <c r="C2902"/>
    </row>
    <row r="2903" spans="3:3">
      <c r="C2903"/>
    </row>
    <row r="2904" spans="3:3">
      <c r="C2904"/>
    </row>
    <row r="2905" spans="3:3">
      <c r="C2905"/>
    </row>
    <row r="2906" spans="3:3">
      <c r="C2906"/>
    </row>
    <row r="2907" spans="3:3">
      <c r="C2907"/>
    </row>
    <row r="2908" spans="3:3">
      <c r="C2908"/>
    </row>
    <row r="2909" spans="3:3">
      <c r="C2909"/>
    </row>
    <row r="2910" spans="3:3">
      <c r="C2910"/>
    </row>
    <row r="2911" spans="3:3">
      <c r="C2911"/>
    </row>
    <row r="2912" spans="3:3">
      <c r="C2912"/>
    </row>
    <row r="2913" spans="3:3">
      <c r="C2913"/>
    </row>
    <row r="2914" spans="3:3">
      <c r="C2914"/>
    </row>
    <row r="2915" spans="3:3">
      <c r="C2915"/>
    </row>
    <row r="2916" spans="3:3">
      <c r="C2916"/>
    </row>
    <row r="2917" spans="3:3">
      <c r="C2917"/>
    </row>
    <row r="2918" spans="3:3">
      <c r="C2918"/>
    </row>
    <row r="2919" spans="3:3">
      <c r="C2919"/>
    </row>
    <row r="2920" spans="3:3">
      <c r="C2920"/>
    </row>
    <row r="2921" spans="3:3">
      <c r="C2921"/>
    </row>
    <row r="2922" spans="3:3">
      <c r="C2922"/>
    </row>
    <row r="2923" spans="3:3">
      <c r="C2923"/>
    </row>
    <row r="2924" spans="3:3">
      <c r="C2924"/>
    </row>
    <row r="2925" spans="3:3">
      <c r="C2925"/>
    </row>
    <row r="2926" spans="3:3">
      <c r="C2926"/>
    </row>
    <row r="2927" spans="3:3">
      <c r="C2927"/>
    </row>
    <row r="2928" spans="3:3">
      <c r="C2928"/>
    </row>
    <row r="2929" spans="3:3">
      <c r="C2929"/>
    </row>
    <row r="2930" spans="3:3">
      <c r="C2930"/>
    </row>
    <row r="2931" spans="3:3">
      <c r="C2931"/>
    </row>
    <row r="2932" spans="3:3">
      <c r="C2932"/>
    </row>
    <row r="2933" spans="3:3">
      <c r="C2933"/>
    </row>
    <row r="2934" spans="3:3">
      <c r="C2934"/>
    </row>
    <row r="2935" spans="3:3">
      <c r="C2935"/>
    </row>
    <row r="2936" spans="3:3">
      <c r="C2936"/>
    </row>
    <row r="2937" spans="3:3">
      <c r="C2937"/>
    </row>
    <row r="2938" spans="3:3">
      <c r="C2938"/>
    </row>
    <row r="2939" spans="3:3">
      <c r="C2939"/>
    </row>
    <row r="2940" spans="3:3">
      <c r="C2940"/>
    </row>
    <row r="2941" spans="3:3">
      <c r="C2941"/>
    </row>
    <row r="2942" spans="3:3">
      <c r="C2942"/>
    </row>
    <row r="2943" spans="3:3">
      <c r="C2943"/>
    </row>
    <row r="2944" spans="3:3">
      <c r="C2944"/>
    </row>
    <row r="2945" spans="3:3">
      <c r="C2945"/>
    </row>
    <row r="2946" spans="3:3">
      <c r="C2946"/>
    </row>
    <row r="2947" spans="3:3">
      <c r="C2947"/>
    </row>
    <row r="2948" spans="3:3">
      <c r="C2948"/>
    </row>
    <row r="2949" spans="3:3">
      <c r="C2949"/>
    </row>
    <row r="2950" spans="3:3">
      <c r="C2950"/>
    </row>
    <row r="2951" spans="3:3">
      <c r="C2951"/>
    </row>
    <row r="2952" spans="3:3">
      <c r="C2952"/>
    </row>
    <row r="2953" spans="3:3">
      <c r="C2953"/>
    </row>
    <row r="2954" spans="3:3">
      <c r="C2954"/>
    </row>
    <row r="2955" spans="3:3">
      <c r="C2955"/>
    </row>
    <row r="2956" spans="3:3">
      <c r="C2956"/>
    </row>
    <row r="2957" spans="3:3">
      <c r="C2957"/>
    </row>
    <row r="2958" spans="3:3">
      <c r="C2958"/>
    </row>
    <row r="2959" spans="3:3">
      <c r="C2959"/>
    </row>
    <row r="2960" spans="3:3">
      <c r="C2960"/>
    </row>
    <row r="2961" spans="3:3">
      <c r="C2961"/>
    </row>
    <row r="2962" spans="3:3">
      <c r="C2962"/>
    </row>
    <row r="2963" spans="3:3">
      <c r="C2963"/>
    </row>
    <row r="2964" spans="3:3">
      <c r="C2964"/>
    </row>
    <row r="2965" spans="3:3">
      <c r="C2965"/>
    </row>
    <row r="2966" spans="3:3">
      <c r="C2966"/>
    </row>
    <row r="2967" spans="3:3">
      <c r="C2967"/>
    </row>
    <row r="2968" spans="3:3">
      <c r="C2968"/>
    </row>
    <row r="2969" spans="3:3">
      <c r="C2969"/>
    </row>
    <row r="2970" spans="3:3">
      <c r="C2970"/>
    </row>
    <row r="2971" spans="3:3">
      <c r="C2971"/>
    </row>
    <row r="2972" spans="3:3">
      <c r="C2972"/>
    </row>
    <row r="2973" spans="3:3">
      <c r="C2973"/>
    </row>
    <row r="2974" spans="3:3">
      <c r="C2974"/>
    </row>
    <row r="2975" spans="3:3">
      <c r="C2975"/>
    </row>
    <row r="2976" spans="3:3">
      <c r="C2976"/>
    </row>
    <row r="2977" spans="3:3">
      <c r="C2977"/>
    </row>
    <row r="2978" spans="3:3">
      <c r="C2978"/>
    </row>
    <row r="2979" spans="3:3">
      <c r="C2979"/>
    </row>
    <row r="2980" spans="3:3">
      <c r="C2980"/>
    </row>
    <row r="2981" spans="3:3">
      <c r="C2981"/>
    </row>
    <row r="2982" spans="3:3">
      <c r="C2982"/>
    </row>
    <row r="2983" spans="3:3">
      <c r="C2983"/>
    </row>
    <row r="2984" spans="3:3">
      <c r="C2984"/>
    </row>
    <row r="2985" spans="3:3">
      <c r="C2985"/>
    </row>
    <row r="2986" spans="3:3">
      <c r="C2986"/>
    </row>
    <row r="2987" spans="3:3">
      <c r="C2987"/>
    </row>
    <row r="2988" spans="3:3">
      <c r="C2988"/>
    </row>
    <row r="2989" spans="3:3">
      <c r="C2989"/>
    </row>
    <row r="2990" spans="3:3">
      <c r="C2990"/>
    </row>
    <row r="2991" spans="3:3">
      <c r="C2991"/>
    </row>
    <row r="2992" spans="3:3">
      <c r="C2992"/>
    </row>
    <row r="2993" spans="3:3">
      <c r="C2993"/>
    </row>
    <row r="2994" spans="3:3">
      <c r="C2994"/>
    </row>
    <row r="2995" spans="3:3">
      <c r="C2995"/>
    </row>
    <row r="2996" spans="3:3">
      <c r="C2996"/>
    </row>
    <row r="2997" spans="3:3">
      <c r="C2997"/>
    </row>
    <row r="2998" spans="3:3">
      <c r="C2998"/>
    </row>
    <row r="2999" spans="3:3">
      <c r="C2999"/>
    </row>
    <row r="3000" spans="3:3">
      <c r="C3000"/>
    </row>
    <row r="3001" spans="3:3">
      <c r="C3001"/>
    </row>
    <row r="3002" spans="3:3">
      <c r="C3002"/>
    </row>
    <row r="3003" spans="3:3">
      <c r="C3003"/>
    </row>
    <row r="3004" spans="3:3">
      <c r="C3004"/>
    </row>
    <row r="3005" spans="3:3">
      <c r="C3005"/>
    </row>
    <row r="3006" spans="3:3">
      <c r="C3006"/>
    </row>
    <row r="3007" spans="3:3">
      <c r="C3007"/>
    </row>
    <row r="3008" spans="3:3">
      <c r="C3008"/>
    </row>
    <row r="3009" spans="3:3">
      <c r="C3009"/>
    </row>
    <row r="3010" spans="3:3">
      <c r="C3010"/>
    </row>
    <row r="3011" spans="3:3">
      <c r="C3011"/>
    </row>
    <row r="3012" spans="3:3">
      <c r="C3012"/>
    </row>
    <row r="3013" spans="3:3">
      <c r="C3013"/>
    </row>
    <row r="3014" spans="3:3">
      <c r="C3014"/>
    </row>
    <row r="3015" spans="3:3">
      <c r="C3015"/>
    </row>
    <row r="3016" spans="3:3">
      <c r="C3016"/>
    </row>
    <row r="3017" spans="3:3">
      <c r="C3017"/>
    </row>
    <row r="3018" spans="3:3">
      <c r="C3018"/>
    </row>
    <row r="3019" spans="3:3">
      <c r="C3019"/>
    </row>
    <row r="3020" spans="3:3">
      <c r="C3020"/>
    </row>
    <row r="3021" spans="3:3">
      <c r="C3021"/>
    </row>
    <row r="3022" spans="3:3">
      <c r="C3022"/>
    </row>
    <row r="3023" spans="3:3">
      <c r="C3023"/>
    </row>
    <row r="3024" spans="3:3">
      <c r="C3024"/>
    </row>
    <row r="3025" spans="3:3">
      <c r="C3025"/>
    </row>
    <row r="3026" spans="3:3">
      <c r="C3026"/>
    </row>
    <row r="3027" spans="3:3">
      <c r="C3027"/>
    </row>
    <row r="3028" spans="3:3">
      <c r="C3028"/>
    </row>
    <row r="3029" spans="3:3">
      <c r="C3029"/>
    </row>
    <row r="3030" spans="3:3">
      <c r="C3030"/>
    </row>
    <row r="3031" spans="3:3">
      <c r="C3031"/>
    </row>
    <row r="3032" spans="3:3">
      <c r="C3032"/>
    </row>
    <row r="3033" spans="3:3">
      <c r="C3033"/>
    </row>
    <row r="3034" spans="3:3">
      <c r="C3034"/>
    </row>
    <row r="3035" spans="3:3">
      <c r="C3035"/>
    </row>
    <row r="3036" spans="3:3">
      <c r="C3036"/>
    </row>
    <row r="3037" spans="3:3">
      <c r="C3037"/>
    </row>
    <row r="3038" spans="3:3">
      <c r="C3038"/>
    </row>
    <row r="3039" spans="3:3">
      <c r="C3039"/>
    </row>
    <row r="3040" spans="3:3">
      <c r="C3040"/>
    </row>
    <row r="3041" spans="3:3">
      <c r="C3041"/>
    </row>
    <row r="3042" spans="3:3">
      <c r="C3042"/>
    </row>
    <row r="3043" spans="3:3">
      <c r="C3043"/>
    </row>
    <row r="3044" spans="3:3">
      <c r="C3044"/>
    </row>
    <row r="3045" spans="3:3">
      <c r="C3045"/>
    </row>
    <row r="3046" spans="3:3">
      <c r="C3046"/>
    </row>
    <row r="3047" spans="3:3">
      <c r="C3047"/>
    </row>
    <row r="3048" spans="3:3">
      <c r="C3048"/>
    </row>
    <row r="3049" spans="3:3">
      <c r="C3049"/>
    </row>
    <row r="3050" spans="3:3">
      <c r="C3050"/>
    </row>
    <row r="3051" spans="3:3">
      <c r="C3051"/>
    </row>
    <row r="3052" spans="3:3">
      <c r="C3052"/>
    </row>
    <row r="3053" spans="3:3">
      <c r="C3053"/>
    </row>
    <row r="3054" spans="3:3">
      <c r="C3054"/>
    </row>
    <row r="3055" spans="3:3">
      <c r="C3055"/>
    </row>
    <row r="3056" spans="3:3">
      <c r="C3056"/>
    </row>
    <row r="3057" spans="3:3">
      <c r="C3057"/>
    </row>
    <row r="3058" spans="3:3">
      <c r="C3058"/>
    </row>
    <row r="3059" spans="3:3">
      <c r="C3059"/>
    </row>
    <row r="3060" spans="3:3">
      <c r="C3060"/>
    </row>
    <row r="3061" spans="3:3">
      <c r="C3061"/>
    </row>
    <row r="3062" spans="3:3">
      <c r="C3062"/>
    </row>
    <row r="3063" spans="3:3">
      <c r="C3063"/>
    </row>
    <row r="3064" spans="3:3">
      <c r="C3064"/>
    </row>
    <row r="3065" spans="3:3">
      <c r="C3065"/>
    </row>
    <row r="3066" spans="3:3">
      <c r="C3066"/>
    </row>
    <row r="3067" spans="3:3">
      <c r="C3067"/>
    </row>
    <row r="3068" spans="3:3">
      <c r="C3068"/>
    </row>
    <row r="3069" spans="3:3">
      <c r="C3069"/>
    </row>
    <row r="3070" spans="3:3">
      <c r="C3070"/>
    </row>
    <row r="3071" spans="3:3">
      <c r="C3071"/>
    </row>
    <row r="3072" spans="3:3">
      <c r="C3072"/>
    </row>
    <row r="3073" spans="3:3">
      <c r="C3073"/>
    </row>
    <row r="3074" spans="3:3">
      <c r="C3074"/>
    </row>
    <row r="3075" spans="3:3">
      <c r="C3075"/>
    </row>
    <row r="3076" spans="3:3">
      <c r="C3076"/>
    </row>
    <row r="3077" spans="3:3">
      <c r="C3077"/>
    </row>
    <row r="3078" spans="3:3">
      <c r="C3078"/>
    </row>
    <row r="3079" spans="3:3">
      <c r="C3079"/>
    </row>
    <row r="3080" spans="3:3">
      <c r="C3080"/>
    </row>
    <row r="3081" spans="3:3">
      <c r="C3081"/>
    </row>
    <row r="3082" spans="3:3">
      <c r="C3082"/>
    </row>
    <row r="3083" spans="3:3">
      <c r="C3083"/>
    </row>
    <row r="3084" spans="3:3">
      <c r="C3084"/>
    </row>
    <row r="3085" spans="3:3">
      <c r="C3085"/>
    </row>
    <row r="3086" spans="3:3">
      <c r="C3086"/>
    </row>
    <row r="3087" spans="3:3">
      <c r="C3087"/>
    </row>
    <row r="3088" spans="3:3">
      <c r="C3088"/>
    </row>
    <row r="3089" spans="3:3">
      <c r="C3089"/>
    </row>
    <row r="3090" spans="3:3">
      <c r="C3090"/>
    </row>
    <row r="3091" spans="3:3">
      <c r="C3091"/>
    </row>
    <row r="3092" spans="3:3">
      <c r="C3092"/>
    </row>
    <row r="3093" spans="3:3">
      <c r="C3093"/>
    </row>
    <row r="3094" spans="3:3">
      <c r="C3094"/>
    </row>
    <row r="3095" spans="3:3">
      <c r="C3095"/>
    </row>
    <row r="3096" spans="3:3">
      <c r="C3096"/>
    </row>
    <row r="3097" spans="3:3">
      <c r="C3097"/>
    </row>
    <row r="3098" spans="3:3">
      <c r="C3098"/>
    </row>
    <row r="3099" spans="3:3">
      <c r="C3099"/>
    </row>
    <row r="3100" spans="3:3">
      <c r="C3100"/>
    </row>
    <row r="3101" spans="3:3">
      <c r="C3101"/>
    </row>
    <row r="3102" spans="3:3">
      <c r="C3102"/>
    </row>
    <row r="3103" spans="3:3">
      <c r="C3103"/>
    </row>
    <row r="3104" spans="3:3">
      <c r="C3104"/>
    </row>
    <row r="3105" spans="3:3">
      <c r="C3105"/>
    </row>
    <row r="3106" spans="3:3">
      <c r="C3106"/>
    </row>
    <row r="3107" spans="3:3">
      <c r="C3107"/>
    </row>
    <row r="3108" spans="3:3">
      <c r="C3108"/>
    </row>
    <row r="3109" spans="3:3">
      <c r="C3109"/>
    </row>
    <row r="3110" spans="3:3">
      <c r="C3110"/>
    </row>
    <row r="3111" spans="3:3">
      <c r="C3111"/>
    </row>
    <row r="3112" spans="3:3">
      <c r="C3112"/>
    </row>
    <row r="3113" spans="3:3">
      <c r="C3113"/>
    </row>
    <row r="3114" spans="3:3">
      <c r="C3114"/>
    </row>
    <row r="3115" spans="3:3">
      <c r="C3115"/>
    </row>
    <row r="3116" spans="3:3">
      <c r="C3116"/>
    </row>
    <row r="3117" spans="3:3">
      <c r="C3117"/>
    </row>
    <row r="3118" spans="3:3">
      <c r="C3118"/>
    </row>
    <row r="3119" spans="3:3">
      <c r="C3119"/>
    </row>
    <row r="3120" spans="3:3">
      <c r="C3120"/>
    </row>
    <row r="3121" spans="3:3">
      <c r="C3121"/>
    </row>
    <row r="3122" spans="3:3">
      <c r="C3122"/>
    </row>
    <row r="3123" spans="3:3">
      <c r="C3123"/>
    </row>
    <row r="3124" spans="3:3">
      <c r="C3124"/>
    </row>
    <row r="3125" spans="3:3">
      <c r="C3125"/>
    </row>
    <row r="3126" spans="3:3">
      <c r="C3126"/>
    </row>
    <row r="3127" spans="3:3">
      <c r="C3127"/>
    </row>
    <row r="3128" spans="3:3">
      <c r="C3128"/>
    </row>
    <row r="3129" spans="3:3">
      <c r="C3129"/>
    </row>
    <row r="3130" spans="3:3">
      <c r="C3130"/>
    </row>
    <row r="3131" spans="3:3">
      <c r="C3131"/>
    </row>
    <row r="3132" spans="3:3">
      <c r="C3132"/>
    </row>
    <row r="3133" spans="3:3">
      <c r="C3133"/>
    </row>
    <row r="3134" spans="3:3">
      <c r="C3134"/>
    </row>
    <row r="3135" spans="3:3">
      <c r="C3135"/>
    </row>
    <row r="3136" spans="3:3">
      <c r="C3136"/>
    </row>
    <row r="3137" spans="3:3">
      <c r="C3137"/>
    </row>
    <row r="3138" spans="3:3">
      <c r="C3138"/>
    </row>
    <row r="3139" spans="3:3">
      <c r="C3139"/>
    </row>
    <row r="3140" spans="3:3">
      <c r="C3140"/>
    </row>
    <row r="3141" spans="3:3">
      <c r="C3141"/>
    </row>
    <row r="3142" spans="3:3">
      <c r="C3142"/>
    </row>
    <row r="3143" spans="3:3">
      <c r="C3143"/>
    </row>
    <row r="3144" spans="3:3">
      <c r="C3144"/>
    </row>
    <row r="3145" spans="3:3">
      <c r="C3145"/>
    </row>
    <row r="3146" spans="3:3">
      <c r="C3146"/>
    </row>
    <row r="3147" spans="3:3">
      <c r="C3147"/>
    </row>
    <row r="3148" spans="3:3">
      <c r="C3148"/>
    </row>
    <row r="3149" spans="3:3">
      <c r="C3149"/>
    </row>
    <row r="3150" spans="3:3">
      <c r="C3150"/>
    </row>
    <row r="3151" spans="3:3">
      <c r="C3151"/>
    </row>
    <row r="3152" spans="3:3">
      <c r="C3152"/>
    </row>
    <row r="3153" spans="3:3">
      <c r="C3153"/>
    </row>
    <row r="3154" spans="3:3">
      <c r="C3154"/>
    </row>
    <row r="3155" spans="3:3">
      <c r="C3155"/>
    </row>
    <row r="3156" spans="3:3">
      <c r="C3156"/>
    </row>
    <row r="3157" spans="3:3">
      <c r="C3157"/>
    </row>
    <row r="3158" spans="3:3">
      <c r="C3158"/>
    </row>
    <row r="3159" spans="3:3">
      <c r="C3159"/>
    </row>
    <row r="3160" spans="3:3">
      <c r="C3160"/>
    </row>
    <row r="3161" spans="3:3">
      <c r="C3161"/>
    </row>
    <row r="3162" spans="3:3">
      <c r="C3162"/>
    </row>
    <row r="3163" spans="3:3">
      <c r="C3163"/>
    </row>
    <row r="3164" spans="3:3">
      <c r="C3164"/>
    </row>
    <row r="3165" spans="3:3">
      <c r="C3165"/>
    </row>
    <row r="3166" spans="3:3">
      <c r="C3166"/>
    </row>
    <row r="3167" spans="3:3">
      <c r="C3167"/>
    </row>
    <row r="3168" spans="3:3">
      <c r="C3168"/>
    </row>
    <row r="3169" spans="3:3">
      <c r="C3169"/>
    </row>
    <row r="3170" spans="3:3">
      <c r="C3170"/>
    </row>
    <row r="3171" spans="3:3">
      <c r="C3171"/>
    </row>
    <row r="3172" spans="3:3">
      <c r="C3172"/>
    </row>
    <row r="3173" spans="3:3">
      <c r="C3173"/>
    </row>
    <row r="3174" spans="3:3">
      <c r="C3174"/>
    </row>
    <row r="3175" spans="3:3">
      <c r="C3175"/>
    </row>
    <row r="3176" spans="3:3">
      <c r="C3176"/>
    </row>
    <row r="3177" spans="3:3">
      <c r="C3177"/>
    </row>
    <row r="3178" spans="3:3">
      <c r="C3178"/>
    </row>
    <row r="3179" spans="3:3">
      <c r="C3179"/>
    </row>
    <row r="3180" spans="3:3">
      <c r="C3180"/>
    </row>
    <row r="3181" spans="3:3">
      <c r="C3181"/>
    </row>
    <row r="3182" spans="3:3">
      <c r="C3182"/>
    </row>
    <row r="3183" spans="3:3">
      <c r="C3183"/>
    </row>
    <row r="3184" spans="3:3">
      <c r="C3184"/>
    </row>
    <row r="3185" spans="3:3">
      <c r="C3185"/>
    </row>
    <row r="3186" spans="3:3">
      <c r="C3186"/>
    </row>
    <row r="3187" spans="3:3">
      <c r="C3187"/>
    </row>
    <row r="3188" spans="3:3">
      <c r="C3188"/>
    </row>
    <row r="3189" spans="3:3">
      <c r="C3189"/>
    </row>
    <row r="3190" spans="3:3">
      <c r="C3190"/>
    </row>
    <row r="3191" spans="3:3">
      <c r="C3191"/>
    </row>
    <row r="3192" spans="3:3">
      <c r="C3192"/>
    </row>
    <row r="3193" spans="3:3">
      <c r="C3193"/>
    </row>
    <row r="3194" spans="3:3">
      <c r="C3194"/>
    </row>
    <row r="3195" spans="3:3">
      <c r="C3195"/>
    </row>
    <row r="3196" spans="3:3">
      <c r="C3196"/>
    </row>
    <row r="3197" spans="3:3">
      <c r="C3197"/>
    </row>
    <row r="3198" spans="3:3">
      <c r="C3198"/>
    </row>
    <row r="3199" spans="3:3">
      <c r="C3199"/>
    </row>
    <row r="3200" spans="3:3">
      <c r="C3200"/>
    </row>
    <row r="3201" spans="3:3">
      <c r="C3201"/>
    </row>
    <row r="3202" spans="3:3">
      <c r="C3202"/>
    </row>
    <row r="3203" spans="3:3">
      <c r="C3203"/>
    </row>
    <row r="3204" spans="3:3">
      <c r="C3204"/>
    </row>
    <row r="3205" spans="3:3">
      <c r="C3205"/>
    </row>
    <row r="3206" spans="3:3">
      <c r="C3206"/>
    </row>
    <row r="3207" spans="3:3">
      <c r="C3207"/>
    </row>
    <row r="3208" spans="3:3">
      <c r="C3208"/>
    </row>
    <row r="3209" spans="3:3">
      <c r="C3209"/>
    </row>
    <row r="3210" spans="3:3">
      <c r="C3210"/>
    </row>
    <row r="3211" spans="3:3">
      <c r="C3211"/>
    </row>
    <row r="3212" spans="3:3">
      <c r="C3212"/>
    </row>
    <row r="3213" spans="3:3">
      <c r="C3213"/>
    </row>
    <row r="3214" spans="3:3">
      <c r="C3214"/>
    </row>
    <row r="3215" spans="3:3">
      <c r="C3215"/>
    </row>
    <row r="3216" spans="3:3">
      <c r="C3216"/>
    </row>
    <row r="3217" spans="3:3">
      <c r="C3217"/>
    </row>
    <row r="3218" spans="3:3">
      <c r="C3218"/>
    </row>
    <row r="3219" spans="3:3">
      <c r="C3219"/>
    </row>
    <row r="3220" spans="3:3">
      <c r="C3220"/>
    </row>
    <row r="3221" spans="3:3">
      <c r="C3221"/>
    </row>
    <row r="3222" spans="3:3">
      <c r="C3222"/>
    </row>
    <row r="3223" spans="3:3">
      <c r="C3223"/>
    </row>
    <row r="3224" spans="3:3">
      <c r="C3224"/>
    </row>
    <row r="3225" spans="3:3">
      <c r="C3225"/>
    </row>
    <row r="3226" spans="3:3">
      <c r="C3226"/>
    </row>
    <row r="3227" spans="3:3">
      <c r="C3227"/>
    </row>
    <row r="3228" spans="3:3">
      <c r="C3228"/>
    </row>
    <row r="3229" spans="3:3">
      <c r="C3229"/>
    </row>
    <row r="3230" spans="3:3">
      <c r="C3230"/>
    </row>
    <row r="3231" spans="3:3">
      <c r="C3231"/>
    </row>
    <row r="3232" spans="3:3">
      <c r="C3232"/>
    </row>
    <row r="3233" spans="3:3">
      <c r="C3233"/>
    </row>
    <row r="3234" spans="3:3">
      <c r="C3234"/>
    </row>
    <row r="3235" spans="3:3">
      <c r="C3235"/>
    </row>
    <row r="3236" spans="3:3">
      <c r="C3236"/>
    </row>
    <row r="3237" spans="3:3">
      <c r="C3237"/>
    </row>
    <row r="3238" spans="3:3">
      <c r="C3238"/>
    </row>
    <row r="3239" spans="3:3">
      <c r="C3239"/>
    </row>
    <row r="3240" spans="3:3">
      <c r="C3240"/>
    </row>
    <row r="3241" spans="3:3">
      <c r="C3241"/>
    </row>
    <row r="3242" spans="3:3">
      <c r="C3242"/>
    </row>
    <row r="3243" spans="3:3">
      <c r="C3243"/>
    </row>
    <row r="3244" spans="3:3">
      <c r="C3244"/>
    </row>
    <row r="3245" spans="3:3">
      <c r="C3245"/>
    </row>
    <row r="3246" spans="3:3">
      <c r="C3246"/>
    </row>
    <row r="3247" spans="3:3">
      <c r="C3247"/>
    </row>
    <row r="3248" spans="3:3">
      <c r="C3248"/>
    </row>
    <row r="3249" spans="3:3">
      <c r="C3249"/>
    </row>
    <row r="3250" spans="3:3">
      <c r="C3250"/>
    </row>
    <row r="3251" spans="3:3">
      <c r="C3251"/>
    </row>
    <row r="3252" spans="3:3">
      <c r="C3252"/>
    </row>
    <row r="3253" spans="3:3">
      <c r="C3253"/>
    </row>
    <row r="3254" spans="3:3">
      <c r="C3254"/>
    </row>
    <row r="3255" spans="3:3">
      <c r="C3255"/>
    </row>
    <row r="3256" spans="3:3">
      <c r="C3256"/>
    </row>
    <row r="3257" spans="3:3">
      <c r="C3257"/>
    </row>
    <row r="3258" spans="3:3">
      <c r="C3258"/>
    </row>
    <row r="3259" spans="3:3">
      <c r="C3259"/>
    </row>
    <row r="3260" spans="3:3">
      <c r="C3260"/>
    </row>
    <row r="3261" spans="3:3">
      <c r="C3261"/>
    </row>
    <row r="3262" spans="3:3">
      <c r="C3262"/>
    </row>
    <row r="3263" spans="3:3">
      <c r="C3263"/>
    </row>
    <row r="3264" spans="3:3">
      <c r="C3264"/>
    </row>
    <row r="3265" spans="3:3">
      <c r="C3265"/>
    </row>
    <row r="3266" spans="3:3">
      <c r="C3266"/>
    </row>
    <row r="3267" spans="3:3">
      <c r="C3267"/>
    </row>
    <row r="3268" spans="3:3">
      <c r="C3268"/>
    </row>
    <row r="3269" spans="3:3">
      <c r="C3269"/>
    </row>
    <row r="3270" spans="3:3">
      <c r="C3270"/>
    </row>
    <row r="3271" spans="3:3">
      <c r="C3271"/>
    </row>
    <row r="3272" spans="3:3">
      <c r="C3272"/>
    </row>
    <row r="3273" spans="3:3">
      <c r="C3273"/>
    </row>
    <row r="3274" spans="3:3">
      <c r="C3274"/>
    </row>
    <row r="3275" spans="3:3">
      <c r="C3275"/>
    </row>
    <row r="3276" spans="3:3">
      <c r="C3276"/>
    </row>
    <row r="3277" spans="3:3">
      <c r="C3277"/>
    </row>
    <row r="3278" spans="3:3">
      <c r="C3278"/>
    </row>
    <row r="3279" spans="3:3">
      <c r="C3279"/>
    </row>
    <row r="3280" spans="3:3">
      <c r="C3280"/>
    </row>
    <row r="3281" spans="3:3">
      <c r="C3281"/>
    </row>
    <row r="3282" spans="3:3">
      <c r="C3282"/>
    </row>
    <row r="3283" spans="3:3">
      <c r="C3283"/>
    </row>
    <row r="3284" spans="3:3">
      <c r="C3284"/>
    </row>
    <row r="3285" spans="3:3">
      <c r="C3285"/>
    </row>
    <row r="3286" spans="3:3">
      <c r="C3286"/>
    </row>
    <row r="3287" spans="3:3">
      <c r="C3287"/>
    </row>
    <row r="3288" spans="3:3">
      <c r="C3288"/>
    </row>
    <row r="3289" spans="3:3">
      <c r="C3289"/>
    </row>
    <row r="3290" spans="3:3">
      <c r="C3290"/>
    </row>
    <row r="3291" spans="3:3">
      <c r="C3291"/>
    </row>
    <row r="3292" spans="3:3">
      <c r="C3292"/>
    </row>
    <row r="3293" spans="3:3">
      <c r="C3293"/>
    </row>
    <row r="3294" spans="3:3">
      <c r="C3294"/>
    </row>
    <row r="3295" spans="3:3">
      <c r="C3295"/>
    </row>
    <row r="3296" spans="3:3">
      <c r="C3296"/>
    </row>
    <row r="3297" spans="3:3">
      <c r="C3297"/>
    </row>
    <row r="3298" spans="3:3">
      <c r="C3298"/>
    </row>
    <row r="3299" spans="3:3">
      <c r="C3299"/>
    </row>
    <row r="3300" spans="3:3">
      <c r="C3300"/>
    </row>
    <row r="3301" spans="3:3">
      <c r="C3301"/>
    </row>
    <row r="3302" spans="3:3">
      <c r="C3302"/>
    </row>
    <row r="3303" spans="3:3">
      <c r="C3303"/>
    </row>
    <row r="3304" spans="3:3">
      <c r="C3304"/>
    </row>
    <row r="3305" spans="3:3">
      <c r="C3305"/>
    </row>
    <row r="3306" spans="3:3">
      <c r="C3306"/>
    </row>
    <row r="3307" spans="3:3">
      <c r="C3307"/>
    </row>
    <row r="3308" spans="3:3">
      <c r="C3308"/>
    </row>
    <row r="3309" spans="3:3">
      <c r="C3309"/>
    </row>
    <row r="3310" spans="3:3">
      <c r="C3310"/>
    </row>
    <row r="3311" spans="3:3">
      <c r="C3311"/>
    </row>
    <row r="3312" spans="3:3">
      <c r="C3312"/>
    </row>
    <row r="3313" spans="3:3">
      <c r="C3313"/>
    </row>
    <row r="3314" spans="3:3">
      <c r="C3314"/>
    </row>
    <row r="3315" spans="3:3">
      <c r="C3315"/>
    </row>
    <row r="3316" spans="3:3">
      <c r="C3316"/>
    </row>
    <row r="3317" spans="3:3">
      <c r="C3317"/>
    </row>
    <row r="3318" spans="3:3">
      <c r="C3318"/>
    </row>
    <row r="3319" spans="3:3">
      <c r="C3319"/>
    </row>
    <row r="3320" spans="3:3">
      <c r="C3320"/>
    </row>
    <row r="3321" spans="3:3">
      <c r="C3321"/>
    </row>
    <row r="3322" spans="3:3">
      <c r="C3322"/>
    </row>
    <row r="3323" spans="3:3">
      <c r="C3323"/>
    </row>
    <row r="3324" spans="3:3">
      <c r="C3324"/>
    </row>
    <row r="3325" spans="3:3">
      <c r="C3325"/>
    </row>
    <row r="3326" spans="3:3">
      <c r="C3326"/>
    </row>
    <row r="3327" spans="3:3">
      <c r="C3327"/>
    </row>
    <row r="3328" spans="3:3">
      <c r="C3328"/>
    </row>
    <row r="3329" spans="3:3">
      <c r="C3329"/>
    </row>
    <row r="3330" spans="3:3">
      <c r="C3330"/>
    </row>
    <row r="3331" spans="3:3">
      <c r="C3331"/>
    </row>
    <row r="3332" spans="3:3">
      <c r="C3332"/>
    </row>
    <row r="3333" spans="3:3">
      <c r="C3333"/>
    </row>
    <row r="3334" spans="3:3">
      <c r="C3334"/>
    </row>
    <row r="3335" spans="3:3">
      <c r="C3335"/>
    </row>
    <row r="3336" spans="3:3">
      <c r="C3336"/>
    </row>
    <row r="3337" spans="3:3">
      <c r="C3337"/>
    </row>
    <row r="3338" spans="3:3">
      <c r="C3338"/>
    </row>
    <row r="3339" spans="3:3">
      <c r="C3339"/>
    </row>
    <row r="3340" spans="3:3">
      <c r="C3340"/>
    </row>
    <row r="3341" spans="3:3">
      <c r="C3341"/>
    </row>
    <row r="3342" spans="3:3">
      <c r="C3342"/>
    </row>
    <row r="3343" spans="3:3">
      <c r="C3343"/>
    </row>
    <row r="3344" spans="3:3">
      <c r="C3344"/>
    </row>
    <row r="3345" spans="3:3">
      <c r="C3345"/>
    </row>
    <row r="3346" spans="3:3">
      <c r="C3346"/>
    </row>
    <row r="3347" spans="3:3">
      <c r="C3347"/>
    </row>
    <row r="3348" spans="3:3">
      <c r="C3348"/>
    </row>
    <row r="3349" spans="3:3">
      <c r="C3349"/>
    </row>
    <row r="3350" spans="3:3">
      <c r="C3350"/>
    </row>
    <row r="3351" spans="3:3">
      <c r="C3351"/>
    </row>
    <row r="3352" spans="3:3">
      <c r="C3352"/>
    </row>
    <row r="3353" spans="3:3">
      <c r="C3353"/>
    </row>
    <row r="3354" spans="3:3">
      <c r="C3354"/>
    </row>
    <row r="3355" spans="3:3">
      <c r="C3355"/>
    </row>
    <row r="3356" spans="3:3">
      <c r="C3356"/>
    </row>
    <row r="3357" spans="3:3">
      <c r="C3357"/>
    </row>
    <row r="3358" spans="3:3">
      <c r="C3358"/>
    </row>
    <row r="3359" spans="3:3">
      <c r="C3359"/>
    </row>
    <row r="3360" spans="3:3">
      <c r="C3360"/>
    </row>
    <row r="3361" spans="3:3">
      <c r="C3361"/>
    </row>
    <row r="3362" spans="3:3">
      <c r="C3362"/>
    </row>
    <row r="3363" spans="3:3">
      <c r="C3363"/>
    </row>
    <row r="3364" spans="3:3">
      <c r="C3364"/>
    </row>
    <row r="3365" spans="3:3">
      <c r="C3365"/>
    </row>
    <row r="3366" spans="3:3">
      <c r="C3366"/>
    </row>
    <row r="3367" spans="3:3">
      <c r="C3367"/>
    </row>
    <row r="3368" spans="3:3">
      <c r="C3368"/>
    </row>
    <row r="3369" spans="3:3">
      <c r="C3369"/>
    </row>
    <row r="3370" spans="3:3">
      <c r="C3370"/>
    </row>
    <row r="3371" spans="3:3">
      <c r="C3371"/>
    </row>
    <row r="3372" spans="3:3">
      <c r="C3372"/>
    </row>
    <row r="3373" spans="3:3">
      <c r="C3373"/>
    </row>
    <row r="3374" spans="3:3">
      <c r="C3374"/>
    </row>
    <row r="3375" spans="3:3">
      <c r="C3375"/>
    </row>
    <row r="3376" spans="3:3">
      <c r="C3376"/>
    </row>
    <row r="3377" spans="3:3">
      <c r="C3377"/>
    </row>
    <row r="3378" spans="3:3">
      <c r="C3378"/>
    </row>
    <row r="3379" spans="3:3">
      <c r="C3379"/>
    </row>
    <row r="3380" spans="3:3">
      <c r="C3380"/>
    </row>
    <row r="3381" spans="3:3">
      <c r="C3381"/>
    </row>
    <row r="3382" spans="3:3">
      <c r="C3382"/>
    </row>
    <row r="3383" spans="3:3">
      <c r="C3383"/>
    </row>
    <row r="3384" spans="3:3">
      <c r="C3384"/>
    </row>
    <row r="3385" spans="3:3">
      <c r="C3385"/>
    </row>
    <row r="3386" spans="3:3">
      <c r="C3386"/>
    </row>
    <row r="3387" spans="3:3">
      <c r="C3387"/>
    </row>
    <row r="3388" spans="3:3">
      <c r="C3388"/>
    </row>
    <row r="3389" spans="3:3">
      <c r="C3389"/>
    </row>
    <row r="3390" spans="3:3">
      <c r="C3390"/>
    </row>
    <row r="3391" spans="3:3">
      <c r="C3391"/>
    </row>
    <row r="3392" spans="3:3">
      <c r="C3392"/>
    </row>
    <row r="3393" spans="3:3">
      <c r="C3393"/>
    </row>
    <row r="3394" spans="3:3">
      <c r="C3394"/>
    </row>
    <row r="3395" spans="3:3">
      <c r="C3395"/>
    </row>
    <row r="3396" spans="3:3">
      <c r="C3396"/>
    </row>
    <row r="3397" spans="3:3">
      <c r="C3397"/>
    </row>
    <row r="3398" spans="3:3">
      <c r="C3398"/>
    </row>
    <row r="3399" spans="3:3">
      <c r="C3399"/>
    </row>
    <row r="3400" spans="3:3">
      <c r="C3400"/>
    </row>
    <row r="3401" spans="3:3">
      <c r="C3401"/>
    </row>
    <row r="3402" spans="3:3">
      <c r="C3402"/>
    </row>
    <row r="3403" spans="3:3">
      <c r="C3403"/>
    </row>
    <row r="3404" spans="3:3">
      <c r="C3404"/>
    </row>
    <row r="3405" spans="3:3">
      <c r="C3405"/>
    </row>
    <row r="3406" spans="3:3">
      <c r="C3406"/>
    </row>
    <row r="3407" spans="3:3">
      <c r="C3407"/>
    </row>
    <row r="3408" spans="3:3">
      <c r="C3408"/>
    </row>
    <row r="3409" spans="3:3">
      <c r="C3409"/>
    </row>
    <row r="3410" spans="3:3">
      <c r="C3410"/>
    </row>
    <row r="3411" spans="3:3">
      <c r="C3411"/>
    </row>
    <row r="3412" spans="3:3">
      <c r="C3412"/>
    </row>
    <row r="3413" spans="3:3">
      <c r="C3413"/>
    </row>
    <row r="3414" spans="3:3">
      <c r="C3414"/>
    </row>
    <row r="3415" spans="3:3">
      <c r="C3415"/>
    </row>
    <row r="3416" spans="3:3">
      <c r="C3416"/>
    </row>
    <row r="3417" spans="3:3">
      <c r="C3417"/>
    </row>
    <row r="3418" spans="3:3">
      <c r="C3418"/>
    </row>
    <row r="3419" spans="3:3">
      <c r="C3419"/>
    </row>
    <row r="3420" spans="3:3">
      <c r="C3420"/>
    </row>
    <row r="3421" spans="3:3">
      <c r="C3421"/>
    </row>
    <row r="3422" spans="3:3">
      <c r="C3422"/>
    </row>
    <row r="3423" spans="3:3">
      <c r="C3423"/>
    </row>
    <row r="3424" spans="3:3">
      <c r="C3424"/>
    </row>
    <row r="3425" spans="3:3">
      <c r="C3425"/>
    </row>
    <row r="3426" spans="3:3">
      <c r="C3426"/>
    </row>
    <row r="3427" spans="3:3">
      <c r="C3427"/>
    </row>
    <row r="3428" spans="3:3">
      <c r="C3428"/>
    </row>
    <row r="3429" spans="3:3">
      <c r="C3429"/>
    </row>
    <row r="3430" spans="3:3">
      <c r="C3430"/>
    </row>
    <row r="3431" spans="3:3">
      <c r="C3431"/>
    </row>
    <row r="3432" spans="3:3">
      <c r="C3432"/>
    </row>
    <row r="3433" spans="3:3">
      <c r="C3433"/>
    </row>
    <row r="3434" spans="3:3">
      <c r="C3434"/>
    </row>
    <row r="3435" spans="3:3">
      <c r="C3435"/>
    </row>
    <row r="3436" spans="3:3">
      <c r="C3436"/>
    </row>
    <row r="3437" spans="3:3">
      <c r="C3437"/>
    </row>
    <row r="3438" spans="3:3">
      <c r="C3438"/>
    </row>
    <row r="3439" spans="3:3">
      <c r="C3439"/>
    </row>
    <row r="3440" spans="3:3">
      <c r="C3440"/>
    </row>
    <row r="3441" spans="3:3">
      <c r="C3441"/>
    </row>
    <row r="3442" spans="3:3">
      <c r="C3442"/>
    </row>
    <row r="3443" spans="3:3">
      <c r="C3443"/>
    </row>
    <row r="3444" spans="3:3">
      <c r="C3444"/>
    </row>
    <row r="3445" spans="3:3">
      <c r="C3445"/>
    </row>
    <row r="3446" spans="3:3">
      <c r="C3446"/>
    </row>
    <row r="3447" spans="3:3">
      <c r="C3447"/>
    </row>
    <row r="3448" spans="3:3">
      <c r="C3448"/>
    </row>
    <row r="3449" spans="3:3">
      <c r="C3449"/>
    </row>
    <row r="3450" spans="3:3">
      <c r="C3450"/>
    </row>
    <row r="3451" spans="3:3">
      <c r="C3451"/>
    </row>
    <row r="3452" spans="3:3">
      <c r="C3452"/>
    </row>
    <row r="3453" spans="3:3">
      <c r="C3453"/>
    </row>
    <row r="3454" spans="3:3">
      <c r="C3454"/>
    </row>
    <row r="3455" spans="3:3">
      <c r="C3455"/>
    </row>
    <row r="3456" spans="3:3">
      <c r="C3456"/>
    </row>
    <row r="3457" spans="3:3">
      <c r="C3457"/>
    </row>
    <row r="3458" spans="3:3">
      <c r="C3458"/>
    </row>
    <row r="3459" spans="3:3">
      <c r="C3459"/>
    </row>
    <row r="3460" spans="3:3">
      <c r="C3460"/>
    </row>
    <row r="3461" spans="3:3">
      <c r="C3461"/>
    </row>
    <row r="3462" spans="3:3">
      <c r="C3462"/>
    </row>
    <row r="3463" spans="3:3">
      <c r="C3463"/>
    </row>
    <row r="3464" spans="3:3">
      <c r="C3464"/>
    </row>
    <row r="3465" spans="3:3">
      <c r="C3465"/>
    </row>
    <row r="3466" spans="3:3">
      <c r="C3466"/>
    </row>
    <row r="3467" spans="3:3">
      <c r="C3467"/>
    </row>
    <row r="3468" spans="3:3">
      <c r="C3468"/>
    </row>
    <row r="3469" spans="3:3">
      <c r="C3469"/>
    </row>
    <row r="3470" spans="3:3">
      <c r="C3470"/>
    </row>
    <row r="3471" spans="3:3">
      <c r="C3471"/>
    </row>
    <row r="3472" spans="3:3">
      <c r="C3472"/>
    </row>
    <row r="3473" spans="3:3">
      <c r="C3473"/>
    </row>
    <row r="3474" spans="3:3">
      <c r="C3474"/>
    </row>
    <row r="3475" spans="3:3">
      <c r="C3475"/>
    </row>
    <row r="3476" spans="3:3">
      <c r="C3476"/>
    </row>
    <row r="3477" spans="3:3">
      <c r="C3477"/>
    </row>
    <row r="3478" spans="3:3">
      <c r="C3478"/>
    </row>
    <row r="3479" spans="3:3">
      <c r="C3479"/>
    </row>
    <row r="3480" spans="3:3">
      <c r="C3480"/>
    </row>
    <row r="3481" spans="3:3">
      <c r="C3481"/>
    </row>
    <row r="3482" spans="3:3">
      <c r="C3482"/>
    </row>
    <row r="3483" spans="3:3">
      <c r="C3483"/>
    </row>
    <row r="3484" spans="3:3">
      <c r="C3484"/>
    </row>
    <row r="3485" spans="3:3">
      <c r="C3485"/>
    </row>
    <row r="3486" spans="3:3">
      <c r="C3486"/>
    </row>
    <row r="3487" spans="3:3">
      <c r="C3487"/>
    </row>
    <row r="3488" spans="3:3">
      <c r="C3488"/>
    </row>
    <row r="3489" spans="3:3">
      <c r="C3489"/>
    </row>
    <row r="3490" spans="3:3">
      <c r="C3490"/>
    </row>
    <row r="3491" spans="3:3">
      <c r="C3491"/>
    </row>
    <row r="3492" spans="3:3">
      <c r="C3492"/>
    </row>
    <row r="3493" spans="3:3">
      <c r="C3493"/>
    </row>
    <row r="3494" spans="3:3">
      <c r="C3494"/>
    </row>
    <row r="3495" spans="3:3">
      <c r="C3495"/>
    </row>
    <row r="3496" spans="3:3">
      <c r="C3496"/>
    </row>
    <row r="3497" spans="3:3">
      <c r="C3497"/>
    </row>
    <row r="3498" spans="3:3">
      <c r="C3498"/>
    </row>
    <row r="3499" spans="3:3">
      <c r="C3499"/>
    </row>
    <row r="3500" spans="3:3">
      <c r="C3500"/>
    </row>
    <row r="3501" spans="3:3">
      <c r="C3501"/>
    </row>
    <row r="3502" spans="3:3">
      <c r="C3502"/>
    </row>
    <row r="3503" spans="3:3">
      <c r="C3503"/>
    </row>
    <row r="3504" spans="3:3">
      <c r="C3504"/>
    </row>
    <row r="3505" spans="3:3">
      <c r="C3505"/>
    </row>
    <row r="3506" spans="3:3">
      <c r="C3506"/>
    </row>
    <row r="3507" spans="3:3">
      <c r="C3507"/>
    </row>
    <row r="3508" spans="3:3">
      <c r="C3508"/>
    </row>
    <row r="3509" spans="3:3">
      <c r="C3509"/>
    </row>
    <row r="3510" spans="3:3">
      <c r="C3510"/>
    </row>
    <row r="3511" spans="3:3">
      <c r="C3511"/>
    </row>
    <row r="3512" spans="3:3">
      <c r="C3512"/>
    </row>
    <row r="3513" spans="3:3">
      <c r="C3513"/>
    </row>
    <row r="3514" spans="3:3">
      <c r="C3514"/>
    </row>
    <row r="3515" spans="3:3">
      <c r="C3515"/>
    </row>
    <row r="3516" spans="3:3">
      <c r="C3516"/>
    </row>
    <row r="3517" spans="3:3">
      <c r="C3517"/>
    </row>
    <row r="3518" spans="3:3">
      <c r="C3518"/>
    </row>
    <row r="3519" spans="3:3">
      <c r="C3519"/>
    </row>
    <row r="3520" spans="3:3">
      <c r="C3520"/>
    </row>
    <row r="3521" spans="3:3">
      <c r="C3521"/>
    </row>
    <row r="3522" spans="3:3">
      <c r="C3522"/>
    </row>
    <row r="3523" spans="3:3">
      <c r="C3523"/>
    </row>
    <row r="3524" spans="3:3">
      <c r="C3524"/>
    </row>
    <row r="3525" spans="3:3">
      <c r="C3525"/>
    </row>
    <row r="3526" spans="3:3">
      <c r="C3526"/>
    </row>
    <row r="3527" spans="3:3">
      <c r="C3527"/>
    </row>
    <row r="3528" spans="3:3">
      <c r="C3528"/>
    </row>
    <row r="3529" spans="3:3">
      <c r="C3529"/>
    </row>
    <row r="3530" spans="3:3">
      <c r="C3530"/>
    </row>
    <row r="3531" spans="3:3">
      <c r="C3531"/>
    </row>
    <row r="3532" spans="3:3">
      <c r="C3532"/>
    </row>
    <row r="3533" spans="3:3">
      <c r="C3533"/>
    </row>
    <row r="3534" spans="3:3">
      <c r="C3534"/>
    </row>
    <row r="3535" spans="3:3">
      <c r="C3535"/>
    </row>
    <row r="3536" spans="3:3">
      <c r="C3536"/>
    </row>
    <row r="3537" spans="3:3">
      <c r="C3537"/>
    </row>
    <row r="3538" spans="3:3">
      <c r="C3538"/>
    </row>
    <row r="3539" spans="3:3">
      <c r="C3539"/>
    </row>
    <row r="3540" spans="3:3">
      <c r="C3540"/>
    </row>
    <row r="3541" spans="3:3">
      <c r="C3541"/>
    </row>
    <row r="3542" spans="3:3">
      <c r="C3542"/>
    </row>
    <row r="3543" spans="3:3">
      <c r="C3543"/>
    </row>
    <row r="3544" spans="3:3">
      <c r="C3544"/>
    </row>
    <row r="3545" spans="3:3">
      <c r="C3545"/>
    </row>
    <row r="3546" spans="3:3">
      <c r="C3546"/>
    </row>
    <row r="3547" spans="3:3">
      <c r="C3547"/>
    </row>
    <row r="3548" spans="3:3">
      <c r="C3548"/>
    </row>
    <row r="3549" spans="3:3">
      <c r="C3549"/>
    </row>
    <row r="3550" spans="3:3">
      <c r="C3550"/>
    </row>
    <row r="3551" spans="3:3">
      <c r="C3551"/>
    </row>
    <row r="3552" spans="3:3">
      <c r="C3552"/>
    </row>
    <row r="3553" spans="3:3">
      <c r="C3553"/>
    </row>
    <row r="3554" spans="3:3">
      <c r="C3554"/>
    </row>
    <row r="3555" spans="3:3">
      <c r="C3555"/>
    </row>
    <row r="3556" spans="3:3">
      <c r="C3556"/>
    </row>
    <row r="3557" spans="3:3">
      <c r="C3557"/>
    </row>
    <row r="3558" spans="3:3">
      <c r="C3558"/>
    </row>
    <row r="3559" spans="3:3">
      <c r="C3559"/>
    </row>
    <row r="3560" spans="3:3">
      <c r="C3560"/>
    </row>
    <row r="3561" spans="3:3">
      <c r="C3561"/>
    </row>
    <row r="3562" spans="3:3">
      <c r="C3562"/>
    </row>
    <row r="3563" spans="3:3">
      <c r="C3563"/>
    </row>
    <row r="3564" spans="3:3">
      <c r="C3564"/>
    </row>
    <row r="3565" spans="3:3">
      <c r="C3565"/>
    </row>
    <row r="3566" spans="3:3">
      <c r="C3566"/>
    </row>
    <row r="3567" spans="3:3">
      <c r="C3567"/>
    </row>
    <row r="3568" spans="3:3">
      <c r="C3568"/>
    </row>
    <row r="3569" spans="3:3">
      <c r="C3569"/>
    </row>
    <row r="3570" spans="3:3">
      <c r="C3570"/>
    </row>
    <row r="3571" spans="3:3">
      <c r="C3571"/>
    </row>
    <row r="3572" spans="3:3">
      <c r="C3572"/>
    </row>
    <row r="3573" spans="3:3">
      <c r="C3573"/>
    </row>
    <row r="3574" spans="3:3">
      <c r="C3574"/>
    </row>
    <row r="3575" spans="3:3">
      <c r="C3575"/>
    </row>
    <row r="3576" spans="3:3">
      <c r="C3576"/>
    </row>
    <row r="3577" spans="3:3">
      <c r="C3577"/>
    </row>
    <row r="3578" spans="3:3">
      <c r="C3578"/>
    </row>
    <row r="3579" spans="3:3">
      <c r="C3579"/>
    </row>
    <row r="3580" spans="3:3">
      <c r="C3580"/>
    </row>
    <row r="3581" spans="3:3">
      <c r="C3581"/>
    </row>
    <row r="3582" spans="3:3">
      <c r="C3582"/>
    </row>
    <row r="3583" spans="3:3">
      <c r="C3583"/>
    </row>
    <row r="3584" spans="3:3">
      <c r="C3584"/>
    </row>
    <row r="3585" spans="3:3">
      <c r="C3585"/>
    </row>
    <row r="3586" spans="3:3">
      <c r="C3586"/>
    </row>
    <row r="3587" spans="3:3">
      <c r="C3587"/>
    </row>
    <row r="3588" spans="3:3">
      <c r="C3588"/>
    </row>
    <row r="3589" spans="3:3">
      <c r="C3589"/>
    </row>
    <row r="3590" spans="3:3">
      <c r="C3590"/>
    </row>
    <row r="3591" spans="3:3">
      <c r="C3591"/>
    </row>
    <row r="3592" spans="3:3">
      <c r="C3592"/>
    </row>
    <row r="3593" spans="3:3">
      <c r="C3593"/>
    </row>
    <row r="3594" spans="3:3">
      <c r="C3594"/>
    </row>
    <row r="3595" spans="3:3">
      <c r="C3595"/>
    </row>
    <row r="3596" spans="3:3">
      <c r="C3596"/>
    </row>
    <row r="3597" spans="3:3">
      <c r="C3597"/>
    </row>
    <row r="3598" spans="3:3">
      <c r="C3598"/>
    </row>
    <row r="3599" spans="3:3">
      <c r="C3599"/>
    </row>
    <row r="3600" spans="3:3">
      <c r="C3600"/>
    </row>
    <row r="3601" spans="3:3">
      <c r="C3601"/>
    </row>
    <row r="3602" spans="3:3">
      <c r="C3602"/>
    </row>
    <row r="3603" spans="3:3">
      <c r="C3603"/>
    </row>
    <row r="3604" spans="3:3">
      <c r="C3604"/>
    </row>
    <row r="3605" spans="3:3">
      <c r="C3605"/>
    </row>
    <row r="3606" spans="3:3">
      <c r="C3606"/>
    </row>
    <row r="3607" spans="3:3">
      <c r="C3607"/>
    </row>
    <row r="3608" spans="3:3">
      <c r="C3608"/>
    </row>
    <row r="3609" spans="3:3">
      <c r="C3609"/>
    </row>
    <row r="3610" spans="3:3">
      <c r="C3610"/>
    </row>
    <row r="3611" spans="3:3">
      <c r="C3611"/>
    </row>
    <row r="3612" spans="3:3">
      <c r="C3612"/>
    </row>
    <row r="3613" spans="3:3">
      <c r="C3613"/>
    </row>
    <row r="3614" spans="3:3">
      <c r="C3614"/>
    </row>
    <row r="3615" spans="3:3">
      <c r="C3615"/>
    </row>
    <row r="3616" spans="3:3">
      <c r="C3616"/>
    </row>
    <row r="3617" spans="3:3">
      <c r="C3617"/>
    </row>
    <row r="3618" spans="3:3">
      <c r="C3618"/>
    </row>
    <row r="3619" spans="3:3">
      <c r="C3619"/>
    </row>
    <row r="3620" spans="3:3">
      <c r="C3620"/>
    </row>
    <row r="3621" spans="3:3">
      <c r="C3621"/>
    </row>
    <row r="3622" spans="3:3">
      <c r="C3622"/>
    </row>
    <row r="3623" spans="3:3">
      <c r="C3623"/>
    </row>
    <row r="3624" spans="3:3">
      <c r="C3624"/>
    </row>
    <row r="3625" spans="3:3">
      <c r="C3625"/>
    </row>
    <row r="3626" spans="3:3">
      <c r="C3626"/>
    </row>
    <row r="3627" spans="3:3">
      <c r="C3627"/>
    </row>
    <row r="3628" spans="3:3">
      <c r="C3628"/>
    </row>
    <row r="3629" spans="3:3">
      <c r="C3629"/>
    </row>
    <row r="3630" spans="3:3">
      <c r="C3630"/>
    </row>
    <row r="3631" spans="3:3">
      <c r="C3631"/>
    </row>
    <row r="3632" spans="3:3">
      <c r="C3632"/>
    </row>
    <row r="3633" spans="3:3">
      <c r="C3633"/>
    </row>
    <row r="3634" spans="3:3">
      <c r="C3634"/>
    </row>
    <row r="3635" spans="3:3">
      <c r="C3635"/>
    </row>
    <row r="3636" spans="3:3">
      <c r="C3636"/>
    </row>
    <row r="3637" spans="3:3">
      <c r="C3637"/>
    </row>
    <row r="3638" spans="3:3">
      <c r="C3638"/>
    </row>
    <row r="3639" spans="3:3">
      <c r="C3639"/>
    </row>
    <row r="3640" spans="3:3">
      <c r="C3640"/>
    </row>
    <row r="3641" spans="3:3">
      <c r="C3641"/>
    </row>
    <row r="3642" spans="3:3">
      <c r="C3642"/>
    </row>
    <row r="3643" spans="3:3">
      <c r="C3643"/>
    </row>
    <row r="3644" spans="3:3">
      <c r="C3644"/>
    </row>
    <row r="3645" spans="3:3">
      <c r="C3645"/>
    </row>
    <row r="3646" spans="3:3">
      <c r="C3646"/>
    </row>
    <row r="3647" spans="3:3">
      <c r="C3647"/>
    </row>
    <row r="3648" spans="3:3">
      <c r="C3648"/>
    </row>
    <row r="3649" spans="3:3">
      <c r="C3649"/>
    </row>
    <row r="3650" spans="3:3">
      <c r="C3650"/>
    </row>
    <row r="3651" spans="3:3">
      <c r="C3651"/>
    </row>
    <row r="3652" spans="3:3">
      <c r="C3652"/>
    </row>
    <row r="3653" spans="3:3">
      <c r="C3653"/>
    </row>
    <row r="3654" spans="3:3">
      <c r="C3654"/>
    </row>
    <row r="3655" spans="3:3">
      <c r="C3655"/>
    </row>
    <row r="3656" spans="3:3">
      <c r="C3656"/>
    </row>
    <row r="3657" spans="3:3">
      <c r="C3657"/>
    </row>
    <row r="3658" spans="3:3">
      <c r="C3658"/>
    </row>
    <row r="3659" spans="3:3">
      <c r="C3659"/>
    </row>
    <row r="3660" spans="3:3">
      <c r="C3660"/>
    </row>
    <row r="3661" spans="3:3">
      <c r="C3661"/>
    </row>
    <row r="3662" spans="3:3">
      <c r="C3662"/>
    </row>
    <row r="3663" spans="3:3">
      <c r="C3663"/>
    </row>
    <row r="3664" spans="3:3">
      <c r="C3664"/>
    </row>
    <row r="3665" spans="3:3">
      <c r="C3665"/>
    </row>
    <row r="3666" spans="3:3">
      <c r="C3666"/>
    </row>
    <row r="3667" spans="3:3">
      <c r="C3667"/>
    </row>
    <row r="3668" spans="3:3">
      <c r="C3668"/>
    </row>
    <row r="3669" spans="3:3">
      <c r="C3669"/>
    </row>
    <row r="3670" spans="3:3">
      <c r="C3670"/>
    </row>
    <row r="3671" spans="3:3">
      <c r="C3671"/>
    </row>
    <row r="3672" spans="3:3">
      <c r="C3672"/>
    </row>
    <row r="3673" spans="3:3">
      <c r="C3673"/>
    </row>
    <row r="3674" spans="3:3">
      <c r="C3674"/>
    </row>
    <row r="3675" spans="3:3">
      <c r="C3675"/>
    </row>
    <row r="3676" spans="3:3">
      <c r="C3676"/>
    </row>
    <row r="3677" spans="3:3">
      <c r="C3677"/>
    </row>
    <row r="3678" spans="3:3">
      <c r="C3678"/>
    </row>
    <row r="3679" spans="3:3">
      <c r="C3679"/>
    </row>
    <row r="3680" spans="3:3">
      <c r="C3680"/>
    </row>
    <row r="3681" spans="3:3">
      <c r="C3681"/>
    </row>
    <row r="3682" spans="3:3">
      <c r="C3682"/>
    </row>
    <row r="3683" spans="3:3">
      <c r="C3683"/>
    </row>
    <row r="3684" spans="3:3">
      <c r="C3684"/>
    </row>
    <row r="3685" spans="3:3">
      <c r="C3685"/>
    </row>
    <row r="3686" spans="3:3">
      <c r="C3686"/>
    </row>
    <row r="3687" spans="3:3">
      <c r="C3687"/>
    </row>
    <row r="3688" spans="3:3">
      <c r="C3688"/>
    </row>
    <row r="3689" spans="3:3">
      <c r="C3689"/>
    </row>
    <row r="3690" spans="3:3">
      <c r="C3690"/>
    </row>
    <row r="3691" spans="3:3">
      <c r="C3691"/>
    </row>
    <row r="3692" spans="3:3">
      <c r="C3692"/>
    </row>
    <row r="3693" spans="3:3">
      <c r="C3693"/>
    </row>
    <row r="3694" spans="3:3">
      <c r="C3694"/>
    </row>
    <row r="3695" spans="3:3">
      <c r="C3695"/>
    </row>
    <row r="3696" spans="3:3">
      <c r="C3696"/>
    </row>
    <row r="3697" spans="3:3">
      <c r="C3697"/>
    </row>
    <row r="3698" spans="3:3">
      <c r="C3698"/>
    </row>
    <row r="3699" spans="3:3">
      <c r="C3699"/>
    </row>
    <row r="3700" spans="3:3">
      <c r="C3700"/>
    </row>
    <row r="3701" spans="3:3">
      <c r="C3701"/>
    </row>
    <row r="3702" spans="3:3">
      <c r="C3702"/>
    </row>
    <row r="3703" spans="3:3">
      <c r="C3703"/>
    </row>
    <row r="3704" spans="3:3">
      <c r="C3704"/>
    </row>
    <row r="3705" spans="3:3">
      <c r="C3705"/>
    </row>
    <row r="3706" spans="3:3">
      <c r="C3706"/>
    </row>
    <row r="3707" spans="3:3">
      <c r="C3707"/>
    </row>
    <row r="3708" spans="3:3">
      <c r="C3708"/>
    </row>
    <row r="3709" spans="3:3">
      <c r="C3709"/>
    </row>
    <row r="3710" spans="3:3">
      <c r="C3710"/>
    </row>
    <row r="3711" spans="3:3">
      <c r="C3711"/>
    </row>
    <row r="3712" spans="3:3">
      <c r="C3712"/>
    </row>
    <row r="3713" spans="3:3">
      <c r="C3713"/>
    </row>
    <row r="3714" spans="3:3">
      <c r="C3714"/>
    </row>
    <row r="3715" spans="3:3">
      <c r="C3715"/>
    </row>
    <row r="3716" spans="3:3">
      <c r="C3716"/>
    </row>
    <row r="3717" spans="3:3">
      <c r="C3717"/>
    </row>
    <row r="3718" spans="3:3">
      <c r="C3718"/>
    </row>
    <row r="3719" spans="3:3">
      <c r="C3719"/>
    </row>
    <row r="3720" spans="3:3">
      <c r="C3720"/>
    </row>
    <row r="3721" spans="3:3">
      <c r="C3721"/>
    </row>
    <row r="3722" spans="3:3">
      <c r="C3722"/>
    </row>
    <row r="3723" spans="3:3">
      <c r="C3723"/>
    </row>
    <row r="3724" spans="3:3">
      <c r="C3724"/>
    </row>
    <row r="3725" spans="3:3">
      <c r="C3725"/>
    </row>
    <row r="3726" spans="3:3">
      <c r="C3726"/>
    </row>
    <row r="3727" spans="3:3">
      <c r="C3727"/>
    </row>
    <row r="3728" spans="3:3">
      <c r="C3728"/>
    </row>
    <row r="3729" spans="3:3">
      <c r="C3729"/>
    </row>
    <row r="3730" spans="3:3">
      <c r="C3730"/>
    </row>
    <row r="3731" spans="3:3">
      <c r="C3731"/>
    </row>
    <row r="3732" spans="3:3">
      <c r="C3732"/>
    </row>
    <row r="3733" spans="3:3">
      <c r="C3733"/>
    </row>
    <row r="3734" spans="3:3">
      <c r="C3734"/>
    </row>
    <row r="3735" spans="3:3">
      <c r="C3735"/>
    </row>
    <row r="3736" spans="3:3">
      <c r="C3736"/>
    </row>
    <row r="3737" spans="3:3">
      <c r="C3737"/>
    </row>
    <row r="3738" spans="3:3">
      <c r="C3738"/>
    </row>
    <row r="3739" spans="3:3">
      <c r="C3739"/>
    </row>
    <row r="3740" spans="3:3">
      <c r="C3740"/>
    </row>
    <row r="3741" spans="3:3">
      <c r="C3741"/>
    </row>
    <row r="3742" spans="3:3">
      <c r="C3742"/>
    </row>
    <row r="3743" spans="3:3">
      <c r="C3743"/>
    </row>
    <row r="3744" spans="3:3">
      <c r="C3744"/>
    </row>
    <row r="3745" spans="3:3">
      <c r="C3745"/>
    </row>
    <row r="3746" spans="3:3">
      <c r="C3746"/>
    </row>
    <row r="3747" spans="3:3">
      <c r="C3747"/>
    </row>
    <row r="3748" spans="3:3">
      <c r="C3748"/>
    </row>
    <row r="3749" spans="3:3">
      <c r="C3749"/>
    </row>
    <row r="3750" spans="3:3">
      <c r="C3750"/>
    </row>
    <row r="3751" spans="3:3">
      <c r="C3751"/>
    </row>
    <row r="3752" spans="3:3">
      <c r="C3752"/>
    </row>
    <row r="3753" spans="3:3">
      <c r="C3753"/>
    </row>
    <row r="3754" spans="3:3">
      <c r="C3754"/>
    </row>
    <row r="3755" spans="3:3">
      <c r="C3755"/>
    </row>
    <row r="3756" spans="3:3">
      <c r="C3756"/>
    </row>
    <row r="3757" spans="3:3">
      <c r="C3757"/>
    </row>
    <row r="3758" spans="3:3">
      <c r="C3758"/>
    </row>
    <row r="3759" spans="3:3">
      <c r="C3759"/>
    </row>
    <row r="3760" spans="3:3">
      <c r="C3760"/>
    </row>
    <row r="3761" spans="3:3">
      <c r="C3761"/>
    </row>
    <row r="3762" spans="3:3">
      <c r="C3762"/>
    </row>
    <row r="3763" spans="3:3">
      <c r="C3763"/>
    </row>
    <row r="3764" spans="3:3">
      <c r="C3764"/>
    </row>
    <row r="3765" spans="3:3">
      <c r="C3765"/>
    </row>
    <row r="3766" spans="3:3">
      <c r="C3766"/>
    </row>
    <row r="3767" spans="3:3">
      <c r="C3767"/>
    </row>
    <row r="3768" spans="3:3">
      <c r="C3768"/>
    </row>
    <row r="3769" spans="3:3">
      <c r="C3769"/>
    </row>
    <row r="3770" spans="3:3">
      <c r="C3770"/>
    </row>
    <row r="3771" spans="3:3">
      <c r="C3771"/>
    </row>
    <row r="3772" spans="3:3">
      <c r="C3772"/>
    </row>
    <row r="3773" spans="3:3">
      <c r="C3773"/>
    </row>
    <row r="3774" spans="3:3">
      <c r="C3774"/>
    </row>
    <row r="3775" spans="3:3">
      <c r="C3775"/>
    </row>
    <row r="3776" spans="3:3">
      <c r="C3776"/>
    </row>
    <row r="3777" spans="3:3">
      <c r="C3777"/>
    </row>
    <row r="3778" spans="3:3">
      <c r="C3778"/>
    </row>
    <row r="3779" spans="3:3">
      <c r="C3779"/>
    </row>
    <row r="3780" spans="3:3">
      <c r="C3780"/>
    </row>
    <row r="3781" spans="3:3">
      <c r="C3781"/>
    </row>
    <row r="3782" spans="3:3">
      <c r="C3782"/>
    </row>
    <row r="3783" spans="3:3">
      <c r="C3783"/>
    </row>
    <row r="3784" spans="3:3">
      <c r="C3784"/>
    </row>
    <row r="3785" spans="3:3">
      <c r="C3785"/>
    </row>
    <row r="3786" spans="3:3">
      <c r="C3786"/>
    </row>
    <row r="3787" spans="3:3">
      <c r="C3787"/>
    </row>
    <row r="3788" spans="3:3">
      <c r="C3788"/>
    </row>
    <row r="3789" spans="3:3">
      <c r="C3789"/>
    </row>
    <row r="3790" spans="3:3">
      <c r="C3790"/>
    </row>
    <row r="3791" spans="3:3">
      <c r="C3791"/>
    </row>
    <row r="3792" spans="3:3">
      <c r="C3792"/>
    </row>
    <row r="3793" spans="3:3">
      <c r="C3793"/>
    </row>
    <row r="3794" spans="3:3">
      <c r="C3794"/>
    </row>
    <row r="3795" spans="3:3">
      <c r="C3795"/>
    </row>
    <row r="3796" spans="3:3">
      <c r="C3796"/>
    </row>
    <row r="3797" spans="3:3">
      <c r="C3797"/>
    </row>
    <row r="3798" spans="3:3">
      <c r="C3798"/>
    </row>
    <row r="3799" spans="3:3">
      <c r="C3799"/>
    </row>
    <row r="3800" spans="3:3">
      <c r="C3800"/>
    </row>
    <row r="3801" spans="3:3">
      <c r="C3801"/>
    </row>
    <row r="3802" spans="3:3">
      <c r="C3802"/>
    </row>
    <row r="3803" spans="3:3">
      <c r="C3803"/>
    </row>
    <row r="3804" spans="3:3">
      <c r="C3804"/>
    </row>
    <row r="3805" spans="3:3">
      <c r="C3805"/>
    </row>
    <row r="3806" spans="3:3">
      <c r="C3806"/>
    </row>
    <row r="3807" spans="3:3">
      <c r="C3807"/>
    </row>
    <row r="3808" spans="3:3">
      <c r="C3808"/>
    </row>
    <row r="3809" spans="3:3">
      <c r="C3809"/>
    </row>
    <row r="3810" spans="3:3">
      <c r="C3810"/>
    </row>
    <row r="3811" spans="3:3">
      <c r="C3811"/>
    </row>
    <row r="3812" spans="3:3">
      <c r="C3812"/>
    </row>
    <row r="3813" spans="3:3">
      <c r="C3813"/>
    </row>
    <row r="3814" spans="3:3">
      <c r="C3814"/>
    </row>
    <row r="3815" spans="3:3">
      <c r="C3815"/>
    </row>
    <row r="3816" spans="3:3">
      <c r="C3816"/>
    </row>
    <row r="3817" spans="3:3">
      <c r="C3817"/>
    </row>
    <row r="3818" spans="3:3">
      <c r="C3818"/>
    </row>
    <row r="3819" spans="3:3">
      <c r="C3819"/>
    </row>
    <row r="3820" spans="3:3">
      <c r="C3820"/>
    </row>
    <row r="3821" spans="3:3">
      <c r="C3821"/>
    </row>
    <row r="3822" spans="3:3">
      <c r="C3822"/>
    </row>
    <row r="3823" spans="3:3">
      <c r="C3823"/>
    </row>
    <row r="3824" spans="3:3">
      <c r="C3824"/>
    </row>
    <row r="3825" spans="3:3">
      <c r="C3825"/>
    </row>
    <row r="3826" spans="3:3">
      <c r="C3826"/>
    </row>
    <row r="3827" spans="3:3">
      <c r="C3827"/>
    </row>
    <row r="3828" spans="3:3">
      <c r="C3828"/>
    </row>
    <row r="3829" spans="3:3">
      <c r="C3829"/>
    </row>
    <row r="3830" spans="3:3">
      <c r="C3830"/>
    </row>
    <row r="3831" spans="3:3">
      <c r="C3831"/>
    </row>
    <row r="3832" spans="3:3">
      <c r="C3832"/>
    </row>
    <row r="3833" spans="3:3">
      <c r="C3833"/>
    </row>
    <row r="3834" spans="3:3">
      <c r="C3834"/>
    </row>
    <row r="3835" spans="3:3">
      <c r="C3835"/>
    </row>
    <row r="3836" spans="3:3">
      <c r="C3836"/>
    </row>
    <row r="3837" spans="3:3">
      <c r="C3837"/>
    </row>
    <row r="3838" spans="3:3">
      <c r="C3838"/>
    </row>
    <row r="3839" spans="3:3">
      <c r="C3839"/>
    </row>
    <row r="3840" spans="3:3">
      <c r="C3840"/>
    </row>
    <row r="3841" spans="3:3">
      <c r="C3841"/>
    </row>
    <row r="3842" spans="3:3">
      <c r="C3842"/>
    </row>
    <row r="3843" spans="3:3">
      <c r="C3843"/>
    </row>
    <row r="3844" spans="3:3">
      <c r="C3844"/>
    </row>
    <row r="3845" spans="3:3">
      <c r="C3845"/>
    </row>
    <row r="3846" spans="3:3">
      <c r="C3846"/>
    </row>
    <row r="3847" spans="3:3">
      <c r="C3847"/>
    </row>
    <row r="3848" spans="3:3">
      <c r="C3848"/>
    </row>
    <row r="3849" spans="3:3">
      <c r="C3849"/>
    </row>
    <row r="3850" spans="3:3">
      <c r="C3850"/>
    </row>
    <row r="3851" spans="3:3">
      <c r="C3851"/>
    </row>
    <row r="3852" spans="3:3">
      <c r="C3852"/>
    </row>
    <row r="3853" spans="3:3">
      <c r="C3853"/>
    </row>
    <row r="3854" spans="3:3">
      <c r="C3854"/>
    </row>
    <row r="3855" spans="3:3">
      <c r="C3855"/>
    </row>
    <row r="3856" spans="3:3">
      <c r="C3856"/>
    </row>
    <row r="3857" spans="3:3">
      <c r="C3857"/>
    </row>
    <row r="3858" spans="3:3">
      <c r="C3858"/>
    </row>
    <row r="3859" spans="3:3">
      <c r="C3859"/>
    </row>
    <row r="3860" spans="3:3">
      <c r="C3860"/>
    </row>
    <row r="3861" spans="3:3">
      <c r="C3861"/>
    </row>
    <row r="3862" spans="3:3">
      <c r="C3862"/>
    </row>
    <row r="3863" spans="3:3">
      <c r="C3863"/>
    </row>
    <row r="3864" spans="3:3">
      <c r="C3864"/>
    </row>
    <row r="3865" spans="3:3">
      <c r="C3865"/>
    </row>
    <row r="3866" spans="3:3">
      <c r="C3866"/>
    </row>
    <row r="3867" spans="3:3">
      <c r="C3867"/>
    </row>
    <row r="3868" spans="3:3">
      <c r="C3868"/>
    </row>
    <row r="3869" spans="3:3">
      <c r="C3869"/>
    </row>
    <row r="3870" spans="3:3">
      <c r="C3870"/>
    </row>
    <row r="3871" spans="3:3">
      <c r="C3871"/>
    </row>
    <row r="3872" spans="3:3">
      <c r="C3872"/>
    </row>
    <row r="3873" spans="3:3">
      <c r="C3873"/>
    </row>
    <row r="3874" spans="3:3">
      <c r="C3874"/>
    </row>
    <row r="3875" spans="3:3">
      <c r="C3875"/>
    </row>
    <row r="3876" spans="3:3">
      <c r="C3876"/>
    </row>
    <row r="3877" spans="3:3">
      <c r="C3877"/>
    </row>
    <row r="3878" spans="3:3">
      <c r="C3878"/>
    </row>
    <row r="3879" spans="3:3">
      <c r="C3879"/>
    </row>
    <row r="3880" spans="3:3">
      <c r="C3880"/>
    </row>
    <row r="3881" spans="3:3">
      <c r="C3881"/>
    </row>
    <row r="3882" spans="3:3">
      <c r="C3882"/>
    </row>
    <row r="3883" spans="3:3">
      <c r="C3883"/>
    </row>
    <row r="3884" spans="3:3">
      <c r="C3884"/>
    </row>
    <row r="3885" spans="3:3">
      <c r="C3885"/>
    </row>
    <row r="3886" spans="3:3">
      <c r="C3886"/>
    </row>
    <row r="3887" spans="3:3">
      <c r="C3887"/>
    </row>
    <row r="3888" spans="3:3">
      <c r="C3888"/>
    </row>
    <row r="3889" spans="3:3">
      <c r="C3889"/>
    </row>
    <row r="3890" spans="3:3">
      <c r="C3890"/>
    </row>
    <row r="3891" spans="3:3">
      <c r="C3891"/>
    </row>
    <row r="3892" spans="3:3">
      <c r="C3892"/>
    </row>
    <row r="3893" spans="3:3">
      <c r="C3893"/>
    </row>
    <row r="3894" spans="3:3">
      <c r="C3894"/>
    </row>
    <row r="3895" spans="3:3">
      <c r="C3895"/>
    </row>
    <row r="3896" spans="3:3">
      <c r="C3896"/>
    </row>
    <row r="3897" spans="3:3">
      <c r="C3897"/>
    </row>
    <row r="3898" spans="3:3">
      <c r="C3898"/>
    </row>
    <row r="3899" spans="3:3">
      <c r="C3899"/>
    </row>
    <row r="3900" spans="3:3">
      <c r="C3900"/>
    </row>
    <row r="3901" spans="3:3">
      <c r="C3901"/>
    </row>
    <row r="3902" spans="3:3">
      <c r="C3902"/>
    </row>
    <row r="3903" spans="3:3">
      <c r="C3903"/>
    </row>
    <row r="3904" spans="3:3">
      <c r="C3904"/>
    </row>
    <row r="3905" spans="3:3">
      <c r="C3905"/>
    </row>
    <row r="3906" spans="3:3">
      <c r="C3906"/>
    </row>
    <row r="3907" spans="3:3">
      <c r="C3907"/>
    </row>
    <row r="3908" spans="3:3">
      <c r="C3908"/>
    </row>
    <row r="3909" spans="3:3">
      <c r="C3909"/>
    </row>
    <row r="3910" spans="3:3">
      <c r="C3910"/>
    </row>
    <row r="3911" spans="3:3">
      <c r="C3911"/>
    </row>
    <row r="3912" spans="3:3">
      <c r="C3912"/>
    </row>
    <row r="3913" spans="3:3">
      <c r="C3913"/>
    </row>
    <row r="3914" spans="3:3">
      <c r="C3914"/>
    </row>
    <row r="3915" spans="3:3">
      <c r="C3915"/>
    </row>
    <row r="3916" spans="3:3">
      <c r="C3916"/>
    </row>
    <row r="3917" spans="3:3">
      <c r="C3917"/>
    </row>
    <row r="3918" spans="3:3">
      <c r="C3918"/>
    </row>
    <row r="3919" spans="3:3">
      <c r="C3919"/>
    </row>
    <row r="3920" spans="3:3">
      <c r="C3920"/>
    </row>
    <row r="3921" spans="3:3">
      <c r="C3921"/>
    </row>
    <row r="3922" spans="3:3">
      <c r="C3922"/>
    </row>
    <row r="3923" spans="3:3">
      <c r="C3923"/>
    </row>
    <row r="3924" spans="3:3">
      <c r="C3924"/>
    </row>
    <row r="3925" spans="3:3">
      <c r="C3925"/>
    </row>
    <row r="3926" spans="3:3">
      <c r="C3926"/>
    </row>
    <row r="3927" spans="3:3">
      <c r="C3927"/>
    </row>
    <row r="3928" spans="3:3">
      <c r="C3928"/>
    </row>
    <row r="3929" spans="3:3">
      <c r="C3929"/>
    </row>
    <row r="3930" spans="3:3">
      <c r="C3930"/>
    </row>
    <row r="3931" spans="3:3">
      <c r="C3931"/>
    </row>
    <row r="3932" spans="3:3">
      <c r="C3932"/>
    </row>
    <row r="3933" spans="3:3">
      <c r="C3933"/>
    </row>
    <row r="3934" spans="3:3">
      <c r="C3934"/>
    </row>
    <row r="3935" spans="3:3">
      <c r="C3935"/>
    </row>
    <row r="3936" spans="3:3">
      <c r="C3936"/>
    </row>
    <row r="3937" spans="3:3">
      <c r="C3937"/>
    </row>
    <row r="3938" spans="3:3">
      <c r="C3938"/>
    </row>
    <row r="3939" spans="3:3">
      <c r="C3939"/>
    </row>
    <row r="3940" spans="3:3">
      <c r="C3940"/>
    </row>
    <row r="3941" spans="3:3">
      <c r="C3941"/>
    </row>
    <row r="3942" spans="3:3">
      <c r="C3942"/>
    </row>
    <row r="3943" spans="3:3">
      <c r="C3943"/>
    </row>
    <row r="3944" spans="3:3">
      <c r="C3944"/>
    </row>
    <row r="3945" spans="3:3">
      <c r="C3945"/>
    </row>
    <row r="3946" spans="3:3">
      <c r="C3946"/>
    </row>
    <row r="3947" spans="3:3">
      <c r="C3947"/>
    </row>
    <row r="3948" spans="3:3">
      <c r="C3948"/>
    </row>
    <row r="3949" spans="3:3">
      <c r="C3949"/>
    </row>
    <row r="3950" spans="3:3">
      <c r="C3950"/>
    </row>
    <row r="3951" spans="3:3">
      <c r="C3951"/>
    </row>
    <row r="3952" spans="3:3">
      <c r="C3952"/>
    </row>
    <row r="3953" spans="3:3">
      <c r="C3953"/>
    </row>
    <row r="3954" spans="3:3">
      <c r="C3954"/>
    </row>
    <row r="3955" spans="3:3">
      <c r="C3955"/>
    </row>
    <row r="3956" spans="3:3">
      <c r="C3956"/>
    </row>
    <row r="3957" spans="3:3">
      <c r="C3957"/>
    </row>
    <row r="3958" spans="3:3">
      <c r="C3958"/>
    </row>
    <row r="3959" spans="3:3">
      <c r="C3959"/>
    </row>
    <row r="3960" spans="3:3">
      <c r="C3960"/>
    </row>
    <row r="3961" spans="3:3">
      <c r="C3961"/>
    </row>
    <row r="3962" spans="3:3">
      <c r="C3962"/>
    </row>
    <row r="3963" spans="3:3">
      <c r="C3963"/>
    </row>
    <row r="3964" spans="3:3">
      <c r="C3964"/>
    </row>
    <row r="3965" spans="3:3">
      <c r="C3965"/>
    </row>
    <row r="3966" spans="3:3">
      <c r="C3966"/>
    </row>
    <row r="3967" spans="3:3">
      <c r="C3967"/>
    </row>
    <row r="3968" spans="3:3">
      <c r="C3968"/>
    </row>
    <row r="3969" spans="3:3">
      <c r="C3969"/>
    </row>
    <row r="3970" spans="3:3">
      <c r="C3970"/>
    </row>
    <row r="3971" spans="3:3">
      <c r="C3971"/>
    </row>
    <row r="3972" spans="3:3">
      <c r="C3972"/>
    </row>
    <row r="3973" spans="3:3">
      <c r="C3973"/>
    </row>
    <row r="3974" spans="3:3">
      <c r="C3974"/>
    </row>
    <row r="3975" spans="3:3">
      <c r="C3975"/>
    </row>
    <row r="3976" spans="3:3">
      <c r="C3976"/>
    </row>
    <row r="3977" spans="3:3">
      <c r="C3977"/>
    </row>
    <row r="3978" spans="3:3">
      <c r="C3978"/>
    </row>
    <row r="3979" spans="3:3">
      <c r="C3979"/>
    </row>
    <row r="3980" spans="3:3">
      <c r="C3980"/>
    </row>
    <row r="3981" spans="3:3">
      <c r="C3981"/>
    </row>
    <row r="3982" spans="3:3">
      <c r="C3982"/>
    </row>
    <row r="3983" spans="3:3">
      <c r="C3983"/>
    </row>
    <row r="3984" spans="3:3">
      <c r="C3984"/>
    </row>
    <row r="3985" spans="3:3">
      <c r="C3985"/>
    </row>
    <row r="3986" spans="3:3">
      <c r="C3986"/>
    </row>
    <row r="3987" spans="3:3">
      <c r="C3987"/>
    </row>
    <row r="3988" spans="3:3">
      <c r="C3988"/>
    </row>
    <row r="3989" spans="3:3">
      <c r="C3989"/>
    </row>
    <row r="3990" spans="3:3">
      <c r="C3990"/>
    </row>
    <row r="3991" spans="3:3">
      <c r="C3991"/>
    </row>
    <row r="3992" spans="3:3">
      <c r="C3992"/>
    </row>
    <row r="3993" spans="3:3">
      <c r="C3993"/>
    </row>
    <row r="3994" spans="3:3">
      <c r="C3994"/>
    </row>
    <row r="3995" spans="3:3">
      <c r="C3995"/>
    </row>
    <row r="3996" spans="3:3">
      <c r="C3996"/>
    </row>
    <row r="3997" spans="3:3">
      <c r="C3997"/>
    </row>
    <row r="3998" spans="3:3">
      <c r="C3998"/>
    </row>
    <row r="3999" spans="3:3">
      <c r="C3999"/>
    </row>
    <row r="4000" spans="3:3">
      <c r="C4000"/>
    </row>
    <row r="4001" spans="3:3">
      <c r="C4001"/>
    </row>
    <row r="4002" spans="3:3">
      <c r="C4002"/>
    </row>
    <row r="4003" spans="3:3">
      <c r="C4003"/>
    </row>
    <row r="4004" spans="3:3">
      <c r="C4004"/>
    </row>
    <row r="4005" spans="3:3">
      <c r="C4005"/>
    </row>
    <row r="4006" spans="3:3">
      <c r="C4006"/>
    </row>
    <row r="4007" spans="3:3">
      <c r="C4007"/>
    </row>
    <row r="4008" spans="3:3">
      <c r="C4008"/>
    </row>
    <row r="4009" spans="3:3">
      <c r="C4009"/>
    </row>
    <row r="4010" spans="3:3">
      <c r="C4010"/>
    </row>
    <row r="4011" spans="3:3">
      <c r="C4011"/>
    </row>
    <row r="4012" spans="3:3">
      <c r="C4012"/>
    </row>
    <row r="4013" spans="3:3">
      <c r="C4013"/>
    </row>
    <row r="4014" spans="3:3">
      <c r="C4014"/>
    </row>
    <row r="4015" spans="3:3">
      <c r="C4015"/>
    </row>
    <row r="4016" spans="3:3">
      <c r="C4016"/>
    </row>
    <row r="4017" spans="3:3">
      <c r="C4017"/>
    </row>
    <row r="4018" spans="3:3">
      <c r="C4018"/>
    </row>
    <row r="4019" spans="3:3">
      <c r="C4019"/>
    </row>
    <row r="4020" spans="3:3">
      <c r="C4020"/>
    </row>
    <row r="4021" spans="3:3">
      <c r="C4021"/>
    </row>
    <row r="4022" spans="3:3">
      <c r="C4022"/>
    </row>
    <row r="4023" spans="3:3">
      <c r="C4023"/>
    </row>
    <row r="4024" spans="3:3">
      <c r="C4024"/>
    </row>
    <row r="4025" spans="3:3">
      <c r="C4025"/>
    </row>
    <row r="4026" spans="3:3">
      <c r="C4026"/>
    </row>
    <row r="4027" spans="3:3">
      <c r="C4027"/>
    </row>
    <row r="4028" spans="3:3">
      <c r="C4028"/>
    </row>
    <row r="4029" spans="3:3">
      <c r="C4029"/>
    </row>
    <row r="4030" spans="3:3">
      <c r="C4030"/>
    </row>
    <row r="4031" spans="3:3">
      <c r="C4031"/>
    </row>
    <row r="4032" spans="3:3">
      <c r="C4032"/>
    </row>
    <row r="4033" spans="3:3">
      <c r="C4033"/>
    </row>
    <row r="4034" spans="3:3">
      <c r="C4034"/>
    </row>
    <row r="4035" spans="3:3">
      <c r="C4035"/>
    </row>
    <row r="4036" spans="3:3">
      <c r="C4036"/>
    </row>
    <row r="4037" spans="3:3">
      <c r="C4037"/>
    </row>
    <row r="4038" spans="3:3">
      <c r="C4038"/>
    </row>
    <row r="4039" spans="3:3">
      <c r="C4039"/>
    </row>
    <row r="4040" spans="3:3">
      <c r="C4040"/>
    </row>
    <row r="4041" spans="3:3">
      <c r="C4041"/>
    </row>
    <row r="4042" spans="3:3">
      <c r="C4042"/>
    </row>
    <row r="4043" spans="3:3">
      <c r="C4043"/>
    </row>
    <row r="4044" spans="3:3">
      <c r="C4044"/>
    </row>
    <row r="4045" spans="3:3">
      <c r="C4045"/>
    </row>
    <row r="4046" spans="3:3">
      <c r="C4046"/>
    </row>
    <row r="4047" spans="3:3">
      <c r="C4047"/>
    </row>
    <row r="4048" spans="3:3">
      <c r="C4048"/>
    </row>
    <row r="4049" spans="3:3">
      <c r="C4049"/>
    </row>
    <row r="4050" spans="3:3">
      <c r="C4050"/>
    </row>
    <row r="4051" spans="3:3">
      <c r="C4051"/>
    </row>
    <row r="4052" spans="3:3">
      <c r="C4052"/>
    </row>
    <row r="4053" spans="3:3">
      <c r="C4053"/>
    </row>
    <row r="4054" spans="3:3">
      <c r="C4054"/>
    </row>
    <row r="4055" spans="3:3">
      <c r="C4055"/>
    </row>
    <row r="4056" spans="3:3">
      <c r="C4056"/>
    </row>
    <row r="4057" spans="3:3">
      <c r="C4057"/>
    </row>
    <row r="4058" spans="3:3">
      <c r="C4058"/>
    </row>
    <row r="4059" spans="3:3">
      <c r="C4059"/>
    </row>
    <row r="4060" spans="3:3">
      <c r="C4060"/>
    </row>
    <row r="4061" spans="3:3">
      <c r="C4061"/>
    </row>
    <row r="4062" spans="3:3">
      <c r="C4062"/>
    </row>
    <row r="4063" spans="3:3">
      <c r="C4063"/>
    </row>
    <row r="4064" spans="3:3">
      <c r="C4064"/>
    </row>
    <row r="4065" spans="3:3">
      <c r="C4065"/>
    </row>
    <row r="4066" spans="3:3">
      <c r="C4066"/>
    </row>
    <row r="4067" spans="3:3">
      <c r="C4067"/>
    </row>
    <row r="4068" spans="3:3">
      <c r="C4068"/>
    </row>
    <row r="4069" spans="3:3">
      <c r="C4069"/>
    </row>
    <row r="4070" spans="3:3">
      <c r="C4070"/>
    </row>
    <row r="4071" spans="3:3">
      <c r="C4071"/>
    </row>
    <row r="4072" spans="3:3">
      <c r="C4072"/>
    </row>
    <row r="4073" spans="3:3">
      <c r="C4073"/>
    </row>
    <row r="4074" spans="3:3">
      <c r="C4074"/>
    </row>
    <row r="4075" spans="3:3">
      <c r="C4075"/>
    </row>
    <row r="4076" spans="3:3">
      <c r="C4076"/>
    </row>
    <row r="4077" spans="3:3">
      <c r="C4077"/>
    </row>
    <row r="4078" spans="3:3">
      <c r="C4078"/>
    </row>
    <row r="4079" spans="3:3">
      <c r="C4079"/>
    </row>
    <row r="4080" spans="3:3">
      <c r="C4080"/>
    </row>
    <row r="4081" spans="3:3">
      <c r="C4081"/>
    </row>
    <row r="4082" spans="3:3">
      <c r="C4082"/>
    </row>
    <row r="4083" spans="3:3">
      <c r="C4083"/>
    </row>
    <row r="4084" spans="3:3">
      <c r="C4084"/>
    </row>
    <row r="4085" spans="3:3">
      <c r="C4085"/>
    </row>
    <row r="4086" spans="3:3">
      <c r="C4086"/>
    </row>
    <row r="4087" spans="3:3">
      <c r="C4087"/>
    </row>
    <row r="4088" spans="3:3">
      <c r="C4088"/>
    </row>
    <row r="4089" spans="3:3">
      <c r="C4089"/>
    </row>
    <row r="4090" spans="3:3">
      <c r="C4090"/>
    </row>
    <row r="4091" spans="3:3">
      <c r="C4091"/>
    </row>
    <row r="4092" spans="3:3">
      <c r="C4092"/>
    </row>
    <row r="4093" spans="3:3">
      <c r="C4093"/>
    </row>
    <row r="4094" spans="3:3">
      <c r="C4094"/>
    </row>
    <row r="4095" spans="3:3">
      <c r="C4095"/>
    </row>
    <row r="4096" spans="3:3">
      <c r="C4096"/>
    </row>
    <row r="4097" spans="3:3">
      <c r="C4097"/>
    </row>
    <row r="4098" spans="3:3">
      <c r="C4098"/>
    </row>
    <row r="4099" spans="3:3">
      <c r="C4099"/>
    </row>
    <row r="4100" spans="3:3">
      <c r="C4100"/>
    </row>
    <row r="4101" spans="3:3">
      <c r="C4101"/>
    </row>
    <row r="4102" spans="3:3">
      <c r="C4102"/>
    </row>
    <row r="4103" spans="3:3">
      <c r="C4103"/>
    </row>
    <row r="4104" spans="3:3">
      <c r="C4104"/>
    </row>
    <row r="4105" spans="3:3">
      <c r="C4105"/>
    </row>
    <row r="4106" spans="3:3">
      <c r="C4106"/>
    </row>
    <row r="4107" spans="3:3">
      <c r="C4107"/>
    </row>
    <row r="4108" spans="3:3">
      <c r="C4108"/>
    </row>
    <row r="4109" spans="3:3">
      <c r="C4109"/>
    </row>
    <row r="4110" spans="3:3">
      <c r="C4110"/>
    </row>
    <row r="4111" spans="3:3">
      <c r="C4111"/>
    </row>
    <row r="4112" spans="3:3">
      <c r="C4112"/>
    </row>
    <row r="4113" spans="3:3">
      <c r="C4113"/>
    </row>
    <row r="4114" spans="3:3">
      <c r="C4114"/>
    </row>
    <row r="4115" spans="3:3">
      <c r="C4115"/>
    </row>
    <row r="4116" spans="3:3">
      <c r="C4116"/>
    </row>
    <row r="4117" spans="3:3">
      <c r="C4117"/>
    </row>
    <row r="4118" spans="3:3">
      <c r="C4118"/>
    </row>
    <row r="4119" spans="3:3">
      <c r="C4119"/>
    </row>
    <row r="4120" spans="3:3">
      <c r="C4120"/>
    </row>
    <row r="4121" spans="3:3">
      <c r="C4121"/>
    </row>
    <row r="4122" spans="3:3">
      <c r="C4122"/>
    </row>
    <row r="4123" spans="3:3">
      <c r="C4123"/>
    </row>
    <row r="4124" spans="3:3">
      <c r="C4124"/>
    </row>
    <row r="4125" spans="3:3">
      <c r="C4125"/>
    </row>
    <row r="4126" spans="3:3">
      <c r="C4126"/>
    </row>
    <row r="4127" spans="3:3">
      <c r="C4127"/>
    </row>
    <row r="4128" spans="3:3">
      <c r="C4128"/>
    </row>
    <row r="4129" spans="3:3">
      <c r="C4129"/>
    </row>
    <row r="4130" spans="3:3">
      <c r="C4130"/>
    </row>
    <row r="4131" spans="3:3">
      <c r="C4131"/>
    </row>
    <row r="4132" spans="3:3">
      <c r="C4132"/>
    </row>
    <row r="4133" spans="3:3">
      <c r="C4133"/>
    </row>
    <row r="4134" spans="3:3">
      <c r="C4134"/>
    </row>
    <row r="4135" spans="3:3">
      <c r="C4135"/>
    </row>
    <row r="4136" spans="3:3">
      <c r="C4136"/>
    </row>
    <row r="4137" spans="3:3">
      <c r="C4137"/>
    </row>
    <row r="4138" spans="3:3">
      <c r="C4138"/>
    </row>
    <row r="4139" spans="3:3">
      <c r="C4139"/>
    </row>
    <row r="4140" spans="3:3">
      <c r="C4140"/>
    </row>
    <row r="4141" spans="3:3">
      <c r="C4141"/>
    </row>
    <row r="4142" spans="3:3">
      <c r="C4142"/>
    </row>
    <row r="4143" spans="3:3">
      <c r="C4143"/>
    </row>
    <row r="4144" spans="3:3">
      <c r="C4144"/>
    </row>
    <row r="4145" spans="3:3">
      <c r="C4145"/>
    </row>
    <row r="4146" spans="3:3">
      <c r="C4146"/>
    </row>
    <row r="4147" spans="3:3">
      <c r="C4147"/>
    </row>
    <row r="4148" spans="3:3">
      <c r="C4148"/>
    </row>
    <row r="4149" spans="3:3">
      <c r="C4149"/>
    </row>
    <row r="4150" spans="3:3">
      <c r="C4150"/>
    </row>
    <row r="4151" spans="3:3">
      <c r="C4151"/>
    </row>
    <row r="4152" spans="3:3">
      <c r="C4152"/>
    </row>
    <row r="4153" spans="3:3">
      <c r="C4153"/>
    </row>
    <row r="4154" spans="3:3">
      <c r="C4154"/>
    </row>
    <row r="4155" spans="3:3">
      <c r="C4155"/>
    </row>
    <row r="4156" spans="3:3">
      <c r="C4156"/>
    </row>
    <row r="4157" spans="3:3">
      <c r="C4157"/>
    </row>
    <row r="4158" spans="3:3">
      <c r="C4158"/>
    </row>
    <row r="4159" spans="3:3">
      <c r="C4159"/>
    </row>
    <row r="4160" spans="3:3">
      <c r="C4160"/>
    </row>
    <row r="4161" spans="3:3">
      <c r="C4161"/>
    </row>
    <row r="4162" spans="3:3">
      <c r="C4162"/>
    </row>
    <row r="4163" spans="3:3">
      <c r="C4163"/>
    </row>
    <row r="4164" spans="3:3">
      <c r="C4164"/>
    </row>
    <row r="4165" spans="3:3">
      <c r="C4165"/>
    </row>
    <row r="4166" spans="3:3">
      <c r="C4166"/>
    </row>
    <row r="4167" spans="3:3">
      <c r="C4167"/>
    </row>
    <row r="4168" spans="3:3">
      <c r="C4168"/>
    </row>
    <row r="4169" spans="3:3">
      <c r="C4169"/>
    </row>
    <row r="4170" spans="3:3">
      <c r="C4170"/>
    </row>
    <row r="4171" spans="3:3">
      <c r="C4171"/>
    </row>
    <row r="4172" spans="3:3">
      <c r="C4172"/>
    </row>
    <row r="4173" spans="3:3">
      <c r="C4173"/>
    </row>
    <row r="4174" spans="3:3">
      <c r="C4174"/>
    </row>
    <row r="4175" spans="3:3">
      <c r="C4175"/>
    </row>
    <row r="4176" spans="3:3">
      <c r="C4176"/>
    </row>
    <row r="4177" spans="3:3">
      <c r="C4177"/>
    </row>
    <row r="4178" spans="3:3">
      <c r="C4178"/>
    </row>
    <row r="4179" spans="3:3">
      <c r="C4179"/>
    </row>
    <row r="4180" spans="3:3">
      <c r="C4180"/>
    </row>
    <row r="4181" spans="3:3">
      <c r="C4181"/>
    </row>
    <row r="4182" spans="3:3">
      <c r="C4182"/>
    </row>
    <row r="4183" spans="3:3">
      <c r="C4183"/>
    </row>
    <row r="4184" spans="3:3">
      <c r="C4184"/>
    </row>
    <row r="4185" spans="3:3">
      <c r="C4185"/>
    </row>
    <row r="4186" spans="3:3">
      <c r="C4186"/>
    </row>
    <row r="4187" spans="3:3">
      <c r="C4187"/>
    </row>
    <row r="4188" spans="3:3">
      <c r="C4188"/>
    </row>
    <row r="4189" spans="3:3">
      <c r="C4189"/>
    </row>
    <row r="4190" spans="3:3">
      <c r="C4190"/>
    </row>
    <row r="4191" spans="3:3">
      <c r="C4191"/>
    </row>
    <row r="4192" spans="3:3">
      <c r="C4192"/>
    </row>
    <row r="4193" spans="3:3">
      <c r="C4193"/>
    </row>
    <row r="4194" spans="3:3">
      <c r="C4194"/>
    </row>
    <row r="4195" spans="3:3">
      <c r="C4195"/>
    </row>
    <row r="4196" spans="3:3">
      <c r="C4196"/>
    </row>
    <row r="4197" spans="3:3">
      <c r="C4197"/>
    </row>
    <row r="4198" spans="3:3">
      <c r="C4198"/>
    </row>
    <row r="4199" spans="3:3">
      <c r="C4199"/>
    </row>
    <row r="4200" spans="3:3">
      <c r="C4200"/>
    </row>
    <row r="4201" spans="3:3">
      <c r="C4201"/>
    </row>
    <row r="4202" spans="3:3">
      <c r="C4202"/>
    </row>
    <row r="4203" spans="3:3">
      <c r="C4203"/>
    </row>
    <row r="4204" spans="3:3">
      <c r="C4204"/>
    </row>
    <row r="4205" spans="3:3">
      <c r="C4205"/>
    </row>
    <row r="4206" spans="3:3">
      <c r="C4206"/>
    </row>
    <row r="4207" spans="3:3">
      <c r="C4207"/>
    </row>
    <row r="4208" spans="3:3">
      <c r="C4208"/>
    </row>
    <row r="4209" spans="3:3">
      <c r="C4209"/>
    </row>
    <row r="4210" spans="3:3">
      <c r="C4210"/>
    </row>
    <row r="4211" spans="3:3">
      <c r="C4211"/>
    </row>
    <row r="4212" spans="3:3">
      <c r="C4212"/>
    </row>
    <row r="4213" spans="3:3">
      <c r="C4213"/>
    </row>
    <row r="4214" spans="3:3">
      <c r="C4214"/>
    </row>
    <row r="4215" spans="3:3">
      <c r="C4215"/>
    </row>
    <row r="4216" spans="3:3">
      <c r="C4216"/>
    </row>
    <row r="4217" spans="3:3">
      <c r="C4217"/>
    </row>
    <row r="4218" spans="3:3">
      <c r="C4218"/>
    </row>
    <row r="4219" spans="3:3">
      <c r="C4219"/>
    </row>
    <row r="4220" spans="3:3">
      <c r="C4220"/>
    </row>
    <row r="4221" spans="3:3">
      <c r="C4221"/>
    </row>
    <row r="4222" spans="3:3">
      <c r="C4222"/>
    </row>
    <row r="4223" spans="3:3">
      <c r="C4223"/>
    </row>
    <row r="4224" spans="3:3">
      <c r="C4224"/>
    </row>
    <row r="4225" spans="3:3">
      <c r="C4225"/>
    </row>
    <row r="4226" spans="3:3">
      <c r="C4226"/>
    </row>
    <row r="4227" spans="3:3">
      <c r="C4227"/>
    </row>
    <row r="4228" spans="3:3">
      <c r="C4228"/>
    </row>
    <row r="4229" spans="3:3">
      <c r="C4229"/>
    </row>
    <row r="4230" spans="3:3">
      <c r="C4230"/>
    </row>
    <row r="4231" spans="3:3">
      <c r="C4231"/>
    </row>
    <row r="4232" spans="3:3">
      <c r="C4232"/>
    </row>
    <row r="4233" spans="3:3">
      <c r="C4233"/>
    </row>
    <row r="4234" spans="3:3">
      <c r="C4234"/>
    </row>
    <row r="4235" spans="3:3">
      <c r="C4235"/>
    </row>
    <row r="4236" spans="3:3">
      <c r="C4236"/>
    </row>
    <row r="4237" spans="3:3">
      <c r="C4237"/>
    </row>
    <row r="4238" spans="3:3">
      <c r="C4238"/>
    </row>
    <row r="4239" spans="3:3">
      <c r="C4239"/>
    </row>
    <row r="4240" spans="3:3">
      <c r="C4240"/>
    </row>
    <row r="4241" spans="3:3">
      <c r="C4241"/>
    </row>
    <row r="4242" spans="3:3">
      <c r="C4242"/>
    </row>
    <row r="4243" spans="3:3">
      <c r="C4243"/>
    </row>
    <row r="4244" spans="3:3">
      <c r="C4244"/>
    </row>
    <row r="4245" spans="3:3">
      <c r="C4245"/>
    </row>
    <row r="4246" spans="3:3">
      <c r="C4246"/>
    </row>
    <row r="4247" spans="3:3">
      <c r="C4247"/>
    </row>
    <row r="4248" spans="3:3">
      <c r="C4248"/>
    </row>
    <row r="4249" spans="3:3">
      <c r="C4249"/>
    </row>
    <row r="4250" spans="3:3">
      <c r="C4250"/>
    </row>
    <row r="4251" spans="3:3">
      <c r="C4251"/>
    </row>
    <row r="4252" spans="3:3">
      <c r="C4252"/>
    </row>
    <row r="4253" spans="3:3">
      <c r="C4253"/>
    </row>
    <row r="4254" spans="3:3">
      <c r="C4254"/>
    </row>
    <row r="4255" spans="3:3">
      <c r="C4255"/>
    </row>
    <row r="4256" spans="3:3">
      <c r="C4256"/>
    </row>
    <row r="4257" spans="3:3">
      <c r="C4257"/>
    </row>
    <row r="4258" spans="3:3">
      <c r="C4258"/>
    </row>
    <row r="4259" spans="3:3">
      <c r="C4259"/>
    </row>
    <row r="4260" spans="3:3">
      <c r="C4260"/>
    </row>
    <row r="4261" spans="3:3">
      <c r="C4261"/>
    </row>
    <row r="4262" spans="3:3">
      <c r="C4262"/>
    </row>
    <row r="4263" spans="3:3">
      <c r="C4263"/>
    </row>
    <row r="4264" spans="3:3">
      <c r="C4264"/>
    </row>
    <row r="4265" spans="3:3">
      <c r="C4265"/>
    </row>
    <row r="4266" spans="3:3">
      <c r="C4266"/>
    </row>
    <row r="4267" spans="3:3">
      <c r="C4267"/>
    </row>
    <row r="4268" spans="3:3">
      <c r="C4268"/>
    </row>
    <row r="4269" spans="3:3">
      <c r="C4269"/>
    </row>
    <row r="4270" spans="3:3">
      <c r="C4270"/>
    </row>
    <row r="4271" spans="3:3">
      <c r="C4271"/>
    </row>
    <row r="4272" spans="3:3">
      <c r="C4272"/>
    </row>
    <row r="4273" spans="3:3">
      <c r="C4273"/>
    </row>
    <row r="4274" spans="3:3">
      <c r="C4274"/>
    </row>
    <row r="4275" spans="3:3">
      <c r="C4275"/>
    </row>
    <row r="4276" spans="3:3">
      <c r="C4276"/>
    </row>
    <row r="4277" spans="3:3">
      <c r="C4277"/>
    </row>
    <row r="4278" spans="3:3">
      <c r="C4278"/>
    </row>
    <row r="4279" spans="3:3">
      <c r="C4279"/>
    </row>
    <row r="4280" spans="3:3">
      <c r="C4280"/>
    </row>
    <row r="4281" spans="3:3">
      <c r="C4281"/>
    </row>
    <row r="4282" spans="3:3">
      <c r="C4282"/>
    </row>
    <row r="4283" spans="3:3">
      <c r="C4283"/>
    </row>
    <row r="4284" spans="3:3">
      <c r="C4284"/>
    </row>
    <row r="4285" spans="3:3">
      <c r="C4285"/>
    </row>
    <row r="4286" spans="3:3">
      <c r="C4286"/>
    </row>
    <row r="4287" spans="3:3">
      <c r="C4287"/>
    </row>
    <row r="4288" spans="3:3">
      <c r="C4288"/>
    </row>
    <row r="4289" spans="3:3">
      <c r="C4289"/>
    </row>
    <row r="4290" spans="3:3">
      <c r="C4290"/>
    </row>
    <row r="4291" spans="3:3">
      <c r="C4291"/>
    </row>
    <row r="4292" spans="3:3">
      <c r="C4292"/>
    </row>
    <row r="4293" spans="3:3">
      <c r="C4293"/>
    </row>
    <row r="4294" spans="3:3">
      <c r="C4294"/>
    </row>
    <row r="4295" spans="3:3">
      <c r="C4295"/>
    </row>
    <row r="4296" spans="3:3">
      <c r="C4296"/>
    </row>
    <row r="4297" spans="3:3">
      <c r="C4297"/>
    </row>
    <row r="4298" spans="3:3">
      <c r="C4298"/>
    </row>
    <row r="4299" spans="3:3">
      <c r="C4299"/>
    </row>
    <row r="4300" spans="3:3">
      <c r="C4300"/>
    </row>
    <row r="4301" spans="3:3">
      <c r="C4301"/>
    </row>
    <row r="4302" spans="3:3">
      <c r="C4302"/>
    </row>
    <row r="4303" spans="3:3">
      <c r="C4303"/>
    </row>
    <row r="4304" spans="3:3">
      <c r="C4304"/>
    </row>
    <row r="4305" spans="3:3">
      <c r="C4305"/>
    </row>
    <row r="4306" spans="3:3">
      <c r="C4306"/>
    </row>
    <row r="4307" spans="3:3">
      <c r="C4307"/>
    </row>
    <row r="4308" spans="3:3">
      <c r="C4308"/>
    </row>
    <row r="4309" spans="3:3">
      <c r="C4309"/>
    </row>
    <row r="4310" spans="3:3">
      <c r="C4310"/>
    </row>
    <row r="4311" spans="3:3">
      <c r="C4311"/>
    </row>
    <row r="4312" spans="3:3">
      <c r="C4312"/>
    </row>
    <row r="4313" spans="3:3">
      <c r="C4313"/>
    </row>
    <row r="4314" spans="3:3">
      <c r="C4314"/>
    </row>
    <row r="4315" spans="3:3">
      <c r="C4315"/>
    </row>
    <row r="4316" spans="3:3">
      <c r="C4316"/>
    </row>
    <row r="4317" spans="3:3">
      <c r="C4317"/>
    </row>
    <row r="4318" spans="3:3">
      <c r="C4318"/>
    </row>
    <row r="4319" spans="3:3">
      <c r="C4319"/>
    </row>
    <row r="4320" spans="3:3">
      <c r="C4320"/>
    </row>
    <row r="4321" spans="3:3">
      <c r="C4321"/>
    </row>
    <row r="4322" spans="3:3">
      <c r="C4322"/>
    </row>
    <row r="4323" spans="3:3">
      <c r="C4323"/>
    </row>
    <row r="4324" spans="3:3">
      <c r="C4324"/>
    </row>
    <row r="4325" spans="3:3">
      <c r="C4325"/>
    </row>
    <row r="4326" spans="3:3">
      <c r="C4326"/>
    </row>
    <row r="4327" spans="3:3">
      <c r="C4327"/>
    </row>
    <row r="4328" spans="3:3">
      <c r="C4328"/>
    </row>
    <row r="4329" spans="3:3">
      <c r="C4329"/>
    </row>
    <row r="4330" spans="3:3">
      <c r="C4330"/>
    </row>
    <row r="4331" spans="3:3">
      <c r="C4331"/>
    </row>
    <row r="4332" spans="3:3">
      <c r="C4332"/>
    </row>
    <row r="4333" spans="3:3">
      <c r="C4333"/>
    </row>
    <row r="4334" spans="3:3">
      <c r="C4334"/>
    </row>
    <row r="4335" spans="3:3">
      <c r="C4335"/>
    </row>
    <row r="4336" spans="3:3">
      <c r="C4336"/>
    </row>
    <row r="4337" spans="3:3">
      <c r="C4337"/>
    </row>
    <row r="4338" spans="3:3">
      <c r="C4338"/>
    </row>
    <row r="4339" spans="3:3">
      <c r="C4339"/>
    </row>
    <row r="4340" spans="3:3">
      <c r="C4340"/>
    </row>
    <row r="4341" spans="3:3">
      <c r="C4341"/>
    </row>
    <row r="4342" spans="3:3">
      <c r="C4342"/>
    </row>
    <row r="4343" spans="3:3">
      <c r="C4343"/>
    </row>
    <row r="4344" spans="3:3">
      <c r="C4344"/>
    </row>
    <row r="4345" spans="3:3">
      <c r="C4345"/>
    </row>
    <row r="4346" spans="3:3">
      <c r="C4346"/>
    </row>
    <row r="4347" spans="3:3">
      <c r="C4347"/>
    </row>
    <row r="4348" spans="3:3">
      <c r="C4348"/>
    </row>
    <row r="4349" spans="3:3">
      <c r="C4349"/>
    </row>
    <row r="4350" spans="3:3">
      <c r="C4350"/>
    </row>
    <row r="4351" spans="3:3">
      <c r="C4351"/>
    </row>
    <row r="4352" spans="3:3">
      <c r="C4352"/>
    </row>
    <row r="4353" spans="3:3">
      <c r="C4353"/>
    </row>
    <row r="4354" spans="3:3">
      <c r="C4354"/>
    </row>
    <row r="4355" spans="3:3">
      <c r="C4355"/>
    </row>
    <row r="4356" spans="3:3">
      <c r="C4356"/>
    </row>
    <row r="4357" spans="3:3">
      <c r="C4357"/>
    </row>
    <row r="4358" spans="3:3">
      <c r="C4358"/>
    </row>
    <row r="4359" spans="3:3">
      <c r="C4359"/>
    </row>
    <row r="4360" spans="3:3">
      <c r="C4360"/>
    </row>
    <row r="4361" spans="3:3">
      <c r="C4361"/>
    </row>
    <row r="4362" spans="3:3">
      <c r="C4362"/>
    </row>
    <row r="4363" spans="3:3">
      <c r="C4363"/>
    </row>
    <row r="4364" spans="3:3">
      <c r="C4364"/>
    </row>
    <row r="4365" spans="3:3">
      <c r="C4365"/>
    </row>
    <row r="4366" spans="3:3">
      <c r="C4366"/>
    </row>
    <row r="4367" spans="3:3">
      <c r="C4367"/>
    </row>
    <row r="4368" spans="3:3">
      <c r="C4368"/>
    </row>
    <row r="4369" spans="3:3">
      <c r="C4369"/>
    </row>
    <row r="4370" spans="3:3">
      <c r="C4370"/>
    </row>
    <row r="4371" spans="3:3">
      <c r="C4371"/>
    </row>
    <row r="4372" spans="3:3">
      <c r="C4372"/>
    </row>
    <row r="4373" spans="3:3">
      <c r="C4373"/>
    </row>
    <row r="4374" spans="3:3">
      <c r="C4374"/>
    </row>
    <row r="4375" spans="3:3">
      <c r="C4375"/>
    </row>
    <row r="4376" spans="3:3">
      <c r="C4376"/>
    </row>
    <row r="4377" spans="3:3">
      <c r="C4377"/>
    </row>
    <row r="4378" spans="3:3">
      <c r="C4378"/>
    </row>
    <row r="4379" spans="3:3">
      <c r="C4379"/>
    </row>
    <row r="4380" spans="3:3">
      <c r="C4380"/>
    </row>
    <row r="4381" spans="3:3">
      <c r="C4381"/>
    </row>
    <row r="4382" spans="3:3">
      <c r="C4382"/>
    </row>
    <row r="4383" spans="3:3">
      <c r="C4383"/>
    </row>
    <row r="4384" spans="3:3">
      <c r="C4384"/>
    </row>
    <row r="4385" spans="3:3">
      <c r="C4385"/>
    </row>
    <row r="4386" spans="3:3">
      <c r="C4386"/>
    </row>
    <row r="4387" spans="3:3">
      <c r="C4387"/>
    </row>
    <row r="4388" spans="3:3">
      <c r="C4388"/>
    </row>
    <row r="4389" spans="3:3">
      <c r="C4389"/>
    </row>
    <row r="4390" spans="3:3">
      <c r="C4390"/>
    </row>
    <row r="4391" spans="3:3">
      <c r="C4391"/>
    </row>
    <row r="4392" spans="3:3">
      <c r="C4392"/>
    </row>
    <row r="4393" spans="3:3">
      <c r="C4393"/>
    </row>
    <row r="4394" spans="3:3">
      <c r="C4394"/>
    </row>
    <row r="4395" spans="3:3">
      <c r="C4395"/>
    </row>
    <row r="4396" spans="3:3">
      <c r="C4396"/>
    </row>
    <row r="4397" spans="3:3">
      <c r="C4397"/>
    </row>
    <row r="4398" spans="3:3">
      <c r="C4398"/>
    </row>
    <row r="4399" spans="3:3">
      <c r="C4399"/>
    </row>
    <row r="4400" spans="3:3">
      <c r="C4400"/>
    </row>
    <row r="4401" spans="3:3">
      <c r="C4401"/>
    </row>
    <row r="4402" spans="3:3">
      <c r="C4402"/>
    </row>
    <row r="4403" spans="3:3">
      <c r="C4403"/>
    </row>
    <row r="4404" spans="3:3">
      <c r="C4404"/>
    </row>
    <row r="4405" spans="3:3">
      <c r="C4405"/>
    </row>
    <row r="4406" spans="3:3">
      <c r="C4406"/>
    </row>
    <row r="4407" spans="3:3">
      <c r="C4407"/>
    </row>
    <row r="4408" spans="3:3">
      <c r="C4408"/>
    </row>
    <row r="4409" spans="3:3">
      <c r="C4409"/>
    </row>
    <row r="4410" spans="3:3">
      <c r="C4410"/>
    </row>
    <row r="4411" spans="3:3">
      <c r="C4411"/>
    </row>
    <row r="4412" spans="3:3">
      <c r="C4412"/>
    </row>
    <row r="4413" spans="3:3">
      <c r="C4413"/>
    </row>
    <row r="4414" spans="3:3">
      <c r="C4414"/>
    </row>
    <row r="4415" spans="3:3">
      <c r="C4415"/>
    </row>
    <row r="4416" spans="3:3">
      <c r="C4416"/>
    </row>
    <row r="4417" spans="3:3">
      <c r="C4417"/>
    </row>
    <row r="4418" spans="3:3">
      <c r="C4418"/>
    </row>
    <row r="4419" spans="3:3">
      <c r="C4419"/>
    </row>
    <row r="4420" spans="3:3">
      <c r="C4420"/>
    </row>
    <row r="4421" spans="3:3">
      <c r="C4421"/>
    </row>
    <row r="4422" spans="3:3">
      <c r="C4422"/>
    </row>
    <row r="4423" spans="3:3">
      <c r="C4423"/>
    </row>
    <row r="4424" spans="3:3">
      <c r="C4424"/>
    </row>
    <row r="4425" spans="3:3">
      <c r="C4425"/>
    </row>
    <row r="4426" spans="3:3">
      <c r="C4426"/>
    </row>
    <row r="4427" spans="3:3">
      <c r="C4427"/>
    </row>
    <row r="4428" spans="3:3">
      <c r="C4428"/>
    </row>
    <row r="4429" spans="3:3">
      <c r="C4429"/>
    </row>
    <row r="4430" spans="3:3">
      <c r="C4430"/>
    </row>
    <row r="4431" spans="3:3">
      <c r="C4431"/>
    </row>
    <row r="4432" spans="3:3">
      <c r="C4432"/>
    </row>
    <row r="4433" spans="3:3">
      <c r="C4433"/>
    </row>
    <row r="4434" spans="3:3">
      <c r="C4434"/>
    </row>
    <row r="4435" spans="3:3">
      <c r="C4435"/>
    </row>
    <row r="4436" spans="3:3">
      <c r="C4436"/>
    </row>
    <row r="4437" spans="3:3">
      <c r="C4437"/>
    </row>
    <row r="4438" spans="3:3">
      <c r="C4438"/>
    </row>
    <row r="4439" spans="3:3">
      <c r="C4439"/>
    </row>
    <row r="4440" spans="3:3">
      <c r="C4440"/>
    </row>
    <row r="4441" spans="3:3">
      <c r="C4441"/>
    </row>
    <row r="4442" spans="3:3">
      <c r="C4442"/>
    </row>
    <row r="4443" spans="3:3">
      <c r="C4443"/>
    </row>
    <row r="4444" spans="3:3">
      <c r="C4444"/>
    </row>
    <row r="4445" spans="3:3">
      <c r="C4445"/>
    </row>
    <row r="4446" spans="3:3">
      <c r="C4446"/>
    </row>
    <row r="4447" spans="3:3">
      <c r="C4447"/>
    </row>
    <row r="4448" spans="3:3">
      <c r="C4448"/>
    </row>
    <row r="4449" spans="3:3">
      <c r="C4449"/>
    </row>
    <row r="4450" spans="3:3">
      <c r="C4450"/>
    </row>
    <row r="4451" spans="3:3">
      <c r="C4451"/>
    </row>
    <row r="4452" spans="3:3">
      <c r="C4452"/>
    </row>
    <row r="4453" spans="3:3">
      <c r="C4453"/>
    </row>
    <row r="4454" spans="3:3">
      <c r="C4454"/>
    </row>
    <row r="4455" spans="3:3">
      <c r="C4455"/>
    </row>
    <row r="4456" spans="3:3">
      <c r="C4456"/>
    </row>
    <row r="4457" spans="3:3">
      <c r="C4457"/>
    </row>
    <row r="4458" spans="3:3">
      <c r="C4458"/>
    </row>
    <row r="4459" spans="3:3">
      <c r="C4459"/>
    </row>
    <row r="4460" spans="3:3">
      <c r="C4460"/>
    </row>
    <row r="4461" spans="3:3">
      <c r="C4461"/>
    </row>
    <row r="4462" spans="3:3">
      <c r="C4462"/>
    </row>
    <row r="4463" spans="3:3">
      <c r="C4463"/>
    </row>
    <row r="4464" spans="3:3">
      <c r="C4464"/>
    </row>
    <row r="4465" spans="3:3">
      <c r="C4465"/>
    </row>
    <row r="4466" spans="3:3">
      <c r="C4466"/>
    </row>
    <row r="4467" spans="3:3">
      <c r="C4467"/>
    </row>
    <row r="4468" spans="3:3">
      <c r="C4468"/>
    </row>
    <row r="4469" spans="3:3">
      <c r="C4469"/>
    </row>
    <row r="4470" spans="3:3">
      <c r="C4470"/>
    </row>
    <row r="4471" spans="3:3">
      <c r="C4471"/>
    </row>
    <row r="4472" spans="3:3">
      <c r="C4472"/>
    </row>
    <row r="4473" spans="3:3">
      <c r="C4473"/>
    </row>
    <row r="4474" spans="3:3">
      <c r="C4474"/>
    </row>
    <row r="4475" spans="3:3">
      <c r="C4475"/>
    </row>
    <row r="4476" spans="3:3">
      <c r="C4476"/>
    </row>
    <row r="4477" spans="3:3">
      <c r="C4477"/>
    </row>
    <row r="4478" spans="3:3">
      <c r="C4478"/>
    </row>
    <row r="4479" spans="3:3">
      <c r="C4479"/>
    </row>
    <row r="4480" spans="3:3">
      <c r="C4480"/>
    </row>
    <row r="4481" spans="3:3">
      <c r="C4481"/>
    </row>
    <row r="4482" spans="3:3">
      <c r="C4482"/>
    </row>
    <row r="4483" spans="3:3">
      <c r="C4483"/>
    </row>
    <row r="4484" spans="3:3">
      <c r="C4484"/>
    </row>
    <row r="4485" spans="3:3">
      <c r="C4485"/>
    </row>
    <row r="4486" spans="3:3">
      <c r="C4486"/>
    </row>
    <row r="4487" spans="3:3">
      <c r="C4487"/>
    </row>
    <row r="4488" spans="3:3">
      <c r="C4488"/>
    </row>
    <row r="4489" spans="3:3">
      <c r="C4489"/>
    </row>
    <row r="4490" spans="3:3">
      <c r="C4490"/>
    </row>
    <row r="4491" spans="3:3">
      <c r="C4491"/>
    </row>
    <row r="4492" spans="3:3">
      <c r="C4492"/>
    </row>
    <row r="4493" spans="3:3">
      <c r="C4493"/>
    </row>
    <row r="4494" spans="3:3">
      <c r="C4494"/>
    </row>
    <row r="4495" spans="3:3">
      <c r="C4495"/>
    </row>
    <row r="4496" spans="3:3">
      <c r="C4496"/>
    </row>
    <row r="4497" spans="3:3">
      <c r="C4497"/>
    </row>
    <row r="4498" spans="3:3">
      <c r="C4498"/>
    </row>
    <row r="4499" spans="3:3">
      <c r="C4499"/>
    </row>
    <row r="4500" spans="3:3">
      <c r="C4500"/>
    </row>
    <row r="4501" spans="3:3">
      <c r="C4501"/>
    </row>
    <row r="4502" spans="3:3">
      <c r="C4502"/>
    </row>
    <row r="4503" spans="3:3">
      <c r="C4503"/>
    </row>
    <row r="4504" spans="3:3">
      <c r="C4504"/>
    </row>
    <row r="4505" spans="3:3">
      <c r="C4505"/>
    </row>
    <row r="4506" spans="3:3">
      <c r="C4506"/>
    </row>
    <row r="4507" spans="3:3">
      <c r="C4507"/>
    </row>
    <row r="4508" spans="3:3">
      <c r="C4508"/>
    </row>
    <row r="4509" spans="3:3">
      <c r="C4509"/>
    </row>
    <row r="4510" spans="3:3">
      <c r="C4510"/>
    </row>
    <row r="4511" spans="3:3">
      <c r="C4511"/>
    </row>
    <row r="4512" spans="3:3">
      <c r="C4512"/>
    </row>
    <row r="4513" spans="3:3">
      <c r="C4513"/>
    </row>
    <row r="4514" spans="3:3">
      <c r="C4514"/>
    </row>
    <row r="4515" spans="3:3">
      <c r="C4515"/>
    </row>
    <row r="4516" spans="3:3">
      <c r="C4516"/>
    </row>
    <row r="4517" spans="3:3">
      <c r="C4517"/>
    </row>
    <row r="4518" spans="3:3">
      <c r="C4518"/>
    </row>
    <row r="4519" spans="3:3">
      <c r="C4519"/>
    </row>
    <row r="4520" spans="3:3">
      <c r="C4520"/>
    </row>
    <row r="4521" spans="3:3">
      <c r="C4521"/>
    </row>
    <row r="4522" spans="3:3">
      <c r="C4522"/>
    </row>
    <row r="4523" spans="3:3">
      <c r="C4523"/>
    </row>
    <row r="4524" spans="3:3">
      <c r="C4524"/>
    </row>
    <row r="4525" spans="3:3">
      <c r="C4525"/>
    </row>
    <row r="4526" spans="3:3">
      <c r="C4526"/>
    </row>
    <row r="4527" spans="3:3">
      <c r="C4527"/>
    </row>
    <row r="4528" spans="3:3">
      <c r="C4528"/>
    </row>
    <row r="4529" spans="3:3">
      <c r="C4529"/>
    </row>
    <row r="4530" spans="3:3">
      <c r="C4530"/>
    </row>
    <row r="4531" spans="3:3">
      <c r="C4531"/>
    </row>
    <row r="4532" spans="3:3">
      <c r="C4532"/>
    </row>
    <row r="4533" spans="3:3">
      <c r="C4533"/>
    </row>
    <row r="4534" spans="3:3">
      <c r="C4534"/>
    </row>
    <row r="4535" spans="3:3">
      <c r="C4535"/>
    </row>
    <row r="4536" spans="3:3">
      <c r="C4536"/>
    </row>
    <row r="4537" spans="3:3">
      <c r="C4537"/>
    </row>
    <row r="4538" spans="3:3">
      <c r="C4538"/>
    </row>
    <row r="4539" spans="3:3">
      <c r="C4539"/>
    </row>
    <row r="4540" spans="3:3">
      <c r="C4540"/>
    </row>
    <row r="4541" spans="3:3">
      <c r="C4541"/>
    </row>
    <row r="4542" spans="3:3">
      <c r="C4542"/>
    </row>
    <row r="4543" spans="3:3">
      <c r="C4543"/>
    </row>
    <row r="4544" spans="3:3">
      <c r="C4544"/>
    </row>
    <row r="4545" spans="3:3">
      <c r="C4545"/>
    </row>
    <row r="4546" spans="3:3">
      <c r="C4546"/>
    </row>
    <row r="4547" spans="3:3">
      <c r="C4547"/>
    </row>
    <row r="4548" spans="3:3">
      <c r="C4548"/>
    </row>
    <row r="4549" spans="3:3">
      <c r="C4549"/>
    </row>
    <row r="4550" spans="3:3">
      <c r="C4550"/>
    </row>
    <row r="4551" spans="3:3">
      <c r="C4551"/>
    </row>
    <row r="4552" spans="3:3">
      <c r="C4552"/>
    </row>
    <row r="4553" spans="3:3">
      <c r="C4553"/>
    </row>
    <row r="4554" spans="3:3">
      <c r="C4554"/>
    </row>
    <row r="4555" spans="3:3">
      <c r="C4555"/>
    </row>
    <row r="4556" spans="3:3">
      <c r="C4556"/>
    </row>
    <row r="4557" spans="3:3">
      <c r="C4557"/>
    </row>
    <row r="4558" spans="3:3">
      <c r="C4558"/>
    </row>
    <row r="4559" spans="3:3">
      <c r="C4559"/>
    </row>
    <row r="4560" spans="3:3">
      <c r="C4560"/>
    </row>
    <row r="4561" spans="3:3">
      <c r="C4561"/>
    </row>
    <row r="4562" spans="3:3">
      <c r="C4562"/>
    </row>
    <row r="4563" spans="3:3">
      <c r="C4563"/>
    </row>
    <row r="4564" spans="3:3">
      <c r="C4564"/>
    </row>
    <row r="4565" spans="3:3">
      <c r="C4565"/>
    </row>
    <row r="4566" spans="3:3">
      <c r="C4566"/>
    </row>
    <row r="4567" spans="3:3">
      <c r="C4567"/>
    </row>
    <row r="4568" spans="3:3">
      <c r="C4568"/>
    </row>
    <row r="4569" spans="3:3">
      <c r="C4569"/>
    </row>
    <row r="4570" spans="3:3">
      <c r="C4570"/>
    </row>
    <row r="4571" spans="3:3">
      <c r="C4571"/>
    </row>
    <row r="4572" spans="3:3">
      <c r="C4572"/>
    </row>
    <row r="4573" spans="3:3">
      <c r="C4573"/>
    </row>
    <row r="4574" spans="3:3">
      <c r="C4574"/>
    </row>
    <row r="4575" spans="3:3">
      <c r="C4575"/>
    </row>
    <row r="4576" spans="3:3">
      <c r="C4576"/>
    </row>
    <row r="4577" spans="3:3">
      <c r="C4577"/>
    </row>
    <row r="4578" spans="3:3">
      <c r="C4578"/>
    </row>
    <row r="4579" spans="3:3">
      <c r="C4579"/>
    </row>
    <row r="4580" spans="3:3">
      <c r="C4580"/>
    </row>
    <row r="4581" spans="3:3">
      <c r="C4581"/>
    </row>
    <row r="4582" spans="3:3">
      <c r="C4582"/>
    </row>
    <row r="4583" spans="3:3">
      <c r="C4583"/>
    </row>
    <row r="4584" spans="3:3">
      <c r="C4584"/>
    </row>
    <row r="4585" spans="3:3">
      <c r="C4585"/>
    </row>
    <row r="4586" spans="3:3">
      <c r="C4586"/>
    </row>
    <row r="4587" spans="3:3">
      <c r="C4587"/>
    </row>
    <row r="4588" spans="3:3">
      <c r="C4588"/>
    </row>
    <row r="4589" spans="3:3">
      <c r="C4589"/>
    </row>
    <row r="4590" spans="3:3">
      <c r="C4590"/>
    </row>
    <row r="4591" spans="3:3">
      <c r="C4591"/>
    </row>
    <row r="4592" spans="3:3">
      <c r="C4592"/>
    </row>
    <row r="4593" spans="3:3">
      <c r="C4593"/>
    </row>
    <row r="4594" spans="3:3">
      <c r="C4594"/>
    </row>
    <row r="4595" spans="3:3">
      <c r="C4595"/>
    </row>
    <row r="4596" spans="3:3">
      <c r="C4596"/>
    </row>
    <row r="4597" spans="3:3">
      <c r="C4597"/>
    </row>
    <row r="4598" spans="3:3">
      <c r="C4598"/>
    </row>
    <row r="4599" spans="3:3">
      <c r="C4599"/>
    </row>
    <row r="4600" spans="3:3">
      <c r="C4600"/>
    </row>
    <row r="4601" spans="3:3">
      <c r="C4601"/>
    </row>
    <row r="4602" spans="3:3">
      <c r="C4602"/>
    </row>
    <row r="4603" spans="3:3">
      <c r="C4603"/>
    </row>
    <row r="4604" spans="3:3">
      <c r="C4604"/>
    </row>
    <row r="4605" spans="3:3">
      <c r="C4605"/>
    </row>
    <row r="4606" spans="3:3">
      <c r="C4606"/>
    </row>
    <row r="4607" spans="3:3">
      <c r="C4607"/>
    </row>
    <row r="4608" spans="3:3">
      <c r="C4608"/>
    </row>
    <row r="4609" spans="3:3">
      <c r="C4609"/>
    </row>
    <row r="4610" spans="3:3">
      <c r="C4610"/>
    </row>
    <row r="4611" spans="3:3">
      <c r="C4611"/>
    </row>
    <row r="4612" spans="3:3">
      <c r="C4612"/>
    </row>
    <row r="4613" spans="3:3">
      <c r="C4613"/>
    </row>
    <row r="4614" spans="3:3">
      <c r="C4614"/>
    </row>
    <row r="4615" spans="3:3">
      <c r="C4615"/>
    </row>
    <row r="4616" spans="3:3">
      <c r="C4616"/>
    </row>
    <row r="4617" spans="3:3">
      <c r="C4617"/>
    </row>
    <row r="4618" spans="3:3">
      <c r="C4618"/>
    </row>
    <row r="4619" spans="3:3">
      <c r="C4619"/>
    </row>
    <row r="4620" spans="3:3">
      <c r="C4620"/>
    </row>
    <row r="4621" spans="3:3">
      <c r="C4621"/>
    </row>
    <row r="4622" spans="3:3">
      <c r="C4622"/>
    </row>
    <row r="4623" spans="3:3">
      <c r="C4623"/>
    </row>
    <row r="4624" spans="3:3">
      <c r="C4624"/>
    </row>
    <row r="4625" spans="3:3">
      <c r="C4625"/>
    </row>
    <row r="4626" spans="3:3">
      <c r="C4626"/>
    </row>
    <row r="4627" spans="3:3">
      <c r="C4627"/>
    </row>
    <row r="4628" spans="3:3">
      <c r="C4628"/>
    </row>
    <row r="4629" spans="3:3">
      <c r="C4629"/>
    </row>
    <row r="4630" spans="3:3">
      <c r="C4630"/>
    </row>
    <row r="4631" spans="3:3">
      <c r="C4631"/>
    </row>
    <row r="4632" spans="3:3">
      <c r="C4632"/>
    </row>
    <row r="4633" spans="3:3">
      <c r="C4633"/>
    </row>
    <row r="4634" spans="3:3">
      <c r="C4634"/>
    </row>
    <row r="4635" spans="3:3">
      <c r="C4635"/>
    </row>
    <row r="4636" spans="3:3">
      <c r="C4636"/>
    </row>
    <row r="4637" spans="3:3">
      <c r="C4637"/>
    </row>
    <row r="4638" spans="3:3">
      <c r="C4638"/>
    </row>
    <row r="4639" spans="3:3">
      <c r="C4639"/>
    </row>
    <row r="4640" spans="3:3">
      <c r="C4640"/>
    </row>
    <row r="4641" spans="3:3">
      <c r="C4641"/>
    </row>
    <row r="4642" spans="3:3">
      <c r="C4642"/>
    </row>
    <row r="4643" spans="3:3">
      <c r="C4643"/>
    </row>
    <row r="4644" spans="3:3">
      <c r="C4644"/>
    </row>
    <row r="4645" spans="3:3">
      <c r="C4645"/>
    </row>
    <row r="4646" spans="3:3">
      <c r="C4646"/>
    </row>
    <row r="4647" spans="3:3">
      <c r="C4647"/>
    </row>
    <row r="4648" spans="3:3">
      <c r="C4648"/>
    </row>
    <row r="4649" spans="3:3">
      <c r="C4649"/>
    </row>
    <row r="4650" spans="3:3">
      <c r="C4650"/>
    </row>
    <row r="4651" spans="3:3">
      <c r="C4651"/>
    </row>
    <row r="4652" spans="3:3">
      <c r="C4652"/>
    </row>
    <row r="4653" spans="3:3">
      <c r="C4653"/>
    </row>
    <row r="4654" spans="3:3">
      <c r="C4654"/>
    </row>
    <row r="4655" spans="3:3">
      <c r="C4655"/>
    </row>
    <row r="4656" spans="3:3">
      <c r="C4656"/>
    </row>
    <row r="4657" spans="3:3">
      <c r="C4657"/>
    </row>
    <row r="4658" spans="3:3">
      <c r="C4658"/>
    </row>
    <row r="4659" spans="3:3">
      <c r="C4659"/>
    </row>
    <row r="4660" spans="3:3">
      <c r="C4660"/>
    </row>
    <row r="4661" spans="3:3">
      <c r="C4661"/>
    </row>
    <row r="4662" spans="3:3">
      <c r="C4662"/>
    </row>
    <row r="4663" spans="3:3">
      <c r="C4663"/>
    </row>
    <row r="4664" spans="3:3">
      <c r="C4664"/>
    </row>
    <row r="4665" spans="3:3">
      <c r="C4665"/>
    </row>
    <row r="4666" spans="3:3">
      <c r="C4666"/>
    </row>
    <row r="4667" spans="3:3">
      <c r="C4667"/>
    </row>
    <row r="4668" spans="3:3">
      <c r="C4668"/>
    </row>
    <row r="4669" spans="3:3">
      <c r="C4669"/>
    </row>
    <row r="4670" spans="3:3">
      <c r="C4670"/>
    </row>
    <row r="4671" spans="3:3">
      <c r="C4671"/>
    </row>
    <row r="4672" spans="3:3">
      <c r="C4672"/>
    </row>
    <row r="4673" spans="3:3">
      <c r="C4673"/>
    </row>
    <row r="4674" spans="3:3">
      <c r="C4674"/>
    </row>
    <row r="4675" spans="3:3">
      <c r="C4675"/>
    </row>
    <row r="4676" spans="3:3">
      <c r="C4676"/>
    </row>
    <row r="4677" spans="3:3">
      <c r="C4677"/>
    </row>
    <row r="4678" spans="3:3">
      <c r="C4678"/>
    </row>
    <row r="4679" spans="3:3">
      <c r="C4679"/>
    </row>
    <row r="4680" spans="3:3">
      <c r="C4680"/>
    </row>
    <row r="4681" spans="3:3">
      <c r="C4681"/>
    </row>
    <row r="4682" spans="3:3">
      <c r="C4682"/>
    </row>
    <row r="4683" spans="3:3">
      <c r="C4683"/>
    </row>
    <row r="4684" spans="3:3">
      <c r="C4684"/>
    </row>
    <row r="4685" spans="3:3">
      <c r="C4685"/>
    </row>
    <row r="4686" spans="3:3">
      <c r="C4686"/>
    </row>
    <row r="4687" spans="3:3">
      <c r="C4687"/>
    </row>
    <row r="4688" spans="3:3">
      <c r="C4688"/>
    </row>
    <row r="4689" spans="3:3">
      <c r="C4689"/>
    </row>
    <row r="4690" spans="3:3">
      <c r="C4690"/>
    </row>
    <row r="4691" spans="3:3">
      <c r="C4691"/>
    </row>
    <row r="4692" spans="3:3">
      <c r="C4692"/>
    </row>
    <row r="4693" spans="3:3">
      <c r="C4693"/>
    </row>
    <row r="4694" spans="3:3">
      <c r="C4694"/>
    </row>
    <row r="4695" spans="3:3">
      <c r="C4695"/>
    </row>
    <row r="4696" spans="3:3">
      <c r="C4696"/>
    </row>
    <row r="4697" spans="3:3">
      <c r="C4697"/>
    </row>
    <row r="4698" spans="3:3">
      <c r="C4698"/>
    </row>
    <row r="4699" spans="3:3">
      <c r="C4699"/>
    </row>
    <row r="4700" spans="3:3">
      <c r="C4700"/>
    </row>
    <row r="4701" spans="3:3">
      <c r="C4701"/>
    </row>
    <row r="4702" spans="3:3">
      <c r="C4702"/>
    </row>
    <row r="4703" spans="3:3">
      <c r="C4703"/>
    </row>
    <row r="4704" spans="3:3">
      <c r="C4704"/>
    </row>
    <row r="4705" spans="3:3">
      <c r="C4705"/>
    </row>
    <row r="4706" spans="3:3">
      <c r="C4706"/>
    </row>
    <row r="4707" spans="3:3">
      <c r="C4707"/>
    </row>
    <row r="4708" spans="3:3">
      <c r="C4708"/>
    </row>
    <row r="4709" spans="3:3">
      <c r="C4709"/>
    </row>
    <row r="4710" spans="3:3">
      <c r="C4710"/>
    </row>
    <row r="4711" spans="3:3">
      <c r="C4711"/>
    </row>
    <row r="4712" spans="3:3">
      <c r="C4712"/>
    </row>
    <row r="4713" spans="3:3">
      <c r="C4713"/>
    </row>
    <row r="4714" spans="3:3">
      <c r="C4714"/>
    </row>
    <row r="4715" spans="3:3">
      <c r="C4715"/>
    </row>
    <row r="4716" spans="3:3">
      <c r="C4716"/>
    </row>
    <row r="4717" spans="3:3">
      <c r="C4717"/>
    </row>
    <row r="4718" spans="3:3">
      <c r="C4718"/>
    </row>
    <row r="4719" spans="3:3">
      <c r="C4719"/>
    </row>
    <row r="4720" spans="3:3">
      <c r="C4720"/>
    </row>
    <row r="4721" spans="3:3">
      <c r="C4721"/>
    </row>
    <row r="4722" spans="3:3">
      <c r="C4722"/>
    </row>
    <row r="4723" spans="3:3">
      <c r="C4723"/>
    </row>
    <row r="4724" spans="3:3">
      <c r="C4724"/>
    </row>
    <row r="4725" spans="3:3">
      <c r="C4725"/>
    </row>
    <row r="4726" spans="3:3">
      <c r="C4726"/>
    </row>
    <row r="4727" spans="3:3">
      <c r="C4727"/>
    </row>
    <row r="4728" spans="3:3">
      <c r="C4728"/>
    </row>
    <row r="4729" spans="3:3">
      <c r="C4729"/>
    </row>
    <row r="4730" spans="3:3">
      <c r="C4730"/>
    </row>
    <row r="4731" spans="3:3">
      <c r="C4731"/>
    </row>
    <row r="4732" spans="3:3">
      <c r="C4732"/>
    </row>
    <row r="4733" spans="3:3">
      <c r="C4733"/>
    </row>
    <row r="4734" spans="3:3">
      <c r="C4734"/>
    </row>
    <row r="4735" spans="3:3">
      <c r="C4735"/>
    </row>
    <row r="4736" spans="3:3">
      <c r="C4736"/>
    </row>
    <row r="4737" spans="3:3">
      <c r="C4737"/>
    </row>
    <row r="4738" spans="3:3">
      <c r="C4738"/>
    </row>
    <row r="4739" spans="3:3">
      <c r="C4739"/>
    </row>
    <row r="4740" spans="3:3">
      <c r="C4740"/>
    </row>
    <row r="4741" spans="3:3">
      <c r="C4741"/>
    </row>
    <row r="4742" spans="3:3">
      <c r="C4742"/>
    </row>
    <row r="4743" spans="3:3">
      <c r="C4743"/>
    </row>
    <row r="4744" spans="3:3">
      <c r="C4744"/>
    </row>
    <row r="4745" spans="3:3">
      <c r="C4745"/>
    </row>
    <row r="4746" spans="3:3">
      <c r="C4746"/>
    </row>
    <row r="4747" spans="3:3">
      <c r="C4747"/>
    </row>
    <row r="4748" spans="3:3">
      <c r="C4748"/>
    </row>
    <row r="4749" spans="3:3">
      <c r="C4749"/>
    </row>
    <row r="4750" spans="3:3">
      <c r="C4750"/>
    </row>
    <row r="4751" spans="3:3">
      <c r="C4751"/>
    </row>
    <row r="4752" spans="3:3">
      <c r="C4752"/>
    </row>
    <row r="4753" spans="3:3">
      <c r="C4753"/>
    </row>
    <row r="4754" spans="3:3">
      <c r="C4754"/>
    </row>
    <row r="4755" spans="3:3">
      <c r="C4755"/>
    </row>
    <row r="4756" spans="3:3">
      <c r="C4756"/>
    </row>
    <row r="4757" spans="3:3">
      <c r="C4757"/>
    </row>
    <row r="4758" spans="3:3">
      <c r="C4758"/>
    </row>
    <row r="4759" spans="3:3">
      <c r="C4759"/>
    </row>
    <row r="4760" spans="3:3">
      <c r="C4760"/>
    </row>
    <row r="4761" spans="3:3">
      <c r="C4761"/>
    </row>
    <row r="4762" spans="3:3">
      <c r="C4762"/>
    </row>
    <row r="4763" spans="3:3">
      <c r="C4763"/>
    </row>
    <row r="4764" spans="3:3">
      <c r="C4764"/>
    </row>
    <row r="4765" spans="3:3">
      <c r="C4765"/>
    </row>
    <row r="4766" spans="3:3">
      <c r="C4766"/>
    </row>
    <row r="4767" spans="3:3">
      <c r="C4767"/>
    </row>
    <row r="4768" spans="3:3">
      <c r="C4768"/>
    </row>
    <row r="4769" spans="3:3">
      <c r="C4769"/>
    </row>
    <row r="4770" spans="3:3">
      <c r="C4770"/>
    </row>
    <row r="4771" spans="3:3">
      <c r="C4771"/>
    </row>
    <row r="4772" spans="3:3">
      <c r="C4772"/>
    </row>
    <row r="4773" spans="3:3">
      <c r="C4773"/>
    </row>
    <row r="4774" spans="3:3">
      <c r="C4774"/>
    </row>
    <row r="4775" spans="3:3">
      <c r="C4775"/>
    </row>
    <row r="4776" spans="3:3">
      <c r="C4776"/>
    </row>
    <row r="4777" spans="3:3">
      <c r="C4777"/>
    </row>
    <row r="4778" spans="3:3">
      <c r="C4778"/>
    </row>
    <row r="4779" spans="3:3">
      <c r="C4779"/>
    </row>
    <row r="4780" spans="3:3">
      <c r="C4780"/>
    </row>
    <row r="4781" spans="3:3">
      <c r="C4781"/>
    </row>
    <row r="4782" spans="3:3">
      <c r="C4782"/>
    </row>
    <row r="4783" spans="3:3">
      <c r="C4783"/>
    </row>
    <row r="4784" spans="3:3">
      <c r="C4784"/>
    </row>
    <row r="4785" spans="3:3">
      <c r="C4785"/>
    </row>
    <row r="4786" spans="3:3">
      <c r="C4786"/>
    </row>
    <row r="4787" spans="3:3">
      <c r="C4787"/>
    </row>
    <row r="4788" spans="3:3">
      <c r="C4788"/>
    </row>
    <row r="4789" spans="3:3">
      <c r="C4789"/>
    </row>
    <row r="4790" spans="3:3">
      <c r="C4790"/>
    </row>
    <row r="4791" spans="3:3">
      <c r="C4791"/>
    </row>
    <row r="4792" spans="3:3">
      <c r="C4792"/>
    </row>
    <row r="4793" spans="3:3">
      <c r="C4793"/>
    </row>
    <row r="4794" spans="3:3">
      <c r="C4794"/>
    </row>
    <row r="4795" spans="3:3">
      <c r="C4795"/>
    </row>
    <row r="4796" spans="3:3">
      <c r="C4796"/>
    </row>
    <row r="4797" spans="3:3">
      <c r="C4797"/>
    </row>
    <row r="4798" spans="3:3">
      <c r="C4798"/>
    </row>
    <row r="4799" spans="3:3">
      <c r="C4799"/>
    </row>
    <row r="4800" spans="3:3">
      <c r="C4800"/>
    </row>
    <row r="4801" spans="3:3">
      <c r="C4801"/>
    </row>
    <row r="4802" spans="3:3">
      <c r="C4802"/>
    </row>
    <row r="4803" spans="3:3">
      <c r="C4803"/>
    </row>
    <row r="4804" spans="3:3">
      <c r="C4804"/>
    </row>
    <row r="4805" spans="3:3">
      <c r="C4805"/>
    </row>
    <row r="4806" spans="3:3">
      <c r="C4806"/>
    </row>
    <row r="4807" spans="3:3">
      <c r="C4807"/>
    </row>
    <row r="4808" spans="3:3">
      <c r="C4808"/>
    </row>
    <row r="4809" spans="3:3">
      <c r="C4809"/>
    </row>
    <row r="4810" spans="3:3">
      <c r="C4810"/>
    </row>
    <row r="4811" spans="3:3">
      <c r="C4811"/>
    </row>
    <row r="4812" spans="3:3">
      <c r="C4812"/>
    </row>
    <row r="4813" spans="3:3">
      <c r="C4813"/>
    </row>
    <row r="4814" spans="3:3">
      <c r="C4814"/>
    </row>
    <row r="4815" spans="3:3">
      <c r="C4815"/>
    </row>
    <row r="4816" spans="3:3">
      <c r="C4816"/>
    </row>
    <row r="4817" spans="3:3">
      <c r="C4817"/>
    </row>
    <row r="4818" spans="3:3">
      <c r="C4818"/>
    </row>
    <row r="4819" spans="3:3">
      <c r="C4819"/>
    </row>
    <row r="4820" spans="3:3">
      <c r="C4820"/>
    </row>
    <row r="4821" spans="3:3">
      <c r="C4821"/>
    </row>
    <row r="4822" spans="3:3">
      <c r="C4822"/>
    </row>
    <row r="4823" spans="3:3">
      <c r="C4823"/>
    </row>
    <row r="4824" spans="3:3">
      <c r="C4824"/>
    </row>
    <row r="4825" spans="3:3">
      <c r="C4825"/>
    </row>
    <row r="4826" spans="3:3">
      <c r="C4826"/>
    </row>
    <row r="4827" spans="3:3">
      <c r="C4827"/>
    </row>
    <row r="4828" spans="3:3">
      <c r="C4828"/>
    </row>
    <row r="4829" spans="3:3">
      <c r="C4829"/>
    </row>
    <row r="4830" spans="3:3">
      <c r="C4830"/>
    </row>
    <row r="4831" spans="3:3">
      <c r="C4831"/>
    </row>
    <row r="4832" spans="3:3">
      <c r="C4832"/>
    </row>
    <row r="4833" spans="3:3">
      <c r="C4833"/>
    </row>
    <row r="4834" spans="3:3">
      <c r="C4834"/>
    </row>
    <row r="4835" spans="3:3">
      <c r="C4835"/>
    </row>
    <row r="4836" spans="3:3">
      <c r="C4836"/>
    </row>
    <row r="4837" spans="3:3">
      <c r="C4837"/>
    </row>
    <row r="4838" spans="3:3">
      <c r="C4838"/>
    </row>
    <row r="4839" spans="3:3">
      <c r="C4839"/>
    </row>
    <row r="4840" spans="3:3">
      <c r="C4840"/>
    </row>
    <row r="4841" spans="3:3">
      <c r="C4841"/>
    </row>
    <row r="4842" spans="3:3">
      <c r="C4842"/>
    </row>
    <row r="4843" spans="3:3">
      <c r="C4843"/>
    </row>
    <row r="4844" spans="3:3">
      <c r="C4844"/>
    </row>
    <row r="4845" spans="3:3">
      <c r="C4845"/>
    </row>
    <row r="4846" spans="3:3">
      <c r="C4846"/>
    </row>
    <row r="4847" spans="3:3">
      <c r="C4847"/>
    </row>
    <row r="4848" spans="3:3">
      <c r="C4848"/>
    </row>
    <row r="4849" spans="3:3">
      <c r="C4849"/>
    </row>
  </sheetData>
  <mergeCells count="5">
    <mergeCell ref="P9:Q9"/>
    <mergeCell ref="P11:Q11"/>
    <mergeCell ref="P7:Q7"/>
    <mergeCell ref="W7:Z7"/>
    <mergeCell ref="W8:Z8"/>
  </mergeCells>
  <phoneticPr fontId="0" type="noConversion"/>
  <printOptions horizontalCentered="1"/>
  <pageMargins left="0.75" right="0.75" top="1" bottom="1" header="0.5" footer="0.5"/>
  <pageSetup scale="76" orientation="portrait" r:id="rId2"/>
  <headerFooter alignWithMargins="0"/>
  <colBreaks count="2" manualBreakCount="2">
    <brk id="13" max="28" man="1"/>
    <brk id="20" max="28" man="1"/>
  </colBreaks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77">
    <tabColor rgb="FF92D050"/>
  </sheetPr>
  <dimension ref="A1:BP115"/>
  <sheetViews>
    <sheetView zoomScale="85" zoomScaleNormal="85" zoomScaleSheetLayoutView="145" workbookViewId="0">
      <selection activeCell="O29" sqref="O29"/>
    </sheetView>
  </sheetViews>
  <sheetFormatPr defaultColWidth="9.140625" defaultRowHeight="12.75"/>
  <cols>
    <col min="1" max="1" width="4.140625" customWidth="1"/>
    <col min="2" max="2" width="14.7109375" bestFit="1" customWidth="1"/>
    <col min="3" max="3" width="39.140625" bestFit="1" customWidth="1"/>
    <col min="4" max="4" width="20.5703125" customWidth="1"/>
    <col min="5" max="5" width="2.85546875" hidden="1" customWidth="1"/>
    <col min="6" max="6" width="14.5703125" hidden="1" customWidth="1"/>
    <col min="7" max="8" width="3.7109375" hidden="1" customWidth="1"/>
    <col min="9" max="9" width="3.7109375" customWidth="1"/>
    <col min="10" max="10" width="3" bestFit="1" customWidth="1"/>
    <col min="11" max="11" width="10" style="63" customWidth="1"/>
    <col min="12" max="12" width="2.85546875" style="63" customWidth="1"/>
    <col min="13" max="13" width="35.7109375" style="63" bestFit="1" customWidth="1"/>
    <col min="14" max="14" width="13.42578125" style="63" bestFit="1" customWidth="1"/>
    <col min="15" max="15" width="15.28515625" style="63" customWidth="1"/>
    <col min="16" max="16" width="15.42578125" style="63" customWidth="1"/>
    <col min="17" max="17" width="11.7109375" style="63" customWidth="1"/>
    <col min="18" max="18" width="15.28515625" style="63" customWidth="1"/>
    <col min="19" max="19" width="3.42578125" style="63" customWidth="1"/>
    <col min="20" max="20" width="5.7109375" style="63" customWidth="1"/>
    <col min="21" max="21" width="31" style="63" customWidth="1"/>
    <col min="22" max="22" width="27.28515625" style="63" customWidth="1"/>
    <col min="23" max="23" width="14.7109375" style="63" customWidth="1"/>
    <col min="24" max="24" width="12.85546875" customWidth="1"/>
    <col min="26" max="26" width="5.7109375" style="63" customWidth="1"/>
    <col min="27" max="27" width="37" style="63" customWidth="1"/>
    <col min="28" max="28" width="27.28515625" style="63" customWidth="1"/>
    <col min="29" max="29" width="14.7109375" style="63" customWidth="1"/>
    <col min="30" max="30" width="13.28515625" style="63" customWidth="1"/>
    <col min="31" max="31" width="11.140625" style="63" customWidth="1"/>
    <col min="32" max="32" width="7.28515625" style="63" customWidth="1"/>
    <col min="33" max="33" width="27.42578125" style="63" customWidth="1"/>
    <col min="34" max="37" width="11.7109375" style="63" customWidth="1"/>
    <col min="39" max="39" width="8" style="1086" bestFit="1" customWidth="1"/>
    <col min="40" max="40" width="13" style="1086" bestFit="1" customWidth="1"/>
    <col min="41" max="41" width="8" style="1086" bestFit="1" customWidth="1"/>
    <col min="42" max="43" width="14" style="1086" bestFit="1" customWidth="1"/>
    <col min="44" max="44" width="27" style="1086" bestFit="1" customWidth="1"/>
    <col min="45" max="45" width="17" style="1086" bestFit="1" customWidth="1"/>
    <col min="46" max="46" width="13" style="1086" bestFit="1" customWidth="1"/>
    <col min="47" max="47" width="25" style="1086" bestFit="1" customWidth="1"/>
    <col min="48" max="48" width="18" style="1086" bestFit="1" customWidth="1"/>
    <col min="49" max="49" width="24" style="1086" bestFit="1" customWidth="1"/>
    <col min="50" max="50" width="31" style="1086" bestFit="1" customWidth="1"/>
    <col min="51" max="51" width="22" style="1086" bestFit="1" customWidth="1"/>
    <col min="52" max="52" width="18" style="1086" bestFit="1" customWidth="1"/>
    <col min="53" max="53" width="11" style="1086" bestFit="1" customWidth="1"/>
    <col min="54" max="54" width="9" style="1086" bestFit="1" customWidth="1"/>
    <col min="55" max="55" width="11" style="1086" bestFit="1" customWidth="1"/>
    <col min="56" max="56" width="14" style="1086" bestFit="1" customWidth="1"/>
    <col min="57" max="57" width="15" style="1086" bestFit="1" customWidth="1"/>
    <col min="58" max="59" width="10" style="1086" bestFit="1" customWidth="1"/>
    <col min="60" max="60" width="13" style="1086" bestFit="1" customWidth="1"/>
    <col min="61" max="61" width="23" style="1086" bestFit="1" customWidth="1"/>
    <col min="62" max="62" width="28" style="1086" bestFit="1" customWidth="1"/>
    <col min="63" max="63" width="42" style="1086" bestFit="1" customWidth="1"/>
    <col min="64" max="64" width="14" style="1086" bestFit="1" customWidth="1"/>
    <col min="65" max="65" width="9" style="1086" bestFit="1" customWidth="1"/>
    <col min="66" max="68" width="9.140625" style="1086"/>
  </cols>
  <sheetData>
    <row r="1" spans="1:68" ht="38.25">
      <c r="B1" s="211" t="s">
        <v>5</v>
      </c>
      <c r="K1" s="211" t="s">
        <v>5</v>
      </c>
      <c r="T1" s="211" t="s">
        <v>5</v>
      </c>
      <c r="W1" s="64"/>
      <c r="Z1" s="26" t="str">
        <f>K1</f>
        <v>Advertising</v>
      </c>
      <c r="AC1" s="64"/>
      <c r="AF1" s="12" t="str">
        <f>'[30]Control Panel'!$B$2</f>
        <v>Utah - Dec 2017 Adjusted Avg Results</v>
      </c>
      <c r="AI1" s="64"/>
      <c r="AJ1" s="64"/>
      <c r="AK1" s="64"/>
      <c r="AP1" s="1087" t="s">
        <v>1293</v>
      </c>
      <c r="AQ1" s="1087" t="s">
        <v>1294</v>
      </c>
      <c r="AR1" s="1087" t="s">
        <v>98</v>
      </c>
      <c r="AS1" s="1087" t="s">
        <v>1095</v>
      </c>
      <c r="AT1" s="1087" t="s">
        <v>1295</v>
      </c>
      <c r="AU1" s="1087" t="s">
        <v>776</v>
      </c>
      <c r="AV1" s="1087" t="s">
        <v>1296</v>
      </c>
      <c r="AW1" s="1087" t="s">
        <v>1297</v>
      </c>
      <c r="AX1" s="1087" t="s">
        <v>1298</v>
      </c>
      <c r="AY1" s="1087" t="s">
        <v>1299</v>
      </c>
      <c r="AZ1" s="1087" t="s">
        <v>1300</v>
      </c>
      <c r="BA1" s="1087" t="s">
        <v>1301</v>
      </c>
      <c r="BB1" s="1087" t="s">
        <v>1302</v>
      </c>
      <c r="BC1" s="1087" t="s">
        <v>1303</v>
      </c>
      <c r="BD1" s="1088" t="s">
        <v>1304</v>
      </c>
      <c r="BE1" s="1088" t="s">
        <v>1305</v>
      </c>
      <c r="BF1" s="1088" t="s">
        <v>1306</v>
      </c>
      <c r="BG1" s="1088" t="s">
        <v>1307</v>
      </c>
      <c r="BH1" s="1087" t="s">
        <v>1308</v>
      </c>
      <c r="BI1" s="1088" t="s">
        <v>1309</v>
      </c>
      <c r="BJ1" s="1087" t="s">
        <v>1310</v>
      </c>
      <c r="BK1" s="1088" t="s">
        <v>1311</v>
      </c>
      <c r="BL1" s="1087" t="s">
        <v>1312</v>
      </c>
      <c r="BM1" s="1087" t="s">
        <v>1313</v>
      </c>
      <c r="BN1" s="1087" t="s">
        <v>1314</v>
      </c>
      <c r="BO1" s="1088" t="s">
        <v>1315</v>
      </c>
      <c r="BP1" s="1087" t="s">
        <v>1316</v>
      </c>
    </row>
    <row r="2" spans="1:68">
      <c r="B2" s="211" t="str">
        <f>'Control Panel'!$B$1</f>
        <v>Dominion Energy</v>
      </c>
      <c r="K2" s="211" t="str">
        <f>'Control Panel'!$B$1</f>
        <v>Dominion Energy</v>
      </c>
      <c r="T2" s="211" t="str">
        <f>'Control Panel'!$B$1</f>
        <v>Dominion Energy</v>
      </c>
      <c r="W2" s="65"/>
      <c r="Z2" s="26" t="str">
        <f>K2</f>
        <v>Dominion Energy</v>
      </c>
      <c r="AC2" s="65"/>
      <c r="AF2" s="12">
        <f>Z4</f>
        <v>0</v>
      </c>
      <c r="AI2" s="65"/>
      <c r="AJ2" s="65"/>
      <c r="AK2" s="65"/>
      <c r="AP2" s="1086" t="s">
        <v>1317</v>
      </c>
      <c r="AQ2" s="1086" t="s">
        <v>1318</v>
      </c>
      <c r="AR2" s="1086" t="s">
        <v>1319</v>
      </c>
      <c r="AS2" s="1086" t="s">
        <v>1320</v>
      </c>
      <c r="AT2" s="1086" t="s">
        <v>1321</v>
      </c>
      <c r="AU2" s="1086" t="s">
        <v>1322</v>
      </c>
      <c r="AV2" s="1086" t="s">
        <v>1323</v>
      </c>
      <c r="AW2" s="1086" t="s">
        <v>1184</v>
      </c>
      <c r="AX2" s="1086" t="s">
        <v>5</v>
      </c>
      <c r="AY2" s="1086" t="s">
        <v>1183</v>
      </c>
      <c r="AZ2" s="1086" t="s">
        <v>1324</v>
      </c>
      <c r="BA2" s="1086" t="s">
        <v>1325</v>
      </c>
      <c r="BB2" s="1086" t="s">
        <v>862</v>
      </c>
      <c r="BC2" s="1089">
        <v>1976.24</v>
      </c>
      <c r="BD2" s="1086" t="s">
        <v>1326</v>
      </c>
      <c r="BE2" s="1086" t="s">
        <v>862</v>
      </c>
      <c r="BF2" s="1086" t="s">
        <v>1327</v>
      </c>
      <c r="BG2" s="1086" t="s">
        <v>862</v>
      </c>
      <c r="BH2" s="1086" t="s">
        <v>1328</v>
      </c>
      <c r="BI2" s="1086" t="s">
        <v>1329</v>
      </c>
      <c r="BJ2" s="1086" t="s">
        <v>1330</v>
      </c>
      <c r="BK2" s="1086" t="s">
        <v>862</v>
      </c>
      <c r="BL2" s="1086" t="s">
        <v>862</v>
      </c>
      <c r="BM2" s="1086" t="s">
        <v>862</v>
      </c>
      <c r="BN2" s="1086" t="s">
        <v>862</v>
      </c>
      <c r="BO2" s="1086" t="s">
        <v>1331</v>
      </c>
      <c r="BP2" s="1086" t="s">
        <v>862</v>
      </c>
    </row>
    <row r="3" spans="1:68">
      <c r="B3" s="211" t="str">
        <f>'Control Panel'!$B$2</f>
        <v>Utah - June 2023 Adjusted Avg Results</v>
      </c>
      <c r="K3" s="211" t="str">
        <f>'Control Panel'!$B$2</f>
        <v>Utah - June 2023 Adjusted Avg Results</v>
      </c>
      <c r="T3" s="211" t="str">
        <f>'Control Panel'!$B$2</f>
        <v>Utah - June 2023 Adjusted Avg Results</v>
      </c>
      <c r="W3" s="85"/>
      <c r="Z3" s="26" t="str">
        <f>K3</f>
        <v>Utah - June 2023 Adjusted Avg Results</v>
      </c>
      <c r="AC3" s="85"/>
      <c r="AF3" s="12"/>
      <c r="AI3" s="85"/>
      <c r="AJ3" s="85"/>
      <c r="AK3" s="85"/>
      <c r="AP3" s="1086" t="s">
        <v>1317</v>
      </c>
      <c r="AQ3" s="1086" t="s">
        <v>1318</v>
      </c>
      <c r="AR3" s="1086" t="s">
        <v>1319</v>
      </c>
      <c r="AS3" s="1086" t="s">
        <v>1320</v>
      </c>
      <c r="AT3" s="1086" t="s">
        <v>1321</v>
      </c>
      <c r="AU3" s="1086" t="s">
        <v>1322</v>
      </c>
      <c r="AV3" s="1086" t="s">
        <v>1323</v>
      </c>
      <c r="AW3" s="1086" t="s">
        <v>1184</v>
      </c>
      <c r="AX3" s="1086" t="s">
        <v>5</v>
      </c>
      <c r="AY3" s="1086" t="s">
        <v>1183</v>
      </c>
      <c r="AZ3" s="1086" t="s">
        <v>1332</v>
      </c>
      <c r="BA3" s="1086" t="s">
        <v>1325</v>
      </c>
      <c r="BB3" s="1086" t="s">
        <v>862</v>
      </c>
      <c r="BC3" s="1089">
        <v>36175.160000000003</v>
      </c>
      <c r="BD3" s="1086" t="s">
        <v>1326</v>
      </c>
      <c r="BE3" s="1086" t="s">
        <v>862</v>
      </c>
      <c r="BF3" s="1086" t="s">
        <v>1327</v>
      </c>
      <c r="BG3" s="1086" t="s">
        <v>862</v>
      </c>
      <c r="BH3" s="1086" t="s">
        <v>1328</v>
      </c>
      <c r="BI3" s="1086" t="s">
        <v>1329</v>
      </c>
      <c r="BJ3" s="1086" t="s">
        <v>1330</v>
      </c>
      <c r="BK3" s="1086" t="s">
        <v>862</v>
      </c>
      <c r="BL3" s="1086" t="s">
        <v>862</v>
      </c>
      <c r="BM3" s="1086" t="s">
        <v>862</v>
      </c>
      <c r="BN3" s="1086" t="s">
        <v>862</v>
      </c>
      <c r="BO3" s="1086" t="s">
        <v>1331</v>
      </c>
      <c r="BP3" s="1086" t="s">
        <v>862</v>
      </c>
    </row>
    <row r="4" spans="1:68">
      <c r="B4" s="211" t="str">
        <f>'Control Panel'!$B$3</f>
        <v>12 Months Ended : Jun-2023</v>
      </c>
      <c r="K4" s="211" t="str">
        <f>'Control Panel'!$B$3</f>
        <v>12 Months Ended : Jun-2023</v>
      </c>
      <c r="T4" s="211" t="str">
        <f>'Control Panel'!$B$3</f>
        <v>12 Months Ended : Jun-2023</v>
      </c>
      <c r="Z4" s="26"/>
      <c r="AP4" s="1086" t="s">
        <v>1317</v>
      </c>
      <c r="AQ4" s="1086" t="s">
        <v>1318</v>
      </c>
      <c r="AR4" s="1086" t="s">
        <v>1319</v>
      </c>
      <c r="AS4" s="1086" t="s">
        <v>1320</v>
      </c>
      <c r="AT4" s="1086" t="s">
        <v>1321</v>
      </c>
      <c r="AU4" s="1086" t="s">
        <v>1322</v>
      </c>
      <c r="AV4" s="1086" t="s">
        <v>1333</v>
      </c>
      <c r="AW4" s="1086" t="s">
        <v>1184</v>
      </c>
      <c r="AX4" s="1086" t="s">
        <v>5</v>
      </c>
      <c r="AY4" s="1086" t="s">
        <v>1183</v>
      </c>
      <c r="AZ4" s="1086" t="s">
        <v>1185</v>
      </c>
      <c r="BA4" s="1086" t="s">
        <v>1334</v>
      </c>
      <c r="BB4" s="1086" t="s">
        <v>862</v>
      </c>
      <c r="BC4" s="1089">
        <v>7995.4</v>
      </c>
      <c r="BD4" s="1086" t="s">
        <v>1326</v>
      </c>
      <c r="BE4" s="1086" t="s">
        <v>862</v>
      </c>
      <c r="BF4" s="1086" t="s">
        <v>1335</v>
      </c>
      <c r="BG4" s="1086" t="s">
        <v>862</v>
      </c>
      <c r="BH4" s="1086" t="s">
        <v>1328</v>
      </c>
      <c r="BI4" s="1086" t="s">
        <v>1329</v>
      </c>
      <c r="BJ4" s="1086" t="s">
        <v>1330</v>
      </c>
      <c r="BK4" s="1086" t="s">
        <v>862</v>
      </c>
      <c r="BL4" s="1086" t="s">
        <v>862</v>
      </c>
      <c r="BM4" s="1086" t="s">
        <v>862</v>
      </c>
      <c r="BN4" s="1086" t="s">
        <v>862</v>
      </c>
      <c r="BO4" s="1086" t="s">
        <v>1331</v>
      </c>
      <c r="BP4" s="1086" t="s">
        <v>862</v>
      </c>
    </row>
    <row r="5" spans="1:68">
      <c r="K5" s="45"/>
      <c r="T5" s="26" t="s">
        <v>418</v>
      </c>
      <c r="Z5" s="26" t="s">
        <v>116</v>
      </c>
      <c r="AP5" s="1086" t="s">
        <v>1317</v>
      </c>
      <c r="AQ5" s="1086" t="s">
        <v>1318</v>
      </c>
      <c r="AR5" s="1086" t="s">
        <v>1319</v>
      </c>
      <c r="AS5" s="1086" t="s">
        <v>1320</v>
      </c>
      <c r="AT5" s="1086" t="s">
        <v>1321</v>
      </c>
      <c r="AU5" s="1086" t="s">
        <v>1322</v>
      </c>
      <c r="AV5" s="1086" t="s">
        <v>1336</v>
      </c>
      <c r="AW5" s="1086" t="s">
        <v>1184</v>
      </c>
      <c r="AX5" s="1086" t="s">
        <v>5</v>
      </c>
      <c r="AY5" s="1086" t="s">
        <v>1183</v>
      </c>
      <c r="AZ5" s="1086" t="s">
        <v>1185</v>
      </c>
      <c r="BA5" s="1086" t="s">
        <v>1334</v>
      </c>
      <c r="BB5" s="1086" t="s">
        <v>862</v>
      </c>
      <c r="BC5" s="1089">
        <v>1046.4000000000001</v>
      </c>
      <c r="BD5" s="1086" t="s">
        <v>1326</v>
      </c>
      <c r="BE5" s="1086" t="s">
        <v>862</v>
      </c>
      <c r="BF5" s="1086" t="s">
        <v>1337</v>
      </c>
      <c r="BG5" s="1086" t="s">
        <v>862</v>
      </c>
      <c r="BH5" s="1086" t="s">
        <v>1328</v>
      </c>
      <c r="BI5" s="1086" t="s">
        <v>1329</v>
      </c>
      <c r="BJ5" s="1086" t="s">
        <v>1330</v>
      </c>
      <c r="BK5" s="1086" t="s">
        <v>862</v>
      </c>
      <c r="BL5" s="1086" t="s">
        <v>862</v>
      </c>
      <c r="BM5" s="1086" t="s">
        <v>862</v>
      </c>
      <c r="BN5" s="1086" t="s">
        <v>862</v>
      </c>
      <c r="BO5" s="1086" t="s">
        <v>1331</v>
      </c>
      <c r="BP5" s="1086" t="s">
        <v>862</v>
      </c>
    </row>
    <row r="6" spans="1:68">
      <c r="AD6" s="87"/>
      <c r="AE6" s="87"/>
      <c r="AF6" s="87" t="s">
        <v>160</v>
      </c>
      <c r="AG6" s="87"/>
      <c r="AH6" s="87"/>
      <c r="AI6" s="87"/>
      <c r="AJ6" s="87"/>
      <c r="AK6" s="87"/>
      <c r="AP6" s="1086" t="s">
        <v>1317</v>
      </c>
      <c r="AQ6" s="1086" t="s">
        <v>1318</v>
      </c>
      <c r="AR6" s="1086" t="s">
        <v>1319</v>
      </c>
      <c r="AS6" s="1086" t="s">
        <v>1320</v>
      </c>
      <c r="AT6" s="1086" t="s">
        <v>1321</v>
      </c>
      <c r="AU6" s="1086" t="s">
        <v>1322</v>
      </c>
      <c r="AV6" s="1086" t="s">
        <v>1338</v>
      </c>
      <c r="AW6" s="1086" t="s">
        <v>1184</v>
      </c>
      <c r="AX6" s="1086" t="s">
        <v>5</v>
      </c>
      <c r="AY6" s="1086" t="s">
        <v>1183</v>
      </c>
      <c r="AZ6" s="1086" t="s">
        <v>1185</v>
      </c>
      <c r="BA6" s="1086" t="s">
        <v>1334</v>
      </c>
      <c r="BB6" s="1086" t="s">
        <v>862</v>
      </c>
      <c r="BC6" s="1089">
        <v>1524</v>
      </c>
      <c r="BD6" s="1086" t="s">
        <v>1326</v>
      </c>
      <c r="BE6" s="1086" t="s">
        <v>862</v>
      </c>
      <c r="BF6" s="1086" t="s">
        <v>1339</v>
      </c>
      <c r="BG6" s="1086" t="s">
        <v>862</v>
      </c>
      <c r="BH6" s="1086" t="s">
        <v>1328</v>
      </c>
      <c r="BI6" s="1086" t="s">
        <v>1329</v>
      </c>
      <c r="BJ6" s="1086" t="s">
        <v>1330</v>
      </c>
      <c r="BK6" s="1086" t="s">
        <v>862</v>
      </c>
      <c r="BL6" s="1086" t="s">
        <v>862</v>
      </c>
      <c r="BM6" s="1086" t="s">
        <v>862</v>
      </c>
      <c r="BN6" s="1086" t="s">
        <v>862</v>
      </c>
      <c r="BO6" s="1086" t="s">
        <v>1331</v>
      </c>
      <c r="BP6" s="1086" t="s">
        <v>862</v>
      </c>
    </row>
    <row r="7" spans="1:68">
      <c r="U7" s="1122" t="s">
        <v>185</v>
      </c>
      <c r="V7" s="1122"/>
      <c r="W7" s="1122"/>
      <c r="X7" s="1122"/>
      <c r="Z7" s="1122" t="s">
        <v>104</v>
      </c>
      <c r="AA7" s="1122"/>
      <c r="AB7" s="1122"/>
      <c r="AC7" s="1122"/>
      <c r="AD7" s="87"/>
      <c r="AE7" s="87"/>
      <c r="AF7" s="87"/>
      <c r="AH7" s="87"/>
      <c r="AI7" s="87"/>
      <c r="AJ7" s="87"/>
      <c r="AK7" s="87"/>
      <c r="AP7" s="1086" t="s">
        <v>1317</v>
      </c>
      <c r="AQ7" s="1086" t="s">
        <v>1318</v>
      </c>
      <c r="AR7" s="1086" t="s">
        <v>1319</v>
      </c>
      <c r="AS7" s="1086" t="s">
        <v>1320</v>
      </c>
      <c r="AT7" s="1086" t="s">
        <v>1321</v>
      </c>
      <c r="AU7" s="1086" t="s">
        <v>1322</v>
      </c>
      <c r="AV7" s="1086" t="s">
        <v>1340</v>
      </c>
      <c r="AW7" s="1086" t="s">
        <v>1184</v>
      </c>
      <c r="AX7" s="1086" t="s">
        <v>5</v>
      </c>
      <c r="AY7" s="1086" t="s">
        <v>1183</v>
      </c>
      <c r="AZ7" s="1086" t="s">
        <v>1332</v>
      </c>
      <c r="BA7" s="1086" t="s">
        <v>1325</v>
      </c>
      <c r="BB7" s="1086" t="s">
        <v>862</v>
      </c>
      <c r="BC7" s="1089">
        <v>573.66</v>
      </c>
      <c r="BD7" s="1086" t="s">
        <v>1326</v>
      </c>
      <c r="BE7" s="1086" t="s">
        <v>862</v>
      </c>
      <c r="BF7" s="1086" t="s">
        <v>1341</v>
      </c>
      <c r="BG7" s="1086" t="s">
        <v>862</v>
      </c>
      <c r="BH7" s="1086" t="s">
        <v>1328</v>
      </c>
      <c r="BI7" s="1086" t="s">
        <v>1329</v>
      </c>
      <c r="BJ7" s="1086" t="s">
        <v>1330</v>
      </c>
      <c r="BK7" s="1086" t="s">
        <v>862</v>
      </c>
      <c r="BL7" s="1086" t="s">
        <v>862</v>
      </c>
      <c r="BM7" s="1086" t="s">
        <v>862</v>
      </c>
      <c r="BN7" s="1086" t="s">
        <v>862</v>
      </c>
      <c r="BO7" s="1086" t="s">
        <v>1331</v>
      </c>
      <c r="BP7" s="1086" t="s">
        <v>862</v>
      </c>
    </row>
    <row r="8" spans="1:68">
      <c r="L8" s="855"/>
      <c r="M8" s="70" t="s">
        <v>71</v>
      </c>
      <c r="T8" s="87"/>
      <c r="U8" s="87"/>
      <c r="V8" s="87"/>
      <c r="W8" s="144"/>
      <c r="Z8" s="87"/>
      <c r="AA8" s="87"/>
      <c r="AB8" s="87"/>
      <c r="AC8" s="144"/>
      <c r="AD8" s="87"/>
      <c r="AE8" s="87"/>
      <c r="AF8" s="87"/>
      <c r="AH8" s="87"/>
      <c r="AI8" s="144"/>
      <c r="AJ8" s="144"/>
      <c r="AK8" s="144"/>
      <c r="AP8" s="1086" t="s">
        <v>1317</v>
      </c>
      <c r="AQ8" s="1086" t="s">
        <v>1318</v>
      </c>
      <c r="AR8" s="1086" t="s">
        <v>1319</v>
      </c>
      <c r="AS8" s="1086" t="s">
        <v>1320</v>
      </c>
      <c r="AT8" s="1086" t="s">
        <v>1321</v>
      </c>
      <c r="AU8" s="1086" t="s">
        <v>1322</v>
      </c>
      <c r="AV8" s="1086" t="s">
        <v>1340</v>
      </c>
      <c r="AW8" s="1086" t="s">
        <v>1184</v>
      </c>
      <c r="AX8" s="1086" t="s">
        <v>5</v>
      </c>
      <c r="AY8" s="1086" t="s">
        <v>1183</v>
      </c>
      <c r="AZ8" s="1086" t="s">
        <v>1324</v>
      </c>
      <c r="BA8" s="1086" t="s">
        <v>1325</v>
      </c>
      <c r="BB8" s="1086" t="s">
        <v>862</v>
      </c>
      <c r="BC8" s="1089">
        <v>31.34</v>
      </c>
      <c r="BD8" s="1086" t="s">
        <v>1326</v>
      </c>
      <c r="BE8" s="1086" t="s">
        <v>862</v>
      </c>
      <c r="BF8" s="1086" t="s">
        <v>1341</v>
      </c>
      <c r="BG8" s="1086" t="s">
        <v>862</v>
      </c>
      <c r="BH8" s="1086" t="s">
        <v>1328</v>
      </c>
      <c r="BI8" s="1086" t="s">
        <v>1329</v>
      </c>
      <c r="BJ8" s="1086" t="s">
        <v>1330</v>
      </c>
      <c r="BK8" s="1086" t="s">
        <v>862</v>
      </c>
      <c r="BL8" s="1086" t="s">
        <v>862</v>
      </c>
      <c r="BM8" s="1086" t="s">
        <v>862</v>
      </c>
      <c r="BN8" s="1086" t="s">
        <v>862</v>
      </c>
      <c r="BO8" s="1086" t="s">
        <v>1331</v>
      </c>
      <c r="BP8" s="1086" t="s">
        <v>862</v>
      </c>
    </row>
    <row r="9" spans="1:68">
      <c r="F9" t="s">
        <v>712</v>
      </c>
      <c r="L9" s="855"/>
      <c r="M9" s="66"/>
      <c r="P9" s="89"/>
      <c r="Q9" s="58"/>
      <c r="T9" s="87"/>
      <c r="U9" s="87"/>
      <c r="V9" s="87"/>
      <c r="W9" s="144"/>
      <c r="Z9" s="129" t="s">
        <v>479</v>
      </c>
      <c r="AA9" s="32"/>
      <c r="AB9" s="699">
        <f>O41</f>
        <v>0</v>
      </c>
      <c r="AC9" s="32"/>
      <c r="AD9" s="32"/>
      <c r="AE9" s="32"/>
      <c r="AF9" s="70" t="s">
        <v>1064</v>
      </c>
      <c r="AG9" s="32"/>
      <c r="AH9" s="699">
        <v>0</v>
      </c>
      <c r="AI9" s="32"/>
      <c r="AJ9" s="32"/>
      <c r="AK9" s="32"/>
      <c r="AP9" s="1086" t="s">
        <v>1317</v>
      </c>
      <c r="AQ9" s="1086" t="s">
        <v>1318</v>
      </c>
      <c r="AR9" s="1086" t="s">
        <v>1319</v>
      </c>
      <c r="AS9" s="1086" t="s">
        <v>1320</v>
      </c>
      <c r="AT9" s="1086" t="s">
        <v>1321</v>
      </c>
      <c r="AU9" s="1086" t="s">
        <v>1322</v>
      </c>
      <c r="AV9" s="1086" t="s">
        <v>1342</v>
      </c>
      <c r="AW9" s="1086" t="s">
        <v>1184</v>
      </c>
      <c r="AX9" s="1086" t="s">
        <v>5</v>
      </c>
      <c r="AY9" s="1086" t="s">
        <v>1183</v>
      </c>
      <c r="AZ9" s="1086" t="s">
        <v>1324</v>
      </c>
      <c r="BA9" s="1086" t="s">
        <v>1325</v>
      </c>
      <c r="BB9" s="1086" t="s">
        <v>862</v>
      </c>
      <c r="BC9" s="1089">
        <v>979.45</v>
      </c>
      <c r="BD9" s="1086" t="s">
        <v>1326</v>
      </c>
      <c r="BE9" s="1086" t="s">
        <v>862</v>
      </c>
      <c r="BF9" s="1086" t="s">
        <v>1343</v>
      </c>
      <c r="BG9" s="1086" t="s">
        <v>862</v>
      </c>
      <c r="BH9" s="1086" t="s">
        <v>1328</v>
      </c>
      <c r="BI9" s="1086" t="s">
        <v>1329</v>
      </c>
      <c r="BJ9" s="1086" t="s">
        <v>1330</v>
      </c>
      <c r="BK9" s="1086" t="s">
        <v>862</v>
      </c>
      <c r="BL9" s="1086" t="s">
        <v>862</v>
      </c>
      <c r="BM9" s="1086" t="s">
        <v>862</v>
      </c>
      <c r="BN9" s="1086" t="s">
        <v>862</v>
      </c>
      <c r="BO9" s="1086" t="s">
        <v>1331</v>
      </c>
      <c r="BP9" s="1086" t="s">
        <v>862</v>
      </c>
    </row>
    <row r="10" spans="1:68">
      <c r="D10" s="306" t="s">
        <v>1046</v>
      </c>
      <c r="E10" s="665"/>
      <c r="F10" s="306" t="str">
        <f>+'Control Panel'!F36</f>
        <v xml:space="preserve"> Advertising </v>
      </c>
      <c r="L10" s="87"/>
      <c r="M10" s="33" t="s">
        <v>732</v>
      </c>
      <c r="N10" s="2" t="s">
        <v>733</v>
      </c>
      <c r="O10" s="33" t="s">
        <v>734</v>
      </c>
      <c r="P10" s="33" t="s">
        <v>735</v>
      </c>
      <c r="Q10" s="2" t="s">
        <v>720</v>
      </c>
      <c r="R10" s="2" t="s">
        <v>721</v>
      </c>
      <c r="S10" s="2"/>
      <c r="T10" s="87"/>
      <c r="U10" s="33" t="s">
        <v>732</v>
      </c>
      <c r="V10" s="2" t="s">
        <v>733</v>
      </c>
      <c r="W10" s="33" t="s">
        <v>734</v>
      </c>
      <c r="X10" s="33" t="s">
        <v>735</v>
      </c>
      <c r="Z10" s="87"/>
      <c r="AA10" s="87"/>
      <c r="AB10" s="87"/>
      <c r="AC10" s="144"/>
      <c r="AD10" s="87"/>
      <c r="AE10" s="87"/>
      <c r="AF10" s="87"/>
      <c r="AG10" s="87"/>
      <c r="AH10" s="87"/>
      <c r="AI10" s="144"/>
      <c r="AJ10" s="144"/>
      <c r="AK10" s="144"/>
      <c r="AP10" s="1086" t="s">
        <v>1317</v>
      </c>
      <c r="AQ10" s="1086" t="s">
        <v>1318</v>
      </c>
      <c r="AR10" s="1086" t="s">
        <v>1319</v>
      </c>
      <c r="AS10" s="1086" t="s">
        <v>1320</v>
      </c>
      <c r="AT10" s="1086" t="s">
        <v>1321</v>
      </c>
      <c r="AU10" s="1086" t="s">
        <v>1322</v>
      </c>
      <c r="AV10" s="1086" t="s">
        <v>1342</v>
      </c>
      <c r="AW10" s="1086" t="s">
        <v>1184</v>
      </c>
      <c r="AX10" s="1086" t="s">
        <v>5</v>
      </c>
      <c r="AY10" s="1086" t="s">
        <v>1183</v>
      </c>
      <c r="AZ10" s="1086" t="s">
        <v>1332</v>
      </c>
      <c r="BA10" s="1086" t="s">
        <v>1325</v>
      </c>
      <c r="BB10" s="1086" t="s">
        <v>862</v>
      </c>
      <c r="BC10" s="1089">
        <v>17928.8</v>
      </c>
      <c r="BD10" s="1086" t="s">
        <v>1326</v>
      </c>
      <c r="BE10" s="1086" t="s">
        <v>862</v>
      </c>
      <c r="BF10" s="1086" t="s">
        <v>1343</v>
      </c>
      <c r="BG10" s="1086" t="s">
        <v>862</v>
      </c>
      <c r="BH10" s="1086" t="s">
        <v>1328</v>
      </c>
      <c r="BI10" s="1086" t="s">
        <v>1329</v>
      </c>
      <c r="BJ10" s="1086" t="s">
        <v>1330</v>
      </c>
      <c r="BK10" s="1086" t="s">
        <v>862</v>
      </c>
      <c r="BL10" s="1086" t="s">
        <v>862</v>
      </c>
      <c r="BM10" s="1086" t="s">
        <v>862</v>
      </c>
      <c r="BN10" s="1086" t="s">
        <v>862</v>
      </c>
      <c r="BO10" s="1086" t="s">
        <v>1331</v>
      </c>
      <c r="BP10" s="1086" t="s">
        <v>862</v>
      </c>
    </row>
    <row r="11" spans="1:68">
      <c r="D11" s="2"/>
      <c r="E11" s="2"/>
      <c r="F11" s="2"/>
      <c r="N11" s="33" t="s">
        <v>100</v>
      </c>
      <c r="S11" s="2"/>
      <c r="T11" s="855">
        <v>1</v>
      </c>
      <c r="U11" s="129" t="s">
        <v>1065</v>
      </c>
      <c r="W11" s="699">
        <v>0</v>
      </c>
      <c r="Z11" s="87"/>
      <c r="AA11" s="87"/>
      <c r="AB11" s="87"/>
      <c r="AC11" s="144"/>
      <c r="AD11" s="32"/>
      <c r="AE11" s="32"/>
      <c r="AF11" s="87"/>
      <c r="AG11" s="87"/>
      <c r="AH11" s="87"/>
      <c r="AI11" s="144"/>
      <c r="AJ11" s="144"/>
      <c r="AK11" s="144"/>
      <c r="AP11" s="1086" t="s">
        <v>1317</v>
      </c>
      <c r="AQ11" s="1086" t="s">
        <v>1318</v>
      </c>
      <c r="AR11" s="1086" t="s">
        <v>1319</v>
      </c>
      <c r="AS11" s="1086" t="s">
        <v>1320</v>
      </c>
      <c r="AT11" s="1086" t="s">
        <v>1321</v>
      </c>
      <c r="AU11" s="1086" t="s">
        <v>1322</v>
      </c>
      <c r="AV11" s="1086" t="s">
        <v>1344</v>
      </c>
      <c r="AW11" s="1086" t="s">
        <v>1184</v>
      </c>
      <c r="AX11" s="1086" t="s">
        <v>5</v>
      </c>
      <c r="AY11" s="1086" t="s">
        <v>1183</v>
      </c>
      <c r="AZ11" s="1086" t="s">
        <v>1324</v>
      </c>
      <c r="BA11" s="1086" t="s">
        <v>1325</v>
      </c>
      <c r="BB11" s="1086" t="s">
        <v>862</v>
      </c>
      <c r="BC11" s="1089">
        <v>-1976.24</v>
      </c>
      <c r="BD11" s="1086" t="s">
        <v>709</v>
      </c>
      <c r="BE11" s="1086" t="s">
        <v>862</v>
      </c>
      <c r="BF11" s="1086" t="s">
        <v>862</v>
      </c>
      <c r="BG11" s="1086" t="s">
        <v>862</v>
      </c>
      <c r="BH11" s="1086" t="s">
        <v>1328</v>
      </c>
      <c r="BI11" s="1086" t="s">
        <v>1345</v>
      </c>
      <c r="BJ11" s="1086" t="s">
        <v>1187</v>
      </c>
      <c r="BK11" s="1086" t="s">
        <v>862</v>
      </c>
      <c r="BL11" s="1086" t="s">
        <v>862</v>
      </c>
      <c r="BM11" s="1086" t="s">
        <v>862</v>
      </c>
      <c r="BN11" s="1086" t="s">
        <v>862</v>
      </c>
      <c r="BO11" s="1086" t="s">
        <v>1331</v>
      </c>
      <c r="BP11" s="1086" t="s">
        <v>862</v>
      </c>
    </row>
    <row r="12" spans="1:68">
      <c r="L12" s="855"/>
      <c r="M12" s="33"/>
      <c r="N12" s="33" t="s">
        <v>101</v>
      </c>
      <c r="O12" s="33" t="s">
        <v>705</v>
      </c>
      <c r="P12" s="33" t="s">
        <v>705</v>
      </c>
      <c r="Q12" s="33" t="s">
        <v>145</v>
      </c>
      <c r="R12" s="2" t="s">
        <v>450</v>
      </c>
      <c r="S12" s="33"/>
      <c r="T12" s="855">
        <f>T11+1</f>
        <v>2</v>
      </c>
      <c r="U12" s="87"/>
      <c r="V12" s="699"/>
      <c r="W12" s="699"/>
      <c r="X12" s="699"/>
      <c r="Y12" s="699"/>
      <c r="Z12" s="87" t="s">
        <v>1052</v>
      </c>
      <c r="AA12" s="87"/>
      <c r="AB12" s="33" t="s">
        <v>169</v>
      </c>
      <c r="AC12" s="87" t="s">
        <v>705</v>
      </c>
      <c r="AD12" s="87" t="s">
        <v>40</v>
      </c>
      <c r="AE12" s="32"/>
      <c r="AF12" s="87" t="s">
        <v>1052</v>
      </c>
      <c r="AG12" s="87"/>
      <c r="AH12" s="33" t="s">
        <v>169</v>
      </c>
      <c r="AI12" s="87" t="s">
        <v>705</v>
      </c>
      <c r="AJ12" s="87" t="s">
        <v>40</v>
      </c>
      <c r="AK12" s="30"/>
      <c r="AP12" s="1086" t="s">
        <v>1317</v>
      </c>
      <c r="AQ12" s="1086" t="s">
        <v>1318</v>
      </c>
      <c r="AR12" s="1086" t="s">
        <v>1319</v>
      </c>
      <c r="AS12" s="1086" t="s">
        <v>1320</v>
      </c>
      <c r="AT12" s="1086" t="s">
        <v>1321</v>
      </c>
      <c r="AU12" s="1086" t="s">
        <v>1322</v>
      </c>
      <c r="AV12" s="1086" t="s">
        <v>1344</v>
      </c>
      <c r="AW12" s="1086" t="s">
        <v>1184</v>
      </c>
      <c r="AX12" s="1086" t="s">
        <v>5</v>
      </c>
      <c r="AY12" s="1086" t="s">
        <v>1183</v>
      </c>
      <c r="AZ12" s="1086" t="s">
        <v>1332</v>
      </c>
      <c r="BA12" s="1086" t="s">
        <v>1325</v>
      </c>
      <c r="BB12" s="1086" t="s">
        <v>862</v>
      </c>
      <c r="BC12" s="1089">
        <v>-36175.160000000003</v>
      </c>
      <c r="BD12" s="1086" t="s">
        <v>709</v>
      </c>
      <c r="BE12" s="1086" t="s">
        <v>862</v>
      </c>
      <c r="BF12" s="1086" t="s">
        <v>862</v>
      </c>
      <c r="BG12" s="1086" t="s">
        <v>862</v>
      </c>
      <c r="BH12" s="1086" t="s">
        <v>1328</v>
      </c>
      <c r="BI12" s="1086" t="s">
        <v>1345</v>
      </c>
      <c r="BJ12" s="1086" t="s">
        <v>1187</v>
      </c>
      <c r="BK12" s="1086" t="s">
        <v>862</v>
      </c>
      <c r="BL12" s="1086" t="s">
        <v>862</v>
      </c>
      <c r="BM12" s="1086" t="s">
        <v>862</v>
      </c>
      <c r="BN12" s="1086" t="s">
        <v>862</v>
      </c>
      <c r="BO12" s="1086" t="s">
        <v>1331</v>
      </c>
      <c r="BP12" s="1086" t="s">
        <v>862</v>
      </c>
    </row>
    <row r="13" spans="1:68" ht="13.5" thickBot="1">
      <c r="B13" s="143" t="s">
        <v>6</v>
      </c>
      <c r="C13" s="99" t="s">
        <v>102</v>
      </c>
      <c r="D13" s="637"/>
      <c r="E13" s="99"/>
      <c r="F13" s="99"/>
      <c r="G13">
        <v>5</v>
      </c>
      <c r="K13" s="1018" t="s">
        <v>6</v>
      </c>
      <c r="L13" s="1019"/>
      <c r="M13" s="1020" t="s">
        <v>102</v>
      </c>
      <c r="N13" s="1020" t="s">
        <v>1082</v>
      </c>
      <c r="O13" s="1020" t="s">
        <v>1188</v>
      </c>
      <c r="P13" s="1020" t="s">
        <v>451</v>
      </c>
      <c r="Q13" s="1020" t="s">
        <v>161</v>
      </c>
      <c r="R13" s="1020" t="s">
        <v>613</v>
      </c>
      <c r="S13" s="33"/>
      <c r="T13" s="855">
        <f t="shared" ref="T13:T32" si="0">T12+1</f>
        <v>3</v>
      </c>
      <c r="U13" s="87"/>
      <c r="V13" s="87"/>
      <c r="W13" s="144"/>
      <c r="Z13" s="32"/>
      <c r="AA13" s="32" t="s">
        <v>136</v>
      </c>
      <c r="AB13" s="806" t="s">
        <v>137</v>
      </c>
      <c r="AC13" s="410" t="s">
        <v>613</v>
      </c>
      <c r="AD13" s="410" t="s">
        <v>613</v>
      </c>
      <c r="AE13" s="32"/>
      <c r="AF13" s="32"/>
      <c r="AG13" s="32" t="s">
        <v>136</v>
      </c>
      <c r="AH13" s="806" t="s">
        <v>137</v>
      </c>
      <c r="AI13" s="410" t="s">
        <v>613</v>
      </c>
      <c r="AJ13" s="410" t="s">
        <v>613</v>
      </c>
      <c r="AK13" s="30"/>
      <c r="AP13" s="1086" t="s">
        <v>1317</v>
      </c>
      <c r="AQ13" s="1086" t="s">
        <v>1318</v>
      </c>
      <c r="AR13" s="1086" t="s">
        <v>1319</v>
      </c>
      <c r="AS13" s="1086" t="s">
        <v>1320</v>
      </c>
      <c r="AT13" s="1086" t="s">
        <v>1321</v>
      </c>
      <c r="AU13" s="1086" t="s">
        <v>1322</v>
      </c>
      <c r="AV13" s="1086" t="s">
        <v>1346</v>
      </c>
      <c r="AW13" s="1086" t="s">
        <v>1347</v>
      </c>
      <c r="AX13" s="1086" t="s">
        <v>1348</v>
      </c>
      <c r="AY13" s="1086" t="s">
        <v>1183</v>
      </c>
      <c r="AZ13" s="1086" t="s">
        <v>1185</v>
      </c>
      <c r="BA13" s="1086" t="s">
        <v>1334</v>
      </c>
      <c r="BB13" s="1086" t="s">
        <v>862</v>
      </c>
      <c r="BC13" s="1089">
        <v>-10565.8</v>
      </c>
      <c r="BD13" s="1086" t="s">
        <v>709</v>
      </c>
      <c r="BE13" s="1086" t="s">
        <v>862</v>
      </c>
      <c r="BF13" s="1086" t="s">
        <v>862</v>
      </c>
      <c r="BG13" s="1086" t="s">
        <v>862</v>
      </c>
      <c r="BH13" s="1086" t="s">
        <v>1328</v>
      </c>
      <c r="BI13" s="1086" t="s">
        <v>1349</v>
      </c>
      <c r="BJ13" s="1086" t="s">
        <v>1350</v>
      </c>
      <c r="BK13" s="1086" t="s">
        <v>862</v>
      </c>
      <c r="BL13" s="1086" t="s">
        <v>862</v>
      </c>
      <c r="BM13" s="1086" t="s">
        <v>862</v>
      </c>
      <c r="BN13" s="1086" t="s">
        <v>862</v>
      </c>
      <c r="BO13" s="1086" t="s">
        <v>1331</v>
      </c>
      <c r="BP13" s="1086" t="s">
        <v>862</v>
      </c>
    </row>
    <row r="14" spans="1:68">
      <c r="A14" s="855">
        <v>1</v>
      </c>
      <c r="B14" s="63">
        <v>909003</v>
      </c>
      <c r="C14" s="63" t="str">
        <f>M14</f>
        <v>Promotional Advertising-Dealer- Fall Prep</v>
      </c>
      <c r="D14" s="74">
        <f>R14</f>
        <v>0</v>
      </c>
      <c r="F14" s="670">
        <f>HLOOKUP($F$10,Advertisingscenario,G13,FALSE)</f>
        <v>0</v>
      </c>
      <c r="G14">
        <v>6</v>
      </c>
      <c r="J14" s="855">
        <v>1</v>
      </c>
      <c r="K14" s="63">
        <v>909</v>
      </c>
      <c r="M14" s="63" t="s">
        <v>1192</v>
      </c>
      <c r="N14" s="89">
        <v>0</v>
      </c>
      <c r="O14" s="89">
        <v>0</v>
      </c>
      <c r="P14" s="89">
        <v>0</v>
      </c>
      <c r="Q14" s="89">
        <f>+P14+N14</f>
        <v>0</v>
      </c>
      <c r="R14" s="89">
        <f>N14</f>
        <v>0</v>
      </c>
      <c r="S14" s="32"/>
      <c r="T14" s="855">
        <f t="shared" si="0"/>
        <v>4</v>
      </c>
      <c r="U14" s="87"/>
      <c r="V14" s="33" t="s">
        <v>169</v>
      </c>
      <c r="W14" s="87" t="s">
        <v>705</v>
      </c>
      <c r="X14" s="87" t="s">
        <v>40</v>
      </c>
      <c r="Y14" s="30"/>
      <c r="Z14" s="32"/>
      <c r="AA14"/>
      <c r="AB14"/>
      <c r="AC14"/>
      <c r="AD14"/>
      <c r="AE14"/>
      <c r="AF14" s="32"/>
      <c r="AG14"/>
      <c r="AH14"/>
      <c r="AI14"/>
      <c r="AJ14"/>
      <c r="AK14" s="257"/>
      <c r="AP14" s="1086" t="s">
        <v>1317</v>
      </c>
      <c r="AQ14" s="1086" t="s">
        <v>1318</v>
      </c>
      <c r="AR14" s="1086" t="s">
        <v>1319</v>
      </c>
      <c r="AS14" s="1086" t="s">
        <v>1320</v>
      </c>
      <c r="AT14" s="1086" t="s">
        <v>1321</v>
      </c>
      <c r="AU14" s="1086" t="s">
        <v>1322</v>
      </c>
      <c r="AV14" s="1086" t="s">
        <v>1346</v>
      </c>
      <c r="AW14" s="1086" t="s">
        <v>1347</v>
      </c>
      <c r="AX14" s="1086" t="s">
        <v>1348</v>
      </c>
      <c r="AY14" s="1086" t="s">
        <v>1183</v>
      </c>
      <c r="AZ14" s="1086" t="s">
        <v>1332</v>
      </c>
      <c r="BA14" s="1086" t="s">
        <v>1325</v>
      </c>
      <c r="BB14" s="1086" t="s">
        <v>862</v>
      </c>
      <c r="BC14" s="1089">
        <v>-18502.46</v>
      </c>
      <c r="BD14" s="1086" t="s">
        <v>709</v>
      </c>
      <c r="BE14" s="1086" t="s">
        <v>862</v>
      </c>
      <c r="BF14" s="1086" t="s">
        <v>862</v>
      </c>
      <c r="BG14" s="1086" t="s">
        <v>862</v>
      </c>
      <c r="BH14" s="1086" t="s">
        <v>1328</v>
      </c>
      <c r="BI14" s="1086" t="s">
        <v>1349</v>
      </c>
      <c r="BJ14" s="1086" t="s">
        <v>1350</v>
      </c>
      <c r="BK14" s="1086" t="s">
        <v>862</v>
      </c>
      <c r="BL14" s="1086" t="s">
        <v>862</v>
      </c>
      <c r="BM14" s="1086" t="s">
        <v>862</v>
      </c>
      <c r="BN14" s="1086" t="s">
        <v>862</v>
      </c>
      <c r="BO14" s="1086" t="s">
        <v>1331</v>
      </c>
      <c r="BP14" s="1086" t="s">
        <v>862</v>
      </c>
    </row>
    <row r="15" spans="1:68" ht="14.25" customHeight="1" thickBot="1">
      <c r="A15" s="855">
        <v>2</v>
      </c>
      <c r="B15" s="63">
        <v>909005</v>
      </c>
      <c r="C15" s="63" t="str">
        <f>M15</f>
        <v>Adv Exp - E-bill</v>
      </c>
      <c r="D15" s="74">
        <f>R15</f>
        <v>0</v>
      </c>
      <c r="F15" s="670">
        <f>HLOOKUP($F$10,Advertisingscenario,G14,FALSE)</f>
        <v>0</v>
      </c>
      <c r="G15">
        <v>7</v>
      </c>
      <c r="J15" s="855">
        <v>2</v>
      </c>
      <c r="K15" s="63">
        <v>909</v>
      </c>
      <c r="M15" s="63" t="s">
        <v>1193</v>
      </c>
      <c r="N15" s="89">
        <v>0</v>
      </c>
      <c r="O15" s="89">
        <v>0</v>
      </c>
      <c r="P15" s="89">
        <v>0</v>
      </c>
      <c r="Q15" s="89">
        <f>+P15+N15</f>
        <v>0</v>
      </c>
      <c r="R15" s="89">
        <f>N15</f>
        <v>0</v>
      </c>
      <c r="S15" s="89"/>
      <c r="T15" s="855">
        <f t="shared" si="0"/>
        <v>5</v>
      </c>
      <c r="U15" s="32" t="s">
        <v>136</v>
      </c>
      <c r="V15" s="806" t="s">
        <v>137</v>
      </c>
      <c r="W15" s="410" t="s">
        <v>613</v>
      </c>
      <c r="X15" s="410" t="s">
        <v>613</v>
      </c>
      <c r="Y15" s="30"/>
      <c r="Z15" s="87"/>
      <c r="AA15" s="32" t="s">
        <v>1052</v>
      </c>
      <c r="AB15" s="32"/>
      <c r="AC15" s="30"/>
      <c r="AD15" s="30"/>
      <c r="AE15" s="30"/>
      <c r="AF15" s="87"/>
      <c r="AG15" s="32" t="s">
        <v>1052</v>
      </c>
      <c r="AH15" s="32"/>
      <c r="AI15" s="30"/>
      <c r="AJ15" s="30"/>
      <c r="AK15" s="144"/>
      <c r="AP15" s="1086" t="s">
        <v>1317</v>
      </c>
      <c r="AQ15" s="1086" t="s">
        <v>1318</v>
      </c>
      <c r="AR15" s="1086" t="s">
        <v>1319</v>
      </c>
      <c r="AS15" s="1086" t="s">
        <v>1320</v>
      </c>
      <c r="AT15" s="1086" t="s">
        <v>1321</v>
      </c>
      <c r="AU15" s="1086" t="s">
        <v>1322</v>
      </c>
      <c r="AV15" s="1086" t="s">
        <v>1346</v>
      </c>
      <c r="AW15" s="1086" t="s">
        <v>1347</v>
      </c>
      <c r="AX15" s="1086" t="s">
        <v>1348</v>
      </c>
      <c r="AY15" s="1086" t="s">
        <v>1183</v>
      </c>
      <c r="AZ15" s="1086" t="s">
        <v>1324</v>
      </c>
      <c r="BA15" s="1086" t="s">
        <v>1325</v>
      </c>
      <c r="BB15" s="1086" t="s">
        <v>862</v>
      </c>
      <c r="BC15" s="1089">
        <v>-1010.79</v>
      </c>
      <c r="BD15" s="1086" t="s">
        <v>709</v>
      </c>
      <c r="BE15" s="1086" t="s">
        <v>862</v>
      </c>
      <c r="BF15" s="1086" t="s">
        <v>862</v>
      </c>
      <c r="BG15" s="1086" t="s">
        <v>862</v>
      </c>
      <c r="BH15" s="1086" t="s">
        <v>1328</v>
      </c>
      <c r="BI15" s="1086" t="s">
        <v>1349</v>
      </c>
      <c r="BJ15" s="1086" t="s">
        <v>1350</v>
      </c>
      <c r="BK15" s="1086" t="s">
        <v>862</v>
      </c>
      <c r="BL15" s="1086" t="s">
        <v>862</v>
      </c>
      <c r="BM15" s="1086" t="s">
        <v>862</v>
      </c>
      <c r="BN15" s="1086" t="s">
        <v>862</v>
      </c>
      <c r="BO15" s="1086" t="s">
        <v>1331</v>
      </c>
      <c r="BP15" s="1086" t="s">
        <v>862</v>
      </c>
    </row>
    <row r="16" spans="1:68" ht="16.5" customHeight="1" thickTop="1" thickBot="1">
      <c r="A16" s="855">
        <v>3</v>
      </c>
      <c r="B16" s="98">
        <v>923000</v>
      </c>
      <c r="C16" s="63" t="str">
        <f>M16</f>
        <v>General Advertising Expenses</v>
      </c>
      <c r="D16" s="89">
        <f>R16</f>
        <v>0</v>
      </c>
      <c r="E16" s="670"/>
      <c r="F16" s="670">
        <f>HLOOKUP($F$10,Advertisingscenario,G15,FALSE)</f>
        <v>0</v>
      </c>
      <c r="G16">
        <v>8</v>
      </c>
      <c r="J16" s="855">
        <v>3</v>
      </c>
      <c r="K16" s="98">
        <v>923</v>
      </c>
      <c r="M16" s="63" t="s">
        <v>391</v>
      </c>
      <c r="N16" s="89" t="str">
        <f>AP8</f>
        <v>0L</v>
      </c>
      <c r="O16" s="89">
        <v>0</v>
      </c>
      <c r="P16" s="89">
        <f>X32</f>
        <v>0</v>
      </c>
      <c r="Q16" s="89">
        <v>0</v>
      </c>
      <c r="R16" s="89">
        <f>Q16</f>
        <v>0</v>
      </c>
      <c r="S16" s="63" t="s">
        <v>411</v>
      </c>
      <c r="T16" s="855">
        <f t="shared" si="0"/>
        <v>6</v>
      </c>
      <c r="U16"/>
      <c r="V16"/>
      <c r="W16"/>
      <c r="Z16" s="87"/>
      <c r="AA16" s="39" t="s">
        <v>1053</v>
      </c>
      <c r="AB16" s="1021">
        <f>+'[30]ALLOCATIONS&amp;PRETAX'!$G$8</f>
        <v>0.49099999999999999</v>
      </c>
      <c r="AC16" s="1022"/>
      <c r="AD16" s="1022"/>
      <c r="AE16" s="32"/>
      <c r="AF16" s="87"/>
      <c r="AG16" s="39" t="s">
        <v>1053</v>
      </c>
      <c r="AH16" s="1021">
        <f>+'[30]ALLOCATIONS&amp;PRETAX'!$G$8</f>
        <v>0.49099999999999999</v>
      </c>
      <c r="AI16" s="1022"/>
      <c r="AJ16" s="1022"/>
      <c r="AK16" s="144"/>
      <c r="AP16" s="1086" t="s">
        <v>1317</v>
      </c>
      <c r="AQ16" s="1086" t="s">
        <v>1318</v>
      </c>
      <c r="AR16" s="1086" t="s">
        <v>1319</v>
      </c>
      <c r="AS16" s="1086" t="s">
        <v>1320</v>
      </c>
      <c r="AT16" s="1086" t="s">
        <v>1321</v>
      </c>
      <c r="AU16" s="1086" t="s">
        <v>1322</v>
      </c>
      <c r="AV16" s="1086" t="s">
        <v>1346</v>
      </c>
      <c r="AW16" s="1086" t="s">
        <v>1347</v>
      </c>
      <c r="AX16" s="1086" t="s">
        <v>1348</v>
      </c>
      <c r="AY16" s="1086" t="s">
        <v>1351</v>
      </c>
      <c r="AZ16" s="1086" t="s">
        <v>1352</v>
      </c>
      <c r="BA16" s="1086" t="s">
        <v>1353</v>
      </c>
      <c r="BB16" s="1086" t="s">
        <v>862</v>
      </c>
      <c r="BC16" s="1089">
        <v>29068.26</v>
      </c>
      <c r="BD16" s="1086" t="s">
        <v>1326</v>
      </c>
      <c r="BE16" s="1086" t="s">
        <v>862</v>
      </c>
      <c r="BF16" s="1086" t="s">
        <v>862</v>
      </c>
      <c r="BG16" s="1086" t="s">
        <v>862</v>
      </c>
      <c r="BH16" s="1086" t="s">
        <v>1354</v>
      </c>
      <c r="BI16" s="1086" t="s">
        <v>1349</v>
      </c>
      <c r="BJ16" s="1086" t="s">
        <v>1350</v>
      </c>
      <c r="BK16" s="1086" t="s">
        <v>862</v>
      </c>
      <c r="BL16" s="1086" t="s">
        <v>862</v>
      </c>
      <c r="BM16" s="1086" t="s">
        <v>862</v>
      </c>
      <c r="BN16" s="1086" t="s">
        <v>862</v>
      </c>
      <c r="BO16" s="1086" t="s">
        <v>1331</v>
      </c>
      <c r="BP16" s="1086" t="s">
        <v>862</v>
      </c>
    </row>
    <row r="17" spans="1:68" ht="14.25" customHeight="1">
      <c r="A17" s="855">
        <v>4</v>
      </c>
      <c r="B17" s="98">
        <v>930101</v>
      </c>
      <c r="C17" s="63" t="str">
        <f>M17</f>
        <v>Institutional Advertising</v>
      </c>
      <c r="D17" s="89">
        <f>R17</f>
        <v>0</v>
      </c>
      <c r="E17" s="670"/>
      <c r="F17" s="670">
        <f>HLOOKUP($F$10,Advertisingscenario,G16,FALSE)</f>
        <v>0</v>
      </c>
      <c r="G17">
        <v>9</v>
      </c>
      <c r="J17" s="855">
        <v>4</v>
      </c>
      <c r="K17" s="98">
        <v>930</v>
      </c>
      <c r="M17" s="63" t="s">
        <v>185</v>
      </c>
      <c r="N17" s="89">
        <v>0</v>
      </c>
      <c r="O17" s="89">
        <v>0</v>
      </c>
      <c r="P17" s="89">
        <v>0</v>
      </c>
      <c r="Q17" s="89">
        <f>+P17+N17</f>
        <v>0</v>
      </c>
      <c r="R17" s="89">
        <f>+Q17</f>
        <v>0</v>
      </c>
      <c r="S17" s="128" t="s">
        <v>411</v>
      </c>
      <c r="T17" s="855">
        <f t="shared" si="0"/>
        <v>7</v>
      </c>
      <c r="U17" s="32" t="s">
        <v>1052</v>
      </c>
      <c r="V17" s="32"/>
      <c r="W17" s="30"/>
      <c r="X17" s="30"/>
      <c r="Y17" s="30"/>
      <c r="Z17"/>
      <c r="AA17" s="411" t="s">
        <v>1054</v>
      </c>
      <c r="AB17" s="701">
        <f>+AB9*AB16</f>
        <v>0</v>
      </c>
      <c r="AC17" s="89">
        <f>+AB17</f>
        <v>0</v>
      </c>
      <c r="AD17" s="89">
        <f>+AC17</f>
        <v>0</v>
      </c>
      <c r="AE17" s="89"/>
      <c r="AF17"/>
      <c r="AG17" s="411" t="s">
        <v>1054</v>
      </c>
      <c r="AH17" s="701">
        <f>+AH9*AH16</f>
        <v>0</v>
      </c>
      <c r="AI17" s="89">
        <f>+AH17</f>
        <v>0</v>
      </c>
      <c r="AJ17" s="89">
        <f>+AI17</f>
        <v>0</v>
      </c>
      <c r="AK17"/>
      <c r="AP17" s="1086" t="s">
        <v>1317</v>
      </c>
      <c r="AQ17" s="1086" t="s">
        <v>1318</v>
      </c>
      <c r="AR17" s="1086" t="s">
        <v>1319</v>
      </c>
      <c r="AS17" s="1086" t="s">
        <v>1320</v>
      </c>
      <c r="AT17" s="1086" t="s">
        <v>1321</v>
      </c>
      <c r="AU17" s="1086" t="s">
        <v>1322</v>
      </c>
      <c r="AV17" s="1086" t="s">
        <v>1346</v>
      </c>
      <c r="AW17" s="1086" t="s">
        <v>1347</v>
      </c>
      <c r="AX17" s="1086" t="s">
        <v>1348</v>
      </c>
      <c r="AY17" s="1086" t="s">
        <v>1351</v>
      </c>
      <c r="AZ17" s="1086" t="s">
        <v>1355</v>
      </c>
      <c r="BA17" s="1086" t="s">
        <v>1356</v>
      </c>
      <c r="BB17" s="1086" t="s">
        <v>862</v>
      </c>
      <c r="BC17" s="1089">
        <v>1010.79</v>
      </c>
      <c r="BD17" s="1086" t="s">
        <v>1326</v>
      </c>
      <c r="BE17" s="1086" t="s">
        <v>862</v>
      </c>
      <c r="BF17" s="1086" t="s">
        <v>862</v>
      </c>
      <c r="BG17" s="1086" t="s">
        <v>862</v>
      </c>
      <c r="BH17" s="1086" t="s">
        <v>1357</v>
      </c>
      <c r="BI17" s="1086" t="s">
        <v>1349</v>
      </c>
      <c r="BJ17" s="1086" t="s">
        <v>1350</v>
      </c>
      <c r="BK17" s="1086" t="s">
        <v>862</v>
      </c>
      <c r="BL17" s="1086" t="s">
        <v>862</v>
      </c>
      <c r="BM17" s="1086" t="s">
        <v>862</v>
      </c>
      <c r="BN17" s="1086" t="s">
        <v>862</v>
      </c>
      <c r="BO17" s="1086" t="s">
        <v>1331</v>
      </c>
      <c r="BP17" s="1086" t="s">
        <v>862</v>
      </c>
    </row>
    <row r="18" spans="1:68" ht="16.5" customHeight="1" thickBot="1">
      <c r="A18" s="855">
        <v>5</v>
      </c>
      <c r="B18" s="98">
        <v>930102</v>
      </c>
      <c r="C18" s="63" t="str">
        <f>M18</f>
        <v>Financial Advertising</v>
      </c>
      <c r="D18" s="89">
        <f>R41</f>
        <v>0</v>
      </c>
      <c r="E18" s="670"/>
      <c r="F18" s="670">
        <f>HLOOKUP($F$10,Advertisingscenario,G17,FALSE)</f>
        <v>0</v>
      </c>
      <c r="G18">
        <v>10</v>
      </c>
      <c r="J18" s="855">
        <v>5</v>
      </c>
      <c r="K18" s="98">
        <v>930</v>
      </c>
      <c r="M18" s="63" t="s">
        <v>104</v>
      </c>
      <c r="N18" s="89">
        <v>0</v>
      </c>
      <c r="O18" s="89">
        <v>0</v>
      </c>
      <c r="P18" s="89">
        <v>0</v>
      </c>
      <c r="Q18" s="89">
        <v>0</v>
      </c>
      <c r="R18" s="89">
        <v>0</v>
      </c>
      <c r="S18" s="89"/>
      <c r="T18" s="855">
        <f t="shared" si="0"/>
        <v>8</v>
      </c>
      <c r="U18" s="39" t="s">
        <v>1053</v>
      </c>
      <c r="V18" s="1021">
        <f>+'[30]ALLOCATIONS&amp;PRETAX'!$G$8</f>
        <v>0.49099999999999999</v>
      </c>
      <c r="W18" s="1022"/>
      <c r="X18" s="1022"/>
      <c r="Y18" s="32"/>
      <c r="Z18"/>
      <c r="AA18" s="144"/>
      <c r="AB18" s="144"/>
      <c r="AC18" s="32"/>
      <c r="AD18" s="32"/>
      <c r="AE18" s="32"/>
      <c r="AF18"/>
      <c r="AG18" s="144"/>
      <c r="AH18" s="144"/>
      <c r="AI18" s="32"/>
      <c r="AJ18" s="32"/>
      <c r="AK18"/>
      <c r="AP18" s="1086" t="s">
        <v>1317</v>
      </c>
      <c r="AQ18" s="1086" t="s">
        <v>1318</v>
      </c>
      <c r="AR18" s="1086" t="s">
        <v>1358</v>
      </c>
      <c r="AS18" s="1086" t="s">
        <v>1320</v>
      </c>
      <c r="AT18" s="1086" t="s">
        <v>1321</v>
      </c>
      <c r="AU18" s="1086" t="s">
        <v>1322</v>
      </c>
      <c r="AV18" s="1086" t="s">
        <v>1359</v>
      </c>
      <c r="AW18" s="1086" t="s">
        <v>1360</v>
      </c>
      <c r="AX18" s="1086" t="s">
        <v>1361</v>
      </c>
      <c r="AY18" s="1086" t="s">
        <v>1183</v>
      </c>
      <c r="AZ18" s="1086" t="s">
        <v>1362</v>
      </c>
      <c r="BA18" s="1086" t="s">
        <v>1363</v>
      </c>
      <c r="BB18" s="1086" t="s">
        <v>862</v>
      </c>
      <c r="BC18" s="1089">
        <v>2.2799999999999998</v>
      </c>
      <c r="BD18" s="1086" t="s">
        <v>1326</v>
      </c>
      <c r="BE18" s="1086" t="s">
        <v>1364</v>
      </c>
      <c r="BF18" s="1086" t="s">
        <v>862</v>
      </c>
      <c r="BG18" s="1086" t="s">
        <v>1320</v>
      </c>
      <c r="BH18" s="1086" t="s">
        <v>1365</v>
      </c>
      <c r="BI18" s="1086" t="s">
        <v>420</v>
      </c>
      <c r="BJ18" s="1086" t="s">
        <v>1366</v>
      </c>
      <c r="BK18" s="1086" t="s">
        <v>1183</v>
      </c>
      <c r="BL18" s="1086" t="s">
        <v>1367</v>
      </c>
      <c r="BM18" s="1086" t="s">
        <v>1363</v>
      </c>
      <c r="BN18" s="1086" t="s">
        <v>862</v>
      </c>
      <c r="BO18" s="1086" t="s">
        <v>1368</v>
      </c>
      <c r="BP18" s="1086" t="s">
        <v>862</v>
      </c>
    </row>
    <row r="19" spans="1:68" ht="14.25" thickTop="1" thickBot="1">
      <c r="A19" s="855">
        <v>7</v>
      </c>
      <c r="C19" s="86"/>
      <c r="D19" s="669"/>
      <c r="E19" s="670"/>
      <c r="F19" s="670"/>
      <c r="G19">
        <v>11</v>
      </c>
      <c r="J19" s="855">
        <v>7</v>
      </c>
      <c r="K19" s="98"/>
      <c r="M19" s="638"/>
      <c r="N19" s="712"/>
      <c r="O19" s="638"/>
      <c r="P19" s="638"/>
      <c r="Q19" s="638"/>
      <c r="R19" s="638"/>
      <c r="S19" s="89"/>
      <c r="T19" s="855">
        <f t="shared" si="0"/>
        <v>9</v>
      </c>
      <c r="U19" s="411" t="s">
        <v>1054</v>
      </c>
      <c r="V19" s="701">
        <f>+W11*V18</f>
        <v>0</v>
      </c>
      <c r="W19" s="89">
        <f>+V19</f>
        <v>0</v>
      </c>
      <c r="X19" s="89">
        <f>+W19</f>
        <v>0</v>
      </c>
      <c r="Y19" s="89"/>
      <c r="Z19"/>
      <c r="AA19"/>
      <c r="AB19"/>
      <c r="AC19"/>
      <c r="AD19"/>
      <c r="AE19"/>
      <c r="AF19"/>
      <c r="AG19"/>
      <c r="AH19"/>
      <c r="AI19"/>
      <c r="AJ19"/>
      <c r="AK19"/>
      <c r="AP19" s="1086" t="s">
        <v>1317</v>
      </c>
      <c r="AQ19" s="1086" t="s">
        <v>1318</v>
      </c>
      <c r="AR19" s="1086" t="s">
        <v>1358</v>
      </c>
      <c r="AS19" s="1086" t="s">
        <v>1320</v>
      </c>
      <c r="AT19" s="1086" t="s">
        <v>1321</v>
      </c>
      <c r="AU19" s="1086" t="s">
        <v>1322</v>
      </c>
      <c r="AV19" s="1086" t="s">
        <v>1359</v>
      </c>
      <c r="AW19" s="1086" t="s">
        <v>1360</v>
      </c>
      <c r="AX19" s="1086" t="s">
        <v>1361</v>
      </c>
      <c r="AY19" s="1086" t="s">
        <v>1183</v>
      </c>
      <c r="AZ19" s="1086" t="s">
        <v>1369</v>
      </c>
      <c r="BA19" s="1086" t="s">
        <v>1363</v>
      </c>
      <c r="BB19" s="1086" t="s">
        <v>862</v>
      </c>
      <c r="BC19" s="1089">
        <v>81.06</v>
      </c>
      <c r="BD19" s="1086" t="s">
        <v>1326</v>
      </c>
      <c r="BE19" s="1086" t="s">
        <v>1364</v>
      </c>
      <c r="BF19" s="1086" t="s">
        <v>862</v>
      </c>
      <c r="BG19" s="1086" t="s">
        <v>1320</v>
      </c>
      <c r="BH19" s="1086" t="s">
        <v>1365</v>
      </c>
      <c r="BI19" s="1086" t="s">
        <v>420</v>
      </c>
      <c r="BJ19" s="1086" t="s">
        <v>1366</v>
      </c>
      <c r="BK19" s="1086" t="s">
        <v>1183</v>
      </c>
      <c r="BL19" s="1086" t="s">
        <v>1367</v>
      </c>
      <c r="BM19" s="1086" t="s">
        <v>1363</v>
      </c>
      <c r="BN19" s="1086" t="s">
        <v>862</v>
      </c>
      <c r="BO19" s="1086" t="s">
        <v>1368</v>
      </c>
      <c r="BP19" s="1086" t="s">
        <v>862</v>
      </c>
    </row>
    <row r="20" spans="1:68" ht="13.5" customHeight="1" thickTop="1">
      <c r="A20" s="855">
        <v>8</v>
      </c>
      <c r="C20" s="131"/>
      <c r="D20" s="671"/>
      <c r="E20" s="672"/>
      <c r="F20" s="672"/>
      <c r="G20">
        <v>12</v>
      </c>
      <c r="J20" s="855">
        <v>8</v>
      </c>
      <c r="M20" s="32" t="s">
        <v>145</v>
      </c>
      <c r="N20" s="89">
        <f>SUM(N14:N18)</f>
        <v>0</v>
      </c>
      <c r="O20" s="89">
        <f>SUM(O14:O18)</f>
        <v>0</v>
      </c>
      <c r="P20" s="89">
        <f>SUM(P14:P18)</f>
        <v>0</v>
      </c>
      <c r="Q20" s="89">
        <f>SUM(Q14:Q18)</f>
        <v>0</v>
      </c>
      <c r="R20" s="89">
        <f>SUM(R14:R18)</f>
        <v>0</v>
      </c>
      <c r="S20" s="89"/>
      <c r="T20" s="855">
        <f t="shared" si="0"/>
        <v>10</v>
      </c>
      <c r="U20"/>
      <c r="V20"/>
      <c r="W20"/>
      <c r="Y20" s="32"/>
      <c r="Z20"/>
      <c r="AA20"/>
      <c r="AB20"/>
      <c r="AC20"/>
      <c r="AD20"/>
      <c r="AE20" s="30"/>
      <c r="AF20"/>
      <c r="AG20"/>
      <c r="AH20"/>
      <c r="AI20"/>
      <c r="AJ20"/>
      <c r="AK20"/>
      <c r="AP20" s="1086" t="s">
        <v>1317</v>
      </c>
      <c r="AQ20" s="1086" t="s">
        <v>1318</v>
      </c>
      <c r="AR20" s="1086" t="s">
        <v>1370</v>
      </c>
      <c r="AS20" s="1086" t="s">
        <v>1320</v>
      </c>
      <c r="AT20" s="1086" t="s">
        <v>1321</v>
      </c>
      <c r="AU20" s="1086" t="s">
        <v>1322</v>
      </c>
      <c r="AV20" s="1086" t="s">
        <v>1371</v>
      </c>
      <c r="AW20" s="1086" t="s">
        <v>1360</v>
      </c>
      <c r="AX20" s="1086" t="s">
        <v>1361</v>
      </c>
      <c r="AY20" s="1086" t="s">
        <v>1183</v>
      </c>
      <c r="AZ20" s="1086" t="s">
        <v>1362</v>
      </c>
      <c r="BA20" s="1086" t="s">
        <v>1363</v>
      </c>
      <c r="BB20" s="1086" t="s">
        <v>862</v>
      </c>
      <c r="BC20" s="1089">
        <v>1.98</v>
      </c>
      <c r="BD20" s="1086" t="s">
        <v>1326</v>
      </c>
      <c r="BE20" s="1086" t="s">
        <v>1364</v>
      </c>
      <c r="BF20" s="1086" t="s">
        <v>862</v>
      </c>
      <c r="BG20" s="1086" t="s">
        <v>1320</v>
      </c>
      <c r="BH20" s="1086" t="s">
        <v>1365</v>
      </c>
      <c r="BI20" s="1086" t="s">
        <v>420</v>
      </c>
      <c r="BJ20" s="1086" t="s">
        <v>1366</v>
      </c>
      <c r="BK20" s="1086" t="s">
        <v>1183</v>
      </c>
      <c r="BL20" s="1086" t="s">
        <v>1367</v>
      </c>
      <c r="BM20" s="1086" t="s">
        <v>1363</v>
      </c>
      <c r="BN20" s="1086" t="s">
        <v>862</v>
      </c>
      <c r="BO20" s="1086" t="s">
        <v>1368</v>
      </c>
      <c r="BP20" s="1086" t="s">
        <v>862</v>
      </c>
    </row>
    <row r="21" spans="1:68" ht="13.5" thickBot="1">
      <c r="A21" s="855">
        <v>9</v>
      </c>
      <c r="C21" s="86" t="s">
        <v>145</v>
      </c>
      <c r="D21" s="673">
        <f>SUM(D14:D19)</f>
        <v>0</v>
      </c>
      <c r="E21" s="674"/>
      <c r="F21" s="670">
        <f>HLOOKUP($F$10,Advertisingscenario,G20,FALSE)</f>
        <v>0</v>
      </c>
      <c r="G21">
        <v>13</v>
      </c>
      <c r="J21" s="855">
        <v>9</v>
      </c>
      <c r="M21" s="667"/>
      <c r="N21" s="713"/>
      <c r="O21" s="713"/>
      <c r="P21" s="713"/>
      <c r="Q21" s="713"/>
      <c r="R21" s="714"/>
      <c r="T21" s="855">
        <f t="shared" si="0"/>
        <v>11</v>
      </c>
      <c r="U21"/>
      <c r="V21"/>
      <c r="W21"/>
      <c r="Z21"/>
      <c r="AA21"/>
      <c r="AB21"/>
      <c r="AC21"/>
      <c r="AD21"/>
      <c r="AE21" s="32"/>
      <c r="AF21"/>
      <c r="AG21"/>
      <c r="AH21"/>
      <c r="AI21"/>
      <c r="AJ21"/>
      <c r="AK21"/>
      <c r="AP21" s="1086" t="s">
        <v>1317</v>
      </c>
      <c r="AQ21" s="1086" t="s">
        <v>1318</v>
      </c>
      <c r="AR21" s="1086" t="s">
        <v>1370</v>
      </c>
      <c r="AS21" s="1086" t="s">
        <v>1320</v>
      </c>
      <c r="AT21" s="1086" t="s">
        <v>1321</v>
      </c>
      <c r="AU21" s="1086" t="s">
        <v>1322</v>
      </c>
      <c r="AV21" s="1086" t="s">
        <v>1371</v>
      </c>
      <c r="AW21" s="1086" t="s">
        <v>1360</v>
      </c>
      <c r="AX21" s="1086" t="s">
        <v>1361</v>
      </c>
      <c r="AY21" s="1086" t="s">
        <v>1183</v>
      </c>
      <c r="AZ21" s="1086" t="s">
        <v>1369</v>
      </c>
      <c r="BA21" s="1086" t="s">
        <v>1363</v>
      </c>
      <c r="BB21" s="1086" t="s">
        <v>862</v>
      </c>
      <c r="BC21" s="1089">
        <v>70.41</v>
      </c>
      <c r="BD21" s="1086" t="s">
        <v>1326</v>
      </c>
      <c r="BE21" s="1086" t="s">
        <v>1364</v>
      </c>
      <c r="BF21" s="1086" t="s">
        <v>862</v>
      </c>
      <c r="BG21" s="1086" t="s">
        <v>1320</v>
      </c>
      <c r="BH21" s="1086" t="s">
        <v>1365</v>
      </c>
      <c r="BI21" s="1086" t="s">
        <v>420</v>
      </c>
      <c r="BJ21" s="1086" t="s">
        <v>1366</v>
      </c>
      <c r="BK21" s="1086" t="s">
        <v>1183</v>
      </c>
      <c r="BL21" s="1086" t="s">
        <v>1367</v>
      </c>
      <c r="BM21" s="1086" t="s">
        <v>1363</v>
      </c>
      <c r="BN21" s="1086" t="s">
        <v>862</v>
      </c>
      <c r="BO21" s="1086" t="s">
        <v>1368</v>
      </c>
      <c r="BP21" s="1086" t="s">
        <v>862</v>
      </c>
    </row>
    <row r="22" spans="1:68" ht="14.25" thickTop="1" thickBot="1">
      <c r="A22" s="855">
        <v>10</v>
      </c>
      <c r="C22" s="88"/>
      <c r="D22" s="675"/>
      <c r="E22" s="676"/>
      <c r="F22" s="676"/>
      <c r="G22">
        <v>14</v>
      </c>
      <c r="J22" s="855">
        <v>10</v>
      </c>
      <c r="M22" s="70"/>
      <c r="R22" s="715"/>
      <c r="S22" s="666"/>
      <c r="T22" s="855">
        <f t="shared" si="0"/>
        <v>12</v>
      </c>
      <c r="U22"/>
      <c r="V22"/>
      <c r="W22"/>
      <c r="Y22" s="30"/>
      <c r="Z22"/>
      <c r="AA22"/>
      <c r="AB22"/>
      <c r="AC22"/>
      <c r="AD22"/>
      <c r="AE22" s="89"/>
      <c r="AF22"/>
      <c r="AG22"/>
      <c r="AH22"/>
      <c r="AI22"/>
      <c r="AJ22"/>
      <c r="AK22"/>
      <c r="AP22" s="1086" t="s">
        <v>1317</v>
      </c>
      <c r="AQ22" s="1086" t="s">
        <v>1318</v>
      </c>
      <c r="AR22" s="1086" t="s">
        <v>1370</v>
      </c>
      <c r="AS22" s="1086" t="s">
        <v>1320</v>
      </c>
      <c r="AT22" s="1086" t="s">
        <v>1321</v>
      </c>
      <c r="AU22" s="1086" t="s">
        <v>1322</v>
      </c>
      <c r="AV22" s="1086" t="s">
        <v>1372</v>
      </c>
      <c r="AW22" s="1086" t="s">
        <v>1124</v>
      </c>
      <c r="AX22" s="1086" t="s">
        <v>1210</v>
      </c>
      <c r="AY22" s="1086" t="s">
        <v>1183</v>
      </c>
      <c r="AZ22" s="1086" t="s">
        <v>1185</v>
      </c>
      <c r="BA22" s="1086" t="s">
        <v>1334</v>
      </c>
      <c r="BB22" s="1086" t="s">
        <v>862</v>
      </c>
      <c r="BC22" s="1089">
        <v>69819.48</v>
      </c>
      <c r="BD22" s="1086" t="s">
        <v>1326</v>
      </c>
      <c r="BE22" s="1086" t="s">
        <v>862</v>
      </c>
      <c r="BF22" s="1086" t="s">
        <v>1373</v>
      </c>
      <c r="BG22" s="1086" t="s">
        <v>862</v>
      </c>
      <c r="BH22" s="1086" t="s">
        <v>1328</v>
      </c>
      <c r="BI22" s="1086" t="s">
        <v>1374</v>
      </c>
      <c r="BJ22" s="1086" t="s">
        <v>1330</v>
      </c>
      <c r="BK22" s="1086" t="s">
        <v>862</v>
      </c>
      <c r="BL22" s="1086" t="s">
        <v>862</v>
      </c>
      <c r="BM22" s="1086" t="s">
        <v>862</v>
      </c>
      <c r="BN22" s="1086" t="s">
        <v>862</v>
      </c>
      <c r="BO22" s="1086" t="s">
        <v>1331</v>
      </c>
      <c r="BP22" s="1086" t="s">
        <v>862</v>
      </c>
    </row>
    <row r="23" spans="1:68" ht="13.5" thickTop="1">
      <c r="A23" s="855">
        <v>11</v>
      </c>
      <c r="C23" s="45"/>
      <c r="D23" s="265"/>
      <c r="E23" s="53"/>
      <c r="F23" s="53"/>
      <c r="G23">
        <v>15</v>
      </c>
      <c r="J23" s="855">
        <v>11</v>
      </c>
      <c r="M23" s="31" t="s">
        <v>40</v>
      </c>
      <c r="N23" s="89"/>
      <c r="O23" s="89"/>
      <c r="P23" s="89"/>
      <c r="Q23" s="89"/>
      <c r="R23" s="117">
        <f>-R20</f>
        <v>0</v>
      </c>
      <c r="S23" s="666"/>
      <c r="T23" s="855">
        <f t="shared" si="0"/>
        <v>13</v>
      </c>
      <c r="U23" s="1122" t="s">
        <v>391</v>
      </c>
      <c r="V23" s="1122"/>
      <c r="W23" s="1122"/>
      <c r="X23" s="1122"/>
      <c r="Z23"/>
      <c r="AA23"/>
      <c r="AB23"/>
      <c r="AC23"/>
      <c r="AD23"/>
      <c r="AE23" s="32"/>
      <c r="AF23"/>
      <c r="AG23"/>
      <c r="AH23"/>
      <c r="AI23"/>
      <c r="AJ23"/>
      <c r="AK23"/>
      <c r="AP23" s="1086" t="s">
        <v>1317</v>
      </c>
      <c r="AQ23" s="1086" t="s">
        <v>1318</v>
      </c>
      <c r="AR23" s="1086" t="s">
        <v>1370</v>
      </c>
      <c r="AS23" s="1086" t="s">
        <v>1320</v>
      </c>
      <c r="AT23" s="1086" t="s">
        <v>1321</v>
      </c>
      <c r="AU23" s="1086" t="s">
        <v>1322</v>
      </c>
      <c r="AV23" s="1086" t="s">
        <v>1375</v>
      </c>
      <c r="AW23" s="1086" t="s">
        <v>1376</v>
      </c>
      <c r="AX23" s="1086" t="s">
        <v>1377</v>
      </c>
      <c r="AY23" s="1086" t="s">
        <v>1183</v>
      </c>
      <c r="AZ23" s="1086" t="s">
        <v>1185</v>
      </c>
      <c r="BA23" s="1086" t="s">
        <v>1334</v>
      </c>
      <c r="BB23" s="1086" t="s">
        <v>862</v>
      </c>
      <c r="BC23" s="1089">
        <v>14675</v>
      </c>
      <c r="BD23" s="1086" t="s">
        <v>1326</v>
      </c>
      <c r="BE23" s="1086" t="s">
        <v>862</v>
      </c>
      <c r="BF23" s="1086" t="s">
        <v>1378</v>
      </c>
      <c r="BG23" s="1086" t="s">
        <v>862</v>
      </c>
      <c r="BH23" s="1086" t="s">
        <v>1328</v>
      </c>
      <c r="BI23" s="1086" t="s">
        <v>1329</v>
      </c>
      <c r="BJ23" s="1086" t="s">
        <v>1330</v>
      </c>
      <c r="BK23" s="1086" t="s">
        <v>862</v>
      </c>
      <c r="BL23" s="1086" t="s">
        <v>862</v>
      </c>
      <c r="BM23" s="1086" t="s">
        <v>862</v>
      </c>
      <c r="BN23" s="1086" t="s">
        <v>862</v>
      </c>
      <c r="BO23" s="1086" t="s">
        <v>1331</v>
      </c>
      <c r="BP23" s="1086" t="s">
        <v>862</v>
      </c>
    </row>
    <row r="24" spans="1:68">
      <c r="A24" s="855">
        <v>12</v>
      </c>
      <c r="C24" s="31" t="s">
        <v>40</v>
      </c>
      <c r="D24" s="53">
        <f>-D21</f>
        <v>0</v>
      </c>
      <c r="E24" s="53"/>
      <c r="F24" s="670">
        <f>HLOOKUP($F$10,Advertisingscenario,G23,FALSE)</f>
        <v>0</v>
      </c>
      <c r="G24">
        <v>16</v>
      </c>
      <c r="J24" s="855">
        <v>12</v>
      </c>
      <c r="S24" s="666"/>
      <c r="T24" s="855">
        <f t="shared" si="0"/>
        <v>14</v>
      </c>
      <c r="V24" s="87"/>
      <c r="W24" s="699"/>
      <c r="Y24" s="89"/>
      <c r="Z24"/>
      <c r="AA24"/>
      <c r="AB24"/>
      <c r="AC24"/>
      <c r="AD24"/>
      <c r="AE24"/>
      <c r="AF24"/>
      <c r="AG24"/>
      <c r="AH24"/>
      <c r="AI24"/>
      <c r="AJ24"/>
      <c r="AK24"/>
      <c r="AP24" s="1086" t="s">
        <v>1317</v>
      </c>
      <c r="AQ24" s="1086" t="s">
        <v>1318</v>
      </c>
      <c r="AR24" s="1086" t="s">
        <v>1370</v>
      </c>
      <c r="AS24" s="1086" t="s">
        <v>1320</v>
      </c>
      <c r="AT24" s="1086" t="s">
        <v>1321</v>
      </c>
      <c r="AU24" s="1086" t="s">
        <v>1322</v>
      </c>
      <c r="AV24" s="1086" t="s">
        <v>1379</v>
      </c>
      <c r="AW24" s="1086" t="s">
        <v>1347</v>
      </c>
      <c r="AX24" s="1086" t="s">
        <v>1348</v>
      </c>
      <c r="AY24" s="1086" t="s">
        <v>1351</v>
      </c>
      <c r="AZ24" s="1086" t="s">
        <v>1352</v>
      </c>
      <c r="BA24" s="1086" t="s">
        <v>1353</v>
      </c>
      <c r="BB24" s="1086" t="s">
        <v>862</v>
      </c>
      <c r="BC24" s="1089">
        <v>84494.48</v>
      </c>
      <c r="BD24" s="1086" t="s">
        <v>1326</v>
      </c>
      <c r="BE24" s="1086" t="s">
        <v>862</v>
      </c>
      <c r="BF24" s="1086" t="s">
        <v>862</v>
      </c>
      <c r="BG24" s="1086" t="s">
        <v>862</v>
      </c>
      <c r="BH24" s="1086" t="s">
        <v>1354</v>
      </c>
      <c r="BI24" s="1086" t="s">
        <v>1349</v>
      </c>
      <c r="BJ24" s="1086" t="s">
        <v>1350</v>
      </c>
      <c r="BK24" s="1086" t="s">
        <v>862</v>
      </c>
      <c r="BL24" s="1086" t="s">
        <v>862</v>
      </c>
      <c r="BM24" s="1086" t="s">
        <v>862</v>
      </c>
      <c r="BN24" s="1086" t="s">
        <v>862</v>
      </c>
      <c r="BO24" s="1086" t="s">
        <v>1331</v>
      </c>
      <c r="BP24" s="1086" t="s">
        <v>862</v>
      </c>
    </row>
    <row r="25" spans="1:68">
      <c r="A25" s="855">
        <v>13</v>
      </c>
      <c r="C25" s="63"/>
      <c r="D25" s="265"/>
      <c r="E25" s="265"/>
      <c r="F25" s="265"/>
      <c r="G25">
        <v>17</v>
      </c>
      <c r="J25" s="855">
        <v>13</v>
      </c>
      <c r="M25" s="129" t="s">
        <v>588</v>
      </c>
      <c r="N25" s="89"/>
      <c r="O25" s="89"/>
      <c r="Q25" s="89"/>
      <c r="R25" s="677">
        <f>'[30]ROR-Model'!$M$2*R23</f>
        <v>0</v>
      </c>
      <c r="S25" s="666"/>
      <c r="T25" s="855">
        <f t="shared" si="0"/>
        <v>15</v>
      </c>
      <c r="U25" s="159" t="s">
        <v>1063</v>
      </c>
      <c r="W25" s="699">
        <f>O16</f>
        <v>0</v>
      </c>
      <c r="Y25" s="32"/>
      <c r="Z25"/>
      <c r="AA25"/>
      <c r="AB25"/>
      <c r="AC25"/>
      <c r="AD25"/>
      <c r="AE25" s="30"/>
      <c r="AF25"/>
      <c r="AG25"/>
      <c r="AH25"/>
      <c r="AI25"/>
      <c r="AJ25"/>
      <c r="AK25"/>
      <c r="AP25" s="1086" t="s">
        <v>1317</v>
      </c>
      <c r="AQ25" s="1086" t="s">
        <v>1318</v>
      </c>
      <c r="AR25" s="1086" t="s">
        <v>1370</v>
      </c>
      <c r="AS25" s="1086" t="s">
        <v>1320</v>
      </c>
      <c r="AT25" s="1086" t="s">
        <v>1321</v>
      </c>
      <c r="AU25" s="1086" t="s">
        <v>1322</v>
      </c>
      <c r="AV25" s="1086" t="s">
        <v>1379</v>
      </c>
      <c r="AW25" s="1086" t="s">
        <v>1347</v>
      </c>
      <c r="AX25" s="1086" t="s">
        <v>1348</v>
      </c>
      <c r="AY25" s="1086" t="s">
        <v>1351</v>
      </c>
      <c r="AZ25" s="1086" t="s">
        <v>1380</v>
      </c>
      <c r="BA25" s="1086" t="s">
        <v>1381</v>
      </c>
      <c r="BB25" s="1086" t="s">
        <v>862</v>
      </c>
      <c r="BC25" s="1089">
        <v>-84494.48</v>
      </c>
      <c r="BD25" s="1086" t="s">
        <v>709</v>
      </c>
      <c r="BE25" s="1086" t="s">
        <v>862</v>
      </c>
      <c r="BF25" s="1086" t="s">
        <v>862</v>
      </c>
      <c r="BG25" s="1086" t="s">
        <v>862</v>
      </c>
      <c r="BH25" s="1086" t="s">
        <v>1328</v>
      </c>
      <c r="BI25" s="1086" t="s">
        <v>1349</v>
      </c>
      <c r="BJ25" s="1086" t="s">
        <v>1350</v>
      </c>
      <c r="BK25" s="1086" t="s">
        <v>862</v>
      </c>
      <c r="BL25" s="1086" t="s">
        <v>862</v>
      </c>
      <c r="BM25" s="1086" t="s">
        <v>862</v>
      </c>
      <c r="BN25" s="1086" t="s">
        <v>862</v>
      </c>
      <c r="BO25" s="1086" t="s">
        <v>1331</v>
      </c>
      <c r="BP25" s="1086" t="s">
        <v>862</v>
      </c>
    </row>
    <row r="26" spans="1:68" ht="13.5" thickBot="1">
      <c r="A26" s="855">
        <v>14</v>
      </c>
      <c r="B26">
        <v>909</v>
      </c>
      <c r="C26" s="129" t="s">
        <v>588</v>
      </c>
      <c r="D26" s="677">
        <f>'ROR-Model'!$M$2*D24</f>
        <v>0</v>
      </c>
      <c r="E26" s="678"/>
      <c r="F26" s="670">
        <f>HLOOKUP($F$10,Advertisingscenario,G25,FALSE)</f>
        <v>0</v>
      </c>
      <c r="G26">
        <v>18</v>
      </c>
      <c r="J26" s="855">
        <v>14</v>
      </c>
      <c r="M26" s="129" t="s">
        <v>589</v>
      </c>
      <c r="N26" s="89"/>
      <c r="O26" s="89"/>
      <c r="Q26" s="89"/>
      <c r="R26" s="1023">
        <f>'[30]ROR-Model'!$N$2*R23</f>
        <v>0</v>
      </c>
      <c r="S26" s="89"/>
      <c r="T26" s="855">
        <f t="shared" si="0"/>
        <v>16</v>
      </c>
      <c r="U26" s="87"/>
      <c r="V26" s="87"/>
      <c r="W26" s="144"/>
      <c r="Z26"/>
      <c r="AA26"/>
      <c r="AB26"/>
      <c r="AC26"/>
      <c r="AD26"/>
      <c r="AE26" s="32"/>
      <c r="AF26"/>
      <c r="AG26"/>
      <c r="AH26"/>
      <c r="AI26"/>
      <c r="AJ26"/>
      <c r="AK26"/>
      <c r="AP26" s="1086" t="s">
        <v>1317</v>
      </c>
      <c r="AQ26" s="1086" t="s">
        <v>1318</v>
      </c>
      <c r="AR26" s="1086" t="s">
        <v>1382</v>
      </c>
      <c r="AS26" s="1086" t="s">
        <v>1320</v>
      </c>
      <c r="AT26" s="1086" t="s">
        <v>1321</v>
      </c>
      <c r="AU26" s="1086" t="s">
        <v>1322</v>
      </c>
      <c r="AV26" s="1086" t="s">
        <v>1383</v>
      </c>
      <c r="AW26" s="1086" t="s">
        <v>1124</v>
      </c>
      <c r="AX26" s="1086" t="s">
        <v>1210</v>
      </c>
      <c r="AY26" s="1086" t="s">
        <v>1183</v>
      </c>
      <c r="AZ26" s="1086" t="s">
        <v>1185</v>
      </c>
      <c r="BA26" s="1086" t="s">
        <v>1334</v>
      </c>
      <c r="BB26" s="1086" t="s">
        <v>862</v>
      </c>
      <c r="BC26" s="1089">
        <v>153652.69</v>
      </c>
      <c r="BD26" s="1086" t="s">
        <v>1326</v>
      </c>
      <c r="BE26" s="1086" t="s">
        <v>862</v>
      </c>
      <c r="BF26" s="1086" t="s">
        <v>862</v>
      </c>
      <c r="BG26" s="1086" t="s">
        <v>862</v>
      </c>
      <c r="BH26" s="1086" t="s">
        <v>1328</v>
      </c>
      <c r="BI26" s="1086" t="s">
        <v>1384</v>
      </c>
      <c r="BJ26" s="1086" t="s">
        <v>1385</v>
      </c>
      <c r="BK26" s="1086" t="s">
        <v>862</v>
      </c>
      <c r="BL26" s="1086" t="s">
        <v>862</v>
      </c>
      <c r="BM26" s="1086" t="s">
        <v>862</v>
      </c>
      <c r="BN26" s="1086" t="s">
        <v>862</v>
      </c>
      <c r="BO26" s="1086" t="s">
        <v>1331</v>
      </c>
      <c r="BP26" s="1086" t="s">
        <v>862</v>
      </c>
    </row>
    <row r="27" spans="1:68">
      <c r="A27" s="855">
        <v>15</v>
      </c>
      <c r="B27">
        <v>909</v>
      </c>
      <c r="C27" s="129" t="s">
        <v>589</v>
      </c>
      <c r="D27" s="679">
        <f>'ROR-Model'!$N$2*D24</f>
        <v>0</v>
      </c>
      <c r="E27" s="680"/>
      <c r="F27" s="670">
        <f>HLOOKUP($F$10,Advertisingscenario,G26,FALSE)</f>
        <v>0</v>
      </c>
      <c r="G27">
        <v>19</v>
      </c>
      <c r="J27" s="855">
        <v>15</v>
      </c>
      <c r="M27" s="31" t="s">
        <v>719</v>
      </c>
      <c r="N27" s="89"/>
      <c r="O27" s="89"/>
      <c r="Q27" s="89"/>
      <c r="R27" s="743">
        <f>SUM(R25:R26)</f>
        <v>0</v>
      </c>
      <c r="S27" s="32"/>
      <c r="T27" s="855">
        <f t="shared" si="0"/>
        <v>17</v>
      </c>
      <c r="U27" s="87"/>
      <c r="V27" s="33" t="s">
        <v>169</v>
      </c>
      <c r="W27" s="87" t="s">
        <v>705</v>
      </c>
      <c r="X27" s="87" t="s">
        <v>40</v>
      </c>
      <c r="Y27" s="30"/>
      <c r="Z27"/>
      <c r="AA27"/>
      <c r="AB27"/>
      <c r="AC27"/>
      <c r="AD27"/>
      <c r="AE27" s="89"/>
      <c r="AF27"/>
      <c r="AG27"/>
      <c r="AH27"/>
      <c r="AI27"/>
      <c r="AJ27"/>
      <c r="AK27"/>
      <c r="AP27" s="1086" t="s">
        <v>1317</v>
      </c>
      <c r="AQ27" s="1086" t="s">
        <v>1318</v>
      </c>
      <c r="AR27" s="1086" t="s">
        <v>1382</v>
      </c>
      <c r="AS27" s="1086" t="s">
        <v>1320</v>
      </c>
      <c r="AT27" s="1086" t="s">
        <v>1321</v>
      </c>
      <c r="AU27" s="1086" t="s">
        <v>1322</v>
      </c>
      <c r="AV27" s="1086" t="s">
        <v>1386</v>
      </c>
      <c r="AW27" s="1086" t="s">
        <v>1347</v>
      </c>
      <c r="AX27" s="1086" t="s">
        <v>1348</v>
      </c>
      <c r="AY27" s="1086" t="s">
        <v>1183</v>
      </c>
      <c r="AZ27" s="1086" t="s">
        <v>1185</v>
      </c>
      <c r="BA27" s="1086" t="s">
        <v>1334</v>
      </c>
      <c r="BB27" s="1086" t="s">
        <v>862</v>
      </c>
      <c r="BC27" s="1089">
        <v>-153652.69</v>
      </c>
      <c r="BD27" s="1086" t="s">
        <v>709</v>
      </c>
      <c r="BE27" s="1086" t="s">
        <v>862</v>
      </c>
      <c r="BF27" s="1086" t="s">
        <v>862</v>
      </c>
      <c r="BG27" s="1086" t="s">
        <v>862</v>
      </c>
      <c r="BH27" s="1086" t="s">
        <v>1328</v>
      </c>
      <c r="BI27" s="1086" t="s">
        <v>1349</v>
      </c>
      <c r="BJ27" s="1086" t="s">
        <v>1350</v>
      </c>
      <c r="BK27" s="1086" t="s">
        <v>862</v>
      </c>
      <c r="BL27" s="1086" t="s">
        <v>862</v>
      </c>
      <c r="BM27" s="1086" t="s">
        <v>862</v>
      </c>
      <c r="BN27" s="1086" t="s">
        <v>862</v>
      </c>
      <c r="BO27" s="1086" t="s">
        <v>1331</v>
      </c>
      <c r="BP27" s="1086" t="s">
        <v>862</v>
      </c>
    </row>
    <row r="28" spans="1:68" ht="13.5" thickBot="1">
      <c r="C28" s="129"/>
      <c r="G28">
        <v>20</v>
      </c>
      <c r="L28" s="855"/>
      <c r="M28" s="31"/>
      <c r="S28" s="257"/>
      <c r="T28" s="855">
        <f t="shared" si="0"/>
        <v>18</v>
      </c>
      <c r="U28" s="32" t="s">
        <v>136</v>
      </c>
      <c r="V28" s="806" t="s">
        <v>137</v>
      </c>
      <c r="W28" s="410" t="s">
        <v>613</v>
      </c>
      <c r="X28" s="410" t="s">
        <v>613</v>
      </c>
      <c r="Y28" s="32"/>
      <c r="Z28"/>
      <c r="AA28"/>
      <c r="AB28"/>
      <c r="AC28"/>
      <c r="AD28"/>
      <c r="AE28"/>
      <c r="AF28"/>
      <c r="AG28"/>
      <c r="AH28"/>
      <c r="AI28"/>
      <c r="AJ28"/>
      <c r="AK28"/>
      <c r="AP28" s="1086" t="s">
        <v>1317</v>
      </c>
      <c r="AQ28" s="1086" t="s">
        <v>1318</v>
      </c>
      <c r="AR28" s="1086" t="s">
        <v>1382</v>
      </c>
      <c r="AS28" s="1086" t="s">
        <v>1320</v>
      </c>
      <c r="AT28" s="1086" t="s">
        <v>1321</v>
      </c>
      <c r="AU28" s="1086" t="s">
        <v>1322</v>
      </c>
      <c r="AV28" s="1086" t="s">
        <v>1386</v>
      </c>
      <c r="AW28" s="1086" t="s">
        <v>1347</v>
      </c>
      <c r="AX28" s="1086" t="s">
        <v>1348</v>
      </c>
      <c r="AY28" s="1086" t="s">
        <v>1351</v>
      </c>
      <c r="AZ28" s="1086" t="s">
        <v>1352</v>
      </c>
      <c r="BA28" s="1086" t="s">
        <v>1353</v>
      </c>
      <c r="BB28" s="1086" t="s">
        <v>862</v>
      </c>
      <c r="BC28" s="1089">
        <v>153652.69</v>
      </c>
      <c r="BD28" s="1086" t="s">
        <v>1326</v>
      </c>
      <c r="BE28" s="1086" t="s">
        <v>862</v>
      </c>
      <c r="BF28" s="1086" t="s">
        <v>862</v>
      </c>
      <c r="BG28" s="1086" t="s">
        <v>862</v>
      </c>
      <c r="BH28" s="1086" t="s">
        <v>1354</v>
      </c>
      <c r="BI28" s="1086" t="s">
        <v>1349</v>
      </c>
      <c r="BJ28" s="1086" t="s">
        <v>1350</v>
      </c>
      <c r="BK28" s="1086" t="s">
        <v>862</v>
      </c>
      <c r="BL28" s="1086" t="s">
        <v>862</v>
      </c>
      <c r="BM28" s="1086" t="s">
        <v>862</v>
      </c>
      <c r="BN28" s="1086" t="s">
        <v>862</v>
      </c>
      <c r="BO28" s="1086" t="s">
        <v>1331</v>
      </c>
      <c r="BP28" s="1086" t="s">
        <v>862</v>
      </c>
    </row>
    <row r="29" spans="1:68" ht="13.5" thickTop="1">
      <c r="C29" s="65"/>
      <c r="G29">
        <v>21</v>
      </c>
      <c r="L29" s="666" t="s">
        <v>411</v>
      </c>
      <c r="M29" s="26" t="s">
        <v>418</v>
      </c>
      <c r="N29" s="89"/>
      <c r="P29" s="84"/>
      <c r="Q29" s="132"/>
      <c r="R29" s="89"/>
      <c r="S29" s="257"/>
      <c r="T29" s="855">
        <f t="shared" si="0"/>
        <v>19</v>
      </c>
      <c r="U29"/>
      <c r="V29"/>
      <c r="W29"/>
      <c r="Y29" s="89"/>
      <c r="Z29"/>
      <c r="AA29"/>
      <c r="AB29"/>
      <c r="AC29"/>
      <c r="AD29"/>
      <c r="AE29" s="257"/>
      <c r="AF29"/>
      <c r="AG29"/>
      <c r="AH29"/>
      <c r="AI29"/>
      <c r="AJ29"/>
      <c r="AK29"/>
      <c r="AP29" s="1086" t="s">
        <v>1317</v>
      </c>
      <c r="AQ29" s="1086" t="s">
        <v>1318</v>
      </c>
      <c r="AR29" s="1086" t="s">
        <v>1387</v>
      </c>
      <c r="AS29" s="1086" t="s">
        <v>1320</v>
      </c>
      <c r="AT29" s="1086" t="s">
        <v>1321</v>
      </c>
      <c r="AU29" s="1086" t="s">
        <v>1322</v>
      </c>
      <c r="AV29" s="1086" t="s">
        <v>1388</v>
      </c>
      <c r="AW29" s="1086" t="s">
        <v>1389</v>
      </c>
      <c r="AX29" s="1086" t="s">
        <v>1390</v>
      </c>
      <c r="AY29" s="1086" t="s">
        <v>1183</v>
      </c>
      <c r="AZ29" s="1086" t="s">
        <v>1369</v>
      </c>
      <c r="BA29" s="1086" t="s">
        <v>1363</v>
      </c>
      <c r="BB29" s="1086" t="s">
        <v>862</v>
      </c>
      <c r="BC29" s="1089">
        <v>224.24</v>
      </c>
      <c r="BD29" s="1086" t="s">
        <v>1326</v>
      </c>
      <c r="BE29" s="1086" t="s">
        <v>862</v>
      </c>
      <c r="BF29" s="1086" t="s">
        <v>1391</v>
      </c>
      <c r="BG29" s="1086" t="s">
        <v>862</v>
      </c>
      <c r="BH29" s="1086" t="s">
        <v>1365</v>
      </c>
      <c r="BI29" s="1086" t="s">
        <v>1392</v>
      </c>
      <c r="BJ29" s="1086" t="s">
        <v>1187</v>
      </c>
      <c r="BK29" s="1086" t="s">
        <v>862</v>
      </c>
      <c r="BL29" s="1086" t="s">
        <v>862</v>
      </c>
      <c r="BM29" s="1086" t="s">
        <v>862</v>
      </c>
      <c r="BN29" s="1086" t="s">
        <v>862</v>
      </c>
      <c r="BO29" s="1086" t="s">
        <v>1331</v>
      </c>
      <c r="BP29" s="1086" t="s">
        <v>862</v>
      </c>
    </row>
    <row r="30" spans="1:68">
      <c r="C30" s="70"/>
      <c r="G30">
        <v>22</v>
      </c>
      <c r="L30" s="666"/>
      <c r="M30" s="26"/>
      <c r="T30" s="855">
        <f t="shared" si="0"/>
        <v>20</v>
      </c>
      <c r="U30" s="32" t="s">
        <v>1052</v>
      </c>
      <c r="V30" s="32"/>
      <c r="W30" s="30"/>
      <c r="X30" s="30"/>
      <c r="Z30"/>
      <c r="AA30"/>
      <c r="AB30"/>
      <c r="AC30"/>
      <c r="AD30"/>
      <c r="AE30" s="32"/>
      <c r="AF30"/>
      <c r="AG30"/>
      <c r="AH30"/>
      <c r="AI30"/>
      <c r="AJ30" s="32"/>
      <c r="AK30"/>
      <c r="AP30" s="1086" t="s">
        <v>1317</v>
      </c>
      <c r="AQ30" s="1086" t="s">
        <v>1318</v>
      </c>
      <c r="AR30" s="1086" t="s">
        <v>1387</v>
      </c>
      <c r="AS30" s="1086" t="s">
        <v>1320</v>
      </c>
      <c r="AT30" s="1086" t="s">
        <v>1321</v>
      </c>
      <c r="AU30" s="1086" t="s">
        <v>1322</v>
      </c>
      <c r="AV30" s="1086" t="s">
        <v>1393</v>
      </c>
      <c r="AW30" s="1086" t="s">
        <v>1184</v>
      </c>
      <c r="AX30" s="1086" t="s">
        <v>5</v>
      </c>
      <c r="AY30" s="1086" t="s">
        <v>1183</v>
      </c>
      <c r="AZ30" s="1086" t="s">
        <v>1394</v>
      </c>
      <c r="BA30" s="1086" t="s">
        <v>1395</v>
      </c>
      <c r="BB30" s="1086" t="s">
        <v>862</v>
      </c>
      <c r="BC30" s="1089">
        <v>513.5</v>
      </c>
      <c r="BD30" s="1086" t="s">
        <v>1326</v>
      </c>
      <c r="BE30" s="1086" t="s">
        <v>862</v>
      </c>
      <c r="BF30" s="1086" t="s">
        <v>1396</v>
      </c>
      <c r="BG30" s="1086" t="s">
        <v>862</v>
      </c>
      <c r="BH30" s="1086" t="s">
        <v>1397</v>
      </c>
      <c r="BI30" s="1086" t="s">
        <v>1392</v>
      </c>
      <c r="BJ30" s="1086" t="s">
        <v>1187</v>
      </c>
      <c r="BK30" s="1086" t="s">
        <v>862</v>
      </c>
      <c r="BL30" s="1086" t="s">
        <v>862</v>
      </c>
      <c r="BM30" s="1086" t="s">
        <v>862</v>
      </c>
      <c r="BN30" s="1086" t="s">
        <v>862</v>
      </c>
      <c r="BO30" s="1086" t="s">
        <v>1331</v>
      </c>
      <c r="BP30" s="1086" t="s">
        <v>862</v>
      </c>
    </row>
    <row r="31" spans="1:68" ht="13.5" thickBot="1">
      <c r="C31" s="70"/>
      <c r="G31">
        <v>23</v>
      </c>
      <c r="S31" s="117"/>
      <c r="T31" s="855">
        <f t="shared" si="0"/>
        <v>21</v>
      </c>
      <c r="U31" s="39" t="s">
        <v>1053</v>
      </c>
      <c r="V31" s="1021">
        <f>+'[30]ALLOCATIONS&amp;PRETAX'!$G$8</f>
        <v>0.49099999999999999</v>
      </c>
      <c r="W31" s="1022"/>
      <c r="X31" s="1022"/>
      <c r="Y31" s="257"/>
      <c r="Z31"/>
      <c r="AA31"/>
      <c r="AB31"/>
      <c r="AC31"/>
      <c r="AD31"/>
      <c r="AE31" s="32"/>
      <c r="AF31"/>
      <c r="AG31"/>
      <c r="AH31"/>
      <c r="AI31"/>
      <c r="AJ31" s="32"/>
      <c r="AK31"/>
      <c r="AP31" s="1086" t="s">
        <v>1317</v>
      </c>
      <c r="AQ31" s="1086" t="s">
        <v>1318</v>
      </c>
      <c r="AR31" s="1086" t="s">
        <v>1387</v>
      </c>
      <c r="AS31" s="1086" t="s">
        <v>1320</v>
      </c>
      <c r="AT31" s="1086" t="s">
        <v>1321</v>
      </c>
      <c r="AU31" s="1086" t="s">
        <v>1322</v>
      </c>
      <c r="AV31" s="1086" t="s">
        <v>1398</v>
      </c>
      <c r="AW31" s="1086" t="s">
        <v>1184</v>
      </c>
      <c r="AX31" s="1086" t="s">
        <v>5</v>
      </c>
      <c r="AY31" s="1086" t="s">
        <v>1183</v>
      </c>
      <c r="AZ31" s="1086" t="s">
        <v>1394</v>
      </c>
      <c r="BA31" s="1086" t="s">
        <v>1395</v>
      </c>
      <c r="BB31" s="1086" t="s">
        <v>862</v>
      </c>
      <c r="BC31" s="1089">
        <v>3125.13</v>
      </c>
      <c r="BD31" s="1086" t="s">
        <v>1326</v>
      </c>
      <c r="BE31" s="1086" t="s">
        <v>862</v>
      </c>
      <c r="BF31" s="1086" t="s">
        <v>1399</v>
      </c>
      <c r="BG31" s="1086" t="s">
        <v>862</v>
      </c>
      <c r="BH31" s="1086" t="s">
        <v>1397</v>
      </c>
      <c r="BI31" s="1086" t="s">
        <v>1392</v>
      </c>
      <c r="BJ31" s="1086" t="s">
        <v>1187</v>
      </c>
      <c r="BK31" s="1086" t="s">
        <v>862</v>
      </c>
      <c r="BL31" s="1086" t="s">
        <v>862</v>
      </c>
      <c r="BM31" s="1086" t="s">
        <v>862</v>
      </c>
      <c r="BN31" s="1086" t="s">
        <v>862</v>
      </c>
      <c r="BO31" s="1086" t="s">
        <v>1331</v>
      </c>
      <c r="BP31" s="1086" t="s">
        <v>862</v>
      </c>
    </row>
    <row r="32" spans="1:68">
      <c r="C32" s="70"/>
      <c r="G32">
        <v>24</v>
      </c>
      <c r="T32" s="855">
        <f t="shared" si="0"/>
        <v>22</v>
      </c>
      <c r="U32" s="411" t="s">
        <v>1054</v>
      </c>
      <c r="V32" s="701">
        <f>+W25*V31</f>
        <v>0</v>
      </c>
      <c r="W32" s="89">
        <f>+V32</f>
        <v>0</v>
      </c>
      <c r="X32" s="89">
        <f>+W32</f>
        <v>0</v>
      </c>
      <c r="Z32"/>
      <c r="AA32"/>
      <c r="AB32"/>
      <c r="AC32"/>
      <c r="AD32" s="32"/>
      <c r="AE32" s="32"/>
      <c r="AF32"/>
      <c r="AG32"/>
      <c r="AH32"/>
      <c r="AI32"/>
      <c r="AJ32" s="32"/>
      <c r="AK32"/>
      <c r="AP32" s="1086" t="s">
        <v>1317</v>
      </c>
      <c r="AQ32" s="1086" t="s">
        <v>1318</v>
      </c>
      <c r="AR32" s="1086" t="s">
        <v>1387</v>
      </c>
      <c r="AS32" s="1086" t="s">
        <v>1320</v>
      </c>
      <c r="AT32" s="1086" t="s">
        <v>1321</v>
      </c>
      <c r="AU32" s="1086" t="s">
        <v>1322</v>
      </c>
      <c r="AV32" s="1086" t="s">
        <v>1400</v>
      </c>
      <c r="AW32" s="1086" t="s">
        <v>1124</v>
      </c>
      <c r="AX32" s="1086" t="s">
        <v>1210</v>
      </c>
      <c r="AY32" s="1086" t="s">
        <v>1183</v>
      </c>
      <c r="AZ32" s="1086" t="s">
        <v>1185</v>
      </c>
      <c r="BA32" s="1086" t="s">
        <v>1334</v>
      </c>
      <c r="BB32" s="1086" t="s">
        <v>862</v>
      </c>
      <c r="BC32" s="1089">
        <v>165560.76999999999</v>
      </c>
      <c r="BD32" s="1086" t="s">
        <v>1326</v>
      </c>
      <c r="BE32" s="1086" t="s">
        <v>862</v>
      </c>
      <c r="BF32" s="1086" t="s">
        <v>1401</v>
      </c>
      <c r="BG32" s="1086" t="s">
        <v>862</v>
      </c>
      <c r="BH32" s="1086" t="s">
        <v>1328</v>
      </c>
      <c r="BI32" s="1086" t="s">
        <v>1374</v>
      </c>
      <c r="BJ32" s="1086" t="s">
        <v>1330</v>
      </c>
      <c r="BK32" s="1086" t="s">
        <v>862</v>
      </c>
      <c r="BL32" s="1086" t="s">
        <v>862</v>
      </c>
      <c r="BM32" s="1086" t="s">
        <v>862</v>
      </c>
      <c r="BN32" s="1086" t="s">
        <v>862</v>
      </c>
      <c r="BO32" s="1086" t="s">
        <v>1331</v>
      </c>
      <c r="BP32" s="1086" t="s">
        <v>862</v>
      </c>
    </row>
    <row r="33" spans="3:68">
      <c r="C33" s="570"/>
      <c r="F33" s="668"/>
      <c r="G33">
        <v>25</v>
      </c>
      <c r="S33" s="257"/>
      <c r="T33" s="32"/>
      <c r="U33"/>
      <c r="V33"/>
      <c r="W33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P33" s="1086" t="s">
        <v>1317</v>
      </c>
      <c r="AQ33" s="1086" t="s">
        <v>1318</v>
      </c>
      <c r="AR33" s="1086" t="s">
        <v>1387</v>
      </c>
      <c r="AS33" s="1086" t="s">
        <v>1320</v>
      </c>
      <c r="AT33" s="1086" t="s">
        <v>1321</v>
      </c>
      <c r="AU33" s="1086" t="s">
        <v>1322</v>
      </c>
      <c r="AV33" s="1086" t="s">
        <v>1402</v>
      </c>
      <c r="AW33" s="1086" t="s">
        <v>1184</v>
      </c>
      <c r="AX33" s="1086" t="s">
        <v>5</v>
      </c>
      <c r="AY33" s="1086" t="s">
        <v>1183</v>
      </c>
      <c r="AZ33" s="1086" t="s">
        <v>1332</v>
      </c>
      <c r="BA33" s="1086" t="s">
        <v>1325</v>
      </c>
      <c r="BB33" s="1086" t="s">
        <v>862</v>
      </c>
      <c r="BC33" s="1089">
        <v>4400</v>
      </c>
      <c r="BD33" s="1086" t="s">
        <v>1326</v>
      </c>
      <c r="BE33" s="1086" t="s">
        <v>862</v>
      </c>
      <c r="BF33" s="1086" t="s">
        <v>1403</v>
      </c>
      <c r="BG33" s="1086" t="s">
        <v>862</v>
      </c>
      <c r="BH33" s="1086" t="s">
        <v>1328</v>
      </c>
      <c r="BI33" s="1086" t="s">
        <v>1329</v>
      </c>
      <c r="BJ33" s="1086" t="s">
        <v>1330</v>
      </c>
      <c r="BK33" s="1086" t="s">
        <v>862</v>
      </c>
      <c r="BL33" s="1086" t="s">
        <v>862</v>
      </c>
      <c r="BM33" s="1086" t="s">
        <v>862</v>
      </c>
      <c r="BN33" s="1086" t="s">
        <v>862</v>
      </c>
      <c r="BO33" s="1086" t="s">
        <v>1331</v>
      </c>
      <c r="BP33" s="1086" t="s">
        <v>862</v>
      </c>
    </row>
    <row r="34" spans="3:68">
      <c r="G34">
        <v>26</v>
      </c>
      <c r="S34" s="257"/>
      <c r="T34" s="32"/>
      <c r="U34"/>
      <c r="V34"/>
      <c r="W34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P34" s="1086" t="s">
        <v>1317</v>
      </c>
      <c r="AQ34" s="1086" t="s">
        <v>1318</v>
      </c>
      <c r="AR34" s="1086" t="s">
        <v>1387</v>
      </c>
      <c r="AS34" s="1086" t="s">
        <v>1320</v>
      </c>
      <c r="AT34" s="1086" t="s">
        <v>1321</v>
      </c>
      <c r="AU34" s="1086" t="s">
        <v>1322</v>
      </c>
      <c r="AV34" s="1086" t="s">
        <v>1404</v>
      </c>
      <c r="AW34" s="1086" t="s">
        <v>1124</v>
      </c>
      <c r="AX34" s="1086" t="s">
        <v>1210</v>
      </c>
      <c r="AY34" s="1086" t="s">
        <v>1183</v>
      </c>
      <c r="AZ34" s="1086" t="s">
        <v>1185</v>
      </c>
      <c r="BA34" s="1086" t="s">
        <v>1334</v>
      </c>
      <c r="BB34" s="1086" t="s">
        <v>862</v>
      </c>
      <c r="BC34" s="1089">
        <v>-153652.69</v>
      </c>
      <c r="BD34" s="1086" t="s">
        <v>709</v>
      </c>
      <c r="BE34" s="1086" t="s">
        <v>862</v>
      </c>
      <c r="BF34" s="1086" t="s">
        <v>862</v>
      </c>
      <c r="BG34" s="1086" t="s">
        <v>862</v>
      </c>
      <c r="BH34" s="1086" t="s">
        <v>1328</v>
      </c>
      <c r="BI34" s="1086" t="s">
        <v>1345</v>
      </c>
      <c r="BJ34" s="1086" t="s">
        <v>1187</v>
      </c>
      <c r="BK34" s="1086" t="s">
        <v>862</v>
      </c>
      <c r="BL34" s="1086" t="s">
        <v>862</v>
      </c>
      <c r="BM34" s="1086" t="s">
        <v>862</v>
      </c>
      <c r="BN34" s="1086" t="s">
        <v>862</v>
      </c>
      <c r="BO34" s="1086" t="s">
        <v>1331</v>
      </c>
      <c r="BP34" s="1086" t="s">
        <v>862</v>
      </c>
    </row>
    <row r="35" spans="3:68">
      <c r="G35">
        <v>27</v>
      </c>
      <c r="S35" s="257"/>
      <c r="T35" s="32"/>
      <c r="U35"/>
      <c r="V35"/>
      <c r="W35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P35" s="1086" t="s">
        <v>1317</v>
      </c>
      <c r="AQ35" s="1086" t="s">
        <v>1318</v>
      </c>
      <c r="AR35" s="1086" t="s">
        <v>1387</v>
      </c>
      <c r="AS35" s="1086" t="s">
        <v>1320</v>
      </c>
      <c r="AT35" s="1086" t="s">
        <v>1321</v>
      </c>
      <c r="AU35" s="1086" t="s">
        <v>1322</v>
      </c>
      <c r="AV35" s="1086" t="s">
        <v>1405</v>
      </c>
      <c r="AW35" s="1086" t="s">
        <v>1347</v>
      </c>
      <c r="AX35" s="1086" t="s">
        <v>1348</v>
      </c>
      <c r="AY35" s="1086" t="s">
        <v>1183</v>
      </c>
      <c r="AZ35" s="1086" t="s">
        <v>1332</v>
      </c>
      <c r="BA35" s="1086" t="s">
        <v>1325</v>
      </c>
      <c r="BB35" s="1086" t="s">
        <v>862</v>
      </c>
      <c r="BC35" s="1089">
        <v>-4400</v>
      </c>
      <c r="BD35" s="1086" t="s">
        <v>709</v>
      </c>
      <c r="BE35" s="1086" t="s">
        <v>862</v>
      </c>
      <c r="BF35" s="1086" t="s">
        <v>862</v>
      </c>
      <c r="BG35" s="1086" t="s">
        <v>862</v>
      </c>
      <c r="BH35" s="1086" t="s">
        <v>1328</v>
      </c>
      <c r="BI35" s="1086" t="s">
        <v>1349</v>
      </c>
      <c r="BJ35" s="1086" t="s">
        <v>1350</v>
      </c>
      <c r="BK35" s="1086" t="s">
        <v>862</v>
      </c>
      <c r="BL35" s="1086" t="s">
        <v>862</v>
      </c>
      <c r="BM35" s="1086" t="s">
        <v>862</v>
      </c>
      <c r="BN35" s="1086" t="s">
        <v>862</v>
      </c>
      <c r="BO35" s="1086" t="s">
        <v>1331</v>
      </c>
      <c r="BP35" s="1086" t="s">
        <v>862</v>
      </c>
    </row>
    <row r="36" spans="3:68">
      <c r="G36">
        <v>28</v>
      </c>
      <c r="T36" s="32"/>
      <c r="U36"/>
      <c r="V36"/>
      <c r="W36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P36" s="1086" t="s">
        <v>1317</v>
      </c>
      <c r="AQ36" s="1086" t="s">
        <v>1318</v>
      </c>
      <c r="AR36" s="1086" t="s">
        <v>1387</v>
      </c>
      <c r="AS36" s="1086" t="s">
        <v>1320</v>
      </c>
      <c r="AT36" s="1086" t="s">
        <v>1321</v>
      </c>
      <c r="AU36" s="1086" t="s">
        <v>1322</v>
      </c>
      <c r="AV36" s="1086" t="s">
        <v>1405</v>
      </c>
      <c r="AW36" s="1086" t="s">
        <v>1347</v>
      </c>
      <c r="AX36" s="1086" t="s">
        <v>1348</v>
      </c>
      <c r="AY36" s="1086" t="s">
        <v>1183</v>
      </c>
      <c r="AZ36" s="1086" t="s">
        <v>1185</v>
      </c>
      <c r="BA36" s="1086" t="s">
        <v>1334</v>
      </c>
      <c r="BB36" s="1086" t="s">
        <v>862</v>
      </c>
      <c r="BC36" s="1089">
        <v>-11908.08</v>
      </c>
      <c r="BD36" s="1086" t="s">
        <v>709</v>
      </c>
      <c r="BE36" s="1086" t="s">
        <v>862</v>
      </c>
      <c r="BF36" s="1086" t="s">
        <v>862</v>
      </c>
      <c r="BG36" s="1086" t="s">
        <v>862</v>
      </c>
      <c r="BH36" s="1086" t="s">
        <v>1328</v>
      </c>
      <c r="BI36" s="1086" t="s">
        <v>1349</v>
      </c>
      <c r="BJ36" s="1086" t="s">
        <v>1350</v>
      </c>
      <c r="BK36" s="1086" t="s">
        <v>862</v>
      </c>
      <c r="BL36" s="1086" t="s">
        <v>862</v>
      </c>
      <c r="BM36" s="1086" t="s">
        <v>862</v>
      </c>
      <c r="BN36" s="1086" t="s">
        <v>862</v>
      </c>
      <c r="BO36" s="1086" t="s">
        <v>1331</v>
      </c>
      <c r="BP36" s="1086" t="s">
        <v>862</v>
      </c>
    </row>
    <row r="37" spans="3:68">
      <c r="G37">
        <v>29</v>
      </c>
      <c r="S37" s="89"/>
      <c r="T37" s="32"/>
      <c r="U37"/>
      <c r="V37"/>
      <c r="W37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P37" s="1086" t="s">
        <v>1317</v>
      </c>
      <c r="AQ37" s="1086" t="s">
        <v>1318</v>
      </c>
      <c r="AR37" s="1086" t="s">
        <v>1387</v>
      </c>
      <c r="AS37" s="1086" t="s">
        <v>1320</v>
      </c>
      <c r="AT37" s="1086" t="s">
        <v>1321</v>
      </c>
      <c r="AU37" s="1086" t="s">
        <v>1322</v>
      </c>
      <c r="AV37" s="1086" t="s">
        <v>1405</v>
      </c>
      <c r="AW37" s="1086" t="s">
        <v>1347</v>
      </c>
      <c r="AX37" s="1086" t="s">
        <v>1348</v>
      </c>
      <c r="AY37" s="1086" t="s">
        <v>1351</v>
      </c>
      <c r="AZ37" s="1086" t="s">
        <v>1352</v>
      </c>
      <c r="BA37" s="1086" t="s">
        <v>1353</v>
      </c>
      <c r="BB37" s="1086" t="s">
        <v>862</v>
      </c>
      <c r="BC37" s="1089">
        <v>16308.08</v>
      </c>
      <c r="BD37" s="1086" t="s">
        <v>1326</v>
      </c>
      <c r="BE37" s="1086" t="s">
        <v>862</v>
      </c>
      <c r="BF37" s="1086" t="s">
        <v>862</v>
      </c>
      <c r="BG37" s="1086" t="s">
        <v>862</v>
      </c>
      <c r="BH37" s="1086" t="s">
        <v>1354</v>
      </c>
      <c r="BI37" s="1086" t="s">
        <v>1349</v>
      </c>
      <c r="BJ37" s="1086" t="s">
        <v>1350</v>
      </c>
      <c r="BK37" s="1086" t="s">
        <v>862</v>
      </c>
      <c r="BL37" s="1086" t="s">
        <v>862</v>
      </c>
      <c r="BM37" s="1086" t="s">
        <v>862</v>
      </c>
      <c r="BN37" s="1086" t="s">
        <v>862</v>
      </c>
      <c r="BO37" s="1086" t="s">
        <v>1331</v>
      </c>
      <c r="BP37" s="1086" t="s">
        <v>862</v>
      </c>
    </row>
    <row r="38" spans="3:68">
      <c r="G38">
        <v>30</v>
      </c>
      <c r="T38" s="32"/>
      <c r="U38"/>
      <c r="V38"/>
      <c r="W38"/>
      <c r="AP38" s="1086" t="s">
        <v>1317</v>
      </c>
      <c r="AQ38" s="1086" t="s">
        <v>1318</v>
      </c>
      <c r="AR38" s="1086" t="s">
        <v>966</v>
      </c>
      <c r="AS38" s="1086" t="s">
        <v>1320</v>
      </c>
      <c r="AT38" s="1086" t="s">
        <v>1321</v>
      </c>
      <c r="AU38" s="1086" t="s">
        <v>1322</v>
      </c>
      <c r="AV38" s="1086" t="s">
        <v>1406</v>
      </c>
      <c r="AW38" s="1086" t="s">
        <v>1407</v>
      </c>
      <c r="AX38" s="1086" t="s">
        <v>1408</v>
      </c>
      <c r="AY38" s="1086" t="s">
        <v>1183</v>
      </c>
      <c r="AZ38" s="1086" t="s">
        <v>1362</v>
      </c>
      <c r="BA38" s="1086" t="s">
        <v>1363</v>
      </c>
      <c r="BB38" s="1086" t="s">
        <v>862</v>
      </c>
      <c r="BC38" s="1089">
        <v>1414.64</v>
      </c>
      <c r="BD38" s="1086" t="s">
        <v>1326</v>
      </c>
      <c r="BE38" s="1086" t="s">
        <v>1364</v>
      </c>
      <c r="BF38" s="1086" t="s">
        <v>862</v>
      </c>
      <c r="BG38" s="1086" t="s">
        <v>1320</v>
      </c>
      <c r="BH38" s="1086" t="s">
        <v>1365</v>
      </c>
      <c r="BI38" s="1086" t="s">
        <v>420</v>
      </c>
      <c r="BJ38" s="1086" t="s">
        <v>1366</v>
      </c>
      <c r="BK38" s="1086" t="s">
        <v>1183</v>
      </c>
      <c r="BL38" s="1086" t="s">
        <v>1367</v>
      </c>
      <c r="BM38" s="1086" t="s">
        <v>1363</v>
      </c>
      <c r="BN38" s="1086" t="s">
        <v>862</v>
      </c>
      <c r="BO38" s="1086" t="s">
        <v>1368</v>
      </c>
      <c r="BP38" s="1086" t="s">
        <v>862</v>
      </c>
    </row>
    <row r="39" spans="3:68">
      <c r="G39">
        <v>31</v>
      </c>
      <c r="T39" s="32"/>
      <c r="U39"/>
      <c r="V39"/>
      <c r="W39"/>
      <c r="AP39" s="1086" t="s">
        <v>1317</v>
      </c>
      <c r="AQ39" s="1086" t="s">
        <v>1318</v>
      </c>
      <c r="AR39" s="1086" t="s">
        <v>966</v>
      </c>
      <c r="AS39" s="1086" t="s">
        <v>1320</v>
      </c>
      <c r="AT39" s="1086" t="s">
        <v>1321</v>
      </c>
      <c r="AU39" s="1086" t="s">
        <v>1322</v>
      </c>
      <c r="AV39" s="1086" t="s">
        <v>1406</v>
      </c>
      <c r="AW39" s="1086" t="s">
        <v>1407</v>
      </c>
      <c r="AX39" s="1086" t="s">
        <v>1408</v>
      </c>
      <c r="AY39" s="1086" t="s">
        <v>1183</v>
      </c>
      <c r="AZ39" s="1086" t="s">
        <v>1369</v>
      </c>
      <c r="BA39" s="1086" t="s">
        <v>1363</v>
      </c>
      <c r="BB39" s="1086" t="s">
        <v>862</v>
      </c>
      <c r="BC39" s="1089">
        <v>50214.38</v>
      </c>
      <c r="BD39" s="1086" t="s">
        <v>1326</v>
      </c>
      <c r="BE39" s="1086" t="s">
        <v>1364</v>
      </c>
      <c r="BF39" s="1086" t="s">
        <v>862</v>
      </c>
      <c r="BG39" s="1086" t="s">
        <v>1320</v>
      </c>
      <c r="BH39" s="1086" t="s">
        <v>1365</v>
      </c>
      <c r="BI39" s="1086" t="s">
        <v>420</v>
      </c>
      <c r="BJ39" s="1086" t="s">
        <v>1366</v>
      </c>
      <c r="BK39" s="1086" t="s">
        <v>1183</v>
      </c>
      <c r="BL39" s="1086" t="s">
        <v>1367</v>
      </c>
      <c r="BM39" s="1086" t="s">
        <v>1363</v>
      </c>
      <c r="BN39" s="1086" t="s">
        <v>862</v>
      </c>
      <c r="BO39" s="1086" t="s">
        <v>1368</v>
      </c>
      <c r="BP39" s="1086" t="s">
        <v>862</v>
      </c>
    </row>
    <row r="40" spans="3:68">
      <c r="G40">
        <v>32</v>
      </c>
      <c r="AP40" s="1086" t="s">
        <v>1317</v>
      </c>
      <c r="AQ40" s="1086" t="s">
        <v>1318</v>
      </c>
      <c r="AR40" s="1086" t="s">
        <v>967</v>
      </c>
      <c r="AS40" s="1086" t="s">
        <v>1320</v>
      </c>
      <c r="AT40" s="1086" t="s">
        <v>1321</v>
      </c>
      <c r="AU40" s="1086" t="s">
        <v>1322</v>
      </c>
      <c r="AV40" s="1086" t="s">
        <v>1409</v>
      </c>
      <c r="AW40" s="1086" t="s">
        <v>1116</v>
      </c>
      <c r="AX40" s="1086" t="s">
        <v>1117</v>
      </c>
      <c r="AY40" s="1086" t="s">
        <v>1183</v>
      </c>
      <c r="AZ40" s="1086" t="s">
        <v>1362</v>
      </c>
      <c r="BA40" s="1086" t="s">
        <v>1363</v>
      </c>
      <c r="BB40" s="1086" t="s">
        <v>862</v>
      </c>
      <c r="BC40" s="1089">
        <v>11</v>
      </c>
      <c r="BD40" s="1086" t="s">
        <v>1326</v>
      </c>
      <c r="BE40" s="1086" t="s">
        <v>1364</v>
      </c>
      <c r="BF40" s="1086" t="s">
        <v>862</v>
      </c>
      <c r="BG40" s="1086" t="s">
        <v>1320</v>
      </c>
      <c r="BH40" s="1086" t="s">
        <v>1365</v>
      </c>
      <c r="BI40" s="1086" t="s">
        <v>420</v>
      </c>
      <c r="BJ40" s="1086" t="s">
        <v>1366</v>
      </c>
      <c r="BK40" s="1086" t="s">
        <v>1183</v>
      </c>
      <c r="BL40" s="1086" t="s">
        <v>1367</v>
      </c>
      <c r="BM40" s="1086" t="s">
        <v>1363</v>
      </c>
      <c r="BN40" s="1086" t="s">
        <v>862</v>
      </c>
      <c r="BO40" s="1086" t="s">
        <v>1368</v>
      </c>
      <c r="BP40" s="1086" t="s">
        <v>862</v>
      </c>
    </row>
    <row r="41" spans="3:68">
      <c r="G41">
        <v>33</v>
      </c>
      <c r="K41" s="98"/>
      <c r="L41" s="855"/>
      <c r="N41" s="89"/>
      <c r="O41" s="89"/>
      <c r="P41" s="89"/>
      <c r="Q41" s="89"/>
      <c r="R41" s="89"/>
      <c r="AP41" s="1086" t="s">
        <v>1317</v>
      </c>
      <c r="AQ41" s="1086" t="s">
        <v>1318</v>
      </c>
      <c r="AR41" s="1086" t="s">
        <v>967</v>
      </c>
      <c r="AS41" s="1086" t="s">
        <v>1320</v>
      </c>
      <c r="AT41" s="1086" t="s">
        <v>1321</v>
      </c>
      <c r="AU41" s="1086" t="s">
        <v>1322</v>
      </c>
      <c r="AV41" s="1086" t="s">
        <v>1409</v>
      </c>
      <c r="AW41" s="1086" t="s">
        <v>1116</v>
      </c>
      <c r="AX41" s="1086" t="s">
        <v>1117</v>
      </c>
      <c r="AY41" s="1086" t="s">
        <v>1183</v>
      </c>
      <c r="AZ41" s="1086" t="s">
        <v>1369</v>
      </c>
      <c r="BA41" s="1086" t="s">
        <v>1363</v>
      </c>
      <c r="BB41" s="1086" t="s">
        <v>862</v>
      </c>
      <c r="BC41" s="1089">
        <v>390.32</v>
      </c>
      <c r="BD41" s="1086" t="s">
        <v>1326</v>
      </c>
      <c r="BE41" s="1086" t="s">
        <v>1364</v>
      </c>
      <c r="BF41" s="1086" t="s">
        <v>862</v>
      </c>
      <c r="BG41" s="1086" t="s">
        <v>1320</v>
      </c>
      <c r="BH41" s="1086" t="s">
        <v>1365</v>
      </c>
      <c r="BI41" s="1086" t="s">
        <v>420</v>
      </c>
      <c r="BJ41" s="1086" t="s">
        <v>1366</v>
      </c>
      <c r="BK41" s="1086" t="s">
        <v>1183</v>
      </c>
      <c r="BL41" s="1086" t="s">
        <v>1367</v>
      </c>
      <c r="BM41" s="1086" t="s">
        <v>1363</v>
      </c>
      <c r="BN41" s="1086" t="s">
        <v>862</v>
      </c>
      <c r="BO41" s="1086" t="s">
        <v>1368</v>
      </c>
      <c r="BP41" s="1086" t="s">
        <v>862</v>
      </c>
    </row>
    <row r="42" spans="3:68">
      <c r="G42">
        <v>34</v>
      </c>
      <c r="AP42" s="1086" t="s">
        <v>1317</v>
      </c>
      <c r="AQ42" s="1086" t="s">
        <v>1318</v>
      </c>
      <c r="AR42" s="1086" t="s">
        <v>967</v>
      </c>
      <c r="AS42" s="1086" t="s">
        <v>1320</v>
      </c>
      <c r="AT42" s="1086" t="s">
        <v>1321</v>
      </c>
      <c r="AU42" s="1086" t="s">
        <v>1322</v>
      </c>
      <c r="AV42" s="1086" t="s">
        <v>1409</v>
      </c>
      <c r="AW42" s="1086" t="s">
        <v>1407</v>
      </c>
      <c r="AX42" s="1086" t="s">
        <v>1408</v>
      </c>
      <c r="AY42" s="1086" t="s">
        <v>1183</v>
      </c>
      <c r="AZ42" s="1086" t="s">
        <v>1369</v>
      </c>
      <c r="BA42" s="1086" t="s">
        <v>1363</v>
      </c>
      <c r="BB42" s="1086" t="s">
        <v>862</v>
      </c>
      <c r="BC42" s="1089">
        <v>25107.19</v>
      </c>
      <c r="BD42" s="1086" t="s">
        <v>1326</v>
      </c>
      <c r="BE42" s="1086" t="s">
        <v>1364</v>
      </c>
      <c r="BF42" s="1086" t="s">
        <v>862</v>
      </c>
      <c r="BG42" s="1086" t="s">
        <v>1320</v>
      </c>
      <c r="BH42" s="1086" t="s">
        <v>1365</v>
      </c>
      <c r="BI42" s="1086" t="s">
        <v>420</v>
      </c>
      <c r="BJ42" s="1086" t="s">
        <v>1366</v>
      </c>
      <c r="BK42" s="1086" t="s">
        <v>1183</v>
      </c>
      <c r="BL42" s="1086" t="s">
        <v>1367</v>
      </c>
      <c r="BM42" s="1086" t="s">
        <v>1363</v>
      </c>
      <c r="BN42" s="1086" t="s">
        <v>862</v>
      </c>
      <c r="BO42" s="1086" t="s">
        <v>1368</v>
      </c>
      <c r="BP42" s="1086" t="s">
        <v>862</v>
      </c>
    </row>
    <row r="43" spans="3:68">
      <c r="G43">
        <v>35</v>
      </c>
      <c r="AP43" s="1086" t="s">
        <v>1317</v>
      </c>
      <c r="AQ43" s="1086" t="s">
        <v>1318</v>
      </c>
      <c r="AR43" s="1086" t="s">
        <v>967</v>
      </c>
      <c r="AS43" s="1086" t="s">
        <v>1320</v>
      </c>
      <c r="AT43" s="1086" t="s">
        <v>1321</v>
      </c>
      <c r="AU43" s="1086" t="s">
        <v>1322</v>
      </c>
      <c r="AV43" s="1086" t="s">
        <v>1409</v>
      </c>
      <c r="AW43" s="1086" t="s">
        <v>1407</v>
      </c>
      <c r="AX43" s="1086" t="s">
        <v>1408</v>
      </c>
      <c r="AY43" s="1086" t="s">
        <v>1183</v>
      </c>
      <c r="AZ43" s="1086" t="s">
        <v>1362</v>
      </c>
      <c r="BA43" s="1086" t="s">
        <v>1363</v>
      </c>
      <c r="BB43" s="1086" t="s">
        <v>862</v>
      </c>
      <c r="BC43" s="1089">
        <v>707.32</v>
      </c>
      <c r="BD43" s="1086" t="s">
        <v>1326</v>
      </c>
      <c r="BE43" s="1086" t="s">
        <v>1364</v>
      </c>
      <c r="BF43" s="1086" t="s">
        <v>862</v>
      </c>
      <c r="BG43" s="1086" t="s">
        <v>1320</v>
      </c>
      <c r="BH43" s="1086" t="s">
        <v>1365</v>
      </c>
      <c r="BI43" s="1086" t="s">
        <v>420</v>
      </c>
      <c r="BJ43" s="1086" t="s">
        <v>1366</v>
      </c>
      <c r="BK43" s="1086" t="s">
        <v>1183</v>
      </c>
      <c r="BL43" s="1086" t="s">
        <v>1367</v>
      </c>
      <c r="BM43" s="1086" t="s">
        <v>1363</v>
      </c>
      <c r="BN43" s="1086" t="s">
        <v>862</v>
      </c>
      <c r="BO43" s="1086" t="s">
        <v>1368</v>
      </c>
      <c r="BP43" s="1086" t="s">
        <v>862</v>
      </c>
    </row>
    <row r="44" spans="3:68">
      <c r="G44">
        <v>43</v>
      </c>
      <c r="AP44" s="1086" t="s">
        <v>1317</v>
      </c>
      <c r="AQ44" s="1086" t="s">
        <v>1318</v>
      </c>
      <c r="AR44" s="1086" t="s">
        <v>968</v>
      </c>
      <c r="AS44" s="1086" t="s">
        <v>1320</v>
      </c>
      <c r="AT44" s="1086" t="s">
        <v>1321</v>
      </c>
      <c r="AU44" s="1086" t="s">
        <v>1322</v>
      </c>
      <c r="AV44" s="1086" t="s">
        <v>1410</v>
      </c>
      <c r="AW44" s="1086" t="s">
        <v>1407</v>
      </c>
      <c r="AX44" s="1086" t="s">
        <v>1408</v>
      </c>
      <c r="AY44" s="1086" t="s">
        <v>1183</v>
      </c>
      <c r="AZ44" s="1086" t="s">
        <v>1369</v>
      </c>
      <c r="BA44" s="1086" t="s">
        <v>1363</v>
      </c>
      <c r="BB44" s="1086" t="s">
        <v>862</v>
      </c>
      <c r="BC44" s="1089">
        <v>25107.19</v>
      </c>
      <c r="BD44" s="1086" t="s">
        <v>1326</v>
      </c>
      <c r="BE44" s="1086" t="s">
        <v>1364</v>
      </c>
      <c r="BF44" s="1086" t="s">
        <v>862</v>
      </c>
      <c r="BG44" s="1086" t="s">
        <v>1320</v>
      </c>
      <c r="BH44" s="1086" t="s">
        <v>1365</v>
      </c>
      <c r="BI44" s="1086" t="s">
        <v>420</v>
      </c>
      <c r="BJ44" s="1086" t="s">
        <v>1366</v>
      </c>
      <c r="BK44" s="1086" t="s">
        <v>1183</v>
      </c>
      <c r="BL44" s="1086" t="s">
        <v>1367</v>
      </c>
      <c r="BM44" s="1086" t="s">
        <v>1363</v>
      </c>
      <c r="BN44" s="1086" t="s">
        <v>862</v>
      </c>
      <c r="BO44" s="1086" t="s">
        <v>1368</v>
      </c>
      <c r="BP44" s="1086" t="s">
        <v>862</v>
      </c>
    </row>
    <row r="45" spans="3:68">
      <c r="G45">
        <v>44</v>
      </c>
      <c r="AP45" s="1086" t="s">
        <v>1317</v>
      </c>
      <c r="AQ45" s="1086" t="s">
        <v>1318</v>
      </c>
      <c r="AR45" s="1086" t="s">
        <v>968</v>
      </c>
      <c r="AS45" s="1086" t="s">
        <v>1320</v>
      </c>
      <c r="AT45" s="1086" t="s">
        <v>1321</v>
      </c>
      <c r="AU45" s="1086" t="s">
        <v>1322</v>
      </c>
      <c r="AV45" s="1086" t="s">
        <v>1410</v>
      </c>
      <c r="AW45" s="1086" t="s">
        <v>1407</v>
      </c>
      <c r="AX45" s="1086" t="s">
        <v>1408</v>
      </c>
      <c r="AY45" s="1086" t="s">
        <v>1183</v>
      </c>
      <c r="AZ45" s="1086" t="s">
        <v>1362</v>
      </c>
      <c r="BA45" s="1086" t="s">
        <v>1363</v>
      </c>
      <c r="BB45" s="1086" t="s">
        <v>862</v>
      </c>
      <c r="BC45" s="1089">
        <v>707.32</v>
      </c>
      <c r="BD45" s="1086" t="s">
        <v>1326</v>
      </c>
      <c r="BE45" s="1086" t="s">
        <v>1364</v>
      </c>
      <c r="BF45" s="1086" t="s">
        <v>862</v>
      </c>
      <c r="BG45" s="1086" t="s">
        <v>1320</v>
      </c>
      <c r="BH45" s="1086" t="s">
        <v>1365</v>
      </c>
      <c r="BI45" s="1086" t="s">
        <v>420</v>
      </c>
      <c r="BJ45" s="1086" t="s">
        <v>1366</v>
      </c>
      <c r="BK45" s="1086" t="s">
        <v>1183</v>
      </c>
      <c r="BL45" s="1086" t="s">
        <v>1367</v>
      </c>
      <c r="BM45" s="1086" t="s">
        <v>1363</v>
      </c>
      <c r="BN45" s="1086" t="s">
        <v>862</v>
      </c>
      <c r="BO45" s="1086" t="s">
        <v>1368</v>
      </c>
      <c r="BP45" s="1086" t="s">
        <v>862</v>
      </c>
    </row>
    <row r="46" spans="3:68">
      <c r="G46">
        <v>45</v>
      </c>
      <c r="AP46" s="1086" t="s">
        <v>1317</v>
      </c>
      <c r="AQ46" s="1086" t="s">
        <v>1318</v>
      </c>
      <c r="AR46" s="1086" t="s">
        <v>968</v>
      </c>
      <c r="AS46" s="1086" t="s">
        <v>1320</v>
      </c>
      <c r="AT46" s="1086" t="s">
        <v>1321</v>
      </c>
      <c r="AU46" s="1086" t="s">
        <v>1322</v>
      </c>
      <c r="AV46" s="1086" t="s">
        <v>1411</v>
      </c>
      <c r="AW46" s="1086" t="s">
        <v>1184</v>
      </c>
      <c r="AX46" s="1086" t="s">
        <v>5</v>
      </c>
      <c r="AY46" s="1086" t="s">
        <v>1183</v>
      </c>
      <c r="AZ46" s="1086" t="s">
        <v>1185</v>
      </c>
      <c r="BA46" s="1086" t="s">
        <v>1334</v>
      </c>
      <c r="BB46" s="1086" t="s">
        <v>862</v>
      </c>
      <c r="BC46" s="1089">
        <v>21317.32</v>
      </c>
      <c r="BD46" s="1086" t="s">
        <v>1326</v>
      </c>
      <c r="BE46" s="1086" t="s">
        <v>862</v>
      </c>
      <c r="BF46" s="1086" t="s">
        <v>1412</v>
      </c>
      <c r="BG46" s="1086" t="s">
        <v>862</v>
      </c>
      <c r="BH46" s="1086" t="s">
        <v>1328</v>
      </c>
      <c r="BI46" s="1086" t="s">
        <v>1374</v>
      </c>
      <c r="BJ46" s="1086" t="s">
        <v>1330</v>
      </c>
      <c r="BK46" s="1086" t="s">
        <v>862</v>
      </c>
      <c r="BL46" s="1086" t="s">
        <v>862</v>
      </c>
      <c r="BM46" s="1086" t="s">
        <v>862</v>
      </c>
      <c r="BN46" s="1086" t="s">
        <v>862</v>
      </c>
      <c r="BO46" s="1086" t="s">
        <v>1331</v>
      </c>
      <c r="BP46" s="1086" t="s">
        <v>862</v>
      </c>
    </row>
    <row r="47" spans="3:68">
      <c r="G47">
        <v>46</v>
      </c>
      <c r="AP47" s="1086" t="s">
        <v>1317</v>
      </c>
      <c r="AQ47" s="1086" t="s">
        <v>1318</v>
      </c>
      <c r="AR47" s="1086" t="s">
        <v>968</v>
      </c>
      <c r="AS47" s="1086" t="s">
        <v>1320</v>
      </c>
      <c r="AT47" s="1086" t="s">
        <v>1321</v>
      </c>
      <c r="AU47" s="1086" t="s">
        <v>1322</v>
      </c>
      <c r="AV47" s="1086" t="s">
        <v>1413</v>
      </c>
      <c r="AW47" s="1086" t="s">
        <v>1184</v>
      </c>
      <c r="AX47" s="1086" t="s">
        <v>5</v>
      </c>
      <c r="AY47" s="1086" t="s">
        <v>1183</v>
      </c>
      <c r="AZ47" s="1086" t="s">
        <v>1186</v>
      </c>
      <c r="BA47" s="1086" t="s">
        <v>5</v>
      </c>
      <c r="BB47" s="1086" t="s">
        <v>862</v>
      </c>
      <c r="BC47" s="1089">
        <v>1300</v>
      </c>
      <c r="BD47" s="1086" t="s">
        <v>1326</v>
      </c>
      <c r="BE47" s="1086" t="s">
        <v>862</v>
      </c>
      <c r="BF47" s="1086" t="s">
        <v>1414</v>
      </c>
      <c r="BG47" s="1086" t="s">
        <v>862</v>
      </c>
      <c r="BH47" s="1086" t="s">
        <v>1328</v>
      </c>
      <c r="BI47" s="1086" t="s">
        <v>1329</v>
      </c>
      <c r="BJ47" s="1086" t="s">
        <v>1330</v>
      </c>
      <c r="BK47" s="1086" t="s">
        <v>862</v>
      </c>
      <c r="BL47" s="1086" t="s">
        <v>862</v>
      </c>
      <c r="BM47" s="1086" t="s">
        <v>862</v>
      </c>
      <c r="BN47" s="1086" t="s">
        <v>862</v>
      </c>
      <c r="BO47" s="1086" t="s">
        <v>1331</v>
      </c>
      <c r="BP47" s="1086" t="s">
        <v>862</v>
      </c>
    </row>
    <row r="48" spans="3:68">
      <c r="G48">
        <v>47</v>
      </c>
      <c r="AP48" s="1086" t="s">
        <v>1317</v>
      </c>
      <c r="AQ48" s="1086" t="s">
        <v>1318</v>
      </c>
      <c r="AR48" s="1086" t="s">
        <v>968</v>
      </c>
      <c r="AS48" s="1086" t="s">
        <v>1320</v>
      </c>
      <c r="AT48" s="1086" t="s">
        <v>1321</v>
      </c>
      <c r="AU48" s="1086" t="s">
        <v>1322</v>
      </c>
      <c r="AV48" s="1086" t="s">
        <v>1415</v>
      </c>
      <c r="AW48" s="1086" t="s">
        <v>1184</v>
      </c>
      <c r="AX48" s="1086" t="s">
        <v>5</v>
      </c>
      <c r="AY48" s="1086" t="s">
        <v>1183</v>
      </c>
      <c r="AZ48" s="1086" t="s">
        <v>1186</v>
      </c>
      <c r="BA48" s="1086" t="s">
        <v>5</v>
      </c>
      <c r="BB48" s="1086" t="s">
        <v>862</v>
      </c>
      <c r="BC48" s="1089">
        <v>3764.34</v>
      </c>
      <c r="BD48" s="1086" t="s">
        <v>1326</v>
      </c>
      <c r="BE48" s="1086" t="s">
        <v>862</v>
      </c>
      <c r="BF48" s="1086" t="s">
        <v>1416</v>
      </c>
      <c r="BG48" s="1086" t="s">
        <v>862</v>
      </c>
      <c r="BH48" s="1086" t="s">
        <v>1328</v>
      </c>
      <c r="BI48" s="1086" t="s">
        <v>1329</v>
      </c>
      <c r="BJ48" s="1086" t="s">
        <v>1330</v>
      </c>
      <c r="BK48" s="1086" t="s">
        <v>862</v>
      </c>
      <c r="BL48" s="1086" t="s">
        <v>862</v>
      </c>
      <c r="BM48" s="1086" t="s">
        <v>862</v>
      </c>
      <c r="BN48" s="1086" t="s">
        <v>862</v>
      </c>
      <c r="BO48" s="1086" t="s">
        <v>1331</v>
      </c>
      <c r="BP48" s="1086" t="s">
        <v>862</v>
      </c>
    </row>
    <row r="49" spans="7:68">
      <c r="G49">
        <v>48</v>
      </c>
      <c r="AP49" s="1086" t="s">
        <v>1317</v>
      </c>
      <c r="AQ49" s="1086" t="s">
        <v>1318</v>
      </c>
      <c r="AR49" s="1086" t="s">
        <v>968</v>
      </c>
      <c r="AS49" s="1086" t="s">
        <v>1320</v>
      </c>
      <c r="AT49" s="1086" t="s">
        <v>1321</v>
      </c>
      <c r="AU49" s="1086" t="s">
        <v>1322</v>
      </c>
      <c r="AV49" s="1086" t="s">
        <v>1417</v>
      </c>
      <c r="AW49" s="1086" t="s">
        <v>1347</v>
      </c>
      <c r="AX49" s="1086" t="s">
        <v>1348</v>
      </c>
      <c r="AY49" s="1086" t="s">
        <v>1183</v>
      </c>
      <c r="AZ49" s="1086" t="s">
        <v>1185</v>
      </c>
      <c r="BA49" s="1086" t="s">
        <v>1334</v>
      </c>
      <c r="BB49" s="1086" t="s">
        <v>862</v>
      </c>
      <c r="BC49" s="1089">
        <v>-21317.32</v>
      </c>
      <c r="BD49" s="1086" t="s">
        <v>709</v>
      </c>
      <c r="BE49" s="1086" t="s">
        <v>862</v>
      </c>
      <c r="BF49" s="1086" t="s">
        <v>862</v>
      </c>
      <c r="BG49" s="1086" t="s">
        <v>862</v>
      </c>
      <c r="BH49" s="1086" t="s">
        <v>1328</v>
      </c>
      <c r="BI49" s="1086" t="s">
        <v>1349</v>
      </c>
      <c r="BJ49" s="1086" t="s">
        <v>1350</v>
      </c>
      <c r="BK49" s="1086" t="s">
        <v>862</v>
      </c>
      <c r="BL49" s="1086" t="s">
        <v>862</v>
      </c>
      <c r="BM49" s="1086" t="s">
        <v>862</v>
      </c>
      <c r="BN49" s="1086" t="s">
        <v>862</v>
      </c>
      <c r="BO49" s="1086" t="s">
        <v>1331</v>
      </c>
      <c r="BP49" s="1086" t="s">
        <v>862</v>
      </c>
    </row>
    <row r="50" spans="7:68">
      <c r="AP50" s="1086" t="s">
        <v>1317</v>
      </c>
      <c r="AQ50" s="1086" t="s">
        <v>1318</v>
      </c>
      <c r="AR50" s="1086" t="s">
        <v>968</v>
      </c>
      <c r="AS50" s="1086" t="s">
        <v>1320</v>
      </c>
      <c r="AT50" s="1086" t="s">
        <v>1321</v>
      </c>
      <c r="AU50" s="1086" t="s">
        <v>1322</v>
      </c>
      <c r="AV50" s="1086" t="s">
        <v>1417</v>
      </c>
      <c r="AW50" s="1086" t="s">
        <v>1347</v>
      </c>
      <c r="AX50" s="1086" t="s">
        <v>1348</v>
      </c>
      <c r="AY50" s="1086" t="s">
        <v>1351</v>
      </c>
      <c r="AZ50" s="1086" t="s">
        <v>1352</v>
      </c>
      <c r="BA50" s="1086" t="s">
        <v>1353</v>
      </c>
      <c r="BB50" s="1086" t="s">
        <v>862</v>
      </c>
      <c r="BC50" s="1089">
        <v>21317.32</v>
      </c>
      <c r="BD50" s="1086" t="s">
        <v>1326</v>
      </c>
      <c r="BE50" s="1086" t="s">
        <v>862</v>
      </c>
      <c r="BF50" s="1086" t="s">
        <v>862</v>
      </c>
      <c r="BG50" s="1086" t="s">
        <v>862</v>
      </c>
      <c r="BH50" s="1086" t="s">
        <v>1354</v>
      </c>
      <c r="BI50" s="1086" t="s">
        <v>1349</v>
      </c>
      <c r="BJ50" s="1086" t="s">
        <v>1350</v>
      </c>
      <c r="BK50" s="1086" t="s">
        <v>862</v>
      </c>
      <c r="BL50" s="1086" t="s">
        <v>862</v>
      </c>
      <c r="BM50" s="1086" t="s">
        <v>862</v>
      </c>
      <c r="BN50" s="1086" t="s">
        <v>862</v>
      </c>
      <c r="BO50" s="1086" t="s">
        <v>1331</v>
      </c>
      <c r="BP50" s="1086" t="s">
        <v>862</v>
      </c>
    </row>
    <row r="51" spans="7:68">
      <c r="AP51" s="1086" t="s">
        <v>1317</v>
      </c>
      <c r="AQ51" s="1086" t="s">
        <v>1318</v>
      </c>
      <c r="AR51" s="1086" t="s">
        <v>968</v>
      </c>
      <c r="AS51" s="1086" t="s">
        <v>1320</v>
      </c>
      <c r="AT51" s="1086" t="s">
        <v>1321</v>
      </c>
      <c r="AU51" s="1086" t="s">
        <v>1322</v>
      </c>
      <c r="AV51" s="1086" t="s">
        <v>1418</v>
      </c>
      <c r="AW51" s="1086" t="s">
        <v>1347</v>
      </c>
      <c r="AX51" s="1086" t="s">
        <v>1348</v>
      </c>
      <c r="AY51" s="1086" t="s">
        <v>1351</v>
      </c>
      <c r="AZ51" s="1086" t="s">
        <v>1352</v>
      </c>
      <c r="BA51" s="1086" t="s">
        <v>1353</v>
      </c>
      <c r="BB51" s="1086" t="s">
        <v>862</v>
      </c>
      <c r="BC51" s="1089">
        <v>5064.34</v>
      </c>
      <c r="BD51" s="1086" t="s">
        <v>1326</v>
      </c>
      <c r="BE51" s="1086" t="s">
        <v>862</v>
      </c>
      <c r="BF51" s="1086" t="s">
        <v>862</v>
      </c>
      <c r="BG51" s="1086" t="s">
        <v>862</v>
      </c>
      <c r="BH51" s="1086" t="s">
        <v>1354</v>
      </c>
      <c r="BI51" s="1086" t="s">
        <v>1349</v>
      </c>
      <c r="BJ51" s="1086" t="s">
        <v>1350</v>
      </c>
      <c r="BK51" s="1086" t="s">
        <v>862</v>
      </c>
      <c r="BL51" s="1086" t="s">
        <v>862</v>
      </c>
      <c r="BM51" s="1086" t="s">
        <v>862</v>
      </c>
      <c r="BN51" s="1086" t="s">
        <v>862</v>
      </c>
      <c r="BO51" s="1086" t="s">
        <v>1331</v>
      </c>
      <c r="BP51" s="1086" t="s">
        <v>862</v>
      </c>
    </row>
    <row r="52" spans="7:68">
      <c r="AP52" s="1086" t="s">
        <v>1317</v>
      </c>
      <c r="AQ52" s="1086" t="s">
        <v>1318</v>
      </c>
      <c r="AR52" s="1086" t="s">
        <v>968</v>
      </c>
      <c r="AS52" s="1086" t="s">
        <v>1320</v>
      </c>
      <c r="AT52" s="1086" t="s">
        <v>1321</v>
      </c>
      <c r="AU52" s="1086" t="s">
        <v>1322</v>
      </c>
      <c r="AV52" s="1086" t="s">
        <v>1418</v>
      </c>
      <c r="AW52" s="1086" t="s">
        <v>1347</v>
      </c>
      <c r="AX52" s="1086" t="s">
        <v>1348</v>
      </c>
      <c r="AY52" s="1086" t="s">
        <v>1351</v>
      </c>
      <c r="AZ52" s="1086" t="s">
        <v>1380</v>
      </c>
      <c r="BA52" s="1086" t="s">
        <v>1381</v>
      </c>
      <c r="BB52" s="1086" t="s">
        <v>862</v>
      </c>
      <c r="BC52" s="1089">
        <v>-5064.34</v>
      </c>
      <c r="BD52" s="1086" t="s">
        <v>709</v>
      </c>
      <c r="BE52" s="1086" t="s">
        <v>862</v>
      </c>
      <c r="BF52" s="1086" t="s">
        <v>862</v>
      </c>
      <c r="BG52" s="1086" t="s">
        <v>862</v>
      </c>
      <c r="BH52" s="1086" t="s">
        <v>1328</v>
      </c>
      <c r="BI52" s="1086" t="s">
        <v>1349</v>
      </c>
      <c r="BJ52" s="1086" t="s">
        <v>1350</v>
      </c>
      <c r="BK52" s="1086" t="s">
        <v>862</v>
      </c>
      <c r="BL52" s="1086" t="s">
        <v>862</v>
      </c>
      <c r="BM52" s="1086" t="s">
        <v>862</v>
      </c>
      <c r="BN52" s="1086" t="s">
        <v>862</v>
      </c>
      <c r="BO52" s="1086" t="s">
        <v>1331</v>
      </c>
      <c r="BP52" s="1086" t="s">
        <v>862</v>
      </c>
    </row>
    <row r="53" spans="7:68">
      <c r="AP53" s="1086" t="s">
        <v>1317</v>
      </c>
      <c r="AQ53" s="1086" t="s">
        <v>1318</v>
      </c>
      <c r="AR53" s="1086" t="s">
        <v>973</v>
      </c>
      <c r="AS53" s="1086" t="s">
        <v>1320</v>
      </c>
      <c r="AT53" s="1086" t="s">
        <v>1321</v>
      </c>
      <c r="AU53" s="1086" t="s">
        <v>1322</v>
      </c>
      <c r="AV53" s="1086" t="s">
        <v>1419</v>
      </c>
      <c r="AW53" s="1086" t="s">
        <v>1389</v>
      </c>
      <c r="AX53" s="1086" t="s">
        <v>1390</v>
      </c>
      <c r="AY53" s="1086" t="s">
        <v>1183</v>
      </c>
      <c r="AZ53" s="1086" t="s">
        <v>1369</v>
      </c>
      <c r="BA53" s="1086" t="s">
        <v>1363</v>
      </c>
      <c r="BB53" s="1086" t="s">
        <v>862</v>
      </c>
      <c r="BC53" s="1089">
        <v>68.010000000000005</v>
      </c>
      <c r="BD53" s="1086" t="s">
        <v>1326</v>
      </c>
      <c r="BE53" s="1086" t="s">
        <v>862</v>
      </c>
      <c r="BF53" s="1086" t="s">
        <v>1420</v>
      </c>
      <c r="BG53" s="1086" t="s">
        <v>862</v>
      </c>
      <c r="BH53" s="1086" t="s">
        <v>1365</v>
      </c>
      <c r="BI53" s="1086" t="s">
        <v>1392</v>
      </c>
      <c r="BJ53" s="1086" t="s">
        <v>1187</v>
      </c>
      <c r="BK53" s="1086" t="s">
        <v>862</v>
      </c>
      <c r="BL53" s="1086" t="s">
        <v>862</v>
      </c>
      <c r="BM53" s="1086" t="s">
        <v>862</v>
      </c>
      <c r="BN53" s="1086" t="s">
        <v>862</v>
      </c>
      <c r="BO53" s="1086" t="s">
        <v>1331</v>
      </c>
      <c r="BP53" s="1086" t="s">
        <v>862</v>
      </c>
    </row>
    <row r="54" spans="7:68">
      <c r="AP54" s="1086" t="s">
        <v>1317</v>
      </c>
      <c r="AQ54" s="1086" t="s">
        <v>1318</v>
      </c>
      <c r="AR54" s="1086" t="s">
        <v>973</v>
      </c>
      <c r="AS54" s="1086" t="s">
        <v>1320</v>
      </c>
      <c r="AT54" s="1086" t="s">
        <v>1321</v>
      </c>
      <c r="AU54" s="1086" t="s">
        <v>1322</v>
      </c>
      <c r="AV54" s="1086" t="s">
        <v>1421</v>
      </c>
      <c r="AW54" s="1086" t="s">
        <v>1116</v>
      </c>
      <c r="AX54" s="1086" t="s">
        <v>1117</v>
      </c>
      <c r="AY54" s="1086" t="s">
        <v>1183</v>
      </c>
      <c r="AZ54" s="1086" t="s">
        <v>1362</v>
      </c>
      <c r="BA54" s="1086" t="s">
        <v>1363</v>
      </c>
      <c r="BB54" s="1086" t="s">
        <v>862</v>
      </c>
      <c r="BC54" s="1089">
        <v>13.6</v>
      </c>
      <c r="BD54" s="1086" t="s">
        <v>1326</v>
      </c>
      <c r="BE54" s="1086" t="s">
        <v>1364</v>
      </c>
      <c r="BF54" s="1086" t="s">
        <v>862</v>
      </c>
      <c r="BG54" s="1086" t="s">
        <v>1320</v>
      </c>
      <c r="BH54" s="1086" t="s">
        <v>1365</v>
      </c>
      <c r="BI54" s="1086" t="s">
        <v>420</v>
      </c>
      <c r="BJ54" s="1086" t="s">
        <v>1366</v>
      </c>
      <c r="BK54" s="1086" t="s">
        <v>1183</v>
      </c>
      <c r="BL54" s="1086" t="s">
        <v>1367</v>
      </c>
      <c r="BM54" s="1086" t="s">
        <v>1363</v>
      </c>
      <c r="BN54" s="1086" t="s">
        <v>862</v>
      </c>
      <c r="BO54" s="1086" t="s">
        <v>1368</v>
      </c>
      <c r="BP54" s="1086" t="s">
        <v>862</v>
      </c>
    </row>
    <row r="55" spans="7:68">
      <c r="AP55" s="1086" t="s">
        <v>1317</v>
      </c>
      <c r="AQ55" s="1086" t="s">
        <v>1318</v>
      </c>
      <c r="AR55" s="1086" t="s">
        <v>973</v>
      </c>
      <c r="AS55" s="1086" t="s">
        <v>1320</v>
      </c>
      <c r="AT55" s="1086" t="s">
        <v>1321</v>
      </c>
      <c r="AU55" s="1086" t="s">
        <v>1322</v>
      </c>
      <c r="AV55" s="1086" t="s">
        <v>1421</v>
      </c>
      <c r="AW55" s="1086" t="s">
        <v>1407</v>
      </c>
      <c r="AX55" s="1086" t="s">
        <v>1408</v>
      </c>
      <c r="AY55" s="1086" t="s">
        <v>1183</v>
      </c>
      <c r="AZ55" s="1086" t="s">
        <v>1369</v>
      </c>
      <c r="BA55" s="1086" t="s">
        <v>1363</v>
      </c>
      <c r="BB55" s="1086" t="s">
        <v>862</v>
      </c>
      <c r="BC55" s="1089">
        <v>25107.19</v>
      </c>
      <c r="BD55" s="1086" t="s">
        <v>1326</v>
      </c>
      <c r="BE55" s="1086" t="s">
        <v>1364</v>
      </c>
      <c r="BF55" s="1086" t="s">
        <v>862</v>
      </c>
      <c r="BG55" s="1086" t="s">
        <v>1320</v>
      </c>
      <c r="BH55" s="1086" t="s">
        <v>1365</v>
      </c>
      <c r="BI55" s="1086" t="s">
        <v>420</v>
      </c>
      <c r="BJ55" s="1086" t="s">
        <v>1366</v>
      </c>
      <c r="BK55" s="1086" t="s">
        <v>1183</v>
      </c>
      <c r="BL55" s="1086" t="s">
        <v>1367</v>
      </c>
      <c r="BM55" s="1086" t="s">
        <v>1363</v>
      </c>
      <c r="BN55" s="1086" t="s">
        <v>862</v>
      </c>
      <c r="BO55" s="1086" t="s">
        <v>1368</v>
      </c>
      <c r="BP55" s="1086" t="s">
        <v>862</v>
      </c>
    </row>
    <row r="56" spans="7:68">
      <c r="AP56" s="1086" t="s">
        <v>1317</v>
      </c>
      <c r="AQ56" s="1086" t="s">
        <v>1318</v>
      </c>
      <c r="AR56" s="1086" t="s">
        <v>973</v>
      </c>
      <c r="AS56" s="1086" t="s">
        <v>1320</v>
      </c>
      <c r="AT56" s="1086" t="s">
        <v>1321</v>
      </c>
      <c r="AU56" s="1086" t="s">
        <v>1322</v>
      </c>
      <c r="AV56" s="1086" t="s">
        <v>1421</v>
      </c>
      <c r="AW56" s="1086" t="s">
        <v>1407</v>
      </c>
      <c r="AX56" s="1086" t="s">
        <v>1408</v>
      </c>
      <c r="AY56" s="1086" t="s">
        <v>1183</v>
      </c>
      <c r="AZ56" s="1086" t="s">
        <v>1362</v>
      </c>
      <c r="BA56" s="1086" t="s">
        <v>1363</v>
      </c>
      <c r="BB56" s="1086" t="s">
        <v>862</v>
      </c>
      <c r="BC56" s="1089">
        <v>707.32</v>
      </c>
      <c r="BD56" s="1086" t="s">
        <v>1326</v>
      </c>
      <c r="BE56" s="1086" t="s">
        <v>1364</v>
      </c>
      <c r="BF56" s="1086" t="s">
        <v>862</v>
      </c>
      <c r="BG56" s="1086" t="s">
        <v>1320</v>
      </c>
      <c r="BH56" s="1086" t="s">
        <v>1365</v>
      </c>
      <c r="BI56" s="1086" t="s">
        <v>420</v>
      </c>
      <c r="BJ56" s="1086" t="s">
        <v>1366</v>
      </c>
      <c r="BK56" s="1086" t="s">
        <v>1183</v>
      </c>
      <c r="BL56" s="1086" t="s">
        <v>1367</v>
      </c>
      <c r="BM56" s="1086" t="s">
        <v>1363</v>
      </c>
      <c r="BN56" s="1086" t="s">
        <v>862</v>
      </c>
      <c r="BO56" s="1086" t="s">
        <v>1368</v>
      </c>
      <c r="BP56" s="1086" t="s">
        <v>862</v>
      </c>
    </row>
    <row r="57" spans="7:68">
      <c r="AP57" s="1086" t="s">
        <v>1317</v>
      </c>
      <c r="AQ57" s="1086" t="s">
        <v>1318</v>
      </c>
      <c r="AR57" s="1086" t="s">
        <v>973</v>
      </c>
      <c r="AS57" s="1086" t="s">
        <v>1320</v>
      </c>
      <c r="AT57" s="1086" t="s">
        <v>1321</v>
      </c>
      <c r="AU57" s="1086" t="s">
        <v>1322</v>
      </c>
      <c r="AV57" s="1086" t="s">
        <v>1421</v>
      </c>
      <c r="AW57" s="1086" t="s">
        <v>1116</v>
      </c>
      <c r="AX57" s="1086" t="s">
        <v>1117</v>
      </c>
      <c r="AY57" s="1086" t="s">
        <v>1183</v>
      </c>
      <c r="AZ57" s="1086" t="s">
        <v>1369</v>
      </c>
      <c r="BA57" s="1086" t="s">
        <v>1363</v>
      </c>
      <c r="BB57" s="1086" t="s">
        <v>862</v>
      </c>
      <c r="BC57" s="1089">
        <v>482.68</v>
      </c>
      <c r="BD57" s="1086" t="s">
        <v>1326</v>
      </c>
      <c r="BE57" s="1086" t="s">
        <v>1364</v>
      </c>
      <c r="BF57" s="1086" t="s">
        <v>862</v>
      </c>
      <c r="BG57" s="1086" t="s">
        <v>1320</v>
      </c>
      <c r="BH57" s="1086" t="s">
        <v>1365</v>
      </c>
      <c r="BI57" s="1086" t="s">
        <v>420</v>
      </c>
      <c r="BJ57" s="1086" t="s">
        <v>1366</v>
      </c>
      <c r="BK57" s="1086" t="s">
        <v>1183</v>
      </c>
      <c r="BL57" s="1086" t="s">
        <v>1367</v>
      </c>
      <c r="BM57" s="1086" t="s">
        <v>1363</v>
      </c>
      <c r="BN57" s="1086" t="s">
        <v>862</v>
      </c>
      <c r="BO57" s="1086" t="s">
        <v>1368</v>
      </c>
      <c r="BP57" s="1086" t="s">
        <v>862</v>
      </c>
    </row>
    <row r="58" spans="7:68">
      <c r="AP58" s="1086" t="s">
        <v>1317</v>
      </c>
      <c r="AQ58" s="1086" t="s">
        <v>1318</v>
      </c>
      <c r="AR58" s="1086" t="s">
        <v>973</v>
      </c>
      <c r="AS58" s="1086" t="s">
        <v>1320</v>
      </c>
      <c r="AT58" s="1086" t="s">
        <v>1321</v>
      </c>
      <c r="AU58" s="1086" t="s">
        <v>1322</v>
      </c>
      <c r="AV58" s="1086" t="s">
        <v>1422</v>
      </c>
      <c r="AW58" s="1086" t="s">
        <v>1184</v>
      </c>
      <c r="AX58" s="1086" t="s">
        <v>5</v>
      </c>
      <c r="AY58" s="1086" t="s">
        <v>1183</v>
      </c>
      <c r="AZ58" s="1086" t="s">
        <v>1186</v>
      </c>
      <c r="BA58" s="1086" t="s">
        <v>5</v>
      </c>
      <c r="BB58" s="1086" t="s">
        <v>862</v>
      </c>
      <c r="BC58" s="1089">
        <v>18429.54</v>
      </c>
      <c r="BD58" s="1086" t="s">
        <v>1326</v>
      </c>
      <c r="BE58" s="1086" t="s">
        <v>862</v>
      </c>
      <c r="BF58" s="1086" t="s">
        <v>1423</v>
      </c>
      <c r="BG58" s="1086" t="s">
        <v>862</v>
      </c>
      <c r="BH58" s="1086" t="s">
        <v>1328</v>
      </c>
      <c r="BI58" s="1086" t="s">
        <v>1329</v>
      </c>
      <c r="BJ58" s="1086" t="s">
        <v>1330</v>
      </c>
      <c r="BK58" s="1086" t="s">
        <v>862</v>
      </c>
      <c r="BL58" s="1086" t="s">
        <v>862</v>
      </c>
      <c r="BM58" s="1086" t="s">
        <v>862</v>
      </c>
      <c r="BN58" s="1086" t="s">
        <v>862</v>
      </c>
      <c r="BO58" s="1086" t="s">
        <v>1331</v>
      </c>
      <c r="BP58" s="1086" t="s">
        <v>862</v>
      </c>
    </row>
    <row r="59" spans="7:68">
      <c r="AP59" s="1086" t="s">
        <v>1317</v>
      </c>
      <c r="AQ59" s="1086" t="s">
        <v>1318</v>
      </c>
      <c r="AR59" s="1086" t="s">
        <v>973</v>
      </c>
      <c r="AS59" s="1086" t="s">
        <v>1320</v>
      </c>
      <c r="AT59" s="1086" t="s">
        <v>1321</v>
      </c>
      <c r="AU59" s="1086" t="s">
        <v>1322</v>
      </c>
      <c r="AV59" s="1086" t="s">
        <v>1424</v>
      </c>
      <c r="AW59" s="1086" t="s">
        <v>1184</v>
      </c>
      <c r="AX59" s="1086" t="s">
        <v>5</v>
      </c>
      <c r="AY59" s="1086" t="s">
        <v>1183</v>
      </c>
      <c r="AZ59" s="1086" t="s">
        <v>1332</v>
      </c>
      <c r="BA59" s="1086" t="s">
        <v>1325</v>
      </c>
      <c r="BB59" s="1086" t="s">
        <v>862</v>
      </c>
      <c r="BC59" s="1089">
        <v>3300</v>
      </c>
      <c r="BD59" s="1086" t="s">
        <v>1326</v>
      </c>
      <c r="BE59" s="1086" t="s">
        <v>862</v>
      </c>
      <c r="BF59" s="1086" t="s">
        <v>1425</v>
      </c>
      <c r="BG59" s="1086" t="s">
        <v>862</v>
      </c>
      <c r="BH59" s="1086" t="s">
        <v>1328</v>
      </c>
      <c r="BI59" s="1086" t="s">
        <v>1329</v>
      </c>
      <c r="BJ59" s="1086" t="s">
        <v>1330</v>
      </c>
      <c r="BK59" s="1086" t="s">
        <v>862</v>
      </c>
      <c r="BL59" s="1086" t="s">
        <v>862</v>
      </c>
      <c r="BM59" s="1086" t="s">
        <v>862</v>
      </c>
      <c r="BN59" s="1086" t="s">
        <v>862</v>
      </c>
      <c r="BO59" s="1086" t="s">
        <v>1331</v>
      </c>
      <c r="BP59" s="1086" t="s">
        <v>862</v>
      </c>
    </row>
    <row r="60" spans="7:68">
      <c r="AP60" s="1086" t="s">
        <v>1317</v>
      </c>
      <c r="AQ60" s="1086" t="s">
        <v>1318</v>
      </c>
      <c r="AR60" s="1086" t="s">
        <v>973</v>
      </c>
      <c r="AS60" s="1086" t="s">
        <v>1320</v>
      </c>
      <c r="AT60" s="1086" t="s">
        <v>1321</v>
      </c>
      <c r="AU60" s="1086" t="s">
        <v>1322</v>
      </c>
      <c r="AV60" s="1086" t="s">
        <v>1426</v>
      </c>
      <c r="AW60" s="1086" t="s">
        <v>1184</v>
      </c>
      <c r="AX60" s="1086" t="s">
        <v>5</v>
      </c>
      <c r="AY60" s="1086" t="s">
        <v>1183</v>
      </c>
      <c r="AZ60" s="1086" t="s">
        <v>1332</v>
      </c>
      <c r="BA60" s="1086" t="s">
        <v>1325</v>
      </c>
      <c r="BB60" s="1086" t="s">
        <v>862</v>
      </c>
      <c r="BC60" s="1089">
        <v>2750</v>
      </c>
      <c r="BD60" s="1086" t="s">
        <v>1326</v>
      </c>
      <c r="BE60" s="1086" t="s">
        <v>862</v>
      </c>
      <c r="BF60" s="1086" t="s">
        <v>1427</v>
      </c>
      <c r="BG60" s="1086" t="s">
        <v>862</v>
      </c>
      <c r="BH60" s="1086" t="s">
        <v>1328</v>
      </c>
      <c r="BI60" s="1086" t="s">
        <v>1329</v>
      </c>
      <c r="BJ60" s="1086" t="s">
        <v>1330</v>
      </c>
      <c r="BK60" s="1086" t="s">
        <v>862</v>
      </c>
      <c r="BL60" s="1086" t="s">
        <v>862</v>
      </c>
      <c r="BM60" s="1086" t="s">
        <v>862</v>
      </c>
      <c r="BN60" s="1086" t="s">
        <v>862</v>
      </c>
      <c r="BO60" s="1086" t="s">
        <v>1331</v>
      </c>
      <c r="BP60" s="1086" t="s">
        <v>862</v>
      </c>
    </row>
    <row r="61" spans="7:68">
      <c r="AP61" s="1086" t="s">
        <v>1317</v>
      </c>
      <c r="AQ61" s="1086" t="s">
        <v>1318</v>
      </c>
      <c r="AR61" s="1086" t="s">
        <v>973</v>
      </c>
      <c r="AS61" s="1086" t="s">
        <v>1320</v>
      </c>
      <c r="AT61" s="1086" t="s">
        <v>1321</v>
      </c>
      <c r="AU61" s="1086" t="s">
        <v>1322</v>
      </c>
      <c r="AV61" s="1086" t="s">
        <v>1428</v>
      </c>
      <c r="AW61" s="1086" t="s">
        <v>1184</v>
      </c>
      <c r="AX61" s="1086" t="s">
        <v>5</v>
      </c>
      <c r="AY61" s="1086" t="s">
        <v>1183</v>
      </c>
      <c r="AZ61" s="1086" t="s">
        <v>1332</v>
      </c>
      <c r="BA61" s="1086" t="s">
        <v>1325</v>
      </c>
      <c r="BB61" s="1086" t="s">
        <v>862</v>
      </c>
      <c r="BC61" s="1089">
        <v>3222.5</v>
      </c>
      <c r="BD61" s="1086" t="s">
        <v>1326</v>
      </c>
      <c r="BE61" s="1086" t="s">
        <v>862</v>
      </c>
      <c r="BF61" s="1086" t="s">
        <v>1429</v>
      </c>
      <c r="BG61" s="1086" t="s">
        <v>862</v>
      </c>
      <c r="BH61" s="1086" t="s">
        <v>1328</v>
      </c>
      <c r="BI61" s="1086" t="s">
        <v>1329</v>
      </c>
      <c r="BJ61" s="1086" t="s">
        <v>1330</v>
      </c>
      <c r="BK61" s="1086" t="s">
        <v>862</v>
      </c>
      <c r="BL61" s="1086" t="s">
        <v>862</v>
      </c>
      <c r="BM61" s="1086" t="s">
        <v>862</v>
      </c>
      <c r="BN61" s="1086" t="s">
        <v>862</v>
      </c>
      <c r="BO61" s="1086" t="s">
        <v>1331</v>
      </c>
      <c r="BP61" s="1086" t="s">
        <v>862</v>
      </c>
    </row>
    <row r="62" spans="7:68">
      <c r="AP62" s="1086" t="s">
        <v>1317</v>
      </c>
      <c r="AQ62" s="1086" t="s">
        <v>1318</v>
      </c>
      <c r="AR62" s="1086" t="s">
        <v>973</v>
      </c>
      <c r="AS62" s="1086" t="s">
        <v>1320</v>
      </c>
      <c r="AT62" s="1086" t="s">
        <v>1321</v>
      </c>
      <c r="AU62" s="1086" t="s">
        <v>1322</v>
      </c>
      <c r="AV62" s="1086" t="s">
        <v>1430</v>
      </c>
      <c r="AW62" s="1086" t="s">
        <v>1184</v>
      </c>
      <c r="AX62" s="1086" t="s">
        <v>5</v>
      </c>
      <c r="AY62" s="1086" t="s">
        <v>1183</v>
      </c>
      <c r="AZ62" s="1086" t="s">
        <v>1332</v>
      </c>
      <c r="BA62" s="1086" t="s">
        <v>1325</v>
      </c>
      <c r="BB62" s="1086" t="s">
        <v>862</v>
      </c>
      <c r="BC62" s="1089">
        <v>25000</v>
      </c>
      <c r="BD62" s="1086" t="s">
        <v>1326</v>
      </c>
      <c r="BE62" s="1086" t="s">
        <v>862</v>
      </c>
      <c r="BF62" s="1086" t="s">
        <v>1431</v>
      </c>
      <c r="BG62" s="1086" t="s">
        <v>862</v>
      </c>
      <c r="BH62" s="1086" t="s">
        <v>1328</v>
      </c>
      <c r="BI62" s="1086" t="s">
        <v>1329</v>
      </c>
      <c r="BJ62" s="1086" t="s">
        <v>1330</v>
      </c>
      <c r="BK62" s="1086" t="s">
        <v>862</v>
      </c>
      <c r="BL62" s="1086" t="s">
        <v>862</v>
      </c>
      <c r="BM62" s="1086" t="s">
        <v>862</v>
      </c>
      <c r="BN62" s="1086" t="s">
        <v>862</v>
      </c>
      <c r="BO62" s="1086" t="s">
        <v>1331</v>
      </c>
      <c r="BP62" s="1086" t="s">
        <v>862</v>
      </c>
    </row>
    <row r="63" spans="7:68">
      <c r="AP63" s="1086" t="s">
        <v>1317</v>
      </c>
      <c r="AQ63" s="1086" t="s">
        <v>1318</v>
      </c>
      <c r="AR63" s="1086" t="s">
        <v>973</v>
      </c>
      <c r="AS63" s="1086" t="s">
        <v>1320</v>
      </c>
      <c r="AT63" s="1086" t="s">
        <v>1321</v>
      </c>
      <c r="AU63" s="1086" t="s">
        <v>1322</v>
      </c>
      <c r="AV63" s="1086" t="s">
        <v>1432</v>
      </c>
      <c r="AW63" s="1086" t="s">
        <v>1184</v>
      </c>
      <c r="AX63" s="1086" t="s">
        <v>5</v>
      </c>
      <c r="AY63" s="1086" t="s">
        <v>1183</v>
      </c>
      <c r="AZ63" s="1086" t="s">
        <v>1332</v>
      </c>
      <c r="BA63" s="1086" t="s">
        <v>1325</v>
      </c>
      <c r="BB63" s="1086" t="s">
        <v>862</v>
      </c>
      <c r="BC63" s="1089">
        <v>1585</v>
      </c>
      <c r="BD63" s="1086" t="s">
        <v>1326</v>
      </c>
      <c r="BE63" s="1086" t="s">
        <v>862</v>
      </c>
      <c r="BF63" s="1086" t="s">
        <v>1433</v>
      </c>
      <c r="BG63" s="1086" t="s">
        <v>862</v>
      </c>
      <c r="BH63" s="1086" t="s">
        <v>1328</v>
      </c>
      <c r="BI63" s="1086" t="s">
        <v>1329</v>
      </c>
      <c r="BJ63" s="1086" t="s">
        <v>1330</v>
      </c>
      <c r="BK63" s="1086" t="s">
        <v>862</v>
      </c>
      <c r="BL63" s="1086" t="s">
        <v>862</v>
      </c>
      <c r="BM63" s="1086" t="s">
        <v>862</v>
      </c>
      <c r="BN63" s="1086" t="s">
        <v>862</v>
      </c>
      <c r="BO63" s="1086" t="s">
        <v>1331</v>
      </c>
      <c r="BP63" s="1086" t="s">
        <v>862</v>
      </c>
    </row>
    <row r="64" spans="7:68">
      <c r="AP64" s="1086" t="s">
        <v>1317</v>
      </c>
      <c r="AQ64" s="1086" t="s">
        <v>1318</v>
      </c>
      <c r="AR64" s="1086" t="s">
        <v>973</v>
      </c>
      <c r="AS64" s="1086" t="s">
        <v>1320</v>
      </c>
      <c r="AT64" s="1086" t="s">
        <v>1321</v>
      </c>
      <c r="AU64" s="1086" t="s">
        <v>1322</v>
      </c>
      <c r="AV64" s="1086" t="s">
        <v>1434</v>
      </c>
      <c r="AW64" s="1086" t="s">
        <v>1184</v>
      </c>
      <c r="AX64" s="1086" t="s">
        <v>5</v>
      </c>
      <c r="AY64" s="1086" t="s">
        <v>1183</v>
      </c>
      <c r="AZ64" s="1086" t="s">
        <v>1332</v>
      </c>
      <c r="BA64" s="1086" t="s">
        <v>1325</v>
      </c>
      <c r="BB64" s="1086" t="s">
        <v>862</v>
      </c>
      <c r="BC64" s="1089">
        <v>3300</v>
      </c>
      <c r="BD64" s="1086" t="s">
        <v>1326</v>
      </c>
      <c r="BE64" s="1086" t="s">
        <v>862</v>
      </c>
      <c r="BF64" s="1086" t="s">
        <v>1435</v>
      </c>
      <c r="BG64" s="1086" t="s">
        <v>862</v>
      </c>
      <c r="BH64" s="1086" t="s">
        <v>1328</v>
      </c>
      <c r="BI64" s="1086" t="s">
        <v>1329</v>
      </c>
      <c r="BJ64" s="1086" t="s">
        <v>1330</v>
      </c>
      <c r="BK64" s="1086" t="s">
        <v>862</v>
      </c>
      <c r="BL64" s="1086" t="s">
        <v>862</v>
      </c>
      <c r="BM64" s="1086" t="s">
        <v>862</v>
      </c>
      <c r="BN64" s="1086" t="s">
        <v>862</v>
      </c>
      <c r="BO64" s="1086" t="s">
        <v>1331</v>
      </c>
      <c r="BP64" s="1086" t="s">
        <v>862</v>
      </c>
    </row>
    <row r="65" spans="42:68">
      <c r="AP65" s="1086" t="s">
        <v>1317</v>
      </c>
      <c r="AQ65" s="1086" t="s">
        <v>1318</v>
      </c>
      <c r="AR65" s="1086" t="s">
        <v>973</v>
      </c>
      <c r="AS65" s="1086" t="s">
        <v>1320</v>
      </c>
      <c r="AT65" s="1086" t="s">
        <v>1321</v>
      </c>
      <c r="AU65" s="1086" t="s">
        <v>1322</v>
      </c>
      <c r="AV65" s="1086" t="s">
        <v>1436</v>
      </c>
      <c r="AW65" s="1086" t="s">
        <v>1184</v>
      </c>
      <c r="AX65" s="1086" t="s">
        <v>5</v>
      </c>
      <c r="AY65" s="1086" t="s">
        <v>1183</v>
      </c>
      <c r="AZ65" s="1086" t="s">
        <v>1332</v>
      </c>
      <c r="BA65" s="1086" t="s">
        <v>1325</v>
      </c>
      <c r="BB65" s="1086" t="s">
        <v>862</v>
      </c>
      <c r="BC65" s="1089">
        <v>1000</v>
      </c>
      <c r="BD65" s="1086" t="s">
        <v>1326</v>
      </c>
      <c r="BE65" s="1086" t="s">
        <v>862</v>
      </c>
      <c r="BF65" s="1086" t="s">
        <v>1437</v>
      </c>
      <c r="BG65" s="1086" t="s">
        <v>862</v>
      </c>
      <c r="BH65" s="1086" t="s">
        <v>1328</v>
      </c>
      <c r="BI65" s="1086" t="s">
        <v>1329</v>
      </c>
      <c r="BJ65" s="1086" t="s">
        <v>1330</v>
      </c>
      <c r="BK65" s="1086" t="s">
        <v>862</v>
      </c>
      <c r="BL65" s="1086" t="s">
        <v>862</v>
      </c>
      <c r="BM65" s="1086" t="s">
        <v>862</v>
      </c>
      <c r="BN65" s="1086" t="s">
        <v>862</v>
      </c>
      <c r="BO65" s="1086" t="s">
        <v>1331</v>
      </c>
      <c r="BP65" s="1086" t="s">
        <v>862</v>
      </c>
    </row>
    <row r="66" spans="42:68">
      <c r="AP66" s="1086" t="s">
        <v>1317</v>
      </c>
      <c r="AQ66" s="1086" t="s">
        <v>1318</v>
      </c>
      <c r="AR66" s="1086" t="s">
        <v>973</v>
      </c>
      <c r="AS66" s="1086" t="s">
        <v>1320</v>
      </c>
      <c r="AT66" s="1086" t="s">
        <v>1321</v>
      </c>
      <c r="AU66" s="1086" t="s">
        <v>1322</v>
      </c>
      <c r="AV66" s="1086" t="s">
        <v>1438</v>
      </c>
      <c r="AW66" s="1086" t="s">
        <v>1347</v>
      </c>
      <c r="AX66" s="1086" t="s">
        <v>1348</v>
      </c>
      <c r="AY66" s="1086" t="s">
        <v>1183</v>
      </c>
      <c r="AZ66" s="1086" t="s">
        <v>1186</v>
      </c>
      <c r="BA66" s="1086" t="s">
        <v>5</v>
      </c>
      <c r="BB66" s="1086" t="s">
        <v>862</v>
      </c>
      <c r="BC66" s="1089">
        <v>-18429.54</v>
      </c>
      <c r="BD66" s="1086" t="s">
        <v>709</v>
      </c>
      <c r="BE66" s="1086" t="s">
        <v>862</v>
      </c>
      <c r="BF66" s="1086" t="s">
        <v>862</v>
      </c>
      <c r="BG66" s="1086" t="s">
        <v>862</v>
      </c>
      <c r="BH66" s="1086" t="s">
        <v>1328</v>
      </c>
      <c r="BI66" s="1086" t="s">
        <v>1349</v>
      </c>
      <c r="BJ66" s="1086" t="s">
        <v>1350</v>
      </c>
      <c r="BK66" s="1086" t="s">
        <v>862</v>
      </c>
      <c r="BL66" s="1086" t="s">
        <v>862</v>
      </c>
      <c r="BM66" s="1086" t="s">
        <v>862</v>
      </c>
      <c r="BN66" s="1086" t="s">
        <v>862</v>
      </c>
      <c r="BO66" s="1086" t="s">
        <v>1331</v>
      </c>
      <c r="BP66" s="1086" t="s">
        <v>862</v>
      </c>
    </row>
    <row r="67" spans="42:68">
      <c r="AP67" s="1086" t="s">
        <v>1317</v>
      </c>
      <c r="AQ67" s="1086" t="s">
        <v>1318</v>
      </c>
      <c r="AR67" s="1086" t="s">
        <v>973</v>
      </c>
      <c r="AS67" s="1086" t="s">
        <v>1320</v>
      </c>
      <c r="AT67" s="1086" t="s">
        <v>1321</v>
      </c>
      <c r="AU67" s="1086" t="s">
        <v>1322</v>
      </c>
      <c r="AV67" s="1086" t="s">
        <v>1438</v>
      </c>
      <c r="AW67" s="1086" t="s">
        <v>1347</v>
      </c>
      <c r="AX67" s="1086" t="s">
        <v>1348</v>
      </c>
      <c r="AY67" s="1086" t="s">
        <v>1183</v>
      </c>
      <c r="AZ67" s="1086" t="s">
        <v>1332</v>
      </c>
      <c r="BA67" s="1086" t="s">
        <v>1325</v>
      </c>
      <c r="BB67" s="1086" t="s">
        <v>862</v>
      </c>
      <c r="BC67" s="1089">
        <v>-40157.5</v>
      </c>
      <c r="BD67" s="1086" t="s">
        <v>709</v>
      </c>
      <c r="BE67" s="1086" t="s">
        <v>862</v>
      </c>
      <c r="BF67" s="1086" t="s">
        <v>862</v>
      </c>
      <c r="BG67" s="1086" t="s">
        <v>862</v>
      </c>
      <c r="BH67" s="1086" t="s">
        <v>1328</v>
      </c>
      <c r="BI67" s="1086" t="s">
        <v>1349</v>
      </c>
      <c r="BJ67" s="1086" t="s">
        <v>1350</v>
      </c>
      <c r="BK67" s="1086" t="s">
        <v>862</v>
      </c>
      <c r="BL67" s="1086" t="s">
        <v>862</v>
      </c>
      <c r="BM67" s="1086" t="s">
        <v>862</v>
      </c>
      <c r="BN67" s="1086" t="s">
        <v>862</v>
      </c>
      <c r="BO67" s="1086" t="s">
        <v>1331</v>
      </c>
      <c r="BP67" s="1086" t="s">
        <v>862</v>
      </c>
    </row>
    <row r="68" spans="42:68">
      <c r="AP68" s="1086" t="s">
        <v>1317</v>
      </c>
      <c r="AQ68" s="1086" t="s">
        <v>1318</v>
      </c>
      <c r="AR68" s="1086" t="s">
        <v>973</v>
      </c>
      <c r="AS68" s="1086" t="s">
        <v>1320</v>
      </c>
      <c r="AT68" s="1086" t="s">
        <v>1321</v>
      </c>
      <c r="AU68" s="1086" t="s">
        <v>1322</v>
      </c>
      <c r="AV68" s="1086" t="s">
        <v>1438</v>
      </c>
      <c r="AW68" s="1086" t="s">
        <v>1347</v>
      </c>
      <c r="AX68" s="1086" t="s">
        <v>1348</v>
      </c>
      <c r="AY68" s="1086" t="s">
        <v>1351</v>
      </c>
      <c r="AZ68" s="1086" t="s">
        <v>1352</v>
      </c>
      <c r="BA68" s="1086" t="s">
        <v>1353</v>
      </c>
      <c r="BB68" s="1086" t="s">
        <v>862</v>
      </c>
      <c r="BC68" s="1089">
        <v>58587.040000000001</v>
      </c>
      <c r="BD68" s="1086" t="s">
        <v>1326</v>
      </c>
      <c r="BE68" s="1086" t="s">
        <v>862</v>
      </c>
      <c r="BF68" s="1086" t="s">
        <v>862</v>
      </c>
      <c r="BG68" s="1086" t="s">
        <v>862</v>
      </c>
      <c r="BH68" s="1086" t="s">
        <v>1354</v>
      </c>
      <c r="BI68" s="1086" t="s">
        <v>1349</v>
      </c>
      <c r="BJ68" s="1086" t="s">
        <v>1350</v>
      </c>
      <c r="BK68" s="1086" t="s">
        <v>862</v>
      </c>
      <c r="BL68" s="1086" t="s">
        <v>862</v>
      </c>
      <c r="BM68" s="1086" t="s">
        <v>862</v>
      </c>
      <c r="BN68" s="1086" t="s">
        <v>862</v>
      </c>
      <c r="BO68" s="1086" t="s">
        <v>1331</v>
      </c>
      <c r="BP68" s="1086" t="s">
        <v>862</v>
      </c>
    </row>
    <row r="69" spans="42:68">
      <c r="AP69" s="1086" t="s">
        <v>1317</v>
      </c>
      <c r="AQ69" s="1086" t="s">
        <v>1318</v>
      </c>
      <c r="AR69" s="1086" t="s">
        <v>1439</v>
      </c>
      <c r="AS69" s="1086" t="s">
        <v>1320</v>
      </c>
      <c r="AT69" s="1086" t="s">
        <v>1321</v>
      </c>
      <c r="AU69" s="1086" t="s">
        <v>1322</v>
      </c>
      <c r="AV69" s="1086" t="s">
        <v>1440</v>
      </c>
      <c r="AW69" s="1086" t="s">
        <v>1407</v>
      </c>
      <c r="AX69" s="1086" t="s">
        <v>1408</v>
      </c>
      <c r="AY69" s="1086" t="s">
        <v>1183</v>
      </c>
      <c r="AZ69" s="1086" t="s">
        <v>1362</v>
      </c>
      <c r="BA69" s="1086" t="s">
        <v>1363</v>
      </c>
      <c r="BB69" s="1086" t="s">
        <v>862</v>
      </c>
      <c r="BC69" s="1089">
        <v>707.32</v>
      </c>
      <c r="BD69" s="1086" t="s">
        <v>1326</v>
      </c>
      <c r="BE69" s="1086" t="s">
        <v>1364</v>
      </c>
      <c r="BF69" s="1086" t="s">
        <v>862</v>
      </c>
      <c r="BG69" s="1086" t="s">
        <v>1320</v>
      </c>
      <c r="BH69" s="1086" t="s">
        <v>1365</v>
      </c>
      <c r="BI69" s="1086" t="s">
        <v>420</v>
      </c>
      <c r="BJ69" s="1086" t="s">
        <v>1366</v>
      </c>
      <c r="BK69" s="1086" t="s">
        <v>1183</v>
      </c>
      <c r="BL69" s="1086" t="s">
        <v>1367</v>
      </c>
      <c r="BM69" s="1086" t="s">
        <v>1363</v>
      </c>
      <c r="BN69" s="1086" t="s">
        <v>862</v>
      </c>
      <c r="BO69" s="1086" t="s">
        <v>1368</v>
      </c>
      <c r="BP69" s="1086" t="s">
        <v>862</v>
      </c>
    </row>
    <row r="70" spans="42:68">
      <c r="AP70" s="1086" t="s">
        <v>1317</v>
      </c>
      <c r="AQ70" s="1086" t="s">
        <v>1318</v>
      </c>
      <c r="AR70" s="1086" t="s">
        <v>1439</v>
      </c>
      <c r="AS70" s="1086" t="s">
        <v>1320</v>
      </c>
      <c r="AT70" s="1086" t="s">
        <v>1321</v>
      </c>
      <c r="AU70" s="1086" t="s">
        <v>1322</v>
      </c>
      <c r="AV70" s="1086" t="s">
        <v>1440</v>
      </c>
      <c r="AW70" s="1086" t="s">
        <v>1407</v>
      </c>
      <c r="AX70" s="1086" t="s">
        <v>1408</v>
      </c>
      <c r="AY70" s="1086" t="s">
        <v>1183</v>
      </c>
      <c r="AZ70" s="1086" t="s">
        <v>1369</v>
      </c>
      <c r="BA70" s="1086" t="s">
        <v>1363</v>
      </c>
      <c r="BB70" s="1086" t="s">
        <v>862</v>
      </c>
      <c r="BC70" s="1089">
        <v>25107.19</v>
      </c>
      <c r="BD70" s="1086" t="s">
        <v>1326</v>
      </c>
      <c r="BE70" s="1086" t="s">
        <v>1364</v>
      </c>
      <c r="BF70" s="1086" t="s">
        <v>862</v>
      </c>
      <c r="BG70" s="1086" t="s">
        <v>1320</v>
      </c>
      <c r="BH70" s="1086" t="s">
        <v>1365</v>
      </c>
      <c r="BI70" s="1086" t="s">
        <v>420</v>
      </c>
      <c r="BJ70" s="1086" t="s">
        <v>1366</v>
      </c>
      <c r="BK70" s="1086" t="s">
        <v>1183</v>
      </c>
      <c r="BL70" s="1086" t="s">
        <v>1367</v>
      </c>
      <c r="BM70" s="1086" t="s">
        <v>1363</v>
      </c>
      <c r="BN70" s="1086" t="s">
        <v>862</v>
      </c>
      <c r="BO70" s="1086" t="s">
        <v>1368</v>
      </c>
      <c r="BP70" s="1086" t="s">
        <v>862</v>
      </c>
    </row>
    <row r="71" spans="42:68">
      <c r="AP71" s="1086" t="s">
        <v>1317</v>
      </c>
      <c r="AQ71" s="1086" t="s">
        <v>1318</v>
      </c>
      <c r="AR71" s="1086" t="s">
        <v>1439</v>
      </c>
      <c r="AS71" s="1086" t="s">
        <v>1320</v>
      </c>
      <c r="AT71" s="1086" t="s">
        <v>1321</v>
      </c>
      <c r="AU71" s="1086" t="s">
        <v>1322</v>
      </c>
      <c r="AV71" s="1086" t="s">
        <v>1441</v>
      </c>
      <c r="AW71" s="1086" t="s">
        <v>1184</v>
      </c>
      <c r="AX71" s="1086" t="s">
        <v>5</v>
      </c>
      <c r="AY71" s="1086" t="s">
        <v>1183</v>
      </c>
      <c r="AZ71" s="1086" t="s">
        <v>1186</v>
      </c>
      <c r="BA71" s="1086" t="s">
        <v>5</v>
      </c>
      <c r="BB71" s="1086" t="s">
        <v>862</v>
      </c>
      <c r="BC71" s="1089">
        <v>11009.99</v>
      </c>
      <c r="BD71" s="1086" t="s">
        <v>1326</v>
      </c>
      <c r="BE71" s="1086" t="s">
        <v>862</v>
      </c>
      <c r="BF71" s="1086" t="s">
        <v>1442</v>
      </c>
      <c r="BG71" s="1086" t="s">
        <v>862</v>
      </c>
      <c r="BH71" s="1086" t="s">
        <v>1328</v>
      </c>
      <c r="BI71" s="1086" t="s">
        <v>1329</v>
      </c>
      <c r="BJ71" s="1086" t="s">
        <v>1330</v>
      </c>
      <c r="BK71" s="1086" t="s">
        <v>862</v>
      </c>
      <c r="BL71" s="1086" t="s">
        <v>862</v>
      </c>
      <c r="BM71" s="1086" t="s">
        <v>862</v>
      </c>
      <c r="BN71" s="1086" t="s">
        <v>862</v>
      </c>
      <c r="BO71" s="1086" t="s">
        <v>1331</v>
      </c>
      <c r="BP71" s="1086" t="s">
        <v>862</v>
      </c>
    </row>
    <row r="72" spans="42:68">
      <c r="AP72" s="1086" t="s">
        <v>1317</v>
      </c>
      <c r="AQ72" s="1086" t="s">
        <v>1318</v>
      </c>
      <c r="AR72" s="1086" t="s">
        <v>1439</v>
      </c>
      <c r="AS72" s="1086" t="s">
        <v>1320</v>
      </c>
      <c r="AT72" s="1086" t="s">
        <v>1321</v>
      </c>
      <c r="AU72" s="1086" t="s">
        <v>1322</v>
      </c>
      <c r="AV72" s="1086" t="s">
        <v>1443</v>
      </c>
      <c r="AW72" s="1086" t="s">
        <v>1347</v>
      </c>
      <c r="AX72" s="1086" t="s">
        <v>1348</v>
      </c>
      <c r="AY72" s="1086" t="s">
        <v>1351</v>
      </c>
      <c r="AZ72" s="1086" t="s">
        <v>1352</v>
      </c>
      <c r="BA72" s="1086" t="s">
        <v>1353</v>
      </c>
      <c r="BB72" s="1086" t="s">
        <v>862</v>
      </c>
      <c r="BC72" s="1089">
        <v>11009.99</v>
      </c>
      <c r="BD72" s="1086" t="s">
        <v>1326</v>
      </c>
      <c r="BE72" s="1086" t="s">
        <v>862</v>
      </c>
      <c r="BF72" s="1086" t="s">
        <v>862</v>
      </c>
      <c r="BG72" s="1086" t="s">
        <v>862</v>
      </c>
      <c r="BH72" s="1086" t="s">
        <v>1354</v>
      </c>
      <c r="BI72" s="1086" t="s">
        <v>1349</v>
      </c>
      <c r="BJ72" s="1086" t="s">
        <v>1350</v>
      </c>
      <c r="BK72" s="1086" t="s">
        <v>862</v>
      </c>
      <c r="BL72" s="1086" t="s">
        <v>862</v>
      </c>
      <c r="BM72" s="1086" t="s">
        <v>862</v>
      </c>
      <c r="BN72" s="1086" t="s">
        <v>862</v>
      </c>
      <c r="BO72" s="1086" t="s">
        <v>1331</v>
      </c>
      <c r="BP72" s="1086" t="s">
        <v>862</v>
      </c>
    </row>
    <row r="73" spans="42:68">
      <c r="AP73" s="1086" t="s">
        <v>1317</v>
      </c>
      <c r="AQ73" s="1086" t="s">
        <v>1318</v>
      </c>
      <c r="AR73" s="1086" t="s">
        <v>1439</v>
      </c>
      <c r="AS73" s="1086" t="s">
        <v>1320</v>
      </c>
      <c r="AT73" s="1086" t="s">
        <v>1321</v>
      </c>
      <c r="AU73" s="1086" t="s">
        <v>1322</v>
      </c>
      <c r="AV73" s="1086" t="s">
        <v>1443</v>
      </c>
      <c r="AW73" s="1086" t="s">
        <v>1347</v>
      </c>
      <c r="AX73" s="1086" t="s">
        <v>1348</v>
      </c>
      <c r="AY73" s="1086" t="s">
        <v>1183</v>
      </c>
      <c r="AZ73" s="1086" t="s">
        <v>1186</v>
      </c>
      <c r="BA73" s="1086" t="s">
        <v>5</v>
      </c>
      <c r="BB73" s="1086" t="s">
        <v>862</v>
      </c>
      <c r="BC73" s="1089">
        <v>-11009.99</v>
      </c>
      <c r="BD73" s="1086" t="s">
        <v>709</v>
      </c>
      <c r="BE73" s="1086" t="s">
        <v>862</v>
      </c>
      <c r="BF73" s="1086" t="s">
        <v>862</v>
      </c>
      <c r="BG73" s="1086" t="s">
        <v>862</v>
      </c>
      <c r="BH73" s="1086" t="s">
        <v>1328</v>
      </c>
      <c r="BI73" s="1086" t="s">
        <v>1349</v>
      </c>
      <c r="BJ73" s="1086" t="s">
        <v>1350</v>
      </c>
      <c r="BK73" s="1086" t="s">
        <v>862</v>
      </c>
      <c r="BL73" s="1086" t="s">
        <v>862</v>
      </c>
      <c r="BM73" s="1086" t="s">
        <v>862</v>
      </c>
      <c r="BN73" s="1086" t="s">
        <v>862</v>
      </c>
      <c r="BO73" s="1086" t="s">
        <v>1331</v>
      </c>
      <c r="BP73" s="1086" t="s">
        <v>862</v>
      </c>
    </row>
    <row r="74" spans="42:68">
      <c r="AP74" s="1086" t="s">
        <v>1317</v>
      </c>
      <c r="AQ74" s="1086" t="s">
        <v>1318</v>
      </c>
      <c r="AR74" s="1086" t="s">
        <v>1444</v>
      </c>
      <c r="AS74" s="1086" t="s">
        <v>1320</v>
      </c>
      <c r="AT74" s="1086" t="s">
        <v>1321</v>
      </c>
      <c r="AU74" s="1086" t="s">
        <v>1322</v>
      </c>
      <c r="AV74" s="1086" t="s">
        <v>1445</v>
      </c>
      <c r="AW74" s="1086" t="s">
        <v>1407</v>
      </c>
      <c r="AX74" s="1086" t="s">
        <v>1408</v>
      </c>
      <c r="AY74" s="1086" t="s">
        <v>1183</v>
      </c>
      <c r="AZ74" s="1086" t="s">
        <v>1369</v>
      </c>
      <c r="BA74" s="1086" t="s">
        <v>1363</v>
      </c>
      <c r="BB74" s="1086" t="s">
        <v>862</v>
      </c>
      <c r="BC74" s="1089">
        <v>25107.19</v>
      </c>
      <c r="BD74" s="1086" t="s">
        <v>1326</v>
      </c>
      <c r="BE74" s="1086" t="s">
        <v>1364</v>
      </c>
      <c r="BF74" s="1086" t="s">
        <v>862</v>
      </c>
      <c r="BG74" s="1086" t="s">
        <v>1320</v>
      </c>
      <c r="BH74" s="1086" t="s">
        <v>1365</v>
      </c>
      <c r="BI74" s="1086" t="s">
        <v>420</v>
      </c>
      <c r="BJ74" s="1086" t="s">
        <v>1366</v>
      </c>
      <c r="BK74" s="1086" t="s">
        <v>1183</v>
      </c>
      <c r="BL74" s="1086" t="s">
        <v>1367</v>
      </c>
      <c r="BM74" s="1086" t="s">
        <v>1363</v>
      </c>
      <c r="BN74" s="1086" t="s">
        <v>862</v>
      </c>
      <c r="BO74" s="1086" t="s">
        <v>1368</v>
      </c>
      <c r="BP74" s="1086" t="s">
        <v>862</v>
      </c>
    </row>
    <row r="75" spans="42:68">
      <c r="AP75" s="1086" t="s">
        <v>1317</v>
      </c>
      <c r="AQ75" s="1086" t="s">
        <v>1318</v>
      </c>
      <c r="AR75" s="1086" t="s">
        <v>1444</v>
      </c>
      <c r="AS75" s="1086" t="s">
        <v>1320</v>
      </c>
      <c r="AT75" s="1086" t="s">
        <v>1321</v>
      </c>
      <c r="AU75" s="1086" t="s">
        <v>1322</v>
      </c>
      <c r="AV75" s="1086" t="s">
        <v>1445</v>
      </c>
      <c r="AW75" s="1086" t="s">
        <v>1407</v>
      </c>
      <c r="AX75" s="1086" t="s">
        <v>1408</v>
      </c>
      <c r="AY75" s="1086" t="s">
        <v>1183</v>
      </c>
      <c r="AZ75" s="1086" t="s">
        <v>1362</v>
      </c>
      <c r="BA75" s="1086" t="s">
        <v>1363</v>
      </c>
      <c r="BB75" s="1086" t="s">
        <v>862</v>
      </c>
      <c r="BC75" s="1089">
        <v>707.32</v>
      </c>
      <c r="BD75" s="1086" t="s">
        <v>1326</v>
      </c>
      <c r="BE75" s="1086" t="s">
        <v>1364</v>
      </c>
      <c r="BF75" s="1086" t="s">
        <v>862</v>
      </c>
      <c r="BG75" s="1086" t="s">
        <v>1320</v>
      </c>
      <c r="BH75" s="1086" t="s">
        <v>1365</v>
      </c>
      <c r="BI75" s="1086" t="s">
        <v>420</v>
      </c>
      <c r="BJ75" s="1086" t="s">
        <v>1366</v>
      </c>
      <c r="BK75" s="1086" t="s">
        <v>1183</v>
      </c>
      <c r="BL75" s="1086" t="s">
        <v>1367</v>
      </c>
      <c r="BM75" s="1086" t="s">
        <v>1363</v>
      </c>
      <c r="BN75" s="1086" t="s">
        <v>862</v>
      </c>
      <c r="BO75" s="1086" t="s">
        <v>1368</v>
      </c>
      <c r="BP75" s="1086" t="s">
        <v>862</v>
      </c>
    </row>
    <row r="76" spans="42:68">
      <c r="AP76" s="1086" t="s">
        <v>1317</v>
      </c>
      <c r="AQ76" s="1086" t="s">
        <v>1318</v>
      </c>
      <c r="AR76" s="1086" t="s">
        <v>1444</v>
      </c>
      <c r="AS76" s="1086" t="s">
        <v>1320</v>
      </c>
      <c r="AT76" s="1086" t="s">
        <v>1321</v>
      </c>
      <c r="AU76" s="1086" t="s">
        <v>1322</v>
      </c>
      <c r="AV76" s="1086" t="s">
        <v>1446</v>
      </c>
      <c r="AW76" s="1086" t="s">
        <v>1184</v>
      </c>
      <c r="AX76" s="1086" t="s">
        <v>5</v>
      </c>
      <c r="AY76" s="1086" t="s">
        <v>1183</v>
      </c>
      <c r="AZ76" s="1086" t="s">
        <v>1332</v>
      </c>
      <c r="BA76" s="1086" t="s">
        <v>1325</v>
      </c>
      <c r="BB76" s="1086" t="s">
        <v>862</v>
      </c>
      <c r="BC76" s="1089">
        <v>31776.23</v>
      </c>
      <c r="BD76" s="1086" t="s">
        <v>1326</v>
      </c>
      <c r="BE76" s="1086" t="s">
        <v>862</v>
      </c>
      <c r="BF76" s="1086" t="s">
        <v>862</v>
      </c>
      <c r="BG76" s="1086" t="s">
        <v>862</v>
      </c>
      <c r="BH76" s="1086" t="s">
        <v>1328</v>
      </c>
      <c r="BI76" s="1086" t="s">
        <v>1384</v>
      </c>
      <c r="BJ76" s="1086" t="s">
        <v>1385</v>
      </c>
      <c r="BK76" s="1086" t="s">
        <v>862</v>
      </c>
      <c r="BL76" s="1086" t="s">
        <v>862</v>
      </c>
      <c r="BM76" s="1086" t="s">
        <v>862</v>
      </c>
      <c r="BN76" s="1086" t="s">
        <v>862</v>
      </c>
      <c r="BO76" s="1086" t="s">
        <v>1331</v>
      </c>
      <c r="BP76" s="1086" t="s">
        <v>862</v>
      </c>
    </row>
    <row r="77" spans="42:68">
      <c r="AP77" s="1086" t="s">
        <v>1317</v>
      </c>
      <c r="AQ77" s="1086" t="s">
        <v>1318</v>
      </c>
      <c r="AR77" s="1086" t="s">
        <v>1444</v>
      </c>
      <c r="AS77" s="1086" t="s">
        <v>1320</v>
      </c>
      <c r="AT77" s="1086" t="s">
        <v>1321</v>
      </c>
      <c r="AU77" s="1086" t="s">
        <v>1322</v>
      </c>
      <c r="AV77" s="1086" t="s">
        <v>1446</v>
      </c>
      <c r="AW77" s="1086" t="s">
        <v>1184</v>
      </c>
      <c r="AX77" s="1086" t="s">
        <v>5</v>
      </c>
      <c r="AY77" s="1086" t="s">
        <v>1183</v>
      </c>
      <c r="AZ77" s="1086" t="s">
        <v>1324</v>
      </c>
      <c r="BA77" s="1086" t="s">
        <v>1325</v>
      </c>
      <c r="BB77" s="1086" t="s">
        <v>862</v>
      </c>
      <c r="BC77" s="1089">
        <v>2028.27</v>
      </c>
      <c r="BD77" s="1086" t="s">
        <v>1326</v>
      </c>
      <c r="BE77" s="1086" t="s">
        <v>862</v>
      </c>
      <c r="BF77" s="1086" t="s">
        <v>862</v>
      </c>
      <c r="BG77" s="1086" t="s">
        <v>862</v>
      </c>
      <c r="BH77" s="1086" t="s">
        <v>1328</v>
      </c>
      <c r="BI77" s="1086" t="s">
        <v>1384</v>
      </c>
      <c r="BJ77" s="1086" t="s">
        <v>1385</v>
      </c>
      <c r="BK77" s="1086" t="s">
        <v>862</v>
      </c>
      <c r="BL77" s="1086" t="s">
        <v>862</v>
      </c>
      <c r="BM77" s="1086" t="s">
        <v>862</v>
      </c>
      <c r="BN77" s="1086" t="s">
        <v>862</v>
      </c>
      <c r="BO77" s="1086" t="s">
        <v>1331</v>
      </c>
      <c r="BP77" s="1086" t="s">
        <v>862</v>
      </c>
    </row>
    <row r="78" spans="42:68">
      <c r="AP78" s="1086" t="s">
        <v>1317</v>
      </c>
      <c r="AQ78" s="1086" t="s">
        <v>1318</v>
      </c>
      <c r="AR78" s="1086" t="s">
        <v>1444</v>
      </c>
      <c r="AS78" s="1086" t="s">
        <v>1320</v>
      </c>
      <c r="AT78" s="1086" t="s">
        <v>1321</v>
      </c>
      <c r="AU78" s="1086" t="s">
        <v>1322</v>
      </c>
      <c r="AV78" s="1086" t="s">
        <v>1447</v>
      </c>
      <c r="AW78" s="1086" t="s">
        <v>1347</v>
      </c>
      <c r="AX78" s="1086" t="s">
        <v>1348</v>
      </c>
      <c r="AY78" s="1086" t="s">
        <v>1351</v>
      </c>
      <c r="AZ78" s="1086" t="s">
        <v>1355</v>
      </c>
      <c r="BA78" s="1086" t="s">
        <v>1356</v>
      </c>
      <c r="BB78" s="1086" t="s">
        <v>862</v>
      </c>
      <c r="BC78" s="1089">
        <v>2028.27</v>
      </c>
      <c r="BD78" s="1086" t="s">
        <v>1326</v>
      </c>
      <c r="BE78" s="1086" t="s">
        <v>862</v>
      </c>
      <c r="BF78" s="1086" t="s">
        <v>862</v>
      </c>
      <c r="BG78" s="1086" t="s">
        <v>862</v>
      </c>
      <c r="BH78" s="1086" t="s">
        <v>1357</v>
      </c>
      <c r="BI78" s="1086" t="s">
        <v>1349</v>
      </c>
      <c r="BJ78" s="1086" t="s">
        <v>1350</v>
      </c>
      <c r="BK78" s="1086" t="s">
        <v>862</v>
      </c>
      <c r="BL78" s="1086" t="s">
        <v>862</v>
      </c>
      <c r="BM78" s="1086" t="s">
        <v>862</v>
      </c>
      <c r="BN78" s="1086" t="s">
        <v>862</v>
      </c>
      <c r="BO78" s="1086" t="s">
        <v>1331</v>
      </c>
      <c r="BP78" s="1086" t="s">
        <v>862</v>
      </c>
    </row>
    <row r="79" spans="42:68">
      <c r="AP79" s="1086" t="s">
        <v>1317</v>
      </c>
      <c r="AQ79" s="1086" t="s">
        <v>1318</v>
      </c>
      <c r="AR79" s="1086" t="s">
        <v>1444</v>
      </c>
      <c r="AS79" s="1086" t="s">
        <v>1320</v>
      </c>
      <c r="AT79" s="1086" t="s">
        <v>1321</v>
      </c>
      <c r="AU79" s="1086" t="s">
        <v>1322</v>
      </c>
      <c r="AV79" s="1086" t="s">
        <v>1447</v>
      </c>
      <c r="AW79" s="1086" t="s">
        <v>1347</v>
      </c>
      <c r="AX79" s="1086" t="s">
        <v>1348</v>
      </c>
      <c r="AY79" s="1086" t="s">
        <v>1351</v>
      </c>
      <c r="AZ79" s="1086" t="s">
        <v>1352</v>
      </c>
      <c r="BA79" s="1086" t="s">
        <v>1353</v>
      </c>
      <c r="BB79" s="1086" t="s">
        <v>862</v>
      </c>
      <c r="BC79" s="1089">
        <v>31776.23</v>
      </c>
      <c r="BD79" s="1086" t="s">
        <v>1326</v>
      </c>
      <c r="BE79" s="1086" t="s">
        <v>862</v>
      </c>
      <c r="BF79" s="1086" t="s">
        <v>862</v>
      </c>
      <c r="BG79" s="1086" t="s">
        <v>862</v>
      </c>
      <c r="BH79" s="1086" t="s">
        <v>1354</v>
      </c>
      <c r="BI79" s="1086" t="s">
        <v>1349</v>
      </c>
      <c r="BJ79" s="1086" t="s">
        <v>1350</v>
      </c>
      <c r="BK79" s="1086" t="s">
        <v>862</v>
      </c>
      <c r="BL79" s="1086" t="s">
        <v>862</v>
      </c>
      <c r="BM79" s="1086" t="s">
        <v>862</v>
      </c>
      <c r="BN79" s="1086" t="s">
        <v>862</v>
      </c>
      <c r="BO79" s="1086" t="s">
        <v>1331</v>
      </c>
      <c r="BP79" s="1086" t="s">
        <v>862</v>
      </c>
    </row>
    <row r="80" spans="42:68">
      <c r="AP80" s="1086" t="s">
        <v>1317</v>
      </c>
      <c r="AQ80" s="1086" t="s">
        <v>1318</v>
      </c>
      <c r="AR80" s="1086" t="s">
        <v>1444</v>
      </c>
      <c r="AS80" s="1086" t="s">
        <v>1320</v>
      </c>
      <c r="AT80" s="1086" t="s">
        <v>1321</v>
      </c>
      <c r="AU80" s="1086" t="s">
        <v>1322</v>
      </c>
      <c r="AV80" s="1086" t="s">
        <v>1447</v>
      </c>
      <c r="AW80" s="1086" t="s">
        <v>1347</v>
      </c>
      <c r="AX80" s="1086" t="s">
        <v>1348</v>
      </c>
      <c r="AY80" s="1086" t="s">
        <v>1183</v>
      </c>
      <c r="AZ80" s="1086" t="s">
        <v>1324</v>
      </c>
      <c r="BA80" s="1086" t="s">
        <v>1325</v>
      </c>
      <c r="BB80" s="1086" t="s">
        <v>862</v>
      </c>
      <c r="BC80" s="1089">
        <v>-2028.27</v>
      </c>
      <c r="BD80" s="1086" t="s">
        <v>709</v>
      </c>
      <c r="BE80" s="1086" t="s">
        <v>862</v>
      </c>
      <c r="BF80" s="1086" t="s">
        <v>862</v>
      </c>
      <c r="BG80" s="1086" t="s">
        <v>862</v>
      </c>
      <c r="BH80" s="1086" t="s">
        <v>1328</v>
      </c>
      <c r="BI80" s="1086" t="s">
        <v>1349</v>
      </c>
      <c r="BJ80" s="1086" t="s">
        <v>1350</v>
      </c>
      <c r="BK80" s="1086" t="s">
        <v>862</v>
      </c>
      <c r="BL80" s="1086" t="s">
        <v>862</v>
      </c>
      <c r="BM80" s="1086" t="s">
        <v>862</v>
      </c>
      <c r="BN80" s="1086" t="s">
        <v>862</v>
      </c>
      <c r="BO80" s="1086" t="s">
        <v>1331</v>
      </c>
      <c r="BP80" s="1086" t="s">
        <v>862</v>
      </c>
    </row>
    <row r="81" spans="42:68">
      <c r="AP81" s="1086" t="s">
        <v>1317</v>
      </c>
      <c r="AQ81" s="1086" t="s">
        <v>1318</v>
      </c>
      <c r="AR81" s="1086" t="s">
        <v>1444</v>
      </c>
      <c r="AS81" s="1086" t="s">
        <v>1320</v>
      </c>
      <c r="AT81" s="1086" t="s">
        <v>1321</v>
      </c>
      <c r="AU81" s="1086" t="s">
        <v>1322</v>
      </c>
      <c r="AV81" s="1086" t="s">
        <v>1447</v>
      </c>
      <c r="AW81" s="1086" t="s">
        <v>1347</v>
      </c>
      <c r="AX81" s="1086" t="s">
        <v>1348</v>
      </c>
      <c r="AY81" s="1086" t="s">
        <v>1183</v>
      </c>
      <c r="AZ81" s="1086" t="s">
        <v>1332</v>
      </c>
      <c r="BA81" s="1086" t="s">
        <v>1325</v>
      </c>
      <c r="BB81" s="1086" t="s">
        <v>862</v>
      </c>
      <c r="BC81" s="1089">
        <v>-31776.23</v>
      </c>
      <c r="BD81" s="1086" t="s">
        <v>709</v>
      </c>
      <c r="BE81" s="1086" t="s">
        <v>862</v>
      </c>
      <c r="BF81" s="1086" t="s">
        <v>862</v>
      </c>
      <c r="BG81" s="1086" t="s">
        <v>862</v>
      </c>
      <c r="BH81" s="1086" t="s">
        <v>1328</v>
      </c>
      <c r="BI81" s="1086" t="s">
        <v>1349</v>
      </c>
      <c r="BJ81" s="1086" t="s">
        <v>1350</v>
      </c>
      <c r="BK81" s="1086" t="s">
        <v>862</v>
      </c>
      <c r="BL81" s="1086" t="s">
        <v>862</v>
      </c>
      <c r="BM81" s="1086" t="s">
        <v>862</v>
      </c>
      <c r="BN81" s="1086" t="s">
        <v>862</v>
      </c>
      <c r="BO81" s="1086" t="s">
        <v>1331</v>
      </c>
      <c r="BP81" s="1086" t="s">
        <v>862</v>
      </c>
    </row>
    <row r="82" spans="42:68">
      <c r="AP82" s="1086" t="s">
        <v>1317</v>
      </c>
      <c r="AQ82" s="1086" t="s">
        <v>1318</v>
      </c>
      <c r="AR82" s="1086" t="s">
        <v>1448</v>
      </c>
      <c r="AS82" s="1086" t="s">
        <v>1320</v>
      </c>
      <c r="AT82" s="1086" t="s">
        <v>1321</v>
      </c>
      <c r="AU82" s="1086" t="s">
        <v>1322</v>
      </c>
      <c r="AV82" s="1086" t="s">
        <v>1449</v>
      </c>
      <c r="AW82" s="1086" t="s">
        <v>1407</v>
      </c>
      <c r="AX82" s="1086" t="s">
        <v>1408</v>
      </c>
      <c r="AY82" s="1086" t="s">
        <v>1183</v>
      </c>
      <c r="AZ82" s="1086" t="s">
        <v>1369</v>
      </c>
      <c r="BA82" s="1086" t="s">
        <v>1363</v>
      </c>
      <c r="BB82" s="1086" t="s">
        <v>862</v>
      </c>
      <c r="BC82" s="1089">
        <v>25107.19</v>
      </c>
      <c r="BD82" s="1086" t="s">
        <v>1326</v>
      </c>
      <c r="BE82" s="1086" t="s">
        <v>1364</v>
      </c>
      <c r="BF82" s="1086" t="s">
        <v>862</v>
      </c>
      <c r="BG82" s="1086" t="s">
        <v>1320</v>
      </c>
      <c r="BH82" s="1086" t="s">
        <v>1365</v>
      </c>
      <c r="BI82" s="1086" t="s">
        <v>420</v>
      </c>
      <c r="BJ82" s="1086" t="s">
        <v>1366</v>
      </c>
      <c r="BK82" s="1086" t="s">
        <v>1183</v>
      </c>
      <c r="BL82" s="1086" t="s">
        <v>1367</v>
      </c>
      <c r="BM82" s="1086" t="s">
        <v>1363</v>
      </c>
      <c r="BN82" s="1086" t="s">
        <v>862</v>
      </c>
      <c r="BO82" s="1086" t="s">
        <v>1368</v>
      </c>
      <c r="BP82" s="1086" t="s">
        <v>862</v>
      </c>
    </row>
    <row r="83" spans="42:68">
      <c r="AP83" s="1086" t="s">
        <v>1317</v>
      </c>
      <c r="AQ83" s="1086" t="s">
        <v>1318</v>
      </c>
      <c r="AR83" s="1086" t="s">
        <v>1448</v>
      </c>
      <c r="AS83" s="1086" t="s">
        <v>1320</v>
      </c>
      <c r="AT83" s="1086" t="s">
        <v>1321</v>
      </c>
      <c r="AU83" s="1086" t="s">
        <v>1322</v>
      </c>
      <c r="AV83" s="1086" t="s">
        <v>1449</v>
      </c>
      <c r="AW83" s="1086" t="s">
        <v>1407</v>
      </c>
      <c r="AX83" s="1086" t="s">
        <v>1408</v>
      </c>
      <c r="AY83" s="1086" t="s">
        <v>1183</v>
      </c>
      <c r="AZ83" s="1086" t="s">
        <v>1362</v>
      </c>
      <c r="BA83" s="1086" t="s">
        <v>1363</v>
      </c>
      <c r="BB83" s="1086" t="s">
        <v>862</v>
      </c>
      <c r="BC83" s="1089">
        <v>707.32</v>
      </c>
      <c r="BD83" s="1086" t="s">
        <v>1326</v>
      </c>
      <c r="BE83" s="1086" t="s">
        <v>1364</v>
      </c>
      <c r="BF83" s="1086" t="s">
        <v>862</v>
      </c>
      <c r="BG83" s="1086" t="s">
        <v>1320</v>
      </c>
      <c r="BH83" s="1086" t="s">
        <v>1365</v>
      </c>
      <c r="BI83" s="1086" t="s">
        <v>420</v>
      </c>
      <c r="BJ83" s="1086" t="s">
        <v>1366</v>
      </c>
      <c r="BK83" s="1086" t="s">
        <v>1183</v>
      </c>
      <c r="BL83" s="1086" t="s">
        <v>1367</v>
      </c>
      <c r="BM83" s="1086" t="s">
        <v>1363</v>
      </c>
      <c r="BN83" s="1086" t="s">
        <v>862</v>
      </c>
      <c r="BO83" s="1086" t="s">
        <v>1368</v>
      </c>
      <c r="BP83" s="1086" t="s">
        <v>862</v>
      </c>
    </row>
    <row r="84" spans="42:68">
      <c r="AP84" s="1086" t="s">
        <v>1317</v>
      </c>
      <c r="AQ84" s="1086" t="s">
        <v>1318</v>
      </c>
      <c r="AR84" s="1086" t="s">
        <v>1448</v>
      </c>
      <c r="AS84" s="1086" t="s">
        <v>1320</v>
      </c>
      <c r="AT84" s="1086" t="s">
        <v>1321</v>
      </c>
      <c r="AU84" s="1086" t="s">
        <v>1322</v>
      </c>
      <c r="AV84" s="1086" t="s">
        <v>1450</v>
      </c>
      <c r="AW84" s="1086" t="s">
        <v>1124</v>
      </c>
      <c r="AX84" s="1086" t="s">
        <v>1210</v>
      </c>
      <c r="AY84" s="1086" t="s">
        <v>1183</v>
      </c>
      <c r="AZ84" s="1086" t="s">
        <v>1185</v>
      </c>
      <c r="BA84" s="1086" t="s">
        <v>1334</v>
      </c>
      <c r="BB84" s="1086" t="s">
        <v>862</v>
      </c>
      <c r="BC84" s="1089">
        <v>1616.25</v>
      </c>
      <c r="BD84" s="1086" t="s">
        <v>1326</v>
      </c>
      <c r="BE84" s="1086" t="s">
        <v>862</v>
      </c>
      <c r="BF84" s="1086" t="s">
        <v>1451</v>
      </c>
      <c r="BG84" s="1086" t="s">
        <v>862</v>
      </c>
      <c r="BH84" s="1086" t="s">
        <v>1328</v>
      </c>
      <c r="BI84" s="1086" t="s">
        <v>1374</v>
      </c>
      <c r="BJ84" s="1086" t="s">
        <v>1330</v>
      </c>
      <c r="BK84" s="1086" t="s">
        <v>862</v>
      </c>
      <c r="BL84" s="1086" t="s">
        <v>862</v>
      </c>
      <c r="BM84" s="1086" t="s">
        <v>862</v>
      </c>
      <c r="BN84" s="1086" t="s">
        <v>862</v>
      </c>
      <c r="BO84" s="1086" t="s">
        <v>1331</v>
      </c>
      <c r="BP84" s="1086" t="s">
        <v>862</v>
      </c>
    </row>
    <row r="85" spans="42:68">
      <c r="AP85" s="1086" t="s">
        <v>1317</v>
      </c>
      <c r="AQ85" s="1086" t="s">
        <v>1318</v>
      </c>
      <c r="AR85" s="1086" t="s">
        <v>1448</v>
      </c>
      <c r="AS85" s="1086" t="s">
        <v>1320</v>
      </c>
      <c r="AT85" s="1086" t="s">
        <v>1321</v>
      </c>
      <c r="AU85" s="1086" t="s">
        <v>1322</v>
      </c>
      <c r="AV85" s="1086" t="s">
        <v>1452</v>
      </c>
      <c r="AW85" s="1086" t="s">
        <v>1184</v>
      </c>
      <c r="AX85" s="1086" t="s">
        <v>5</v>
      </c>
      <c r="AY85" s="1086" t="s">
        <v>1183</v>
      </c>
      <c r="AZ85" s="1086" t="s">
        <v>1332</v>
      </c>
      <c r="BA85" s="1086" t="s">
        <v>1325</v>
      </c>
      <c r="BB85" s="1086" t="s">
        <v>862</v>
      </c>
      <c r="BC85" s="1089">
        <v>19067.47</v>
      </c>
      <c r="BD85" s="1086" t="s">
        <v>1326</v>
      </c>
      <c r="BE85" s="1086" t="s">
        <v>862</v>
      </c>
      <c r="BF85" s="1086" t="s">
        <v>1453</v>
      </c>
      <c r="BG85" s="1086" t="s">
        <v>862</v>
      </c>
      <c r="BH85" s="1086" t="s">
        <v>1328</v>
      </c>
      <c r="BI85" s="1086" t="s">
        <v>1329</v>
      </c>
      <c r="BJ85" s="1086" t="s">
        <v>1330</v>
      </c>
      <c r="BK85" s="1086" t="s">
        <v>862</v>
      </c>
      <c r="BL85" s="1086" t="s">
        <v>862</v>
      </c>
      <c r="BM85" s="1086" t="s">
        <v>862</v>
      </c>
      <c r="BN85" s="1086" t="s">
        <v>862</v>
      </c>
      <c r="BO85" s="1086" t="s">
        <v>1331</v>
      </c>
      <c r="BP85" s="1086" t="s">
        <v>862</v>
      </c>
    </row>
    <row r="86" spans="42:68">
      <c r="AP86" s="1086" t="s">
        <v>1317</v>
      </c>
      <c r="AQ86" s="1086" t="s">
        <v>1318</v>
      </c>
      <c r="AR86" s="1086" t="s">
        <v>1448</v>
      </c>
      <c r="AS86" s="1086" t="s">
        <v>1320</v>
      </c>
      <c r="AT86" s="1086" t="s">
        <v>1321</v>
      </c>
      <c r="AU86" s="1086" t="s">
        <v>1322</v>
      </c>
      <c r="AV86" s="1086" t="s">
        <v>1452</v>
      </c>
      <c r="AW86" s="1086" t="s">
        <v>1184</v>
      </c>
      <c r="AX86" s="1086" t="s">
        <v>5</v>
      </c>
      <c r="AY86" s="1086" t="s">
        <v>1183</v>
      </c>
      <c r="AZ86" s="1086" t="s">
        <v>1324</v>
      </c>
      <c r="BA86" s="1086" t="s">
        <v>1325</v>
      </c>
      <c r="BB86" s="1086" t="s">
        <v>862</v>
      </c>
      <c r="BC86" s="1089">
        <v>182.53</v>
      </c>
      <c r="BD86" s="1086" t="s">
        <v>1326</v>
      </c>
      <c r="BE86" s="1086" t="s">
        <v>862</v>
      </c>
      <c r="BF86" s="1086" t="s">
        <v>1453</v>
      </c>
      <c r="BG86" s="1086" t="s">
        <v>862</v>
      </c>
      <c r="BH86" s="1086" t="s">
        <v>1328</v>
      </c>
      <c r="BI86" s="1086" t="s">
        <v>1329</v>
      </c>
      <c r="BJ86" s="1086" t="s">
        <v>1330</v>
      </c>
      <c r="BK86" s="1086" t="s">
        <v>862</v>
      </c>
      <c r="BL86" s="1086" t="s">
        <v>862</v>
      </c>
      <c r="BM86" s="1086" t="s">
        <v>862</v>
      </c>
      <c r="BN86" s="1086" t="s">
        <v>862</v>
      </c>
      <c r="BO86" s="1086" t="s">
        <v>1331</v>
      </c>
      <c r="BP86" s="1086" t="s">
        <v>862</v>
      </c>
    </row>
    <row r="87" spans="42:68">
      <c r="AP87" s="1086" t="s">
        <v>1317</v>
      </c>
      <c r="AQ87" s="1086" t="s">
        <v>1318</v>
      </c>
      <c r="AR87" s="1086" t="s">
        <v>1448</v>
      </c>
      <c r="AS87" s="1086" t="s">
        <v>1320</v>
      </c>
      <c r="AT87" s="1086" t="s">
        <v>1321</v>
      </c>
      <c r="AU87" s="1086" t="s">
        <v>1322</v>
      </c>
      <c r="AV87" s="1086" t="s">
        <v>1454</v>
      </c>
      <c r="AW87" s="1086" t="s">
        <v>1184</v>
      </c>
      <c r="AX87" s="1086" t="s">
        <v>5</v>
      </c>
      <c r="AY87" s="1086" t="s">
        <v>1183</v>
      </c>
      <c r="AZ87" s="1086" t="s">
        <v>1332</v>
      </c>
      <c r="BA87" s="1086" t="s">
        <v>1325</v>
      </c>
      <c r="BB87" s="1086" t="s">
        <v>862</v>
      </c>
      <c r="BC87" s="1089">
        <v>1024.33</v>
      </c>
      <c r="BD87" s="1086" t="s">
        <v>1326</v>
      </c>
      <c r="BE87" s="1086" t="s">
        <v>862</v>
      </c>
      <c r="BF87" s="1086" t="s">
        <v>1455</v>
      </c>
      <c r="BG87" s="1086" t="s">
        <v>862</v>
      </c>
      <c r="BH87" s="1086" t="s">
        <v>1328</v>
      </c>
      <c r="BI87" s="1086" t="s">
        <v>1329</v>
      </c>
      <c r="BJ87" s="1086" t="s">
        <v>1330</v>
      </c>
      <c r="BK87" s="1086" t="s">
        <v>862</v>
      </c>
      <c r="BL87" s="1086" t="s">
        <v>862</v>
      </c>
      <c r="BM87" s="1086" t="s">
        <v>862</v>
      </c>
      <c r="BN87" s="1086" t="s">
        <v>862</v>
      </c>
      <c r="BO87" s="1086" t="s">
        <v>1331</v>
      </c>
      <c r="BP87" s="1086" t="s">
        <v>862</v>
      </c>
    </row>
    <row r="88" spans="42:68">
      <c r="AP88" s="1086" t="s">
        <v>1317</v>
      </c>
      <c r="AQ88" s="1086" t="s">
        <v>1318</v>
      </c>
      <c r="AR88" s="1086" t="s">
        <v>1448</v>
      </c>
      <c r="AS88" s="1086" t="s">
        <v>1320</v>
      </c>
      <c r="AT88" s="1086" t="s">
        <v>1321</v>
      </c>
      <c r="AU88" s="1086" t="s">
        <v>1322</v>
      </c>
      <c r="AV88" s="1086" t="s">
        <v>1454</v>
      </c>
      <c r="AW88" s="1086" t="s">
        <v>1184</v>
      </c>
      <c r="AX88" s="1086" t="s">
        <v>5</v>
      </c>
      <c r="AY88" s="1086" t="s">
        <v>1183</v>
      </c>
      <c r="AZ88" s="1086" t="s">
        <v>1324</v>
      </c>
      <c r="BA88" s="1086" t="s">
        <v>1325</v>
      </c>
      <c r="BB88" s="1086" t="s">
        <v>862</v>
      </c>
      <c r="BC88" s="1089">
        <v>53.92</v>
      </c>
      <c r="BD88" s="1086" t="s">
        <v>1326</v>
      </c>
      <c r="BE88" s="1086" t="s">
        <v>862</v>
      </c>
      <c r="BF88" s="1086" t="s">
        <v>1455</v>
      </c>
      <c r="BG88" s="1086" t="s">
        <v>862</v>
      </c>
      <c r="BH88" s="1086" t="s">
        <v>1328</v>
      </c>
      <c r="BI88" s="1086" t="s">
        <v>1329</v>
      </c>
      <c r="BJ88" s="1086" t="s">
        <v>1330</v>
      </c>
      <c r="BK88" s="1086" t="s">
        <v>862</v>
      </c>
      <c r="BL88" s="1086" t="s">
        <v>862</v>
      </c>
      <c r="BM88" s="1086" t="s">
        <v>862</v>
      </c>
      <c r="BN88" s="1086" t="s">
        <v>862</v>
      </c>
      <c r="BO88" s="1086" t="s">
        <v>1331</v>
      </c>
      <c r="BP88" s="1086" t="s">
        <v>862</v>
      </c>
    </row>
    <row r="89" spans="42:68">
      <c r="AP89" s="1086" t="s">
        <v>1317</v>
      </c>
      <c r="AQ89" s="1086" t="s">
        <v>1318</v>
      </c>
      <c r="AR89" s="1086" t="s">
        <v>1448</v>
      </c>
      <c r="AS89" s="1086" t="s">
        <v>1320</v>
      </c>
      <c r="AT89" s="1086" t="s">
        <v>1321</v>
      </c>
      <c r="AU89" s="1086" t="s">
        <v>1322</v>
      </c>
      <c r="AV89" s="1086" t="s">
        <v>1456</v>
      </c>
      <c r="AW89" s="1086" t="s">
        <v>1184</v>
      </c>
      <c r="AX89" s="1086" t="s">
        <v>5</v>
      </c>
      <c r="AY89" s="1086" t="s">
        <v>1183</v>
      </c>
      <c r="AZ89" s="1086" t="s">
        <v>1332</v>
      </c>
      <c r="BA89" s="1086" t="s">
        <v>1325</v>
      </c>
      <c r="BB89" s="1086" t="s">
        <v>862</v>
      </c>
      <c r="BC89" s="1089">
        <v>1000</v>
      </c>
      <c r="BD89" s="1086" t="s">
        <v>1326</v>
      </c>
      <c r="BE89" s="1086" t="s">
        <v>862</v>
      </c>
      <c r="BF89" s="1086" t="s">
        <v>1457</v>
      </c>
      <c r="BG89" s="1086" t="s">
        <v>862</v>
      </c>
      <c r="BH89" s="1086" t="s">
        <v>1328</v>
      </c>
      <c r="BI89" s="1086" t="s">
        <v>1329</v>
      </c>
      <c r="BJ89" s="1086" t="s">
        <v>1330</v>
      </c>
      <c r="BK89" s="1086" t="s">
        <v>862</v>
      </c>
      <c r="BL89" s="1086" t="s">
        <v>862</v>
      </c>
      <c r="BM89" s="1086" t="s">
        <v>862</v>
      </c>
      <c r="BN89" s="1086" t="s">
        <v>862</v>
      </c>
      <c r="BO89" s="1086" t="s">
        <v>1331</v>
      </c>
      <c r="BP89" s="1086" t="s">
        <v>862</v>
      </c>
    </row>
    <row r="90" spans="42:68">
      <c r="AP90" s="1086" t="s">
        <v>1317</v>
      </c>
      <c r="AQ90" s="1086" t="s">
        <v>1318</v>
      </c>
      <c r="AR90" s="1086" t="s">
        <v>1448</v>
      </c>
      <c r="AS90" s="1086" t="s">
        <v>1320</v>
      </c>
      <c r="AT90" s="1086" t="s">
        <v>1321</v>
      </c>
      <c r="AU90" s="1086" t="s">
        <v>1322</v>
      </c>
      <c r="AV90" s="1086" t="s">
        <v>1458</v>
      </c>
      <c r="AW90" s="1086" t="s">
        <v>1184</v>
      </c>
      <c r="AX90" s="1086" t="s">
        <v>5</v>
      </c>
      <c r="AY90" s="1086" t="s">
        <v>1183</v>
      </c>
      <c r="AZ90" s="1086" t="s">
        <v>1332</v>
      </c>
      <c r="BA90" s="1086" t="s">
        <v>1325</v>
      </c>
      <c r="BB90" s="1086" t="s">
        <v>862</v>
      </c>
      <c r="BC90" s="1089">
        <v>6460</v>
      </c>
      <c r="BD90" s="1086" t="s">
        <v>1326</v>
      </c>
      <c r="BE90" s="1086" t="s">
        <v>862</v>
      </c>
      <c r="BF90" s="1086" t="s">
        <v>1459</v>
      </c>
      <c r="BG90" s="1086" t="s">
        <v>862</v>
      </c>
      <c r="BH90" s="1086" t="s">
        <v>1328</v>
      </c>
      <c r="BI90" s="1086" t="s">
        <v>1329</v>
      </c>
      <c r="BJ90" s="1086" t="s">
        <v>1330</v>
      </c>
      <c r="BK90" s="1086" t="s">
        <v>862</v>
      </c>
      <c r="BL90" s="1086" t="s">
        <v>862</v>
      </c>
      <c r="BM90" s="1086" t="s">
        <v>862</v>
      </c>
      <c r="BN90" s="1086" t="s">
        <v>862</v>
      </c>
      <c r="BO90" s="1086" t="s">
        <v>1331</v>
      </c>
      <c r="BP90" s="1086" t="s">
        <v>862</v>
      </c>
    </row>
    <row r="91" spans="42:68">
      <c r="AP91" s="1086" t="s">
        <v>1317</v>
      </c>
      <c r="AQ91" s="1086" t="s">
        <v>1318</v>
      </c>
      <c r="AR91" s="1086" t="s">
        <v>1448</v>
      </c>
      <c r="AS91" s="1086" t="s">
        <v>1320</v>
      </c>
      <c r="AT91" s="1086" t="s">
        <v>1321</v>
      </c>
      <c r="AU91" s="1086" t="s">
        <v>1322</v>
      </c>
      <c r="AV91" s="1086" t="s">
        <v>1458</v>
      </c>
      <c r="AW91" s="1086" t="s">
        <v>1184</v>
      </c>
      <c r="AX91" s="1086" t="s">
        <v>5</v>
      </c>
      <c r="AY91" s="1086" t="s">
        <v>1183</v>
      </c>
      <c r="AZ91" s="1086" t="s">
        <v>1324</v>
      </c>
      <c r="BA91" s="1086" t="s">
        <v>1325</v>
      </c>
      <c r="BB91" s="1086" t="s">
        <v>862</v>
      </c>
      <c r="BC91" s="1089">
        <v>340</v>
      </c>
      <c r="BD91" s="1086" t="s">
        <v>1326</v>
      </c>
      <c r="BE91" s="1086" t="s">
        <v>862</v>
      </c>
      <c r="BF91" s="1086" t="s">
        <v>1459</v>
      </c>
      <c r="BG91" s="1086" t="s">
        <v>862</v>
      </c>
      <c r="BH91" s="1086" t="s">
        <v>1328</v>
      </c>
      <c r="BI91" s="1086" t="s">
        <v>1329</v>
      </c>
      <c r="BJ91" s="1086" t="s">
        <v>1330</v>
      </c>
      <c r="BK91" s="1086" t="s">
        <v>862</v>
      </c>
      <c r="BL91" s="1086" t="s">
        <v>862</v>
      </c>
      <c r="BM91" s="1086" t="s">
        <v>862</v>
      </c>
      <c r="BN91" s="1086" t="s">
        <v>862</v>
      </c>
      <c r="BO91" s="1086" t="s">
        <v>1331</v>
      </c>
      <c r="BP91" s="1086" t="s">
        <v>862</v>
      </c>
    </row>
    <row r="92" spans="42:68">
      <c r="AP92" s="1086" t="s">
        <v>1317</v>
      </c>
      <c r="AQ92" s="1086" t="s">
        <v>1318</v>
      </c>
      <c r="AR92" s="1086" t="s">
        <v>1448</v>
      </c>
      <c r="AS92" s="1086" t="s">
        <v>1320</v>
      </c>
      <c r="AT92" s="1086" t="s">
        <v>1321</v>
      </c>
      <c r="AU92" s="1086" t="s">
        <v>1322</v>
      </c>
      <c r="AV92" s="1086" t="s">
        <v>1460</v>
      </c>
      <c r="AW92" s="1086" t="s">
        <v>1184</v>
      </c>
      <c r="AX92" s="1086" t="s">
        <v>5</v>
      </c>
      <c r="AY92" s="1086" t="s">
        <v>1183</v>
      </c>
      <c r="AZ92" s="1086" t="s">
        <v>1324</v>
      </c>
      <c r="BA92" s="1086" t="s">
        <v>1325</v>
      </c>
      <c r="BB92" s="1086" t="s">
        <v>862</v>
      </c>
      <c r="BC92" s="1089">
        <v>110</v>
      </c>
      <c r="BD92" s="1086" t="s">
        <v>1326</v>
      </c>
      <c r="BE92" s="1086" t="s">
        <v>862</v>
      </c>
      <c r="BF92" s="1086" t="s">
        <v>1461</v>
      </c>
      <c r="BG92" s="1086" t="s">
        <v>862</v>
      </c>
      <c r="BH92" s="1086" t="s">
        <v>1328</v>
      </c>
      <c r="BI92" s="1086" t="s">
        <v>1329</v>
      </c>
      <c r="BJ92" s="1086" t="s">
        <v>1330</v>
      </c>
      <c r="BK92" s="1086" t="s">
        <v>862</v>
      </c>
      <c r="BL92" s="1086" t="s">
        <v>862</v>
      </c>
      <c r="BM92" s="1086" t="s">
        <v>862</v>
      </c>
      <c r="BN92" s="1086" t="s">
        <v>862</v>
      </c>
      <c r="BO92" s="1086" t="s">
        <v>1331</v>
      </c>
      <c r="BP92" s="1086" t="s">
        <v>862</v>
      </c>
    </row>
    <row r="93" spans="42:68">
      <c r="AP93" s="1086" t="s">
        <v>1317</v>
      </c>
      <c r="AQ93" s="1086" t="s">
        <v>1318</v>
      </c>
      <c r="AR93" s="1086" t="s">
        <v>1448</v>
      </c>
      <c r="AS93" s="1086" t="s">
        <v>1320</v>
      </c>
      <c r="AT93" s="1086" t="s">
        <v>1321</v>
      </c>
      <c r="AU93" s="1086" t="s">
        <v>1322</v>
      </c>
      <c r="AV93" s="1086" t="s">
        <v>1460</v>
      </c>
      <c r="AW93" s="1086" t="s">
        <v>1184</v>
      </c>
      <c r="AX93" s="1086" t="s">
        <v>5</v>
      </c>
      <c r="AY93" s="1086" t="s">
        <v>1183</v>
      </c>
      <c r="AZ93" s="1086" t="s">
        <v>1332</v>
      </c>
      <c r="BA93" s="1086" t="s">
        <v>1325</v>
      </c>
      <c r="BB93" s="1086" t="s">
        <v>862</v>
      </c>
      <c r="BC93" s="1089">
        <v>2090</v>
      </c>
      <c r="BD93" s="1086" t="s">
        <v>1326</v>
      </c>
      <c r="BE93" s="1086" t="s">
        <v>862</v>
      </c>
      <c r="BF93" s="1086" t="s">
        <v>1461</v>
      </c>
      <c r="BG93" s="1086" t="s">
        <v>862</v>
      </c>
      <c r="BH93" s="1086" t="s">
        <v>1328</v>
      </c>
      <c r="BI93" s="1086" t="s">
        <v>1329</v>
      </c>
      <c r="BJ93" s="1086" t="s">
        <v>1330</v>
      </c>
      <c r="BK93" s="1086" t="s">
        <v>862</v>
      </c>
      <c r="BL93" s="1086" t="s">
        <v>862</v>
      </c>
      <c r="BM93" s="1086" t="s">
        <v>862</v>
      </c>
      <c r="BN93" s="1086" t="s">
        <v>862</v>
      </c>
      <c r="BO93" s="1086" t="s">
        <v>1331</v>
      </c>
      <c r="BP93" s="1086" t="s">
        <v>862</v>
      </c>
    </row>
    <row r="94" spans="42:68">
      <c r="AP94" s="1086" t="s">
        <v>1317</v>
      </c>
      <c r="AQ94" s="1086" t="s">
        <v>1318</v>
      </c>
      <c r="AR94" s="1086" t="s">
        <v>1448</v>
      </c>
      <c r="AS94" s="1086" t="s">
        <v>1320</v>
      </c>
      <c r="AT94" s="1086" t="s">
        <v>1321</v>
      </c>
      <c r="AU94" s="1086" t="s">
        <v>1322</v>
      </c>
      <c r="AV94" s="1086" t="s">
        <v>1462</v>
      </c>
      <c r="AW94" s="1086" t="s">
        <v>1184</v>
      </c>
      <c r="AX94" s="1086" t="s">
        <v>5</v>
      </c>
      <c r="AY94" s="1086" t="s">
        <v>1183</v>
      </c>
      <c r="AZ94" s="1086" t="s">
        <v>1332</v>
      </c>
      <c r="BA94" s="1086" t="s">
        <v>1325</v>
      </c>
      <c r="BB94" s="1086" t="s">
        <v>862</v>
      </c>
      <c r="BC94" s="1089">
        <v>1500</v>
      </c>
      <c r="BD94" s="1086" t="s">
        <v>1326</v>
      </c>
      <c r="BE94" s="1086" t="s">
        <v>862</v>
      </c>
      <c r="BF94" s="1086" t="s">
        <v>1463</v>
      </c>
      <c r="BG94" s="1086" t="s">
        <v>862</v>
      </c>
      <c r="BH94" s="1086" t="s">
        <v>1328</v>
      </c>
      <c r="BI94" s="1086" t="s">
        <v>1329</v>
      </c>
      <c r="BJ94" s="1086" t="s">
        <v>1330</v>
      </c>
      <c r="BK94" s="1086" t="s">
        <v>862</v>
      </c>
      <c r="BL94" s="1086" t="s">
        <v>862</v>
      </c>
      <c r="BM94" s="1086" t="s">
        <v>862</v>
      </c>
      <c r="BN94" s="1086" t="s">
        <v>862</v>
      </c>
      <c r="BO94" s="1086" t="s">
        <v>1331</v>
      </c>
      <c r="BP94" s="1086" t="s">
        <v>862</v>
      </c>
    </row>
    <row r="95" spans="42:68">
      <c r="AP95" s="1086" t="s">
        <v>1317</v>
      </c>
      <c r="AQ95" s="1086" t="s">
        <v>1318</v>
      </c>
      <c r="AR95" s="1086" t="s">
        <v>1448</v>
      </c>
      <c r="AS95" s="1086" t="s">
        <v>1320</v>
      </c>
      <c r="AT95" s="1086" t="s">
        <v>1321</v>
      </c>
      <c r="AU95" s="1086" t="s">
        <v>1322</v>
      </c>
      <c r="AV95" s="1086" t="s">
        <v>1464</v>
      </c>
      <c r="AW95" s="1086" t="s">
        <v>1184</v>
      </c>
      <c r="AX95" s="1086" t="s">
        <v>5</v>
      </c>
      <c r="AY95" s="1086" t="s">
        <v>1183</v>
      </c>
      <c r="AZ95" s="1086" t="s">
        <v>1332</v>
      </c>
      <c r="BA95" s="1086" t="s">
        <v>1325</v>
      </c>
      <c r="BB95" s="1086" t="s">
        <v>862</v>
      </c>
      <c r="BC95" s="1089">
        <v>7000</v>
      </c>
      <c r="BD95" s="1086" t="s">
        <v>1326</v>
      </c>
      <c r="BE95" s="1086" t="s">
        <v>862</v>
      </c>
      <c r="BF95" s="1086" t="s">
        <v>1465</v>
      </c>
      <c r="BG95" s="1086" t="s">
        <v>862</v>
      </c>
      <c r="BH95" s="1086" t="s">
        <v>1328</v>
      </c>
      <c r="BI95" s="1086" t="s">
        <v>1329</v>
      </c>
      <c r="BJ95" s="1086" t="s">
        <v>1330</v>
      </c>
      <c r="BK95" s="1086" t="s">
        <v>862</v>
      </c>
      <c r="BL95" s="1086" t="s">
        <v>862</v>
      </c>
      <c r="BM95" s="1086" t="s">
        <v>862</v>
      </c>
      <c r="BN95" s="1086" t="s">
        <v>862</v>
      </c>
      <c r="BO95" s="1086" t="s">
        <v>1331</v>
      </c>
      <c r="BP95" s="1086" t="s">
        <v>862</v>
      </c>
    </row>
    <row r="96" spans="42:68">
      <c r="AP96" s="1086" t="s">
        <v>1317</v>
      </c>
      <c r="AQ96" s="1086" t="s">
        <v>1318</v>
      </c>
      <c r="AR96" s="1086" t="s">
        <v>1448</v>
      </c>
      <c r="AS96" s="1086" t="s">
        <v>1320</v>
      </c>
      <c r="AT96" s="1086" t="s">
        <v>1321</v>
      </c>
      <c r="AU96" s="1086" t="s">
        <v>1322</v>
      </c>
      <c r="AV96" s="1086" t="s">
        <v>1466</v>
      </c>
      <c r="AW96" s="1086" t="s">
        <v>1184</v>
      </c>
      <c r="AX96" s="1086" t="s">
        <v>5</v>
      </c>
      <c r="AY96" s="1086" t="s">
        <v>1183</v>
      </c>
      <c r="AZ96" s="1086" t="s">
        <v>1332</v>
      </c>
      <c r="BA96" s="1086" t="s">
        <v>1325</v>
      </c>
      <c r="BB96" s="1086" t="s">
        <v>862</v>
      </c>
      <c r="BC96" s="1089">
        <v>1200</v>
      </c>
      <c r="BD96" s="1086" t="s">
        <v>1326</v>
      </c>
      <c r="BE96" s="1086" t="s">
        <v>862</v>
      </c>
      <c r="BF96" s="1086" t="s">
        <v>1467</v>
      </c>
      <c r="BG96" s="1086" t="s">
        <v>862</v>
      </c>
      <c r="BH96" s="1086" t="s">
        <v>1328</v>
      </c>
      <c r="BI96" s="1086" t="s">
        <v>1329</v>
      </c>
      <c r="BJ96" s="1086" t="s">
        <v>1330</v>
      </c>
      <c r="BK96" s="1086" t="s">
        <v>862</v>
      </c>
      <c r="BL96" s="1086" t="s">
        <v>862</v>
      </c>
      <c r="BM96" s="1086" t="s">
        <v>862</v>
      </c>
      <c r="BN96" s="1086" t="s">
        <v>862</v>
      </c>
      <c r="BO96" s="1086" t="s">
        <v>1331</v>
      </c>
      <c r="BP96" s="1086" t="s">
        <v>862</v>
      </c>
    </row>
    <row r="97" spans="20:68">
      <c r="AP97" s="1086" t="s">
        <v>1317</v>
      </c>
      <c r="AQ97" s="1086" t="s">
        <v>1318</v>
      </c>
      <c r="AR97" s="1086" t="s">
        <v>1448</v>
      </c>
      <c r="AS97" s="1086" t="s">
        <v>1320</v>
      </c>
      <c r="AT97" s="1086" t="s">
        <v>1321</v>
      </c>
      <c r="AU97" s="1086" t="s">
        <v>1322</v>
      </c>
      <c r="AV97" s="1086" t="s">
        <v>1468</v>
      </c>
      <c r="AW97" s="1086" t="s">
        <v>1184</v>
      </c>
      <c r="AX97" s="1086" t="s">
        <v>5</v>
      </c>
      <c r="AY97" s="1086" t="s">
        <v>1183</v>
      </c>
      <c r="AZ97" s="1086" t="s">
        <v>1332</v>
      </c>
      <c r="BA97" s="1086" t="s">
        <v>1325</v>
      </c>
      <c r="BB97" s="1086" t="s">
        <v>862</v>
      </c>
      <c r="BC97" s="1089">
        <v>1380</v>
      </c>
      <c r="BD97" s="1086" t="s">
        <v>1326</v>
      </c>
      <c r="BE97" s="1086" t="s">
        <v>862</v>
      </c>
      <c r="BF97" s="1086" t="s">
        <v>1469</v>
      </c>
      <c r="BG97" s="1086" t="s">
        <v>862</v>
      </c>
      <c r="BH97" s="1086" t="s">
        <v>1328</v>
      </c>
      <c r="BI97" s="1086" t="s">
        <v>1329</v>
      </c>
      <c r="BJ97" s="1086" t="s">
        <v>1330</v>
      </c>
      <c r="BK97" s="1086" t="s">
        <v>862</v>
      </c>
      <c r="BL97" s="1086" t="s">
        <v>862</v>
      </c>
      <c r="BM97" s="1086" t="s">
        <v>862</v>
      </c>
      <c r="BN97" s="1086" t="s">
        <v>862</v>
      </c>
      <c r="BO97" s="1086" t="s">
        <v>1331</v>
      </c>
      <c r="BP97" s="1086" t="s">
        <v>862</v>
      </c>
    </row>
    <row r="98" spans="20:68">
      <c r="AP98" s="1086" t="s">
        <v>1317</v>
      </c>
      <c r="AQ98" s="1086" t="s">
        <v>1318</v>
      </c>
      <c r="AR98" s="1086" t="s">
        <v>1448</v>
      </c>
      <c r="AS98" s="1086" t="s">
        <v>1320</v>
      </c>
      <c r="AT98" s="1086" t="s">
        <v>1321</v>
      </c>
      <c r="AU98" s="1086" t="s">
        <v>1322</v>
      </c>
      <c r="AV98" s="1086" t="s">
        <v>1470</v>
      </c>
      <c r="AW98" s="1086" t="s">
        <v>1184</v>
      </c>
      <c r="AX98" s="1086" t="s">
        <v>5</v>
      </c>
      <c r="AY98" s="1086" t="s">
        <v>1183</v>
      </c>
      <c r="AZ98" s="1086" t="s">
        <v>1332</v>
      </c>
      <c r="BA98" s="1086" t="s">
        <v>1325</v>
      </c>
      <c r="BB98" s="1086" t="s">
        <v>862</v>
      </c>
      <c r="BC98" s="1089">
        <v>13382.2</v>
      </c>
      <c r="BD98" s="1086" t="s">
        <v>1326</v>
      </c>
      <c r="BE98" s="1086" t="s">
        <v>862</v>
      </c>
      <c r="BF98" s="1086" t="s">
        <v>1471</v>
      </c>
      <c r="BG98" s="1086" t="s">
        <v>862</v>
      </c>
      <c r="BH98" s="1086" t="s">
        <v>1328</v>
      </c>
      <c r="BI98" s="1086" t="s">
        <v>1329</v>
      </c>
      <c r="BJ98" s="1086" t="s">
        <v>1330</v>
      </c>
      <c r="BK98" s="1086" t="s">
        <v>862</v>
      </c>
      <c r="BL98" s="1086" t="s">
        <v>862</v>
      </c>
      <c r="BM98" s="1086" t="s">
        <v>862</v>
      </c>
      <c r="BN98" s="1086" t="s">
        <v>862</v>
      </c>
      <c r="BO98" s="1086" t="s">
        <v>1331</v>
      </c>
      <c r="BP98" s="1086" t="s">
        <v>862</v>
      </c>
    </row>
    <row r="99" spans="20:68">
      <c r="AP99" s="1086" t="s">
        <v>1317</v>
      </c>
      <c r="AQ99" s="1086" t="s">
        <v>1318</v>
      </c>
      <c r="AR99" s="1086" t="s">
        <v>1448</v>
      </c>
      <c r="AS99" s="1086" t="s">
        <v>1320</v>
      </c>
      <c r="AT99" s="1086" t="s">
        <v>1321</v>
      </c>
      <c r="AU99" s="1086" t="s">
        <v>1322</v>
      </c>
      <c r="AV99" s="1086" t="s">
        <v>1472</v>
      </c>
      <c r="AW99" s="1086" t="s">
        <v>1184</v>
      </c>
      <c r="AX99" s="1086" t="s">
        <v>5</v>
      </c>
      <c r="AY99" s="1086" t="s">
        <v>1183</v>
      </c>
      <c r="AZ99" s="1086" t="s">
        <v>1332</v>
      </c>
      <c r="BA99" s="1086" t="s">
        <v>1325</v>
      </c>
      <c r="BB99" s="1086" t="s">
        <v>862</v>
      </c>
      <c r="BC99" s="1089">
        <v>1200</v>
      </c>
      <c r="BD99" s="1086" t="s">
        <v>1326</v>
      </c>
      <c r="BE99" s="1086" t="s">
        <v>862</v>
      </c>
      <c r="BF99" s="1086" t="s">
        <v>1473</v>
      </c>
      <c r="BG99" s="1086" t="s">
        <v>862</v>
      </c>
      <c r="BH99" s="1086" t="s">
        <v>1328</v>
      </c>
      <c r="BI99" s="1086" t="s">
        <v>1329</v>
      </c>
      <c r="BJ99" s="1086" t="s">
        <v>1330</v>
      </c>
      <c r="BK99" s="1086" t="s">
        <v>862</v>
      </c>
      <c r="BL99" s="1086" t="s">
        <v>862</v>
      </c>
      <c r="BM99" s="1086" t="s">
        <v>862</v>
      </c>
      <c r="BN99" s="1086" t="s">
        <v>862</v>
      </c>
      <c r="BO99" s="1086" t="s">
        <v>1331</v>
      </c>
      <c r="BP99" s="1086" t="s">
        <v>862</v>
      </c>
    </row>
    <row r="100" spans="20:68">
      <c r="AP100" s="1086" t="s">
        <v>1317</v>
      </c>
      <c r="AQ100" s="1086" t="s">
        <v>1318</v>
      </c>
      <c r="AR100" s="1086" t="s">
        <v>1448</v>
      </c>
      <c r="AS100" s="1086" t="s">
        <v>1320</v>
      </c>
      <c r="AT100" s="1086" t="s">
        <v>1321</v>
      </c>
      <c r="AU100" s="1086" t="s">
        <v>1322</v>
      </c>
      <c r="AV100" s="1086" t="s">
        <v>1474</v>
      </c>
      <c r="AW100" s="1086" t="s">
        <v>1475</v>
      </c>
      <c r="AX100" s="1086" t="s">
        <v>1476</v>
      </c>
      <c r="AY100" s="1086" t="s">
        <v>1183</v>
      </c>
      <c r="AZ100" s="1086" t="s">
        <v>1332</v>
      </c>
      <c r="BA100" s="1086" t="s">
        <v>1325</v>
      </c>
      <c r="BB100" s="1086" t="s">
        <v>862</v>
      </c>
      <c r="BC100" s="1089">
        <v>38642.910000000003</v>
      </c>
      <c r="BD100" s="1086" t="s">
        <v>1326</v>
      </c>
      <c r="BE100" s="1086" t="s">
        <v>862</v>
      </c>
      <c r="BF100" s="1086" t="s">
        <v>862</v>
      </c>
      <c r="BG100" s="1086" t="s">
        <v>862</v>
      </c>
      <c r="BH100" s="1086" t="s">
        <v>1328</v>
      </c>
      <c r="BI100" s="1086" t="s">
        <v>1384</v>
      </c>
      <c r="BJ100" s="1086" t="s">
        <v>1385</v>
      </c>
      <c r="BK100" s="1086" t="s">
        <v>862</v>
      </c>
      <c r="BL100" s="1086" t="s">
        <v>862</v>
      </c>
      <c r="BM100" s="1086" t="s">
        <v>862</v>
      </c>
      <c r="BN100" s="1086" t="s">
        <v>862</v>
      </c>
      <c r="BO100" s="1086" t="s">
        <v>1331</v>
      </c>
      <c r="BP100" s="1086" t="s">
        <v>862</v>
      </c>
    </row>
    <row r="101" spans="20:68">
      <c r="AP101" s="1086" t="s">
        <v>1317</v>
      </c>
      <c r="AQ101" s="1086" t="s">
        <v>1318</v>
      </c>
      <c r="AR101" s="1086" t="s">
        <v>1448</v>
      </c>
      <c r="AS101" s="1086" t="s">
        <v>1320</v>
      </c>
      <c r="AT101" s="1086" t="s">
        <v>1321</v>
      </c>
      <c r="AU101" s="1086" t="s">
        <v>1322</v>
      </c>
      <c r="AV101" s="1086" t="s">
        <v>1474</v>
      </c>
      <c r="AW101" s="1086" t="s">
        <v>1184</v>
      </c>
      <c r="AX101" s="1086" t="s">
        <v>5</v>
      </c>
      <c r="AY101" s="1086" t="s">
        <v>1183</v>
      </c>
      <c r="AZ101" s="1086" t="s">
        <v>1332</v>
      </c>
      <c r="BA101" s="1086" t="s">
        <v>1325</v>
      </c>
      <c r="BB101" s="1086" t="s">
        <v>862</v>
      </c>
      <c r="BC101" s="1089">
        <v>34642.050000000003</v>
      </c>
      <c r="BD101" s="1086" t="s">
        <v>1326</v>
      </c>
      <c r="BE101" s="1086" t="s">
        <v>862</v>
      </c>
      <c r="BF101" s="1086" t="s">
        <v>862</v>
      </c>
      <c r="BG101" s="1086" t="s">
        <v>862</v>
      </c>
      <c r="BH101" s="1086" t="s">
        <v>1328</v>
      </c>
      <c r="BI101" s="1086" t="s">
        <v>1384</v>
      </c>
      <c r="BJ101" s="1086" t="s">
        <v>1385</v>
      </c>
      <c r="BK101" s="1086" t="s">
        <v>862</v>
      </c>
      <c r="BL101" s="1086" t="s">
        <v>862</v>
      </c>
      <c r="BM101" s="1086" t="s">
        <v>862</v>
      </c>
      <c r="BN101" s="1086" t="s">
        <v>862</v>
      </c>
      <c r="BO101" s="1086" t="s">
        <v>1331</v>
      </c>
      <c r="BP101" s="1086" t="s">
        <v>862</v>
      </c>
    </row>
    <row r="102" spans="20:68">
      <c r="AP102" s="1086" t="s">
        <v>1317</v>
      </c>
      <c r="AQ102" s="1086" t="s">
        <v>1318</v>
      </c>
      <c r="AR102" s="1086" t="s">
        <v>1448</v>
      </c>
      <c r="AS102" s="1086" t="s">
        <v>1320</v>
      </c>
      <c r="AT102" s="1086" t="s">
        <v>1321</v>
      </c>
      <c r="AU102" s="1086" t="s">
        <v>1322</v>
      </c>
      <c r="AV102" s="1086" t="s">
        <v>1474</v>
      </c>
      <c r="AW102" s="1086" t="s">
        <v>1184</v>
      </c>
      <c r="AX102" s="1086" t="s">
        <v>5</v>
      </c>
      <c r="AY102" s="1086" t="s">
        <v>1183</v>
      </c>
      <c r="AZ102" s="1086" t="s">
        <v>1332</v>
      </c>
      <c r="BA102" s="1086" t="s">
        <v>1325</v>
      </c>
      <c r="BB102" s="1086" t="s">
        <v>862</v>
      </c>
      <c r="BC102" s="1089">
        <v>31776.23</v>
      </c>
      <c r="BD102" s="1086" t="s">
        <v>1326</v>
      </c>
      <c r="BE102" s="1086" t="s">
        <v>862</v>
      </c>
      <c r="BF102" s="1086" t="s">
        <v>862</v>
      </c>
      <c r="BG102" s="1086" t="s">
        <v>862</v>
      </c>
      <c r="BH102" s="1086" t="s">
        <v>1328</v>
      </c>
      <c r="BI102" s="1086" t="s">
        <v>1384</v>
      </c>
      <c r="BJ102" s="1086" t="s">
        <v>1385</v>
      </c>
      <c r="BK102" s="1086" t="s">
        <v>862</v>
      </c>
      <c r="BL102" s="1086" t="s">
        <v>862</v>
      </c>
      <c r="BM102" s="1086" t="s">
        <v>862</v>
      </c>
      <c r="BN102" s="1086" t="s">
        <v>862</v>
      </c>
      <c r="BO102" s="1086" t="s">
        <v>1331</v>
      </c>
      <c r="BP102" s="1086" t="s">
        <v>862</v>
      </c>
    </row>
    <row r="103" spans="20:68">
      <c r="AP103" s="1086" t="s">
        <v>1317</v>
      </c>
      <c r="AQ103" s="1086" t="s">
        <v>1318</v>
      </c>
      <c r="AR103" s="1086" t="s">
        <v>1448</v>
      </c>
      <c r="AS103" s="1086" t="s">
        <v>1320</v>
      </c>
      <c r="AT103" s="1086" t="s">
        <v>1321</v>
      </c>
      <c r="AU103" s="1086" t="s">
        <v>1322</v>
      </c>
      <c r="AV103" s="1086" t="s">
        <v>1474</v>
      </c>
      <c r="AW103" s="1086" t="s">
        <v>1475</v>
      </c>
      <c r="AX103" s="1086" t="s">
        <v>1476</v>
      </c>
      <c r="AY103" s="1086" t="s">
        <v>1183</v>
      </c>
      <c r="AZ103" s="1086" t="s">
        <v>1324</v>
      </c>
      <c r="BA103" s="1086" t="s">
        <v>1325</v>
      </c>
      <c r="BB103" s="1086" t="s">
        <v>862</v>
      </c>
      <c r="BC103" s="1089">
        <v>2033.84</v>
      </c>
      <c r="BD103" s="1086" t="s">
        <v>1326</v>
      </c>
      <c r="BE103" s="1086" t="s">
        <v>862</v>
      </c>
      <c r="BF103" s="1086" t="s">
        <v>862</v>
      </c>
      <c r="BG103" s="1086" t="s">
        <v>862</v>
      </c>
      <c r="BH103" s="1086" t="s">
        <v>1328</v>
      </c>
      <c r="BI103" s="1086" t="s">
        <v>1384</v>
      </c>
      <c r="BJ103" s="1086" t="s">
        <v>1385</v>
      </c>
      <c r="BK103" s="1086" t="s">
        <v>862</v>
      </c>
      <c r="BL103" s="1086" t="s">
        <v>862</v>
      </c>
      <c r="BM103" s="1086" t="s">
        <v>862</v>
      </c>
      <c r="BN103" s="1086" t="s">
        <v>862</v>
      </c>
      <c r="BO103" s="1086" t="s">
        <v>1331</v>
      </c>
      <c r="BP103" s="1086" t="s">
        <v>862</v>
      </c>
    </row>
    <row r="104" spans="20:68">
      <c r="AP104" s="1086" t="s">
        <v>1317</v>
      </c>
      <c r="AQ104" s="1086" t="s">
        <v>1318</v>
      </c>
      <c r="AR104" s="1086" t="s">
        <v>1448</v>
      </c>
      <c r="AS104" s="1086" t="s">
        <v>1320</v>
      </c>
      <c r="AT104" s="1086" t="s">
        <v>1321</v>
      </c>
      <c r="AU104" s="1086" t="s">
        <v>1322</v>
      </c>
      <c r="AV104" s="1086" t="s">
        <v>1474</v>
      </c>
      <c r="AW104" s="1086" t="s">
        <v>1184</v>
      </c>
      <c r="AX104" s="1086" t="s">
        <v>5</v>
      </c>
      <c r="AY104" s="1086" t="s">
        <v>1183</v>
      </c>
      <c r="AZ104" s="1086" t="s">
        <v>1324</v>
      </c>
      <c r="BA104" s="1086" t="s">
        <v>1325</v>
      </c>
      <c r="BB104" s="1086" t="s">
        <v>862</v>
      </c>
      <c r="BC104" s="1089">
        <v>2028.27</v>
      </c>
      <c r="BD104" s="1086" t="s">
        <v>1326</v>
      </c>
      <c r="BE104" s="1086" t="s">
        <v>862</v>
      </c>
      <c r="BF104" s="1086" t="s">
        <v>862</v>
      </c>
      <c r="BG104" s="1086" t="s">
        <v>862</v>
      </c>
      <c r="BH104" s="1086" t="s">
        <v>1328</v>
      </c>
      <c r="BI104" s="1086" t="s">
        <v>1384</v>
      </c>
      <c r="BJ104" s="1086" t="s">
        <v>1385</v>
      </c>
      <c r="BK104" s="1086" t="s">
        <v>862</v>
      </c>
      <c r="BL104" s="1086" t="s">
        <v>862</v>
      </c>
      <c r="BM104" s="1086" t="s">
        <v>862</v>
      </c>
      <c r="BN104" s="1086" t="s">
        <v>862</v>
      </c>
      <c r="BO104" s="1086" t="s">
        <v>1331</v>
      </c>
      <c r="BP104" s="1086" t="s">
        <v>862</v>
      </c>
    </row>
    <row r="105" spans="20:68">
      <c r="AP105" s="1086" t="s">
        <v>1317</v>
      </c>
      <c r="AQ105" s="1086" t="s">
        <v>1318</v>
      </c>
      <c r="AR105" s="1086" t="s">
        <v>1448</v>
      </c>
      <c r="AS105" s="1086" t="s">
        <v>1320</v>
      </c>
      <c r="AT105" s="1086" t="s">
        <v>1321</v>
      </c>
      <c r="AU105" s="1086" t="s">
        <v>1322</v>
      </c>
      <c r="AV105" s="1086" t="s">
        <v>1477</v>
      </c>
      <c r="AW105" s="1086" t="s">
        <v>1184</v>
      </c>
      <c r="AX105" s="1086" t="s">
        <v>5</v>
      </c>
      <c r="AY105" s="1086" t="s">
        <v>1183</v>
      </c>
      <c r="AZ105" s="1086" t="s">
        <v>1324</v>
      </c>
      <c r="BA105" s="1086" t="s">
        <v>1325</v>
      </c>
      <c r="BB105" s="1086" t="s">
        <v>862</v>
      </c>
      <c r="BC105" s="1089">
        <v>-2028.27</v>
      </c>
      <c r="BD105" s="1086" t="s">
        <v>709</v>
      </c>
      <c r="BE105" s="1086" t="s">
        <v>862</v>
      </c>
      <c r="BF105" s="1086" t="s">
        <v>862</v>
      </c>
      <c r="BG105" s="1086" t="s">
        <v>862</v>
      </c>
      <c r="BH105" s="1086" t="s">
        <v>1328</v>
      </c>
      <c r="BI105" s="1086" t="s">
        <v>1345</v>
      </c>
      <c r="BJ105" s="1086" t="s">
        <v>1187</v>
      </c>
      <c r="BK105" s="1086" t="s">
        <v>862</v>
      </c>
      <c r="BL105" s="1086" t="s">
        <v>862</v>
      </c>
      <c r="BM105" s="1086" t="s">
        <v>862</v>
      </c>
      <c r="BN105" s="1086" t="s">
        <v>862</v>
      </c>
      <c r="BO105" s="1086" t="s">
        <v>1331</v>
      </c>
      <c r="BP105" s="1086" t="s">
        <v>862</v>
      </c>
    </row>
    <row r="106" spans="20:68">
      <c r="T106" s="388" t="s">
        <v>1052</v>
      </c>
      <c r="U106" s="87"/>
      <c r="V106" s="87"/>
      <c r="W106" s="144"/>
      <c r="AP106" s="1086" t="s">
        <v>1317</v>
      </c>
      <c r="AQ106" s="1086" t="s">
        <v>1318</v>
      </c>
      <c r="AR106" s="1086" t="s">
        <v>1448</v>
      </c>
      <c r="AS106" s="1086" t="s">
        <v>1320</v>
      </c>
      <c r="AT106" s="1086" t="s">
        <v>1321</v>
      </c>
      <c r="AU106" s="1086" t="s">
        <v>1322</v>
      </c>
      <c r="AV106" s="1086" t="s">
        <v>1477</v>
      </c>
      <c r="AW106" s="1086" t="s">
        <v>1184</v>
      </c>
      <c r="AX106" s="1086" t="s">
        <v>5</v>
      </c>
      <c r="AY106" s="1086" t="s">
        <v>1183</v>
      </c>
      <c r="AZ106" s="1086" t="s">
        <v>1332</v>
      </c>
      <c r="BA106" s="1086" t="s">
        <v>1325</v>
      </c>
      <c r="BB106" s="1086" t="s">
        <v>862</v>
      </c>
      <c r="BC106" s="1089">
        <v>-31776.23</v>
      </c>
      <c r="BD106" s="1086" t="s">
        <v>709</v>
      </c>
      <c r="BE106" s="1086" t="s">
        <v>862</v>
      </c>
      <c r="BF106" s="1086" t="s">
        <v>862</v>
      </c>
      <c r="BG106" s="1086" t="s">
        <v>862</v>
      </c>
      <c r="BH106" s="1086" t="s">
        <v>1328</v>
      </c>
      <c r="BI106" s="1086" t="s">
        <v>1345</v>
      </c>
      <c r="BJ106" s="1086" t="s">
        <v>1187</v>
      </c>
      <c r="BK106" s="1086" t="s">
        <v>862</v>
      </c>
      <c r="BL106" s="1086" t="s">
        <v>862</v>
      </c>
      <c r="BM106" s="1086" t="s">
        <v>862</v>
      </c>
      <c r="BN106" s="1086" t="s">
        <v>862</v>
      </c>
      <c r="BO106" s="1086" t="s">
        <v>1331</v>
      </c>
      <c r="BP106" s="1086" t="s">
        <v>862</v>
      </c>
    </row>
    <row r="107" spans="20:68" ht="13.5" thickBot="1">
      <c r="T107" s="32"/>
      <c r="U107" s="146" t="s">
        <v>612</v>
      </c>
      <c r="V107" s="716" t="e">
        <f>+'[30]ALLOCATIONS&amp;PRETAX'!#REF!</f>
        <v>#REF!</v>
      </c>
      <c r="W107" s="41"/>
      <c r="AP107" s="1086" t="s">
        <v>1317</v>
      </c>
      <c r="AQ107" s="1086" t="s">
        <v>1318</v>
      </c>
      <c r="AR107" s="1086" t="s">
        <v>1448</v>
      </c>
      <c r="AS107" s="1086" t="s">
        <v>1320</v>
      </c>
      <c r="AT107" s="1086" t="s">
        <v>1321</v>
      </c>
      <c r="AU107" s="1086" t="s">
        <v>1322</v>
      </c>
      <c r="AV107" s="1086" t="s">
        <v>1478</v>
      </c>
      <c r="AW107" s="1086" t="s">
        <v>1347</v>
      </c>
      <c r="AX107" s="1086" t="s">
        <v>1348</v>
      </c>
      <c r="AY107" s="1086" t="s">
        <v>1183</v>
      </c>
      <c r="AZ107" s="1086" t="s">
        <v>1185</v>
      </c>
      <c r="BA107" s="1086" t="s">
        <v>1334</v>
      </c>
      <c r="BB107" s="1086" t="s">
        <v>862</v>
      </c>
      <c r="BC107" s="1089">
        <v>-1616.25</v>
      </c>
      <c r="BD107" s="1086" t="s">
        <v>709</v>
      </c>
      <c r="BE107" s="1086" t="s">
        <v>862</v>
      </c>
      <c r="BF107" s="1086" t="s">
        <v>862</v>
      </c>
      <c r="BG107" s="1086" t="s">
        <v>862</v>
      </c>
      <c r="BH107" s="1086" t="s">
        <v>1328</v>
      </c>
      <c r="BI107" s="1086" t="s">
        <v>1349</v>
      </c>
      <c r="BJ107" s="1086" t="s">
        <v>1479</v>
      </c>
      <c r="BK107" s="1086" t="s">
        <v>862</v>
      </c>
      <c r="BL107" s="1086" t="s">
        <v>862</v>
      </c>
      <c r="BM107" s="1086" t="s">
        <v>862</v>
      </c>
      <c r="BN107" s="1086" t="s">
        <v>862</v>
      </c>
      <c r="BO107" s="1086" t="s">
        <v>1331</v>
      </c>
      <c r="BP107" s="1086" t="s">
        <v>862</v>
      </c>
    </row>
    <row r="108" spans="20:68" ht="13.5" thickTop="1">
      <c r="T108" s="32"/>
      <c r="U108" s="32" t="s">
        <v>1062</v>
      </c>
      <c r="V108" s="32"/>
      <c r="X108" s="70"/>
      <c r="Y108" s="70"/>
      <c r="AP108" s="1086" t="s">
        <v>1317</v>
      </c>
      <c r="AQ108" s="1086" t="s">
        <v>1318</v>
      </c>
      <c r="AR108" s="1086" t="s">
        <v>1448</v>
      </c>
      <c r="AS108" s="1086" t="s">
        <v>1320</v>
      </c>
      <c r="AT108" s="1086" t="s">
        <v>1321</v>
      </c>
      <c r="AU108" s="1086" t="s">
        <v>1322</v>
      </c>
      <c r="AV108" s="1086" t="s">
        <v>1478</v>
      </c>
      <c r="AW108" s="1086" t="s">
        <v>1347</v>
      </c>
      <c r="AX108" s="1086" t="s">
        <v>1348</v>
      </c>
      <c r="AY108" s="1086" t="s">
        <v>1183</v>
      </c>
      <c r="AZ108" s="1086" t="s">
        <v>1332</v>
      </c>
      <c r="BA108" s="1086" t="s">
        <v>1325</v>
      </c>
      <c r="BB108" s="1086" t="s">
        <v>862</v>
      </c>
      <c r="BC108" s="1089">
        <v>-89946.05</v>
      </c>
      <c r="BD108" s="1086" t="s">
        <v>709</v>
      </c>
      <c r="BE108" s="1086" t="s">
        <v>862</v>
      </c>
      <c r="BF108" s="1086" t="s">
        <v>862</v>
      </c>
      <c r="BG108" s="1086" t="s">
        <v>862</v>
      </c>
      <c r="BH108" s="1086" t="s">
        <v>1328</v>
      </c>
      <c r="BI108" s="1086" t="s">
        <v>1349</v>
      </c>
      <c r="BJ108" s="1086" t="s">
        <v>1479</v>
      </c>
      <c r="BK108" s="1086" t="s">
        <v>862</v>
      </c>
      <c r="BL108" s="1086" t="s">
        <v>862</v>
      </c>
      <c r="BM108" s="1086" t="s">
        <v>862</v>
      </c>
      <c r="BN108" s="1086" t="s">
        <v>862</v>
      </c>
      <c r="BO108" s="1086" t="s">
        <v>1331</v>
      </c>
      <c r="BP108" s="1086" t="s">
        <v>862</v>
      </c>
    </row>
    <row r="109" spans="20:68">
      <c r="T109" s="87"/>
      <c r="U109" s="87"/>
      <c r="V109" s="87"/>
      <c r="W109" s="144"/>
      <c r="X109" s="70"/>
      <c r="Y109" s="70"/>
      <c r="AP109" s="1086" t="s">
        <v>1317</v>
      </c>
      <c r="AQ109" s="1086" t="s">
        <v>1318</v>
      </c>
      <c r="AR109" s="1086" t="s">
        <v>1448</v>
      </c>
      <c r="AS109" s="1086" t="s">
        <v>1320</v>
      </c>
      <c r="AT109" s="1086" t="s">
        <v>1321</v>
      </c>
      <c r="AU109" s="1086" t="s">
        <v>1322</v>
      </c>
      <c r="AV109" s="1086" t="s">
        <v>1478</v>
      </c>
      <c r="AW109" s="1086" t="s">
        <v>1347</v>
      </c>
      <c r="AX109" s="1086" t="s">
        <v>1348</v>
      </c>
      <c r="AY109" s="1086" t="s">
        <v>1183</v>
      </c>
      <c r="AZ109" s="1086" t="s">
        <v>1324</v>
      </c>
      <c r="BA109" s="1086" t="s">
        <v>1325</v>
      </c>
      <c r="BB109" s="1086" t="s">
        <v>862</v>
      </c>
      <c r="BC109" s="1089">
        <v>-686.45</v>
      </c>
      <c r="BD109" s="1086" t="s">
        <v>709</v>
      </c>
      <c r="BE109" s="1086" t="s">
        <v>862</v>
      </c>
      <c r="BF109" s="1086" t="s">
        <v>862</v>
      </c>
      <c r="BG109" s="1086" t="s">
        <v>862</v>
      </c>
      <c r="BH109" s="1086" t="s">
        <v>1328</v>
      </c>
      <c r="BI109" s="1086" t="s">
        <v>1349</v>
      </c>
      <c r="BJ109" s="1086" t="s">
        <v>1479</v>
      </c>
      <c r="BK109" s="1086" t="s">
        <v>862</v>
      </c>
      <c r="BL109" s="1086" t="s">
        <v>862</v>
      </c>
      <c r="BM109" s="1086" t="s">
        <v>862</v>
      </c>
      <c r="BN109" s="1086" t="s">
        <v>862</v>
      </c>
      <c r="BO109" s="1086" t="s">
        <v>1331</v>
      </c>
      <c r="BP109" s="1086" t="s">
        <v>862</v>
      </c>
    </row>
    <row r="110" spans="20:68">
      <c r="AP110" s="1086" t="s">
        <v>1317</v>
      </c>
      <c r="AQ110" s="1086" t="s">
        <v>1318</v>
      </c>
      <c r="AR110" s="1086" t="s">
        <v>1448</v>
      </c>
      <c r="AS110" s="1086" t="s">
        <v>1320</v>
      </c>
      <c r="AT110" s="1086" t="s">
        <v>1321</v>
      </c>
      <c r="AU110" s="1086" t="s">
        <v>1322</v>
      </c>
      <c r="AV110" s="1086" t="s">
        <v>1478</v>
      </c>
      <c r="AW110" s="1086" t="s">
        <v>1347</v>
      </c>
      <c r="AX110" s="1086" t="s">
        <v>1348</v>
      </c>
      <c r="AY110" s="1086" t="s">
        <v>1351</v>
      </c>
      <c r="AZ110" s="1086" t="s">
        <v>1352</v>
      </c>
      <c r="BA110" s="1086" t="s">
        <v>1353</v>
      </c>
      <c r="BB110" s="1086" t="s">
        <v>862</v>
      </c>
      <c r="BC110" s="1089">
        <v>91562.3</v>
      </c>
      <c r="BD110" s="1086" t="s">
        <v>1326</v>
      </c>
      <c r="BE110" s="1086" t="s">
        <v>862</v>
      </c>
      <c r="BF110" s="1086" t="s">
        <v>862</v>
      </c>
      <c r="BG110" s="1086" t="s">
        <v>862</v>
      </c>
      <c r="BH110" s="1086" t="s">
        <v>1354</v>
      </c>
      <c r="BI110" s="1086" t="s">
        <v>1349</v>
      </c>
      <c r="BJ110" s="1086" t="s">
        <v>1479</v>
      </c>
      <c r="BK110" s="1086" t="s">
        <v>862</v>
      </c>
      <c r="BL110" s="1086" t="s">
        <v>862</v>
      </c>
      <c r="BM110" s="1086" t="s">
        <v>862</v>
      </c>
      <c r="BN110" s="1086" t="s">
        <v>862</v>
      </c>
      <c r="BO110" s="1086" t="s">
        <v>1331</v>
      </c>
      <c r="BP110" s="1086" t="s">
        <v>862</v>
      </c>
    </row>
    <row r="111" spans="20:68">
      <c r="AP111" s="1086" t="s">
        <v>1317</v>
      </c>
      <c r="AQ111" s="1086" t="s">
        <v>1318</v>
      </c>
      <c r="AR111" s="1086" t="s">
        <v>1448</v>
      </c>
      <c r="AS111" s="1086" t="s">
        <v>1320</v>
      </c>
      <c r="AT111" s="1086" t="s">
        <v>1321</v>
      </c>
      <c r="AU111" s="1086" t="s">
        <v>1322</v>
      </c>
      <c r="AV111" s="1086" t="s">
        <v>1478</v>
      </c>
      <c r="AW111" s="1086" t="s">
        <v>1347</v>
      </c>
      <c r="AX111" s="1086" t="s">
        <v>1348</v>
      </c>
      <c r="AY111" s="1086" t="s">
        <v>1351</v>
      </c>
      <c r="AZ111" s="1086" t="s">
        <v>1355</v>
      </c>
      <c r="BA111" s="1086" t="s">
        <v>1356</v>
      </c>
      <c r="BB111" s="1086" t="s">
        <v>862</v>
      </c>
      <c r="BC111" s="1089">
        <v>686.45</v>
      </c>
      <c r="BD111" s="1086" t="s">
        <v>1326</v>
      </c>
      <c r="BE111" s="1086" t="s">
        <v>862</v>
      </c>
      <c r="BF111" s="1086" t="s">
        <v>862</v>
      </c>
      <c r="BG111" s="1086" t="s">
        <v>862</v>
      </c>
      <c r="BH111" s="1086" t="s">
        <v>1357</v>
      </c>
      <c r="BI111" s="1086" t="s">
        <v>1349</v>
      </c>
      <c r="BJ111" s="1086" t="s">
        <v>1479</v>
      </c>
      <c r="BK111" s="1086" t="s">
        <v>862</v>
      </c>
      <c r="BL111" s="1086" t="s">
        <v>862</v>
      </c>
      <c r="BM111" s="1086" t="s">
        <v>862</v>
      </c>
      <c r="BN111" s="1086" t="s">
        <v>862</v>
      </c>
      <c r="BO111" s="1086" t="s">
        <v>1331</v>
      </c>
      <c r="BP111" s="1086" t="s">
        <v>862</v>
      </c>
    </row>
    <row r="112" spans="20:68">
      <c r="AP112" s="1086" t="s">
        <v>1317</v>
      </c>
      <c r="AQ112" s="1086" t="s">
        <v>1318</v>
      </c>
      <c r="AR112" s="1086" t="s">
        <v>1448</v>
      </c>
      <c r="AS112" s="1086" t="s">
        <v>1320</v>
      </c>
      <c r="AT112" s="1086" t="s">
        <v>1321</v>
      </c>
      <c r="AU112" s="1086" t="s">
        <v>1322</v>
      </c>
      <c r="AV112" s="1086" t="s">
        <v>1480</v>
      </c>
      <c r="AW112" s="1086" t="s">
        <v>1347</v>
      </c>
      <c r="AX112" s="1086" t="s">
        <v>1348</v>
      </c>
      <c r="AY112" s="1086" t="s">
        <v>1351</v>
      </c>
      <c r="AZ112" s="1086" t="s">
        <v>1380</v>
      </c>
      <c r="BA112" s="1086" t="s">
        <v>1381</v>
      </c>
      <c r="BB112" s="1086" t="s">
        <v>862</v>
      </c>
      <c r="BC112" s="1089">
        <v>-40676.75</v>
      </c>
      <c r="BD112" s="1086" t="s">
        <v>709</v>
      </c>
      <c r="BE112" s="1086" t="s">
        <v>862</v>
      </c>
      <c r="BF112" s="1086" t="s">
        <v>862</v>
      </c>
      <c r="BG112" s="1086" t="s">
        <v>862</v>
      </c>
      <c r="BH112" s="1086" t="s">
        <v>1328</v>
      </c>
      <c r="BI112" s="1086" t="s">
        <v>1349</v>
      </c>
      <c r="BJ112" s="1086" t="s">
        <v>1479</v>
      </c>
      <c r="BK112" s="1086" t="s">
        <v>862</v>
      </c>
      <c r="BL112" s="1086" t="s">
        <v>862</v>
      </c>
      <c r="BM112" s="1086" t="s">
        <v>862</v>
      </c>
      <c r="BN112" s="1086" t="s">
        <v>862</v>
      </c>
      <c r="BO112" s="1086" t="s">
        <v>1331</v>
      </c>
      <c r="BP112" s="1086" t="s">
        <v>862</v>
      </c>
    </row>
    <row r="113" spans="42:68">
      <c r="AP113" s="1086" t="s">
        <v>1317</v>
      </c>
      <c r="AQ113" s="1086" t="s">
        <v>1318</v>
      </c>
      <c r="AR113" s="1086" t="s">
        <v>1448</v>
      </c>
      <c r="AS113" s="1086" t="s">
        <v>1320</v>
      </c>
      <c r="AT113" s="1086" t="s">
        <v>1321</v>
      </c>
      <c r="AU113" s="1086" t="s">
        <v>1322</v>
      </c>
      <c r="AV113" s="1086" t="s">
        <v>1480</v>
      </c>
      <c r="AW113" s="1086" t="s">
        <v>1347</v>
      </c>
      <c r="AX113" s="1086" t="s">
        <v>1348</v>
      </c>
      <c r="AY113" s="1086" t="s">
        <v>1351</v>
      </c>
      <c r="AZ113" s="1086" t="s">
        <v>1352</v>
      </c>
      <c r="BA113" s="1086" t="s">
        <v>1353</v>
      </c>
      <c r="BB113" s="1086" t="s">
        <v>862</v>
      </c>
      <c r="BC113" s="1089">
        <v>38642.910000000003</v>
      </c>
      <c r="BD113" s="1086" t="s">
        <v>1326</v>
      </c>
      <c r="BE113" s="1086" t="s">
        <v>862</v>
      </c>
      <c r="BF113" s="1086" t="s">
        <v>862</v>
      </c>
      <c r="BG113" s="1086" t="s">
        <v>862</v>
      </c>
      <c r="BH113" s="1086" t="s">
        <v>1354</v>
      </c>
      <c r="BI113" s="1086" t="s">
        <v>1349</v>
      </c>
      <c r="BJ113" s="1086" t="s">
        <v>1479</v>
      </c>
      <c r="BK113" s="1086" t="s">
        <v>862</v>
      </c>
      <c r="BL113" s="1086" t="s">
        <v>862</v>
      </c>
      <c r="BM113" s="1086" t="s">
        <v>862</v>
      </c>
      <c r="BN113" s="1086" t="s">
        <v>862</v>
      </c>
      <c r="BO113" s="1086" t="s">
        <v>1331</v>
      </c>
      <c r="BP113" s="1086" t="s">
        <v>862</v>
      </c>
    </row>
    <row r="114" spans="42:68">
      <c r="AP114" s="1086" t="s">
        <v>1317</v>
      </c>
      <c r="AQ114" s="1086" t="s">
        <v>1318</v>
      </c>
      <c r="AR114" s="1086" t="s">
        <v>1448</v>
      </c>
      <c r="AS114" s="1086" t="s">
        <v>1320</v>
      </c>
      <c r="AT114" s="1086" t="s">
        <v>1321</v>
      </c>
      <c r="AU114" s="1086" t="s">
        <v>1322</v>
      </c>
      <c r="AV114" s="1086" t="s">
        <v>1480</v>
      </c>
      <c r="AW114" s="1086" t="s">
        <v>1347</v>
      </c>
      <c r="AX114" s="1086" t="s">
        <v>1348</v>
      </c>
      <c r="AY114" s="1086" t="s">
        <v>1351</v>
      </c>
      <c r="AZ114" s="1086" t="s">
        <v>1355</v>
      </c>
      <c r="BA114" s="1086" t="s">
        <v>1356</v>
      </c>
      <c r="BB114" s="1086" t="s">
        <v>862</v>
      </c>
      <c r="BC114" s="1089">
        <v>2033.84</v>
      </c>
      <c r="BD114" s="1086" t="s">
        <v>1326</v>
      </c>
      <c r="BE114" s="1086" t="s">
        <v>862</v>
      </c>
      <c r="BF114" s="1086" t="s">
        <v>862</v>
      </c>
      <c r="BG114" s="1086" t="s">
        <v>862</v>
      </c>
      <c r="BH114" s="1086" t="s">
        <v>1357</v>
      </c>
      <c r="BI114" s="1086" t="s">
        <v>1349</v>
      </c>
      <c r="BJ114" s="1086" t="s">
        <v>1479</v>
      </c>
      <c r="BK114" s="1086" t="s">
        <v>862</v>
      </c>
      <c r="BL114" s="1086" t="s">
        <v>862</v>
      </c>
      <c r="BM114" s="1086" t="s">
        <v>862</v>
      </c>
      <c r="BN114" s="1086" t="s">
        <v>862</v>
      </c>
      <c r="BO114" s="1086" t="s">
        <v>1331</v>
      </c>
      <c r="BP114" s="1086" t="s">
        <v>862</v>
      </c>
    </row>
    <row r="115" spans="42:68">
      <c r="AP115" s="1090" t="s">
        <v>862</v>
      </c>
      <c r="AQ115" s="1090" t="s">
        <v>862</v>
      </c>
      <c r="AR115" s="1090" t="s">
        <v>862</v>
      </c>
      <c r="AS115" s="1090" t="s">
        <v>862</v>
      </c>
      <c r="AT115" s="1090" t="s">
        <v>862</v>
      </c>
      <c r="AU115" s="1090" t="s">
        <v>862</v>
      </c>
      <c r="AV115" s="1090" t="s">
        <v>862</v>
      </c>
      <c r="AW115" s="1090" t="s">
        <v>862</v>
      </c>
      <c r="AX115" s="1090" t="s">
        <v>862</v>
      </c>
      <c r="AY115" s="1090" t="s">
        <v>862</v>
      </c>
      <c r="AZ115" s="1090" t="s">
        <v>862</v>
      </c>
      <c r="BA115" s="1090" t="s">
        <v>862</v>
      </c>
      <c r="BB115" s="1090" t="s">
        <v>862</v>
      </c>
      <c r="BC115" s="1091">
        <v>758743.28</v>
      </c>
      <c r="BD115" s="1090" t="s">
        <v>862</v>
      </c>
      <c r="BE115" s="1090" t="s">
        <v>862</v>
      </c>
      <c r="BF115" s="1090" t="s">
        <v>862</v>
      </c>
      <c r="BG115" s="1090" t="s">
        <v>862</v>
      </c>
      <c r="BH115" s="1090" t="s">
        <v>862</v>
      </c>
      <c r="BI115" s="1090" t="s">
        <v>862</v>
      </c>
      <c r="BJ115" s="1090" t="s">
        <v>862</v>
      </c>
      <c r="BK115" s="1090" t="s">
        <v>862</v>
      </c>
      <c r="BL115" s="1090" t="s">
        <v>862</v>
      </c>
      <c r="BM115" s="1090" t="s">
        <v>862</v>
      </c>
      <c r="BN115" s="1090" t="s">
        <v>862</v>
      </c>
      <c r="BO115" s="1090" t="s">
        <v>862</v>
      </c>
      <c r="BP115" s="1090" t="s">
        <v>862</v>
      </c>
    </row>
  </sheetData>
  <sortState xmlns:xlrd2="http://schemas.microsoft.com/office/spreadsheetml/2017/richdata2" ref="AT234:AZ574">
    <sortCondition ref="AW234:AW574"/>
  </sortState>
  <mergeCells count="3">
    <mergeCell ref="Z7:AC7"/>
    <mergeCell ref="U7:X7"/>
    <mergeCell ref="U23:X23"/>
  </mergeCells>
  <dataValidations disablePrompts="1" count="1">
    <dataValidation type="list" showInputMessage="1" showErrorMessage="1" sqref="E10" xr:uid="{00000000-0002-0000-1100-000000000000}">
      <formula1>"Advertising Position 1,Advertising Position 2,Advertising Position 3,Advertising Position 4,QGC  Advertising Dec 07,QGC Advertising Dec 08,QGC Advertising June 08,QGC Advertising Dec 09"</formula1>
    </dataValidation>
  </dataValidations>
  <pageMargins left="0.7" right="0.7" top="0.75" bottom="0.75" header="0.3" footer="0.3"/>
  <pageSetup scale="71" orientation="portrait" r:id="rId1"/>
  <colBreaks count="2" manualBreakCount="2">
    <brk id="4" max="28" man="1"/>
    <brk id="19" max="28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3">
    <tabColor rgb="FF92D050"/>
  </sheetPr>
  <dimension ref="A1:U98"/>
  <sheetViews>
    <sheetView zoomScale="85" zoomScaleNormal="85" workbookViewId="0">
      <selection activeCell="O30" sqref="O30"/>
    </sheetView>
  </sheetViews>
  <sheetFormatPr defaultColWidth="9.140625" defaultRowHeight="15"/>
  <cols>
    <col min="1" max="1" width="4.7109375" style="3" customWidth="1"/>
    <col min="2" max="2" width="25.5703125" customWidth="1"/>
    <col min="3" max="3" width="21.7109375" customWidth="1"/>
    <col min="4" max="4" width="17.140625" customWidth="1"/>
    <col min="5" max="5" width="3.7109375" customWidth="1"/>
    <col min="6" max="6" width="17.140625" hidden="1" customWidth="1"/>
    <col min="7" max="7" width="4" hidden="1" customWidth="1"/>
    <col min="8" max="8" width="4.140625" customWidth="1"/>
    <col min="9" max="9" width="38.7109375" hidden="1" customWidth="1"/>
    <col min="10" max="11" width="9.140625" style="1002"/>
    <col min="12" max="12" width="11.7109375" style="1002" bestFit="1" customWidth="1"/>
    <col min="13" max="13" width="13.28515625" style="1002" bestFit="1" customWidth="1"/>
    <col min="14" max="14" width="13.140625" style="1002" bestFit="1" customWidth="1"/>
    <col min="15" max="16" width="13.28515625" style="1002" bestFit="1" customWidth="1"/>
    <col min="17" max="17" width="13.28515625" style="1002" customWidth="1"/>
    <col min="18" max="18" width="12" style="1002" bestFit="1" customWidth="1"/>
    <col min="19" max="19" width="11.5703125" style="1002" bestFit="1" customWidth="1"/>
    <col min="20" max="20" width="13.28515625" style="1002" bestFit="1" customWidth="1"/>
    <col min="21" max="21" width="11.5703125" style="1002" bestFit="1" customWidth="1"/>
  </cols>
  <sheetData>
    <row r="1" spans="1:17">
      <c r="A1" s="70" t="s">
        <v>8</v>
      </c>
      <c r="F1" s="1"/>
      <c r="G1">
        <v>1</v>
      </c>
      <c r="I1" s="85"/>
      <c r="J1" s="70" t="s">
        <v>8</v>
      </c>
      <c r="K1"/>
    </row>
    <row r="2" spans="1:17" ht="16.5" customHeight="1">
      <c r="A2" s="45" t="str">
        <f>+'Control Panel'!$B$1</f>
        <v>Dominion Energy</v>
      </c>
      <c r="D2" s="2"/>
      <c r="E2" s="2"/>
      <c r="F2" s="2" t="s">
        <v>712</v>
      </c>
      <c r="G2">
        <f>+G1+1</f>
        <v>2</v>
      </c>
      <c r="I2" s="860"/>
      <c r="J2" s="45" t="str">
        <f>+'Control Panel'!$B$1</f>
        <v>Dominion Energy</v>
      </c>
      <c r="K2"/>
    </row>
    <row r="3" spans="1:17" ht="24" customHeight="1">
      <c r="A3" s="45" t="str">
        <f>+'Control Panel'!$B$2</f>
        <v>Utah - June 2023 Adjusted Avg Results</v>
      </c>
      <c r="D3" s="351" t="s">
        <v>1044</v>
      </c>
      <c r="E3" s="351"/>
      <c r="F3" s="351" t="str">
        <f>+'Control Panel'!F34</f>
        <v xml:space="preserve"> Incentives</v>
      </c>
      <c r="G3">
        <f t="shared" ref="G3:G26" si="0">+G2+1</f>
        <v>3</v>
      </c>
      <c r="I3" s="21"/>
      <c r="J3" s="45" t="str">
        <f>+'Control Panel'!$B$2</f>
        <v>Utah - June 2023 Adjusted Avg Results</v>
      </c>
      <c r="K3"/>
    </row>
    <row r="4" spans="1:17" ht="23.25" customHeight="1">
      <c r="A4" s="309" t="str">
        <f>+'Control Panel'!$B$3</f>
        <v>12 Months Ended : Jun-2023</v>
      </c>
      <c r="D4" s="352"/>
      <c r="E4" s="352"/>
      <c r="F4" s="352"/>
      <c r="G4">
        <f t="shared" si="0"/>
        <v>4</v>
      </c>
      <c r="I4" s="22"/>
      <c r="J4" s="309" t="str">
        <f>+'Control Panel'!$B$3</f>
        <v>12 Months Ended : Jun-2023</v>
      </c>
      <c r="K4"/>
    </row>
    <row r="5" spans="1:17">
      <c r="A5" s="12"/>
      <c r="G5">
        <f t="shared" si="0"/>
        <v>5</v>
      </c>
      <c r="I5" s="22"/>
    </row>
    <row r="6" spans="1:17">
      <c r="G6">
        <f t="shared" si="0"/>
        <v>6</v>
      </c>
      <c r="J6" s="1072" t="s">
        <v>1181</v>
      </c>
    </row>
    <row r="7" spans="1:17">
      <c r="G7">
        <f t="shared" si="0"/>
        <v>7</v>
      </c>
    </row>
    <row r="8" spans="1:17">
      <c r="A8"/>
      <c r="B8" t="s">
        <v>8</v>
      </c>
      <c r="G8">
        <f t="shared" si="0"/>
        <v>8</v>
      </c>
      <c r="L8" s="1073" t="s">
        <v>732</v>
      </c>
      <c r="M8" s="1073" t="s">
        <v>733</v>
      </c>
      <c r="N8" s="1073" t="s">
        <v>734</v>
      </c>
      <c r="O8" s="1073" t="s">
        <v>735</v>
      </c>
      <c r="P8" s="1073" t="s">
        <v>720</v>
      </c>
    </row>
    <row r="9" spans="1:17">
      <c r="A9"/>
      <c r="B9" t="s">
        <v>586</v>
      </c>
      <c r="G9">
        <f t="shared" si="0"/>
        <v>9</v>
      </c>
      <c r="N9" s="1073" t="s">
        <v>1077</v>
      </c>
    </row>
    <row r="10" spans="1:17">
      <c r="A10"/>
      <c r="G10">
        <f t="shared" si="0"/>
        <v>10</v>
      </c>
    </row>
    <row r="11" spans="1:17" ht="15.75" thickBot="1">
      <c r="B11" s="50" t="s">
        <v>732</v>
      </c>
      <c r="C11" s="50"/>
      <c r="D11" s="50" t="s">
        <v>733</v>
      </c>
      <c r="E11" s="2"/>
      <c r="F11" s="50"/>
      <c r="G11">
        <f t="shared" si="0"/>
        <v>11</v>
      </c>
      <c r="I11" s="1"/>
      <c r="K11" s="1072" t="s">
        <v>1086</v>
      </c>
      <c r="M11" s="1074" t="s">
        <v>1079</v>
      </c>
      <c r="N11" s="1074" t="s">
        <v>1080</v>
      </c>
      <c r="O11" s="1074" t="s">
        <v>1085</v>
      </c>
      <c r="P11" s="1074" t="s">
        <v>145</v>
      </c>
    </row>
    <row r="12" spans="1:17" ht="19.5" customHeight="1">
      <c r="G12">
        <f t="shared" si="0"/>
        <v>12</v>
      </c>
      <c r="I12" s="1"/>
      <c r="J12" s="1075">
        <v>1</v>
      </c>
      <c r="K12" s="1073"/>
      <c r="L12" s="1002" t="s">
        <v>1081</v>
      </c>
      <c r="M12" s="47">
        <v>14765431.929999994</v>
      </c>
      <c r="N12" s="47">
        <v>23101749.479999997</v>
      </c>
      <c r="O12" s="47">
        <v>41840834.270000018</v>
      </c>
      <c r="P12" s="47">
        <f>SUM(M12:O12)</f>
        <v>79708015.680000007</v>
      </c>
    </row>
    <row r="13" spans="1:17" ht="21" customHeight="1">
      <c r="A13" s="3">
        <v>1</v>
      </c>
      <c r="B13" s="63" t="s">
        <v>1081</v>
      </c>
      <c r="C13" s="454" t="s">
        <v>411</v>
      </c>
      <c r="D13" s="1003">
        <f>-P22</f>
        <v>-1369200.1664999998</v>
      </c>
      <c r="E13" s="83"/>
      <c r="F13" s="83">
        <f>HLOOKUP($F$3,INSENTIVESCENARIO,G11,FALSE)</f>
        <v>-1369200.1664999998</v>
      </c>
      <c r="G13">
        <f t="shared" si="0"/>
        <v>13</v>
      </c>
      <c r="I13" s="181"/>
      <c r="J13" s="1075">
        <v>2</v>
      </c>
      <c r="K13" s="1073"/>
      <c r="L13" s="1002" t="s">
        <v>1082</v>
      </c>
      <c r="M13" s="47">
        <v>53094.82</v>
      </c>
      <c r="N13" s="47">
        <v>1986177.6699999992</v>
      </c>
      <c r="O13" s="47">
        <v>5341252.8800000073</v>
      </c>
      <c r="P13" s="47">
        <f>SUM(M13:O13)</f>
        <v>7380525.3700000066</v>
      </c>
    </row>
    <row r="14" spans="1:17">
      <c r="C14" s="77"/>
      <c r="D14" s="83"/>
      <c r="E14" s="83"/>
      <c r="F14" s="83"/>
      <c r="G14">
        <f t="shared" si="0"/>
        <v>14</v>
      </c>
      <c r="J14" s="1075"/>
      <c r="K14" s="1072" t="s">
        <v>705</v>
      </c>
      <c r="M14" s="1076"/>
      <c r="N14" s="1076"/>
      <c r="O14" s="1076"/>
      <c r="P14" s="47"/>
      <c r="Q14" s="1077"/>
    </row>
    <row r="15" spans="1:17">
      <c r="A15" s="3">
        <v>2</v>
      </c>
      <c r="B15" s="63" t="s">
        <v>1481</v>
      </c>
      <c r="C15" s="454" t="s">
        <v>411</v>
      </c>
      <c r="D15" s="1003">
        <f>-P23</f>
        <v>-816240.8</v>
      </c>
      <c r="E15" s="83"/>
      <c r="F15" s="83">
        <f>HLOOKUP($F$3,INSENTIVESCENARIO,G13,FALSE)</f>
        <v>-816240.8</v>
      </c>
      <c r="G15">
        <f t="shared" si="0"/>
        <v>15</v>
      </c>
      <c r="I15" s="181"/>
      <c r="J15" s="1075">
        <v>3</v>
      </c>
      <c r="K15" s="1073"/>
      <c r="L15" s="1002" t="s">
        <v>1081</v>
      </c>
      <c r="M15" s="47">
        <v>457618.48999999987</v>
      </c>
      <c r="N15" s="47">
        <v>1220947</v>
      </c>
      <c r="O15" s="47">
        <v>2211572</v>
      </c>
      <c r="P15" s="47">
        <f t="shared" ref="P15:P16" si="1">SUM(M15:O15)</f>
        <v>3890137.4899999998</v>
      </c>
    </row>
    <row r="16" spans="1:17">
      <c r="G16">
        <f t="shared" si="0"/>
        <v>16</v>
      </c>
      <c r="J16" s="1075">
        <v>4</v>
      </c>
      <c r="K16" s="1073"/>
      <c r="L16" s="1002" t="s">
        <v>1082</v>
      </c>
      <c r="M16" s="47">
        <v>26694.572441045391</v>
      </c>
      <c r="N16" s="47">
        <v>798538</v>
      </c>
      <c r="O16" s="47">
        <v>2147010</v>
      </c>
      <c r="P16" s="47">
        <f t="shared" si="1"/>
        <v>2972242.5724410452</v>
      </c>
    </row>
    <row r="17" spans="1:16">
      <c r="G17">
        <f>+G16+1</f>
        <v>17</v>
      </c>
      <c r="I17" s="1"/>
      <c r="J17" s="1075"/>
      <c r="K17" s="1073"/>
      <c r="M17" s="1078"/>
      <c r="N17" s="1078"/>
      <c r="O17" s="1078"/>
      <c r="P17" s="1078"/>
    </row>
    <row r="18" spans="1:16">
      <c r="A18" s="3">
        <v>3</v>
      </c>
      <c r="B18" s="63" t="s">
        <v>1482</v>
      </c>
      <c r="C18" s="1"/>
      <c r="D18" s="10">
        <f>SUM(D13:D15)</f>
        <v>-2185440.9665000001</v>
      </c>
      <c r="E18" s="74"/>
      <c r="F18" s="74">
        <f>HLOOKUP($F$3,INSENTIVESCENARIO,G16,FALSE)</f>
        <v>-2185440.9665000001</v>
      </c>
      <c r="G18">
        <f t="shared" si="0"/>
        <v>18</v>
      </c>
      <c r="J18" s="1075"/>
      <c r="K18" s="1072" t="s">
        <v>1189</v>
      </c>
    </row>
    <row r="19" spans="1:16">
      <c r="A19" s="3">
        <v>4</v>
      </c>
      <c r="C19" s="44" t="s">
        <v>12</v>
      </c>
      <c r="D19" s="181">
        <f>'ROR-Model'!$M$2*D18</f>
        <v>-2119373.6965824962</v>
      </c>
      <c r="F19" s="76"/>
      <c r="G19">
        <f t="shared" si="0"/>
        <v>19</v>
      </c>
      <c r="J19" s="1075">
        <v>5</v>
      </c>
      <c r="K19" s="1073"/>
      <c r="L19" s="1002" t="s">
        <v>1081</v>
      </c>
      <c r="M19" s="1079">
        <v>0.85</v>
      </c>
      <c r="N19" s="1079">
        <v>0.35</v>
      </c>
      <c r="O19" s="1079">
        <v>0.25</v>
      </c>
    </row>
    <row r="20" spans="1:16" ht="15.75" thickBot="1">
      <c r="A20" s="3">
        <v>5</v>
      </c>
      <c r="C20" s="44" t="s">
        <v>23</v>
      </c>
      <c r="D20" s="807">
        <f>'ROR-Model'!$N$2*D18</f>
        <v>-66067.269917504018</v>
      </c>
      <c r="E20" s="181"/>
      <c r="F20" s="181">
        <f>HLOOKUP($F$3,INSENTIVESCENARIO,G18,FALSE)</f>
        <v>-66067.269917504018</v>
      </c>
      <c r="G20">
        <f t="shared" si="0"/>
        <v>20</v>
      </c>
      <c r="J20" s="1075">
        <v>6</v>
      </c>
      <c r="K20" s="1073"/>
      <c r="L20" s="1002" t="s">
        <v>1082</v>
      </c>
      <c r="M20" s="1079">
        <v>0.5</v>
      </c>
      <c r="N20" s="1079">
        <v>0.35</v>
      </c>
      <c r="O20" s="1079">
        <v>0.25</v>
      </c>
    </row>
    <row r="21" spans="1:16" ht="15.75" thickBot="1">
      <c r="E21" s="181"/>
      <c r="F21" s="807">
        <f>HLOOKUP($F$3,INSENTIVESCENARIO,G19,FALSE)</f>
        <v>0</v>
      </c>
      <c r="G21">
        <f t="shared" si="0"/>
        <v>21</v>
      </c>
      <c r="J21" s="1075"/>
      <c r="K21" s="1072" t="s">
        <v>1078</v>
      </c>
    </row>
    <row r="22" spans="1:16">
      <c r="A22" s="107">
        <f>A20+1</f>
        <v>6</v>
      </c>
      <c r="B22" s="63" t="s">
        <v>1486</v>
      </c>
      <c r="C22" s="98" t="s">
        <v>411</v>
      </c>
      <c r="D22" s="1">
        <f>-P28</f>
        <v>-825341.03987660247</v>
      </c>
      <c r="F22" s="1">
        <f>SUM(F20:F21)</f>
        <v>-66067.269917504018</v>
      </c>
      <c r="G22">
        <f t="shared" si="0"/>
        <v>22</v>
      </c>
      <c r="J22" s="1075">
        <v>7</v>
      </c>
      <c r="K22" s="1073"/>
      <c r="L22" s="1002" t="s">
        <v>1081</v>
      </c>
      <c r="M22" s="1078">
        <f t="shared" ref="M22:O23" si="2">M15*M19</f>
        <v>388975.71649999986</v>
      </c>
      <c r="N22" s="1078">
        <f t="shared" si="2"/>
        <v>427331.44999999995</v>
      </c>
      <c r="O22" s="1078">
        <f t="shared" si="2"/>
        <v>552893</v>
      </c>
      <c r="P22" s="1080">
        <f>SUM(M22:O22)</f>
        <v>1369200.1664999998</v>
      </c>
    </row>
    <row r="23" spans="1:16">
      <c r="C23" s="63" t="s">
        <v>12</v>
      </c>
      <c r="D23" s="1">
        <f>D22*'ROR-Model'!$M$2</f>
        <v>-800390.45549049205</v>
      </c>
      <c r="G23">
        <f t="shared" si="0"/>
        <v>23</v>
      </c>
      <c r="J23" s="1075">
        <v>8</v>
      </c>
      <c r="K23" s="1073"/>
      <c r="L23" s="1002" t="s">
        <v>1082</v>
      </c>
      <c r="M23" s="1081">
        <f t="shared" si="2"/>
        <v>13347.286220522696</v>
      </c>
      <c r="N23" s="1081">
        <f t="shared" si="2"/>
        <v>279488.3</v>
      </c>
      <c r="O23" s="1081">
        <f t="shared" si="2"/>
        <v>536752.5</v>
      </c>
      <c r="P23" s="1082">
        <f>SUM(N23:O23)</f>
        <v>816240.8</v>
      </c>
    </row>
    <row r="24" spans="1:16" ht="15.75" thickBot="1">
      <c r="C24" s="128" t="s">
        <v>23</v>
      </c>
      <c r="D24" s="807">
        <f>'ROR-Model'!$N$2*D22</f>
        <v>-24950.584386110408</v>
      </c>
      <c r="G24">
        <f t="shared" si="0"/>
        <v>24</v>
      </c>
      <c r="J24" s="1075">
        <v>9</v>
      </c>
      <c r="K24" s="1073"/>
      <c r="L24" s="1002" t="s">
        <v>145</v>
      </c>
      <c r="M24" s="1080">
        <f>SUM(M22:M23)</f>
        <v>402323.00272052258</v>
      </c>
      <c r="N24" s="1094">
        <f>SUM(N22:N23)</f>
        <v>706819.75</v>
      </c>
      <c r="O24" s="1080">
        <f>SUM(O22:O23)</f>
        <v>1089645.5</v>
      </c>
      <c r="P24" s="1080">
        <f>SUM(P22:P23)</f>
        <v>2185440.9665000001</v>
      </c>
    </row>
    <row r="25" spans="1:16" ht="14.25" customHeight="1">
      <c r="G25">
        <f t="shared" si="0"/>
        <v>25</v>
      </c>
    </row>
    <row r="26" spans="1:16">
      <c r="A26" s="107" t="s">
        <v>411</v>
      </c>
      <c r="B26" s="11" t="s">
        <v>149</v>
      </c>
      <c r="D26" s="130"/>
      <c r="E26" s="130"/>
      <c r="F26" s="130"/>
      <c r="G26">
        <f t="shared" si="0"/>
        <v>26</v>
      </c>
      <c r="J26" s="1075">
        <v>10</v>
      </c>
      <c r="K26" s="1002" t="s">
        <v>1483</v>
      </c>
      <c r="P26" s="1080">
        <f>O54</f>
        <v>3005380</v>
      </c>
    </row>
    <row r="27" spans="1:16">
      <c r="J27" s="1075">
        <v>11</v>
      </c>
      <c r="K27" s="1002" t="s">
        <v>1485</v>
      </c>
      <c r="P27" s="1077">
        <f>P23/P16</f>
        <v>0.27462119262010209</v>
      </c>
    </row>
    <row r="28" spans="1:16">
      <c r="B28" s="11"/>
      <c r="J28" s="1075">
        <v>12</v>
      </c>
      <c r="K28" s="1002" t="s">
        <v>1484</v>
      </c>
      <c r="P28" s="1080">
        <f>P26*P27</f>
        <v>825341.03987660247</v>
      </c>
    </row>
    <row r="29" spans="1:16" ht="27" customHeight="1"/>
    <row r="32" spans="1:16">
      <c r="A32" s="292"/>
    </row>
    <row r="33" spans="4:18">
      <c r="D33" s="450"/>
      <c r="E33" s="450"/>
      <c r="F33" s="450"/>
    </row>
    <row r="40" spans="4:18">
      <c r="M40" s="1072" t="s">
        <v>1092</v>
      </c>
    </row>
    <row r="41" spans="4:18">
      <c r="M41" s="1002" t="s">
        <v>1081</v>
      </c>
      <c r="Q41" s="42">
        <v>0.35570000000000002</v>
      </c>
      <c r="R41" s="42">
        <v>0.64429999999999998</v>
      </c>
    </row>
    <row r="42" spans="4:18">
      <c r="M42" s="1002" t="s">
        <v>1082</v>
      </c>
      <c r="Q42" s="42">
        <v>0.27110000000000001</v>
      </c>
      <c r="R42" s="42">
        <v>0.72889999999999999</v>
      </c>
    </row>
    <row r="47" spans="4:18">
      <c r="P47" s="1079"/>
      <c r="Q47" s="1079"/>
      <c r="R47" s="1079"/>
    </row>
    <row r="49" spans="13:17">
      <c r="M49" s="1072" t="s">
        <v>1087</v>
      </c>
    </row>
    <row r="50" spans="13:17">
      <c r="O50" s="1002" t="s">
        <v>1088</v>
      </c>
    </row>
    <row r="51" spans="13:17">
      <c r="N51" s="1002" t="s">
        <v>1089</v>
      </c>
      <c r="O51" s="1002" t="s">
        <v>1090</v>
      </c>
      <c r="P51" s="1002" t="s">
        <v>1091</v>
      </c>
    </row>
    <row r="53" spans="13:17">
      <c r="M53" s="1002" t="s">
        <v>1081</v>
      </c>
      <c r="N53" s="1078">
        <v>3890137.71</v>
      </c>
      <c r="O53" s="1078">
        <v>0</v>
      </c>
      <c r="P53" s="1078">
        <f>N53-O53</f>
        <v>3890137.71</v>
      </c>
    </row>
    <row r="54" spans="13:17">
      <c r="M54" s="1002" t="s">
        <v>1082</v>
      </c>
      <c r="N54" s="1078">
        <v>5977623.1699999999</v>
      </c>
      <c r="O54" s="1078">
        <v>3005380</v>
      </c>
      <c r="P54" s="1078">
        <f>N54-O54</f>
        <v>2972243.17</v>
      </c>
      <c r="Q54" s="1083" t="s">
        <v>1290</v>
      </c>
    </row>
    <row r="56" spans="13:17">
      <c r="M56" s="1002" t="s">
        <v>1083</v>
      </c>
    </row>
    <row r="58" spans="13:17">
      <c r="M58" s="1002" t="s">
        <v>1084</v>
      </c>
    </row>
    <row r="97" ht="13.5" customHeight="1"/>
    <row r="98" ht="20.25" customHeight="1"/>
  </sheetData>
  <phoneticPr fontId="0" type="noConversion"/>
  <dataValidations disablePrompts="1" count="1">
    <dataValidation type="list" showInputMessage="1" showErrorMessage="1" sqref="E3" xr:uid="{00000000-0002-0000-1200-000000000000}">
      <formula1>"Insentives QGC,Insentives DPU,Insentives CCS,Insentives FINAL ORDER,Insentives HISTORICAL"</formula1>
    </dataValidation>
  </dataValidations>
  <printOptions horizontalCentered="1"/>
  <pageMargins left="0.25" right="0.25" top="0.75" bottom="0.75" header="0.3" footer="0.3"/>
  <pageSetup scale="72" orientation="portrait" r:id="rId1"/>
  <headerFooter alignWithMargins="0"/>
  <colBreaks count="1" manualBreakCount="1">
    <brk id="8" max="37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79">
    <tabColor rgb="FF92D050"/>
  </sheetPr>
  <dimension ref="A1:AN139"/>
  <sheetViews>
    <sheetView zoomScale="80" zoomScaleNormal="80" zoomScaleSheetLayoutView="100" workbookViewId="0">
      <selection activeCell="H21" sqref="H21"/>
    </sheetView>
  </sheetViews>
  <sheetFormatPr defaultColWidth="9.140625" defaultRowHeight="12.75"/>
  <cols>
    <col min="1" max="1" width="5.7109375" customWidth="1"/>
    <col min="2" max="2" width="35.7109375" bestFit="1" customWidth="1"/>
    <col min="3" max="3" width="15.28515625" customWidth="1"/>
    <col min="4" max="4" width="5.7109375" hidden="1" customWidth="1"/>
    <col min="5" max="5" width="2.7109375" hidden="1" customWidth="1"/>
    <col min="6" max="6" width="14" hidden="1" customWidth="1"/>
    <col min="7" max="7" width="9.28515625" hidden="1" customWidth="1"/>
    <col min="8" max="8" width="62.42578125" customWidth="1"/>
    <col min="9" max="9" width="4.7109375" style="63" customWidth="1"/>
    <col min="10" max="10" width="7.85546875" style="63" customWidth="1"/>
    <col min="11" max="11" width="35.5703125" style="63" customWidth="1"/>
    <col min="12" max="12" width="17" style="63" customWidth="1"/>
    <col min="13" max="13" width="18.7109375" style="63" bestFit="1" customWidth="1"/>
    <col min="14" max="14" width="18.85546875" style="63" bestFit="1" customWidth="1"/>
    <col min="15" max="15" width="5.7109375" style="63" customWidth="1"/>
    <col min="16" max="16" width="23.28515625" style="63" customWidth="1"/>
    <col min="17" max="17" width="11.42578125" customWidth="1"/>
    <col min="18" max="18" width="15.5703125" customWidth="1"/>
    <col min="19" max="19" width="11.42578125" customWidth="1"/>
    <col min="20" max="20" width="13.85546875" customWidth="1"/>
    <col min="21" max="21" width="10.85546875" customWidth="1"/>
    <col min="22" max="22" width="13.140625" customWidth="1"/>
    <col min="23" max="23" width="10.85546875" customWidth="1"/>
    <col min="25" max="25" width="7.7109375" customWidth="1"/>
    <col min="26" max="26" width="10.85546875" bestFit="1" customWidth="1"/>
    <col min="27" max="27" width="10" customWidth="1"/>
    <col min="28" max="28" width="12.28515625" bestFit="1" customWidth="1"/>
    <col min="29" max="29" width="23.28515625" customWidth="1"/>
    <col min="30" max="30" width="8.85546875" customWidth="1"/>
    <col min="31" max="31" width="6.5703125" bestFit="1" customWidth="1"/>
    <col min="32" max="32" width="13.42578125" bestFit="1" customWidth="1"/>
    <col min="33" max="33" width="21.42578125" customWidth="1"/>
    <col min="34" max="34" width="26.85546875" customWidth="1"/>
    <col min="35" max="37" width="21.42578125" customWidth="1"/>
    <col min="38" max="38" width="13.7109375" bestFit="1" customWidth="1"/>
  </cols>
  <sheetData>
    <row r="1" spans="1:40" ht="19.5" customHeight="1">
      <c r="B1" s="12" t="s">
        <v>861</v>
      </c>
      <c r="J1" s="12" t="s">
        <v>861</v>
      </c>
      <c r="K1" s="12"/>
      <c r="L1" s="12"/>
      <c r="N1" s="959"/>
      <c r="P1" s="12" t="s">
        <v>861</v>
      </c>
      <c r="Q1" s="12"/>
      <c r="R1" s="31"/>
      <c r="S1" s="63"/>
      <c r="T1" s="146"/>
      <c r="U1" s="63"/>
      <c r="V1" s="63"/>
    </row>
    <row r="2" spans="1:40">
      <c r="B2" s="12" t="str">
        <f>+'Control Panel'!$B$1</f>
        <v>Dominion Energy</v>
      </c>
      <c r="J2" s="12" t="str">
        <f>+'Control Panel'!$B$1</f>
        <v>Dominion Energy</v>
      </c>
      <c r="N2" s="65"/>
      <c r="P2" s="12" t="s">
        <v>1043</v>
      </c>
      <c r="Q2" s="12"/>
      <c r="R2" s="32"/>
      <c r="S2" s="32"/>
      <c r="T2" s="32"/>
      <c r="U2" s="63"/>
      <c r="V2" s="63"/>
    </row>
    <row r="3" spans="1:40" ht="12.75" customHeight="1">
      <c r="B3" s="12" t="str">
        <f>+'Control Panel'!$B$2</f>
        <v>Utah - June 2023 Adjusted Avg Results</v>
      </c>
      <c r="J3" s="12" t="str">
        <f>+'Control Panel'!$B$2</f>
        <v>Utah - June 2023 Adjusted Avg Results</v>
      </c>
      <c r="N3" s="98"/>
      <c r="P3" s="12" t="s">
        <v>866</v>
      </c>
      <c r="Q3" s="12"/>
      <c r="R3" s="32"/>
      <c r="S3" s="32"/>
      <c r="T3" s="144"/>
      <c r="U3" s="1"/>
      <c r="V3" s="63"/>
      <c r="Y3" s="636"/>
      <c r="Z3" s="636"/>
      <c r="AA3" s="636"/>
      <c r="AB3" s="636"/>
      <c r="AC3" s="636"/>
      <c r="AD3" s="636"/>
      <c r="AE3" s="636"/>
      <c r="AF3" s="636"/>
      <c r="AG3" s="636"/>
      <c r="AH3" s="636"/>
      <c r="AI3" s="636"/>
      <c r="AJ3" s="636"/>
      <c r="AK3" s="636"/>
    </row>
    <row r="4" spans="1:40" ht="13.5" thickBot="1">
      <c r="B4" s="12" t="str">
        <f>+'Control Panel'!$B$3</f>
        <v>12 Months Ended : Jun-2023</v>
      </c>
      <c r="J4" s="12" t="str">
        <f>+'Control Panel'!$B$3</f>
        <v>12 Months Ended : Jun-2023</v>
      </c>
      <c r="P4" s="12" t="str">
        <f>+B4</f>
        <v>12 Months Ended : Jun-2023</v>
      </c>
      <c r="Q4" s="12"/>
      <c r="R4" s="32"/>
      <c r="S4" s="32"/>
      <c r="T4" s="144"/>
      <c r="U4" s="63"/>
      <c r="V4" s="63"/>
      <c r="Y4" s="960" t="s">
        <v>1055</v>
      </c>
      <c r="AC4" s="364"/>
      <c r="AD4" s="961"/>
      <c r="AE4" s="961"/>
      <c r="AF4" s="364"/>
      <c r="AH4" s="787" t="s">
        <v>988</v>
      </c>
      <c r="AI4" s="364"/>
      <c r="AJ4" s="364"/>
      <c r="AK4" s="364"/>
      <c r="AL4" s="364"/>
      <c r="AM4" s="364"/>
      <c r="AN4" s="364"/>
    </row>
    <row r="5" spans="1:40" ht="13.5" thickBot="1">
      <c r="I5" s="45" t="s">
        <v>862</v>
      </c>
      <c r="Q5" s="63"/>
      <c r="R5" s="32"/>
      <c r="S5" s="32"/>
      <c r="T5" s="63"/>
      <c r="U5" s="31"/>
      <c r="V5" s="63"/>
      <c r="Y5" s="787" t="s">
        <v>88</v>
      </c>
      <c r="Z5" s="787" t="s">
        <v>790</v>
      </c>
      <c r="AA5" s="787" t="s">
        <v>6</v>
      </c>
      <c r="AB5" s="787" t="s">
        <v>613</v>
      </c>
      <c r="AC5" s="787" t="s">
        <v>791</v>
      </c>
      <c r="AD5" s="787" t="s">
        <v>98</v>
      </c>
      <c r="AE5" s="787" t="s">
        <v>89</v>
      </c>
      <c r="AF5" s="787" t="s">
        <v>755</v>
      </c>
      <c r="AH5" s="787" t="s">
        <v>88</v>
      </c>
      <c r="AI5" s="787" t="s">
        <v>1094</v>
      </c>
      <c r="AJ5" s="787" t="s">
        <v>6</v>
      </c>
      <c r="AK5" s="984" t="s">
        <v>613</v>
      </c>
      <c r="AL5" s="787" t="s">
        <v>989</v>
      </c>
      <c r="AM5" s="787" t="s">
        <v>98</v>
      </c>
      <c r="AN5" s="787" t="s">
        <v>89</v>
      </c>
    </row>
    <row r="6" spans="1:40">
      <c r="F6" s="2" t="s">
        <v>712</v>
      </c>
      <c r="P6" s="388" t="s">
        <v>867</v>
      </c>
      <c r="Q6" s="388"/>
      <c r="R6" s="144"/>
      <c r="S6" s="144"/>
      <c r="T6" s="63"/>
      <c r="U6" s="32"/>
      <c r="V6" s="63"/>
      <c r="Y6" s="364"/>
      <c r="Z6" s="364"/>
      <c r="AA6" s="364"/>
      <c r="AB6" s="366"/>
      <c r="AC6" s="364"/>
      <c r="AD6" s="961"/>
      <c r="AE6" s="961"/>
      <c r="AF6" s="364"/>
      <c r="AG6" s="364"/>
      <c r="AH6" s="963" t="s">
        <v>729</v>
      </c>
      <c r="AI6" t="s">
        <v>1102</v>
      </c>
      <c r="AJ6" s="364">
        <v>5304200</v>
      </c>
      <c r="AK6" s="982">
        <v>2940</v>
      </c>
      <c r="AL6" s="364" t="s">
        <v>792</v>
      </c>
      <c r="AM6" s="983">
        <v>7</v>
      </c>
      <c r="AN6" s="983">
        <v>2018</v>
      </c>
    </row>
    <row r="7" spans="1:40" ht="25.5">
      <c r="A7" s="218">
        <v>1</v>
      </c>
      <c r="C7" s="964" t="s">
        <v>1045</v>
      </c>
      <c r="D7" s="306"/>
      <c r="E7" s="351"/>
      <c r="F7" s="964" t="str">
        <f>+'Control Panel'!B35</f>
        <v xml:space="preserve"> Sporting Events </v>
      </c>
      <c r="G7" s="218">
        <v>1</v>
      </c>
      <c r="I7"/>
      <c r="P7" s="388"/>
      <c r="Q7" s="388"/>
      <c r="R7" s="144"/>
      <c r="S7" s="144"/>
      <c r="T7" s="63"/>
      <c r="U7" s="32"/>
      <c r="V7" s="63"/>
      <c r="Y7" s="364"/>
      <c r="Z7" s="364"/>
      <c r="AA7" s="364"/>
      <c r="AB7" s="366"/>
      <c r="AC7" s="364"/>
      <c r="AD7" s="961"/>
      <c r="AE7" s="961"/>
      <c r="AF7" s="364"/>
      <c r="AG7" s="364"/>
      <c r="AH7" s="364" t="s">
        <v>729</v>
      </c>
      <c r="AI7" t="s">
        <v>1103</v>
      </c>
      <c r="AJ7" s="364">
        <v>5304200</v>
      </c>
      <c r="AK7" s="982">
        <v>2320</v>
      </c>
      <c r="AL7" s="364" t="s">
        <v>792</v>
      </c>
      <c r="AM7" s="983">
        <v>7</v>
      </c>
      <c r="AN7" s="983">
        <v>2018</v>
      </c>
    </row>
    <row r="8" spans="1:40">
      <c r="A8">
        <f>+A7+1</f>
        <v>2</v>
      </c>
      <c r="D8" s="352"/>
      <c r="E8" s="352"/>
      <c r="G8">
        <f>+G7+1</f>
        <v>2</v>
      </c>
      <c r="I8"/>
      <c r="J8" s="84"/>
      <c r="K8" s="1123" t="s">
        <v>861</v>
      </c>
      <c r="L8" s="1123"/>
      <c r="M8" s="1123"/>
      <c r="N8" s="1123"/>
      <c r="O8" s="627"/>
      <c r="P8" s="388"/>
      <c r="Q8" s="388"/>
      <c r="R8" s="144"/>
      <c r="S8" s="144"/>
      <c r="T8" s="63"/>
      <c r="U8" s="32"/>
      <c r="V8" s="63"/>
      <c r="Y8" s="364"/>
      <c r="Z8" s="364"/>
      <c r="AA8" s="364"/>
      <c r="AB8" s="366"/>
      <c r="AC8" s="364"/>
      <c r="AD8" s="961"/>
      <c r="AE8" s="961"/>
      <c r="AF8" s="364"/>
      <c r="AG8" s="364"/>
      <c r="AH8" s="364"/>
      <c r="AI8" s="364"/>
      <c r="AJ8" s="364"/>
      <c r="AK8" s="366"/>
      <c r="AL8" s="364"/>
      <c r="AM8" s="961"/>
      <c r="AN8" s="961"/>
    </row>
    <row r="9" spans="1:40">
      <c r="A9">
        <f t="shared" ref="A9:A15" si="0">+A8+1</f>
        <v>3</v>
      </c>
      <c r="G9">
        <f t="shared" ref="G9:G15" si="1">+G8+1</f>
        <v>3</v>
      </c>
      <c r="I9"/>
      <c r="J9" s="84"/>
      <c r="K9" s="1126"/>
      <c r="L9" s="1123"/>
      <c r="M9" s="1123"/>
      <c r="N9" s="1123"/>
      <c r="P9" s="388"/>
      <c r="Q9" s="388"/>
      <c r="R9" s="144"/>
      <c r="S9" s="144"/>
      <c r="T9" s="63"/>
      <c r="U9" s="32"/>
      <c r="V9" s="63"/>
      <c r="Y9" s="364"/>
      <c r="Z9" s="364"/>
      <c r="AA9" s="364"/>
      <c r="AB9" s="366"/>
      <c r="AC9" s="364"/>
      <c r="AD9" s="961"/>
      <c r="AE9" s="961"/>
      <c r="AF9" s="364"/>
      <c r="AG9" s="364"/>
      <c r="AH9" s="364"/>
      <c r="AI9" s="364"/>
      <c r="AJ9" s="364"/>
      <c r="AK9" s="366"/>
      <c r="AL9" s="364"/>
      <c r="AM9" s="961"/>
      <c r="AN9" s="961"/>
    </row>
    <row r="10" spans="1:40" ht="26.25" customHeight="1" thickBot="1">
      <c r="A10">
        <f t="shared" si="0"/>
        <v>4</v>
      </c>
      <c r="C10" s="637"/>
      <c r="D10" s="637"/>
      <c r="E10" s="637"/>
      <c r="F10" s="637"/>
      <c r="G10">
        <f t="shared" si="1"/>
        <v>4</v>
      </c>
      <c r="I10"/>
      <c r="J10" s="84"/>
      <c r="K10" s="32"/>
      <c r="L10" s="32"/>
      <c r="N10" s="90"/>
      <c r="O10" s="90"/>
      <c r="P10" s="388"/>
      <c r="Q10" s="388"/>
      <c r="R10" s="144"/>
      <c r="S10" s="144"/>
      <c r="T10" s="63"/>
      <c r="U10" s="32"/>
      <c r="V10" s="63"/>
      <c r="Y10" s="364"/>
      <c r="Z10" s="364"/>
      <c r="AA10" s="364"/>
      <c r="AB10" s="366"/>
      <c r="AC10" s="364"/>
      <c r="AD10" s="961"/>
      <c r="AE10" s="961"/>
      <c r="AF10" s="364"/>
      <c r="AG10" s="364"/>
      <c r="AH10" s="364"/>
      <c r="AI10" s="364"/>
      <c r="AJ10" s="364"/>
      <c r="AK10" s="965">
        <f>SUM(AK6:AK9)</f>
        <v>5260</v>
      </c>
      <c r="AL10" s="364"/>
      <c r="AM10" s="364"/>
      <c r="AN10" s="364"/>
    </row>
    <row r="11" spans="1:40">
      <c r="A11">
        <f t="shared" si="0"/>
        <v>5</v>
      </c>
      <c r="G11">
        <f t="shared" si="1"/>
        <v>5</v>
      </c>
      <c r="I11"/>
      <c r="J11" s="84"/>
      <c r="K11" s="33" t="s">
        <v>732</v>
      </c>
      <c r="L11" s="33" t="s">
        <v>733</v>
      </c>
      <c r="M11" s="87" t="s">
        <v>734</v>
      </c>
      <c r="N11" s="33" t="s">
        <v>735</v>
      </c>
      <c r="O11" s="87"/>
      <c r="P11" s="33" t="s">
        <v>732</v>
      </c>
      <c r="Q11" s="33" t="s">
        <v>733</v>
      </c>
      <c r="R11" s="87" t="s">
        <v>734</v>
      </c>
      <c r="S11" s="33" t="s">
        <v>735</v>
      </c>
      <c r="T11" s="33" t="s">
        <v>720</v>
      </c>
      <c r="U11" s="33" t="s">
        <v>721</v>
      </c>
      <c r="V11" s="87" t="s">
        <v>510</v>
      </c>
      <c r="W11" s="33" t="s">
        <v>709</v>
      </c>
      <c r="Y11" s="364"/>
      <c r="Z11" s="364"/>
      <c r="AA11" s="364"/>
      <c r="AB11" s="366"/>
      <c r="AC11" s="364"/>
      <c r="AD11" s="961"/>
      <c r="AE11" s="961"/>
      <c r="AF11" s="364"/>
      <c r="AG11" s="364"/>
      <c r="AH11" s="364"/>
      <c r="AI11" s="364"/>
      <c r="AJ11" s="364"/>
      <c r="AL11" s="364"/>
      <c r="AM11" s="364"/>
      <c r="AN11" s="364"/>
    </row>
    <row r="12" spans="1:40">
      <c r="A12">
        <f t="shared" si="0"/>
        <v>6</v>
      </c>
      <c r="B12" t="s">
        <v>863</v>
      </c>
      <c r="C12" s="265">
        <f>$N$29</f>
        <v>0</v>
      </c>
      <c r="D12" s="265"/>
      <c r="E12" s="265"/>
      <c r="F12" s="966">
        <f>HLOOKUP($F$7,events,G12,FALSE)</f>
        <v>0</v>
      </c>
      <c r="G12">
        <f t="shared" si="1"/>
        <v>6</v>
      </c>
      <c r="I12"/>
      <c r="J12" s="84"/>
      <c r="K12"/>
      <c r="L12"/>
      <c r="M12"/>
      <c r="N12"/>
      <c r="O12" s="33"/>
      <c r="P12" s="388"/>
      <c r="Q12" s="388"/>
      <c r="R12" s="144"/>
      <c r="S12" s="144"/>
      <c r="T12" s="63"/>
      <c r="U12" s="32"/>
      <c r="V12" s="63"/>
      <c r="Y12" s="364"/>
      <c r="Z12" s="364"/>
      <c r="AA12" s="364"/>
      <c r="AB12" s="366"/>
      <c r="AC12" s="364"/>
      <c r="AD12" s="961"/>
      <c r="AE12" s="961"/>
      <c r="AF12" s="364"/>
      <c r="AG12" s="364"/>
      <c r="AH12" s="364"/>
      <c r="AI12" s="364"/>
      <c r="AJ12" s="364"/>
      <c r="AK12" s="364"/>
      <c r="AL12" s="364"/>
      <c r="AM12" s="364"/>
      <c r="AN12" s="364"/>
    </row>
    <row r="13" spans="1:40" ht="13.5" thickBot="1">
      <c r="A13">
        <f t="shared" si="0"/>
        <v>7</v>
      </c>
      <c r="B13" s="63"/>
      <c r="C13" s="143"/>
      <c r="D13" s="967"/>
      <c r="E13" s="967"/>
      <c r="F13" s="967"/>
      <c r="G13">
        <f t="shared" si="1"/>
        <v>7</v>
      </c>
      <c r="I13"/>
      <c r="J13" s="84"/>
      <c r="K13"/>
      <c r="L13"/>
      <c r="M13"/>
      <c r="N13"/>
      <c r="O13" s="33"/>
      <c r="P13" s="388"/>
      <c r="Q13" s="388"/>
      <c r="R13" s="144"/>
      <c r="S13" s="144"/>
      <c r="T13" s="63"/>
      <c r="U13" s="32"/>
      <c r="V13" s="63"/>
      <c r="Y13" s="364"/>
      <c r="Z13" s="364"/>
      <c r="AA13" s="364"/>
      <c r="AB13" s="366"/>
      <c r="AC13" s="364"/>
      <c r="AD13" s="961"/>
      <c r="AE13" s="961"/>
      <c r="AF13" s="364"/>
      <c r="AH13" s="364"/>
      <c r="AI13" s="364"/>
      <c r="AJ13" s="364"/>
      <c r="AK13" s="364"/>
      <c r="AL13" s="364"/>
      <c r="AM13" s="364"/>
      <c r="AN13" s="364"/>
    </row>
    <row r="14" spans="1:40">
      <c r="A14">
        <f t="shared" si="0"/>
        <v>8</v>
      </c>
      <c r="B14" t="s">
        <v>588</v>
      </c>
      <c r="C14" s="949">
        <f>'ROR-Model'!$M$2*C12*(1+C13)</f>
        <v>0</v>
      </c>
      <c r="D14" s="949"/>
      <c r="E14" s="949"/>
      <c r="F14" s="949">
        <f>'ROR-Model'!$M$2*F12*(1+F13)</f>
        <v>0</v>
      </c>
      <c r="G14">
        <f t="shared" si="1"/>
        <v>8</v>
      </c>
      <c r="I14">
        <v>1</v>
      </c>
      <c r="J14" s="84"/>
      <c r="K14" s="45" t="s">
        <v>1059</v>
      </c>
      <c r="L14" s="32"/>
      <c r="M14" s="699">
        <f>W23</f>
        <v>0</v>
      </c>
      <c r="N14" s="32"/>
      <c r="O14" s="90"/>
      <c r="P14" s="388"/>
      <c r="Q14" s="388"/>
      <c r="R14" s="144"/>
      <c r="S14" s="144"/>
      <c r="T14" s="63"/>
      <c r="U14" s="32"/>
      <c r="V14" s="63"/>
      <c r="Y14" s="364"/>
      <c r="Z14" s="364"/>
      <c r="AA14" s="364"/>
      <c r="AB14" s="366"/>
      <c r="AC14" s="364"/>
      <c r="AD14" s="961"/>
      <c r="AE14" s="961"/>
      <c r="AF14" s="364"/>
      <c r="AH14" s="364"/>
      <c r="AI14" s="364"/>
      <c r="AJ14" s="364"/>
      <c r="AK14" s="364"/>
      <c r="AL14" s="364"/>
      <c r="AM14" s="364"/>
      <c r="AN14" s="364"/>
    </row>
    <row r="15" spans="1:40">
      <c r="A15">
        <f t="shared" si="0"/>
        <v>9</v>
      </c>
      <c r="B15" t="s">
        <v>589</v>
      </c>
      <c r="C15" s="265">
        <f>'ROR-Model'!$N$2*C12*(1+C13)</f>
        <v>0</v>
      </c>
      <c r="D15" s="265"/>
      <c r="E15" s="265"/>
      <c r="F15" s="265">
        <f>'ROR-Model'!$N$2*F12*(1+F13)</f>
        <v>0</v>
      </c>
      <c r="G15">
        <f t="shared" si="1"/>
        <v>9</v>
      </c>
      <c r="I15">
        <f>I14+1</f>
        <v>2</v>
      </c>
      <c r="J15"/>
      <c r="K15"/>
      <c r="L15"/>
      <c r="M15"/>
      <c r="N15"/>
      <c r="O15"/>
      <c r="P15" s="388"/>
      <c r="Q15" s="388"/>
      <c r="R15" s="144"/>
      <c r="S15" s="144"/>
      <c r="T15" s="63"/>
      <c r="U15" s="32"/>
      <c r="V15" s="63"/>
      <c r="Y15" s="364"/>
      <c r="AC15" s="364"/>
      <c r="AD15" s="961"/>
      <c r="AE15" s="961"/>
      <c r="AF15" s="364"/>
      <c r="AH15" s="364"/>
      <c r="AI15" s="364"/>
      <c r="AJ15" s="364"/>
      <c r="AK15" s="364"/>
      <c r="AL15" s="364"/>
      <c r="AM15" s="364"/>
      <c r="AN15" s="364"/>
    </row>
    <row r="16" spans="1:40" ht="13.5" thickBot="1">
      <c r="B16" s="1"/>
      <c r="C16" s="1"/>
      <c r="D16" s="966"/>
      <c r="E16" s="966"/>
      <c r="I16">
        <f>I15+1</f>
        <v>3</v>
      </c>
      <c r="J16" s="87"/>
      <c r="K16" s="87"/>
      <c r="L16" s="87"/>
      <c r="M16" s="144"/>
      <c r="N16"/>
      <c r="O16" s="32"/>
      <c r="P16" s="388"/>
      <c r="Q16" s="388"/>
      <c r="R16" s="144"/>
      <c r="S16" s="144"/>
      <c r="T16" s="63"/>
      <c r="U16" s="32"/>
      <c r="V16" s="63"/>
      <c r="Y16" s="364"/>
      <c r="Z16" s="364"/>
      <c r="AA16" s="364"/>
      <c r="AB16" s="366"/>
      <c r="AC16" s="364"/>
      <c r="AD16" s="961"/>
      <c r="AE16" s="961"/>
      <c r="AF16" s="364"/>
      <c r="AH16" s="364"/>
      <c r="AI16" s="364"/>
      <c r="AJ16" s="364"/>
      <c r="AK16" s="364"/>
      <c r="AL16" s="364"/>
      <c r="AM16" s="364"/>
      <c r="AN16" s="364"/>
    </row>
    <row r="17" spans="9:40">
      <c r="I17">
        <f t="shared" ref="I17:I33" si="2">I16+1</f>
        <v>4</v>
      </c>
      <c r="J17"/>
      <c r="K17" s="87"/>
      <c r="L17" s="33" t="s">
        <v>169</v>
      </c>
      <c r="M17" s="87" t="s">
        <v>705</v>
      </c>
      <c r="N17" s="87" t="s">
        <v>40</v>
      </c>
      <c r="O17" s="32"/>
      <c r="P17" s="702"/>
      <c r="Q17" s="702"/>
      <c r="R17" s="144"/>
      <c r="S17" s="144"/>
      <c r="T17" s="870" t="s">
        <v>1056</v>
      </c>
      <c r="U17" s="871"/>
      <c r="V17" s="1127" t="s">
        <v>868</v>
      </c>
      <c r="W17" s="1128"/>
      <c r="Y17" s="63"/>
      <c r="Z17" s="415" t="s">
        <v>923</v>
      </c>
      <c r="AA17" s="364"/>
      <c r="AB17" s="968">
        <f>SUM(AB6:AB15)</f>
        <v>0</v>
      </c>
      <c r="AH17" s="364"/>
      <c r="AI17" s="364"/>
      <c r="AJ17" s="364"/>
      <c r="AK17" s="364"/>
      <c r="AL17" s="364"/>
      <c r="AM17" s="364"/>
      <c r="AN17" s="364"/>
    </row>
    <row r="18" spans="9:40">
      <c r="I18">
        <f t="shared" si="2"/>
        <v>5</v>
      </c>
      <c r="J18"/>
      <c r="K18" s="32" t="s">
        <v>136</v>
      </c>
      <c r="L18" s="956" t="s">
        <v>137</v>
      </c>
      <c r="M18" s="969" t="s">
        <v>613</v>
      </c>
      <c r="N18" s="969" t="s">
        <v>613</v>
      </c>
      <c r="O18" s="32"/>
      <c r="P18" s="31" t="s">
        <v>755</v>
      </c>
      <c r="Q18" s="33"/>
      <c r="R18" s="33" t="s">
        <v>869</v>
      </c>
      <c r="S18" s="2" t="s">
        <v>870</v>
      </c>
      <c r="T18" s="703" t="s">
        <v>756</v>
      </c>
      <c r="U18" s="704" t="s">
        <v>871</v>
      </c>
      <c r="V18" s="703" t="s">
        <v>756</v>
      </c>
      <c r="W18" s="704" t="s">
        <v>871</v>
      </c>
      <c r="Y18" s="63"/>
      <c r="AH18" s="364"/>
      <c r="AI18" s="364"/>
      <c r="AJ18" s="364"/>
      <c r="AK18" s="364"/>
      <c r="AL18" s="364"/>
      <c r="AM18" s="364"/>
      <c r="AN18" s="364"/>
    </row>
    <row r="19" spans="9:40" ht="13.5" thickBot="1">
      <c r="I19">
        <f t="shared" si="2"/>
        <v>6</v>
      </c>
      <c r="J19"/>
      <c r="K19"/>
      <c r="L19"/>
      <c r="M19"/>
      <c r="N19"/>
      <c r="O19" s="32"/>
      <c r="P19" s="31"/>
      <c r="Q19" s="705" t="s">
        <v>100</v>
      </c>
      <c r="R19" s="705" t="s">
        <v>872</v>
      </c>
      <c r="S19" s="904" t="s">
        <v>1247</v>
      </c>
      <c r="T19" s="706" t="s">
        <v>757</v>
      </c>
      <c r="U19" s="707" t="s">
        <v>873</v>
      </c>
      <c r="V19" s="706" t="s">
        <v>757</v>
      </c>
      <c r="W19" s="707" t="s">
        <v>873</v>
      </c>
      <c r="Y19" s="364"/>
      <c r="Z19" s="364"/>
      <c r="AA19" s="364"/>
      <c r="AB19" s="364"/>
      <c r="AC19" s="364"/>
      <c r="AD19" s="364"/>
      <c r="AE19" s="364"/>
      <c r="AF19" s="364"/>
      <c r="AG19" s="962"/>
      <c r="AH19" s="962"/>
      <c r="AI19" s="962"/>
      <c r="AJ19" s="962"/>
      <c r="AK19" s="962"/>
    </row>
    <row r="20" spans="9:40">
      <c r="I20">
        <f t="shared" si="2"/>
        <v>7</v>
      </c>
      <c r="J20"/>
      <c r="K20" s="32" t="s">
        <v>1052</v>
      </c>
      <c r="L20" s="32"/>
      <c r="M20" s="30"/>
      <c r="N20" s="30"/>
      <c r="O20" s="32">
        <v>1</v>
      </c>
      <c r="P20" s="32" t="s">
        <v>1203</v>
      </c>
      <c r="Q20" s="58">
        <f>SUM(AB6:AB13)</f>
        <v>0</v>
      </c>
      <c r="R20" s="63">
        <v>0</v>
      </c>
      <c r="S20" s="133">
        <v>1</v>
      </c>
      <c r="T20" s="58">
        <f>S20*Q20</f>
        <v>0</v>
      </c>
      <c r="U20" s="58">
        <f>Q20-T20</f>
        <v>0</v>
      </c>
      <c r="V20">
        <f>S20*R20</f>
        <v>0</v>
      </c>
      <c r="W20">
        <f>R20-V20</f>
        <v>0</v>
      </c>
      <c r="Y20" s="364"/>
      <c r="Z20" s="364"/>
      <c r="AA20" s="364"/>
      <c r="AB20" s="364"/>
      <c r="AC20" s="364"/>
      <c r="AD20" s="364"/>
      <c r="AE20" s="364"/>
      <c r="AF20" s="364"/>
      <c r="AG20" s="962"/>
      <c r="AH20" s="962"/>
      <c r="AI20" s="962"/>
      <c r="AJ20" s="962"/>
      <c r="AK20" s="962"/>
    </row>
    <row r="21" spans="9:40">
      <c r="I21">
        <f t="shared" si="2"/>
        <v>8</v>
      </c>
      <c r="J21" s="87"/>
      <c r="K21" s="39" t="s">
        <v>1053</v>
      </c>
      <c r="L21" s="970">
        <v>0.55120000000000002</v>
      </c>
      <c r="M21" s="971"/>
      <c r="N21" s="971"/>
      <c r="O21" s="32">
        <f>O20+1</f>
        <v>2</v>
      </c>
      <c r="P21" s="32" t="s">
        <v>831</v>
      </c>
      <c r="Q21" s="58">
        <f>SUM(AB15)</f>
        <v>0</v>
      </c>
      <c r="R21" s="58">
        <v>0</v>
      </c>
      <c r="S21" s="133">
        <v>1</v>
      </c>
      <c r="T21" s="58">
        <f>S21*Q21</f>
        <v>0</v>
      </c>
      <c r="U21" s="58">
        <f>Q21-T21</f>
        <v>0</v>
      </c>
      <c r="V21" s="58">
        <f>S21*R21</f>
        <v>0</v>
      </c>
      <c r="W21" s="58">
        <f>R21-V21</f>
        <v>0</v>
      </c>
      <c r="Y21" s="364"/>
      <c r="Z21" s="364"/>
      <c r="AA21" s="364"/>
      <c r="AB21" s="364"/>
      <c r="AC21" s="364"/>
      <c r="AD21" s="364"/>
      <c r="AE21" s="364"/>
      <c r="AF21" s="364"/>
      <c r="AG21" s="962"/>
      <c r="AH21" s="962"/>
      <c r="AI21" s="962"/>
      <c r="AJ21" s="962"/>
      <c r="AK21" s="962"/>
    </row>
    <row r="22" spans="9:40">
      <c r="I22">
        <f t="shared" si="2"/>
        <v>9</v>
      </c>
      <c r="J22" s="87"/>
      <c r="K22" s="411" t="s">
        <v>1054</v>
      </c>
      <c r="L22" s="701">
        <f>+M14*L21</f>
        <v>0</v>
      </c>
      <c r="M22" s="701">
        <f>+L22</f>
        <v>0</v>
      </c>
      <c r="N22" s="701">
        <f>+M22</f>
        <v>0</v>
      </c>
      <c r="O22" s="32">
        <f t="shared" ref="O22:O35" si="3">O21+1</f>
        <v>3</v>
      </c>
      <c r="P22" s="63" t="s">
        <v>881</v>
      </c>
      <c r="Q22" s="708">
        <f>AB14</f>
        <v>0</v>
      </c>
      <c r="R22" s="739">
        <v>0</v>
      </c>
      <c r="S22" s="726">
        <v>0</v>
      </c>
      <c r="T22" s="708">
        <f>S22*Q22</f>
        <v>0</v>
      </c>
      <c r="U22" s="708">
        <f>Q22-T22</f>
        <v>0</v>
      </c>
      <c r="V22" s="708">
        <f>S22*R22</f>
        <v>0</v>
      </c>
      <c r="W22" s="708">
        <f>R22-V22</f>
        <v>0</v>
      </c>
      <c r="Y22" s="364"/>
      <c r="Z22" s="364"/>
      <c r="AA22" s="364"/>
      <c r="AB22" s="364"/>
      <c r="AC22" s="364"/>
      <c r="AD22" s="364"/>
      <c r="AE22" s="364"/>
      <c r="AF22" s="364"/>
      <c r="AG22" s="962"/>
      <c r="AH22" s="962"/>
      <c r="AI22" s="962"/>
      <c r="AJ22" s="962"/>
      <c r="AK22" s="962"/>
    </row>
    <row r="23" spans="9:40">
      <c r="I23">
        <f t="shared" si="2"/>
        <v>10</v>
      </c>
      <c r="J23"/>
      <c r="K23" s="144"/>
      <c r="L23" s="144"/>
      <c r="M23" s="32"/>
      <c r="N23" s="32"/>
      <c r="O23" s="32">
        <f t="shared" si="3"/>
        <v>4</v>
      </c>
      <c r="Q23" s="58"/>
      <c r="R23" s="463"/>
      <c r="S23" s="133"/>
      <c r="T23" s="58"/>
      <c r="U23" s="58"/>
      <c r="V23" s="58">
        <f>SUM(V20:V22)</f>
        <v>0</v>
      </c>
      <c r="W23" s="58">
        <f>SUM(W20:W22)</f>
        <v>0</v>
      </c>
      <c r="Y23" s="364"/>
      <c r="Z23" s="364"/>
      <c r="AA23" s="364"/>
      <c r="AB23" s="364"/>
      <c r="AC23" s="364"/>
      <c r="AD23" s="364"/>
      <c r="AE23" s="364"/>
      <c r="AF23" s="364"/>
      <c r="AG23" s="962"/>
      <c r="AH23" s="962"/>
      <c r="AI23" s="962"/>
      <c r="AJ23" s="962"/>
      <c r="AK23" s="962"/>
    </row>
    <row r="24" spans="9:40">
      <c r="I24">
        <f t="shared" si="2"/>
        <v>11</v>
      </c>
      <c r="J24"/>
      <c r="K24"/>
      <c r="L24"/>
      <c r="M24"/>
      <c r="N24"/>
      <c r="O24" s="32">
        <f t="shared" si="3"/>
        <v>5</v>
      </c>
      <c r="P24" s="32" t="s">
        <v>874</v>
      </c>
      <c r="Q24" s="58">
        <f>SUM(Q20:Q22)</f>
        <v>0</v>
      </c>
      <c r="R24" s="58">
        <f>SUM(R20:R22)</f>
        <v>0</v>
      </c>
      <c r="S24" s="133"/>
      <c r="T24" s="58">
        <f>SUM(T20:T22)</f>
        <v>0</v>
      </c>
      <c r="U24" s="58">
        <f>SUM(U20:U22)</f>
        <v>0</v>
      </c>
      <c r="V24" s="63"/>
      <c r="Y24" s="364"/>
      <c r="Z24" s="364"/>
      <c r="AA24" s="364"/>
      <c r="AB24" s="364"/>
      <c r="AC24" s="364"/>
      <c r="AD24" s="364"/>
      <c r="AE24" s="364"/>
      <c r="AF24" s="364"/>
      <c r="AH24" s="962"/>
      <c r="AI24" s="962"/>
      <c r="AJ24" s="962"/>
      <c r="AK24" s="962"/>
    </row>
    <row r="25" spans="9:40">
      <c r="I25">
        <f t="shared" si="2"/>
        <v>12</v>
      </c>
      <c r="J25" s="45" t="s">
        <v>1057</v>
      </c>
      <c r="N25" s="89">
        <f>U24</f>
        <v>0</v>
      </c>
      <c r="O25" s="32">
        <f t="shared" si="3"/>
        <v>6</v>
      </c>
      <c r="Q25" s="63"/>
      <c r="R25" s="709"/>
      <c r="S25" s="709"/>
      <c r="T25" s="63"/>
      <c r="U25" s="144"/>
      <c r="V25" s="63"/>
      <c r="Y25" s="364"/>
      <c r="Z25" s="364"/>
      <c r="AA25" s="364"/>
      <c r="AB25" s="364"/>
      <c r="AC25" s="364"/>
      <c r="AD25" s="364"/>
      <c r="AE25" s="364"/>
      <c r="AF25" s="364"/>
    </row>
    <row r="26" spans="9:40">
      <c r="I26">
        <f t="shared" si="2"/>
        <v>13</v>
      </c>
      <c r="J26" s="32"/>
      <c r="O26" s="32">
        <f t="shared" si="3"/>
        <v>7</v>
      </c>
      <c r="Q26" s="63"/>
      <c r="R26" s="144"/>
      <c r="S26" s="145"/>
      <c r="T26" s="709"/>
      <c r="U26" s="33"/>
      <c r="V26" s="63"/>
      <c r="Y26" s="364"/>
      <c r="Z26" s="364"/>
      <c r="AA26" s="364"/>
      <c r="AB26" s="364"/>
      <c r="AC26" s="364"/>
      <c r="AD26" s="364"/>
      <c r="AE26" s="364"/>
      <c r="AF26" s="364"/>
    </row>
    <row r="27" spans="9:40">
      <c r="I27">
        <f t="shared" si="2"/>
        <v>14</v>
      </c>
      <c r="J27" s="45" t="s">
        <v>863</v>
      </c>
      <c r="N27" s="808">
        <f>N25+N22</f>
        <v>0</v>
      </c>
      <c r="O27" s="32">
        <f t="shared" si="3"/>
        <v>8</v>
      </c>
      <c r="Q27" s="63"/>
      <c r="R27" s="63"/>
      <c r="S27" s="63"/>
      <c r="T27" s="63"/>
      <c r="U27" s="63"/>
      <c r="V27" s="63"/>
    </row>
    <row r="28" spans="9:40">
      <c r="I28">
        <f t="shared" si="2"/>
        <v>15</v>
      </c>
      <c r="J28" s="45" t="s">
        <v>864</v>
      </c>
      <c r="K28" s="70"/>
      <c r="N28" s="133"/>
      <c r="O28" s="32">
        <f t="shared" si="3"/>
        <v>9</v>
      </c>
      <c r="Q28" s="145" t="s">
        <v>1268</v>
      </c>
      <c r="R28" s="145"/>
      <c r="S28" s="855"/>
      <c r="T28" s="63"/>
      <c r="U28" s="63">
        <v>2021</v>
      </c>
      <c r="V28" s="63"/>
      <c r="W28" t="s">
        <v>1111</v>
      </c>
      <c r="Y28" t="s">
        <v>145</v>
      </c>
    </row>
    <row r="29" spans="9:40">
      <c r="I29">
        <f t="shared" si="2"/>
        <v>16</v>
      </c>
      <c r="J29" s="70" t="s">
        <v>719</v>
      </c>
      <c r="K29" s="70"/>
      <c r="N29" s="808">
        <f>-N27*(1+N28)</f>
        <v>0</v>
      </c>
      <c r="O29" s="32">
        <f t="shared" si="3"/>
        <v>10</v>
      </c>
      <c r="Q29" s="709"/>
      <c r="R29" s="63"/>
      <c r="S29" s="63"/>
      <c r="T29" s="63"/>
      <c r="U29" s="63"/>
      <c r="V29" s="903"/>
      <c r="W29" s="903"/>
    </row>
    <row r="30" spans="9:40">
      <c r="I30">
        <f t="shared" si="2"/>
        <v>17</v>
      </c>
      <c r="O30" s="32">
        <f t="shared" si="3"/>
        <v>11</v>
      </c>
      <c r="P30" s="628"/>
      <c r="Q30" s="855" t="s">
        <v>756</v>
      </c>
      <c r="R30" s="63"/>
      <c r="S30" s="63"/>
      <c r="T30" s="63"/>
      <c r="U30" s="63" t="s">
        <v>882</v>
      </c>
      <c r="V30" s="903"/>
      <c r="W30" s="903">
        <v>0</v>
      </c>
      <c r="Y30">
        <v>0</v>
      </c>
      <c r="AA30" s="63"/>
      <c r="AG30" s="856"/>
    </row>
    <row r="31" spans="9:40" ht="13.5" thickBot="1">
      <c r="I31">
        <f t="shared" si="2"/>
        <v>18</v>
      </c>
      <c r="K31" s="146" t="s">
        <v>588</v>
      </c>
      <c r="L31" s="32"/>
      <c r="M31" s="32"/>
      <c r="N31" s="808">
        <f>N29*'ROR-Model'!M2</f>
        <v>0</v>
      </c>
      <c r="O31" s="32">
        <f t="shared" si="3"/>
        <v>12</v>
      </c>
      <c r="P31" s="30"/>
      <c r="Q31" s="727" t="s">
        <v>757</v>
      </c>
      <c r="R31" s="727" t="s">
        <v>758</v>
      </c>
      <c r="S31" s="727" t="s">
        <v>145</v>
      </c>
      <c r="T31" s="63"/>
      <c r="U31" s="63" t="s">
        <v>772</v>
      </c>
      <c r="V31" s="63"/>
      <c r="AH31" s="856"/>
      <c r="AI31" s="856"/>
      <c r="AJ31" s="856"/>
      <c r="AK31" s="856"/>
    </row>
    <row r="32" spans="9:40" ht="14.25" thickTop="1" thickBot="1">
      <c r="I32">
        <f t="shared" si="2"/>
        <v>19</v>
      </c>
      <c r="K32" s="128" t="s">
        <v>865</v>
      </c>
      <c r="N32" s="972">
        <f>N29*'ROR-Model'!N2</f>
        <v>0</v>
      </c>
      <c r="O32" s="32">
        <f t="shared" si="3"/>
        <v>13</v>
      </c>
      <c r="P32" s="30" t="s">
        <v>882</v>
      </c>
      <c r="Q32" s="628">
        <v>0</v>
      </c>
      <c r="R32" s="628">
        <v>0</v>
      </c>
      <c r="S32" s="628">
        <f>Q32+R32</f>
        <v>0</v>
      </c>
      <c r="T32" s="63"/>
      <c r="U32" s="63" t="s">
        <v>759</v>
      </c>
      <c r="V32" s="63"/>
      <c r="W32" s="903">
        <v>0</v>
      </c>
      <c r="Y32">
        <v>0</v>
      </c>
    </row>
    <row r="33" spans="9:32">
      <c r="I33">
        <f t="shared" si="2"/>
        <v>20</v>
      </c>
      <c r="K33" s="63" t="s">
        <v>145</v>
      </c>
      <c r="N33" s="808">
        <f>SUM(N31:N32)</f>
        <v>0</v>
      </c>
      <c r="O33" s="32">
        <f t="shared" si="3"/>
        <v>14</v>
      </c>
      <c r="P33" s="63" t="s">
        <v>881</v>
      </c>
      <c r="Q33" s="63">
        <v>0</v>
      </c>
      <c r="R33" s="63">
        <v>0</v>
      </c>
      <c r="S33" s="63">
        <f>SUM(Q33:R33)</f>
        <v>0</v>
      </c>
      <c r="T33" s="903"/>
      <c r="U33" s="903"/>
      <c r="V33" s="63"/>
      <c r="Y33" s="415"/>
      <c r="Z33" s="415"/>
      <c r="AA33" s="415"/>
      <c r="AB33" s="415"/>
      <c r="AC33" s="415"/>
      <c r="AD33" s="415"/>
      <c r="AE33" s="415"/>
      <c r="AF33" s="415"/>
    </row>
    <row r="34" spans="9:32">
      <c r="O34" s="32">
        <f t="shared" si="3"/>
        <v>15</v>
      </c>
      <c r="P34" s="30" t="s">
        <v>759</v>
      </c>
      <c r="Q34" s="728">
        <f>SUM(Q32:Q33)</f>
        <v>0</v>
      </c>
      <c r="R34" s="728">
        <f>SUM(R32:R33)</f>
        <v>0</v>
      </c>
      <c r="S34" s="728">
        <f>SUM(S32:S33)</f>
        <v>0</v>
      </c>
      <c r="T34" s="903"/>
      <c r="U34" s="903" t="s">
        <v>1112</v>
      </c>
      <c r="V34" s="63"/>
      <c r="W34" s="81">
        <v>1</v>
      </c>
      <c r="Y34" s="369">
        <v>1</v>
      </c>
    </row>
    <row r="35" spans="9:32">
      <c r="J35"/>
      <c r="O35" s="32">
        <f t="shared" si="3"/>
        <v>16</v>
      </c>
      <c r="P35" s="30" t="s">
        <v>883</v>
      </c>
      <c r="Q35" s="148">
        <v>0</v>
      </c>
      <c r="R35" s="148">
        <v>0</v>
      </c>
      <c r="S35" s="148">
        <v>0</v>
      </c>
      <c r="T35" s="63"/>
      <c r="U35" s="63"/>
      <c r="V35" s="63"/>
    </row>
    <row r="36" spans="9:32">
      <c r="J36" s="31"/>
      <c r="K36"/>
      <c r="L36"/>
      <c r="M36"/>
      <c r="N36"/>
      <c r="O36" s="32"/>
      <c r="Q36" s="63"/>
      <c r="U36" s="63"/>
      <c r="V36" s="63"/>
    </row>
    <row r="37" spans="9:32">
      <c r="J37" s="32"/>
      <c r="K37" s="31"/>
      <c r="O37" s="32"/>
      <c r="Q37" s="63"/>
      <c r="S37" s="63"/>
      <c r="T37" s="63"/>
      <c r="U37" s="63"/>
    </row>
    <row r="38" spans="9:32">
      <c r="J38" s="32"/>
      <c r="K38" s="32"/>
      <c r="Q38" s="63"/>
      <c r="U38" s="63"/>
    </row>
    <row r="39" spans="9:32">
      <c r="K39" s="32"/>
      <c r="Q39" s="63"/>
      <c r="R39" s="63"/>
      <c r="S39" s="63"/>
      <c r="T39" s="63"/>
      <c r="U39" s="709"/>
    </row>
    <row r="40" spans="9:32">
      <c r="J40" s="32"/>
      <c r="K40" s="32"/>
      <c r="P40"/>
      <c r="R40" s="63"/>
      <c r="S40" s="63"/>
      <c r="T40" s="63"/>
      <c r="U40" s="63"/>
    </row>
    <row r="41" spans="9:32">
      <c r="P41"/>
      <c r="R41" s="63"/>
      <c r="S41" s="63"/>
      <c r="T41" s="63"/>
      <c r="U41" s="63"/>
    </row>
    <row r="42" spans="9:32">
      <c r="Q42" s="63"/>
      <c r="R42" s="63"/>
      <c r="S42" s="63"/>
      <c r="T42" s="63"/>
      <c r="U42" s="63"/>
    </row>
    <row r="43" spans="9:32">
      <c r="Q43" s="63"/>
      <c r="R43" s="63"/>
      <c r="S43" s="63"/>
      <c r="T43" s="63"/>
      <c r="U43" s="63"/>
    </row>
    <row r="44" spans="9:32">
      <c r="Q44" s="63"/>
      <c r="R44" s="63"/>
      <c r="S44" s="63"/>
      <c r="T44" s="63"/>
      <c r="U44" s="63"/>
    </row>
    <row r="45" spans="9:32">
      <c r="Q45" s="63"/>
      <c r="R45" s="63"/>
      <c r="S45" s="63"/>
      <c r="T45" s="63"/>
      <c r="U45" s="63"/>
    </row>
    <row r="46" spans="9:32">
      <c r="Q46" s="63"/>
      <c r="R46" s="63"/>
      <c r="S46" s="63"/>
      <c r="T46" s="63"/>
      <c r="U46" s="63"/>
    </row>
    <row r="47" spans="9:32">
      <c r="Q47" s="63"/>
      <c r="R47" s="63"/>
      <c r="S47" s="63"/>
      <c r="T47" s="63"/>
      <c r="U47" s="63"/>
    </row>
    <row r="48" spans="9:32">
      <c r="I48" s="84"/>
      <c r="Q48" s="63"/>
      <c r="R48" s="63"/>
      <c r="S48" s="63"/>
      <c r="T48" s="63"/>
      <c r="U48" s="63"/>
    </row>
    <row r="49" spans="9:21">
      <c r="I49" s="84"/>
      <c r="Q49" s="63"/>
      <c r="R49" s="63"/>
      <c r="S49" s="63"/>
      <c r="T49" s="63"/>
    </row>
    <row r="50" spans="9:21">
      <c r="I50" s="84"/>
      <c r="Q50" s="63"/>
      <c r="R50" s="63"/>
      <c r="S50" s="63"/>
      <c r="T50" s="63"/>
      <c r="U50" s="63"/>
    </row>
    <row r="51" spans="9:21">
      <c r="I51" s="84"/>
      <c r="J51" s="32"/>
      <c r="Q51" s="63"/>
      <c r="R51" s="63"/>
      <c r="S51" s="63"/>
      <c r="T51" s="63"/>
    </row>
    <row r="52" spans="9:21">
      <c r="I52" s="84"/>
      <c r="J52" s="32"/>
      <c r="Q52" s="63"/>
      <c r="R52" s="63"/>
      <c r="S52" s="63"/>
      <c r="T52" s="63"/>
    </row>
    <row r="53" spans="9:21">
      <c r="I53" s="84"/>
      <c r="J53" s="32"/>
      <c r="Q53" s="63"/>
      <c r="R53" s="63"/>
      <c r="S53" s="63"/>
      <c r="T53" s="63"/>
    </row>
    <row r="54" spans="9:21">
      <c r="I54" s="84"/>
      <c r="J54" s="32"/>
      <c r="Q54" s="63"/>
      <c r="R54" s="63"/>
      <c r="S54" s="63"/>
      <c r="T54" s="63"/>
      <c r="U54" s="30"/>
    </row>
    <row r="55" spans="9:21">
      <c r="I55" s="84"/>
      <c r="J55" s="87"/>
      <c r="Q55" s="63"/>
      <c r="R55" s="63"/>
      <c r="S55" s="63"/>
      <c r="T55" s="63"/>
    </row>
    <row r="56" spans="9:21">
      <c r="I56"/>
      <c r="J56" s="87"/>
    </row>
    <row r="57" spans="9:21">
      <c r="I57"/>
      <c r="J57" s="87"/>
    </row>
    <row r="58" spans="9:21">
      <c r="I58"/>
      <c r="J58" s="87"/>
    </row>
    <row r="59" spans="9:21">
      <c r="I59"/>
      <c r="J59" s="87"/>
    </row>
    <row r="60" spans="9:21">
      <c r="I60"/>
      <c r="J60" s="87"/>
    </row>
    <row r="61" spans="9:21">
      <c r="I61" s="58"/>
      <c r="J61" s="87"/>
      <c r="S61" s="157"/>
    </row>
    <row r="62" spans="9:21">
      <c r="I62" s="58"/>
      <c r="J62" s="87"/>
    </row>
    <row r="63" spans="9:21" ht="12.75" customHeight="1">
      <c r="I63" s="58"/>
      <c r="J63" s="87"/>
    </row>
    <row r="64" spans="9:21">
      <c r="I64" s="84"/>
      <c r="J64" s="87"/>
    </row>
    <row r="65" spans="9:21">
      <c r="I65" s="84"/>
      <c r="J65" s="87"/>
    </row>
    <row r="66" spans="9:21">
      <c r="I66" s="84"/>
      <c r="J66" s="87"/>
    </row>
    <row r="67" spans="9:21">
      <c r="I67" s="84"/>
      <c r="J67" s="87"/>
    </row>
    <row r="68" spans="9:21">
      <c r="I68" s="84"/>
      <c r="J68"/>
      <c r="Q68" s="63"/>
      <c r="R68" s="63"/>
    </row>
    <row r="69" spans="9:21">
      <c r="I69" s="84"/>
      <c r="Q69" s="63"/>
      <c r="R69" s="903"/>
      <c r="S69" s="903"/>
    </row>
    <row r="70" spans="9:21">
      <c r="I70" s="84"/>
      <c r="Q70" s="63"/>
      <c r="R70" s="903"/>
      <c r="S70" s="903"/>
    </row>
    <row r="71" spans="9:21">
      <c r="I71" s="84"/>
      <c r="Q71" s="63"/>
      <c r="R71" s="63"/>
    </row>
    <row r="72" spans="9:21">
      <c r="I72" s="84"/>
      <c r="Q72" s="63"/>
      <c r="R72" s="63"/>
      <c r="S72" s="903"/>
    </row>
    <row r="73" spans="9:21">
      <c r="I73" s="84"/>
      <c r="Q73" s="903"/>
      <c r="R73" s="63"/>
      <c r="U73" s="415"/>
    </row>
    <row r="74" spans="9:21">
      <c r="I74" s="84"/>
      <c r="Q74" s="903"/>
      <c r="R74" s="63"/>
      <c r="S74" s="81"/>
      <c r="U74" s="369"/>
    </row>
    <row r="75" spans="9:21">
      <c r="I75" s="84"/>
    </row>
    <row r="76" spans="9:21">
      <c r="I76" s="84"/>
    </row>
    <row r="77" spans="9:21">
      <c r="I77" s="84"/>
    </row>
    <row r="78" spans="9:21">
      <c r="I78" s="84"/>
    </row>
    <row r="79" spans="9:21">
      <c r="I79" s="84"/>
    </row>
    <row r="80" spans="9:21">
      <c r="I80"/>
    </row>
    <row r="86" spans="10:16">
      <c r="O86"/>
    </row>
    <row r="87" spans="10:16">
      <c r="O87" s="30"/>
    </row>
    <row r="88" spans="10:16">
      <c r="O88" s="32"/>
    </row>
    <row r="89" spans="10:16">
      <c r="O89" s="89"/>
    </row>
    <row r="90" spans="10:16">
      <c r="O90" s="32"/>
    </row>
    <row r="91" spans="10:16">
      <c r="O91"/>
    </row>
    <row r="92" spans="10:16">
      <c r="O92" s="30"/>
    </row>
    <row r="93" spans="10:16">
      <c r="O93" s="32"/>
    </row>
    <row r="94" spans="10:16">
      <c r="O94" s="89"/>
    </row>
    <row r="95" spans="10:16">
      <c r="J95" s="84"/>
      <c r="L95"/>
      <c r="M95"/>
      <c r="N95"/>
      <c r="O95" s="32"/>
    </row>
    <row r="96" spans="10:16">
      <c r="L96"/>
      <c r="M96"/>
      <c r="N96"/>
      <c r="O96"/>
      <c r="P96"/>
    </row>
    <row r="97" spans="10:16">
      <c r="J97" s="84"/>
      <c r="L97"/>
      <c r="M97"/>
      <c r="N97"/>
      <c r="O97" s="30"/>
      <c r="P97"/>
    </row>
    <row r="98" spans="10:16">
      <c r="J98" s="84"/>
      <c r="K98"/>
      <c r="L98"/>
      <c r="M98"/>
      <c r="N98"/>
      <c r="O98" s="32"/>
      <c r="P98"/>
    </row>
    <row r="99" spans="10:16">
      <c r="K99"/>
      <c r="L99"/>
      <c r="M99"/>
      <c r="N99"/>
      <c r="O99" s="89"/>
      <c r="P99"/>
    </row>
    <row r="100" spans="10:16">
      <c r="K100"/>
      <c r="L100"/>
      <c r="M100"/>
      <c r="N100"/>
      <c r="O100"/>
      <c r="P100"/>
    </row>
    <row r="101" spans="10:16">
      <c r="K101"/>
      <c r="L101"/>
      <c r="M101"/>
      <c r="N101"/>
      <c r="O101" s="74"/>
      <c r="P101"/>
    </row>
    <row r="102" spans="10:16">
      <c r="K102"/>
      <c r="L102"/>
      <c r="M102"/>
      <c r="N102"/>
      <c r="O102" s="74"/>
      <c r="P102"/>
    </row>
    <row r="103" spans="10:16">
      <c r="K103"/>
      <c r="L103"/>
      <c r="M103"/>
      <c r="N103"/>
      <c r="O103"/>
      <c r="P103"/>
    </row>
    <row r="104" spans="10:16">
      <c r="K104"/>
      <c r="L104"/>
      <c r="M104"/>
      <c r="N104"/>
      <c r="O104"/>
      <c r="P104"/>
    </row>
    <row r="105" spans="10:16">
      <c r="K105"/>
      <c r="L105"/>
      <c r="M105"/>
      <c r="N105"/>
      <c r="O105"/>
      <c r="P105"/>
    </row>
    <row r="106" spans="10:16">
      <c r="K106"/>
      <c r="L106"/>
      <c r="M106"/>
      <c r="N106"/>
      <c r="P106"/>
    </row>
    <row r="107" spans="10:16">
      <c r="K107"/>
      <c r="L107"/>
      <c r="M107"/>
      <c r="N107"/>
      <c r="P107"/>
    </row>
    <row r="108" spans="10:16">
      <c r="K108"/>
      <c r="L108"/>
      <c r="M108"/>
      <c r="N108"/>
      <c r="O108"/>
      <c r="P108"/>
    </row>
    <row r="109" spans="10:16">
      <c r="K109"/>
      <c r="L109"/>
      <c r="M109"/>
      <c r="N109"/>
      <c r="O109"/>
      <c r="P109"/>
    </row>
    <row r="110" spans="10:16">
      <c r="K110"/>
      <c r="L110"/>
      <c r="M110"/>
      <c r="N110"/>
      <c r="O110"/>
      <c r="P110"/>
    </row>
    <row r="111" spans="10:16">
      <c r="K111"/>
      <c r="L111"/>
      <c r="M111"/>
      <c r="N111"/>
      <c r="O111"/>
      <c r="P111"/>
    </row>
    <row r="112" spans="10:16">
      <c r="K112"/>
      <c r="L112"/>
      <c r="M112"/>
      <c r="N112"/>
      <c r="O112"/>
      <c r="P112"/>
    </row>
    <row r="113" spans="11:16">
      <c r="K113"/>
      <c r="L113"/>
      <c r="M113"/>
      <c r="N113"/>
      <c r="O113"/>
      <c r="P113"/>
    </row>
    <row r="114" spans="11:16">
      <c r="K114"/>
      <c r="L114"/>
      <c r="M114"/>
      <c r="N114"/>
      <c r="O114"/>
      <c r="P114"/>
    </row>
    <row r="115" spans="11:16">
      <c r="K115"/>
      <c r="L115"/>
      <c r="M115"/>
      <c r="N115"/>
      <c r="O115"/>
      <c r="P115"/>
    </row>
    <row r="116" spans="11:16">
      <c r="K116"/>
      <c r="L116"/>
      <c r="M116"/>
      <c r="N116"/>
      <c r="O116"/>
      <c r="P116"/>
    </row>
    <row r="117" spans="11:16">
      <c r="K117"/>
      <c r="L117"/>
      <c r="M117"/>
      <c r="N117"/>
      <c r="O117"/>
      <c r="P117"/>
    </row>
    <row r="118" spans="11:16">
      <c r="K118"/>
      <c r="L118"/>
      <c r="M118"/>
      <c r="N118"/>
      <c r="O118"/>
      <c r="P118"/>
    </row>
    <row r="119" spans="11:16">
      <c r="K119"/>
      <c r="L119"/>
      <c r="M119"/>
      <c r="N119"/>
      <c r="O119"/>
      <c r="P119"/>
    </row>
    <row r="120" spans="11:16">
      <c r="K120"/>
      <c r="L120"/>
      <c r="M120"/>
      <c r="N120"/>
      <c r="O120"/>
      <c r="P120"/>
    </row>
    <row r="121" spans="11:16">
      <c r="K121"/>
      <c r="L121"/>
      <c r="M121"/>
      <c r="N121"/>
      <c r="O121"/>
      <c r="P121"/>
    </row>
    <row r="122" spans="11:16">
      <c r="K122"/>
      <c r="L122"/>
      <c r="M122"/>
      <c r="N122"/>
      <c r="O122"/>
      <c r="P122"/>
    </row>
    <row r="123" spans="11:16">
      <c r="K123"/>
      <c r="L123"/>
      <c r="M123"/>
      <c r="N123"/>
      <c r="O123"/>
      <c r="P123"/>
    </row>
    <row r="124" spans="11:16">
      <c r="K124"/>
      <c r="L124"/>
      <c r="M124"/>
      <c r="N124"/>
      <c r="O124"/>
      <c r="P124"/>
    </row>
    <row r="125" spans="11:16">
      <c r="K125"/>
      <c r="L125"/>
      <c r="M125"/>
      <c r="N125"/>
      <c r="O125"/>
      <c r="P125"/>
    </row>
    <row r="126" spans="11:16">
      <c r="K126"/>
      <c r="L126"/>
      <c r="M126"/>
      <c r="N126"/>
      <c r="O126"/>
      <c r="P126"/>
    </row>
    <row r="127" spans="11:16">
      <c r="K127"/>
      <c r="L127"/>
      <c r="M127"/>
      <c r="N127"/>
      <c r="O127"/>
      <c r="P127"/>
    </row>
    <row r="128" spans="11:16">
      <c r="K128"/>
      <c r="L128"/>
      <c r="M128"/>
      <c r="N128"/>
      <c r="O128"/>
      <c r="P128"/>
    </row>
    <row r="129" spans="11:15">
      <c r="K129"/>
      <c r="L129"/>
      <c r="M129"/>
      <c r="N129"/>
      <c r="O129"/>
    </row>
    <row r="130" spans="11:15">
      <c r="K130"/>
      <c r="O130"/>
    </row>
    <row r="131" spans="11:15">
      <c r="K131"/>
      <c r="O131"/>
    </row>
    <row r="132" spans="11:15">
      <c r="K132"/>
      <c r="O132"/>
    </row>
    <row r="133" spans="11:15">
      <c r="O133"/>
    </row>
    <row r="134" spans="11:15">
      <c r="O134"/>
    </row>
    <row r="135" spans="11:15">
      <c r="O135"/>
    </row>
    <row r="136" spans="11:15">
      <c r="O136"/>
    </row>
    <row r="137" spans="11:15">
      <c r="O137"/>
    </row>
    <row r="138" spans="11:15">
      <c r="O138"/>
    </row>
    <row r="139" spans="11:15">
      <c r="O139"/>
    </row>
  </sheetData>
  <mergeCells count="3">
    <mergeCell ref="K8:N8"/>
    <mergeCell ref="K9:N9"/>
    <mergeCell ref="V17:W17"/>
  </mergeCells>
  <dataValidations count="2">
    <dataValidation type="list" showInputMessage="1" showErrorMessage="1" sqref="D7" xr:uid="{00000000-0002-0000-1300-000000000000}">
      <formula1>"Sporting Events Position 1,Sporting Events Position 2,Sporting Events Position 3,Sporting Events Position 4,QGC Sporting Events Dec 08,QGC Sporting Events June 08,QGC Sporting Events Dec 09"</formula1>
    </dataValidation>
    <dataValidation type="list" showInputMessage="1" showErrorMessage="1" sqref="E7" xr:uid="{00000000-0002-0000-1300-000001000000}">
      <formula1>"Sporting Events QGC,Sporting Events DPU,Sporting Events CCS,Sporting Events FINAL ORDER,Sporting Events HISTORICAL,Sporting Events Dec 08,Sporting Events Jun 09"</formula1>
    </dataValidation>
  </dataValidations>
  <pageMargins left="0.7" right="0.7" top="0.75" bottom="0.75" header="0.3" footer="0.3"/>
  <pageSetup scale="75" orientation="portrait" r:id="rId1"/>
  <colBreaks count="2" manualBreakCount="2">
    <brk id="8" max="34" man="1"/>
    <brk id="14" max="34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B1481-CF1E-40ED-93E9-40CE7E269273}">
  <sheetPr>
    <tabColor rgb="FF92D050"/>
  </sheetPr>
  <dimension ref="A1:AG172"/>
  <sheetViews>
    <sheetView topLeftCell="C66" workbookViewId="0">
      <selection activeCell="F29" sqref="F29"/>
    </sheetView>
  </sheetViews>
  <sheetFormatPr defaultRowHeight="12.75"/>
  <cols>
    <col min="1" max="1" width="6.5703125" customWidth="1"/>
    <col min="2" max="2" width="3.7109375" customWidth="1"/>
    <col min="3" max="3" width="6.7109375" customWidth="1"/>
    <col min="4" max="4" width="39.140625" customWidth="1"/>
    <col min="5" max="6" width="15.140625" customWidth="1"/>
    <col min="7" max="7" width="15.42578125" hidden="1" customWidth="1"/>
    <col min="8" max="8" width="14.140625" hidden="1" customWidth="1"/>
    <col min="9" max="9" width="15.42578125" hidden="1" customWidth="1"/>
    <col min="10" max="10" width="16.28515625" customWidth="1"/>
    <col min="11" max="11" width="15.85546875" hidden="1" customWidth="1"/>
    <col min="12" max="12" width="14.42578125" hidden="1" customWidth="1"/>
    <col min="13" max="13" width="14" hidden="1" customWidth="1"/>
    <col min="14" max="14" width="15.140625" hidden="1" customWidth="1"/>
    <col min="15" max="16" width="13.42578125" style="1098" customWidth="1"/>
    <col min="17" max="17" width="13.42578125" customWidth="1"/>
    <col min="18" max="18" width="12.28515625" hidden="1" customWidth="1"/>
    <col min="19" max="19" width="10.28515625" hidden="1" customWidth="1"/>
    <col min="20" max="20" width="13.42578125" hidden="1" customWidth="1"/>
    <col min="21" max="21" width="14.85546875" customWidth="1"/>
    <col min="22" max="22" width="10.7109375" hidden="1" customWidth="1"/>
    <col min="23" max="23" width="13.42578125" hidden="1" customWidth="1"/>
    <col min="24" max="24" width="13.42578125" customWidth="1"/>
    <col min="25" max="25" width="13.5703125" style="1098" customWidth="1"/>
    <col min="26" max="26" width="11.7109375" style="1098" customWidth="1"/>
    <col min="27" max="27" width="16" customWidth="1"/>
    <col min="28" max="28" width="13.28515625" hidden="1" customWidth="1"/>
    <col min="29" max="29" width="10.42578125" hidden="1" customWidth="1"/>
    <col min="30" max="30" width="13.42578125" hidden="1" customWidth="1"/>
    <col min="31" max="31" width="14" bestFit="1" customWidth="1"/>
    <col min="32" max="32" width="10.7109375" hidden="1" customWidth="1"/>
    <col min="33" max="33" width="13.42578125" hidden="1" customWidth="1"/>
  </cols>
  <sheetData>
    <row r="1" spans="1:33">
      <c r="A1" s="12" t="str">
        <f>'Control Panel'!$B$1</f>
        <v>Dominion Energy</v>
      </c>
    </row>
    <row r="2" spans="1:33">
      <c r="A2" s="12" t="str">
        <f>'Control Panel'!$B$2</f>
        <v>Utah - June 2023 Adjusted Avg Results</v>
      </c>
      <c r="E2" s="300"/>
      <c r="F2" s="15"/>
      <c r="G2" s="15"/>
      <c r="H2" s="15"/>
      <c r="I2" s="300"/>
      <c r="J2" s="15"/>
      <c r="K2" s="15"/>
      <c r="L2" s="15"/>
      <c r="N2" s="15"/>
    </row>
    <row r="3" spans="1:33" s="12" customFormat="1" ht="16.5" thickBot="1">
      <c r="A3" s="12" t="str">
        <f>'Control Panel'!$B$3</f>
        <v>12 Months Ended : Jun-2023</v>
      </c>
      <c r="F3" s="12" t="str">
        <f>+'Control Panel'!$B$3</f>
        <v>12 Months Ended : Jun-2023</v>
      </c>
      <c r="O3" s="1099"/>
      <c r="P3" s="1100"/>
      <c r="Q3" s="12" t="s">
        <v>1497</v>
      </c>
      <c r="Y3" s="1100"/>
      <c r="Z3" s="1100"/>
      <c r="AA3" s="12" t="s">
        <v>1498</v>
      </c>
    </row>
    <row r="4" spans="1:33" ht="16.5" thickBot="1">
      <c r="A4" s="117"/>
      <c r="B4" s="117"/>
      <c r="C4" s="117"/>
      <c r="D4" s="117"/>
      <c r="E4" s="382" t="str">
        <f>IF((SUM(Report!F13:H74)-SUM(Report!I13:I74))&lt;1,"0","ERROR")</f>
        <v>0</v>
      </c>
      <c r="F4" s="4"/>
      <c r="G4" s="4"/>
      <c r="H4" s="14"/>
      <c r="I4" s="16"/>
      <c r="J4" s="16"/>
      <c r="K4" s="16"/>
      <c r="L4" s="16"/>
      <c r="N4" s="16"/>
      <c r="O4" s="1099"/>
      <c r="Q4" s="1"/>
      <c r="R4" s="1"/>
      <c r="S4" s="1"/>
      <c r="T4" s="1"/>
      <c r="U4" s="1"/>
      <c r="V4" s="1"/>
      <c r="W4" s="1"/>
      <c r="X4" s="1"/>
      <c r="AA4" s="1"/>
      <c r="AB4" s="1"/>
      <c r="AC4" s="1"/>
      <c r="AD4" s="1"/>
      <c r="AE4" s="1"/>
      <c r="AF4" s="1"/>
      <c r="AG4" s="1"/>
    </row>
    <row r="5" spans="1:33" ht="15.75">
      <c r="B5" s="1103" t="s">
        <v>380</v>
      </c>
      <c r="C5" s="1103"/>
      <c r="D5" s="1103"/>
      <c r="E5" s="17"/>
      <c r="F5" s="17" t="s">
        <v>43</v>
      </c>
      <c r="G5" s="17" t="s">
        <v>44</v>
      </c>
      <c r="H5" s="17" t="s">
        <v>632</v>
      </c>
      <c r="I5" s="17" t="s">
        <v>633</v>
      </c>
      <c r="J5" s="17" t="s">
        <v>730</v>
      </c>
      <c r="K5" s="17" t="s">
        <v>710</v>
      </c>
      <c r="L5" s="6" t="s">
        <v>804</v>
      </c>
      <c r="N5" s="17"/>
      <c r="O5" s="1099"/>
      <c r="Q5" s="1" t="s">
        <v>43</v>
      </c>
      <c r="R5" s="1" t="s">
        <v>44</v>
      </c>
      <c r="S5" s="1" t="s">
        <v>632</v>
      </c>
      <c r="T5" s="1" t="s">
        <v>633</v>
      </c>
      <c r="U5" s="1" t="s">
        <v>730</v>
      </c>
      <c r="V5" s="1" t="s">
        <v>710</v>
      </c>
      <c r="W5" s="1" t="s">
        <v>804</v>
      </c>
      <c r="X5" s="1"/>
      <c r="AA5" s="1" t="s">
        <v>43</v>
      </c>
      <c r="AB5" s="1" t="s">
        <v>44</v>
      </c>
      <c r="AC5" s="1" t="s">
        <v>632</v>
      </c>
      <c r="AD5" s="1" t="s">
        <v>633</v>
      </c>
      <c r="AE5" s="1" t="s">
        <v>730</v>
      </c>
      <c r="AF5" s="1" t="s">
        <v>710</v>
      </c>
      <c r="AG5" s="1" t="s">
        <v>804</v>
      </c>
    </row>
    <row r="6" spans="1:33">
      <c r="A6" s="12"/>
      <c r="B6" s="13"/>
      <c r="C6" s="13"/>
      <c r="D6" s="13"/>
      <c r="E6" s="4"/>
      <c r="F6" s="4" t="str">
        <f>+'ROR-Model'!F7</f>
        <v>Historical</v>
      </c>
      <c r="G6" s="4"/>
      <c r="H6" s="16" t="str">
        <f>+'ROR-Model'!H7</f>
        <v>Imputed</v>
      </c>
      <c r="I6" s="16" t="str">
        <f>+'ROR-Model'!I7</f>
        <v>Adjusted</v>
      </c>
      <c r="J6" s="4" t="str">
        <f>+'ROR-Model'!W9</f>
        <v>Utah</v>
      </c>
      <c r="K6" s="4"/>
      <c r="L6" s="4" t="str">
        <f>+J6</f>
        <v>Utah</v>
      </c>
      <c r="M6" s="16"/>
      <c r="N6" s="16"/>
      <c r="Q6" s="1" t="s">
        <v>773</v>
      </c>
      <c r="R6" s="1"/>
      <c r="S6" s="1" t="s">
        <v>38</v>
      </c>
      <c r="T6" s="1" t="s">
        <v>41</v>
      </c>
      <c r="U6" s="1" t="s">
        <v>12</v>
      </c>
      <c r="V6" s="1"/>
      <c r="W6" s="1" t="s">
        <v>12</v>
      </c>
      <c r="X6" s="1"/>
      <c r="AA6" s="1" t="s">
        <v>773</v>
      </c>
      <c r="AB6" s="1"/>
      <c r="AC6" s="1" t="s">
        <v>38</v>
      </c>
      <c r="AD6" s="1" t="s">
        <v>41</v>
      </c>
      <c r="AE6" s="1" t="s">
        <v>12</v>
      </c>
      <c r="AF6" s="1"/>
      <c r="AG6" s="1" t="s">
        <v>12</v>
      </c>
    </row>
    <row r="7" spans="1:33" ht="24">
      <c r="A7" s="12"/>
      <c r="B7" s="13"/>
      <c r="C7" s="13"/>
      <c r="D7" s="13"/>
      <c r="E7" s="590" t="s">
        <v>814</v>
      </c>
      <c r="F7" s="4" t="str">
        <f>+'ROR-Model'!F8</f>
        <v>12 Months</v>
      </c>
      <c r="G7" s="4" t="s">
        <v>37</v>
      </c>
      <c r="H7" s="16" t="str">
        <f>+'ROR-Model'!H8</f>
        <v>Tax</v>
      </c>
      <c r="I7" s="16" t="str">
        <f>+'ROR-Model'!I8</f>
        <v>System</v>
      </c>
      <c r="J7" s="4" t="s">
        <v>45</v>
      </c>
      <c r="K7" s="4"/>
      <c r="L7" s="4" t="s">
        <v>45</v>
      </c>
      <c r="M7" s="590" t="s">
        <v>814</v>
      </c>
      <c r="N7" s="16"/>
      <c r="Q7" s="1" t="s">
        <v>774</v>
      </c>
      <c r="R7" s="1" t="s">
        <v>37</v>
      </c>
      <c r="S7" s="1" t="s">
        <v>39</v>
      </c>
      <c r="T7" s="1" t="s">
        <v>42</v>
      </c>
      <c r="U7" s="1" t="s">
        <v>45</v>
      </c>
      <c r="V7" s="1"/>
      <c r="W7" s="1" t="s">
        <v>45</v>
      </c>
      <c r="X7" s="1"/>
      <c r="AA7" s="1" t="s">
        <v>774</v>
      </c>
      <c r="AB7" s="1" t="s">
        <v>37</v>
      </c>
      <c r="AC7" s="1" t="s">
        <v>39</v>
      </c>
      <c r="AD7" s="1" t="s">
        <v>42</v>
      </c>
      <c r="AE7" s="1" t="s">
        <v>45</v>
      </c>
      <c r="AF7" s="1"/>
      <c r="AG7" s="1" t="s">
        <v>45</v>
      </c>
    </row>
    <row r="8" spans="1:33" ht="13.5" thickBot="1">
      <c r="A8" s="18"/>
      <c r="B8" s="1104" t="s">
        <v>776</v>
      </c>
      <c r="C8" s="1104"/>
      <c r="D8" s="1104"/>
      <c r="E8" s="282"/>
      <c r="F8" s="282">
        <f>+'ROR-Model'!F9</f>
        <v>45107</v>
      </c>
      <c r="G8" s="20" t="s">
        <v>145</v>
      </c>
      <c r="H8" s="20" t="str">
        <f>+'ROR-Model'!H9</f>
        <v>Adjustment</v>
      </c>
      <c r="I8" s="20" t="str">
        <f>+'ROR-Model'!I9</f>
        <v>Total</v>
      </c>
      <c r="J8" s="19" t="s">
        <v>47</v>
      </c>
      <c r="K8" s="19" t="s">
        <v>46</v>
      </c>
      <c r="L8" s="19" t="s">
        <v>145</v>
      </c>
      <c r="M8" s="20"/>
      <c r="N8" s="20"/>
      <c r="Q8" s="73">
        <v>44925</v>
      </c>
      <c r="R8" s="73" t="s">
        <v>145</v>
      </c>
      <c r="S8" s="73" t="s">
        <v>40</v>
      </c>
      <c r="T8" s="73" t="s">
        <v>145</v>
      </c>
      <c r="U8" s="1" t="s">
        <v>47</v>
      </c>
      <c r="V8" s="1" t="s">
        <v>46</v>
      </c>
      <c r="W8" s="1" t="s">
        <v>145</v>
      </c>
      <c r="X8" s="1"/>
      <c r="AA8" s="73">
        <v>44742</v>
      </c>
      <c r="AB8" s="73" t="s">
        <v>145</v>
      </c>
      <c r="AC8" s="73" t="s">
        <v>40</v>
      </c>
      <c r="AD8" s="73" t="s">
        <v>145</v>
      </c>
      <c r="AE8" s="1" t="s">
        <v>47</v>
      </c>
      <c r="AF8" s="1" t="s">
        <v>46</v>
      </c>
      <c r="AG8" s="1" t="s">
        <v>145</v>
      </c>
    </row>
    <row r="9" spans="1:33">
      <c r="A9" s="18"/>
      <c r="B9" s="4"/>
      <c r="C9" s="4"/>
      <c r="D9" s="4"/>
      <c r="E9" s="52"/>
      <c r="F9" s="52"/>
      <c r="G9" s="52"/>
      <c r="H9" s="52"/>
      <c r="I9" s="52"/>
      <c r="J9" s="4"/>
      <c r="K9" s="4"/>
      <c r="L9" s="4"/>
      <c r="M9" s="4"/>
      <c r="N9" s="52"/>
      <c r="Q9" s="73"/>
      <c r="R9" s="73"/>
      <c r="S9" s="73"/>
      <c r="T9" s="73"/>
      <c r="U9" s="1"/>
      <c r="V9" s="1"/>
      <c r="W9" s="1"/>
      <c r="X9" s="1"/>
      <c r="AA9" s="73"/>
      <c r="AB9" s="73"/>
      <c r="AC9" s="73"/>
      <c r="AD9" s="73"/>
      <c r="AE9" s="1"/>
      <c r="AF9" s="1"/>
      <c r="AG9" s="1"/>
    </row>
    <row r="10" spans="1:33">
      <c r="A10" s="18">
        <v>1</v>
      </c>
      <c r="B10" s="26" t="s">
        <v>443</v>
      </c>
      <c r="C10" s="17"/>
      <c r="D10" s="17"/>
      <c r="E10" s="92"/>
      <c r="F10" s="92"/>
      <c r="G10" s="1"/>
      <c r="I10" s="92"/>
      <c r="J10" s="92"/>
      <c r="L10" s="15"/>
      <c r="M10" s="17"/>
      <c r="N10" s="92"/>
      <c r="Q10" s="1"/>
      <c r="R10" s="1"/>
      <c r="T10" s="1"/>
      <c r="U10" s="1"/>
      <c r="W10" s="1"/>
      <c r="X10" s="1"/>
      <c r="AA10" s="1"/>
      <c r="AB10" s="1"/>
      <c r="AD10" s="1"/>
      <c r="AE10" s="1"/>
      <c r="AG10" s="1"/>
    </row>
    <row r="11" spans="1:33">
      <c r="A11" s="18"/>
      <c r="B11" s="16"/>
      <c r="C11" s="16"/>
      <c r="D11" s="17"/>
      <c r="E11" s="16"/>
      <c r="F11" s="16"/>
      <c r="G11" s="16"/>
      <c r="H11" s="16"/>
      <c r="I11" s="16"/>
      <c r="J11" s="15"/>
      <c r="K11" s="15"/>
      <c r="L11" s="15"/>
      <c r="M11" s="17"/>
      <c r="N11" s="16"/>
      <c r="O11" s="1101"/>
      <c r="Q11" s="1"/>
      <c r="R11" s="1"/>
      <c r="S11" s="1"/>
      <c r="T11" s="1"/>
      <c r="U11" s="1"/>
      <c r="V11" s="1"/>
      <c r="W11" s="1"/>
      <c r="X11" s="1"/>
      <c r="AA11" s="1"/>
      <c r="AB11" s="1"/>
      <c r="AC11" s="1"/>
      <c r="AD11" s="1"/>
      <c r="AE11" s="1"/>
      <c r="AF11" s="1"/>
      <c r="AG11" s="1"/>
    </row>
    <row r="12" spans="1:33">
      <c r="A12" s="18">
        <f>+A10+1</f>
        <v>2</v>
      </c>
      <c r="B12" s="13" t="s">
        <v>157</v>
      </c>
      <c r="C12" s="15"/>
      <c r="D12" s="15"/>
      <c r="E12" s="300"/>
      <c r="F12" s="15"/>
      <c r="G12" s="15"/>
      <c r="H12" s="15"/>
      <c r="I12" s="15"/>
      <c r="J12" s="15"/>
      <c r="K12" s="7"/>
      <c r="L12" s="15"/>
      <c r="M12" s="15"/>
      <c r="N12" s="15"/>
      <c r="Q12" s="1"/>
      <c r="R12" s="1"/>
      <c r="S12" s="1"/>
      <c r="T12" s="1"/>
      <c r="U12" s="1"/>
      <c r="V12" s="1"/>
      <c r="W12" s="1"/>
      <c r="X12" s="1"/>
      <c r="AA12" s="1"/>
      <c r="AB12" s="1"/>
      <c r="AC12" s="1"/>
      <c r="AD12" s="1"/>
      <c r="AE12" s="1"/>
      <c r="AF12" s="1"/>
      <c r="AG12" s="1"/>
    </row>
    <row r="13" spans="1:33">
      <c r="A13" s="18">
        <f t="shared" ref="A13:A18" si="0">+A12+1</f>
        <v>3</v>
      </c>
      <c r="B13" s="13"/>
      <c r="C13" s="15"/>
      <c r="D13" s="15" t="s">
        <v>444</v>
      </c>
      <c r="E13" s="468">
        <f t="shared" ref="E13:E18" si="1">+F13+G13+H13-I13</f>
        <v>0</v>
      </c>
      <c r="F13" s="22">
        <f>+'ROR-Model'!F363+'ROR-Model'!F365</f>
        <v>497644985.09241474</v>
      </c>
      <c r="G13" s="22">
        <f>+'ROR-Model'!G363+'ROR-Model'!G365</f>
        <v>-26231775.859999996</v>
      </c>
      <c r="H13" s="21">
        <f>+'ROR-Model'!H363+'ROR-Model'!H365</f>
        <v>0</v>
      </c>
      <c r="I13" s="21">
        <f>+'ROR-Model'!I363+'ROR-Model'!I365</f>
        <v>471413209.23241472</v>
      </c>
      <c r="J13" s="15">
        <f>'ROR-Model'!W368</f>
        <v>457899339.7357924</v>
      </c>
      <c r="K13" s="170">
        <f>+K44*Taxes!L29</f>
        <v>7100691.4356456865</v>
      </c>
      <c r="L13" s="729">
        <f>SUM(J13:K13)</f>
        <v>465000031.1714381</v>
      </c>
      <c r="M13" s="15">
        <f>+N13-I13</f>
        <v>0</v>
      </c>
      <c r="N13" s="21">
        <f>SUM(F13:H13)</f>
        <v>471413209.23241472</v>
      </c>
      <c r="O13" s="1101">
        <f>J13-U13</f>
        <v>38902942.354571402</v>
      </c>
      <c r="P13" s="1102">
        <f>O13/W13</f>
        <v>8.987493304634897E-2</v>
      </c>
      <c r="Q13" s="1">
        <v>462307065.50910085</v>
      </c>
      <c r="R13" s="1">
        <v>-29804769.810000002</v>
      </c>
      <c r="S13" s="1">
        <v>0</v>
      </c>
      <c r="T13" s="1">
        <v>432502295.69910079</v>
      </c>
      <c r="U13" s="1">
        <v>418996397.381221</v>
      </c>
      <c r="V13" s="1">
        <v>13860029.1655332</v>
      </c>
      <c r="W13" s="1">
        <v>432856426.54675418</v>
      </c>
      <c r="X13" s="1">
        <f>U13*1.02</f>
        <v>427376325.32884544</v>
      </c>
      <c r="Y13" s="1101">
        <f>J13-AE13</f>
        <v>47617051.473494649</v>
      </c>
      <c r="Z13" s="1102">
        <f>Y13/AE13</f>
        <v>0.11605924222361891</v>
      </c>
      <c r="AA13" s="1">
        <v>454366733.5990169</v>
      </c>
      <c r="AB13" s="1">
        <v>-30240311.57</v>
      </c>
      <c r="AC13" s="1">
        <v>0</v>
      </c>
      <c r="AD13" s="1">
        <v>424126422.02901685</v>
      </c>
      <c r="AE13" s="1">
        <v>410282288.26229775</v>
      </c>
      <c r="AF13" s="1">
        <v>11121561.655670052</v>
      </c>
      <c r="AG13" s="1">
        <v>421403849.9179678</v>
      </c>
    </row>
    <row r="14" spans="1:33">
      <c r="A14" s="18">
        <f t="shared" si="0"/>
        <v>4</v>
      </c>
      <c r="B14" s="15"/>
      <c r="C14" s="15"/>
      <c r="D14" s="15" t="s">
        <v>445</v>
      </c>
      <c r="E14" s="469">
        <f t="shared" si="1"/>
        <v>0</v>
      </c>
      <c r="F14" s="21">
        <f>+'ROR-Model'!F364</f>
        <v>101739274.50806464</v>
      </c>
      <c r="G14" s="21">
        <f>+'ROR-Model'!G364</f>
        <v>0</v>
      </c>
      <c r="H14" s="21">
        <f>+'ROR-Model'!H364</f>
        <v>0</v>
      </c>
      <c r="I14" s="21">
        <f>+'ROR-Model'!I364</f>
        <v>101739274.50806464</v>
      </c>
      <c r="J14" s="15"/>
      <c r="K14" s="7"/>
      <c r="L14" s="15">
        <f>SUM(J14:K14)</f>
        <v>0</v>
      </c>
      <c r="M14" s="15">
        <f t="shared" ref="M14:M45" si="2">+N14-I14</f>
        <v>0</v>
      </c>
      <c r="N14" s="21">
        <f t="shared" ref="N14:N44" si="3">SUM(F14:H14)</f>
        <v>101739274.50806464</v>
      </c>
      <c r="O14" s="1101">
        <f t="shared" ref="O14:O77" si="4">J14-U14</f>
        <v>0</v>
      </c>
      <c r="P14" s="1102"/>
      <c r="Q14" s="1">
        <v>95423762.6139815</v>
      </c>
      <c r="R14" s="1">
        <v>0</v>
      </c>
      <c r="S14" s="1">
        <v>0</v>
      </c>
      <c r="T14" s="1">
        <v>95423762.6139815</v>
      </c>
      <c r="U14" s="1"/>
      <c r="V14" s="1"/>
      <c r="W14" s="1">
        <v>0</v>
      </c>
      <c r="X14" s="1">
        <f>X13-U13</f>
        <v>8379927.947624445</v>
      </c>
      <c r="Y14" s="1101">
        <f t="shared" ref="Y14:Y77" si="5">J14-AE14</f>
        <v>0</v>
      </c>
      <c r="Z14" s="1102"/>
      <c r="AA14" s="1">
        <v>88326524.405590028</v>
      </c>
      <c r="AB14" s="1">
        <v>0</v>
      </c>
      <c r="AC14" s="1">
        <v>0</v>
      </c>
      <c r="AD14" s="1">
        <v>88326524.405590028</v>
      </c>
      <c r="AE14" s="1"/>
      <c r="AF14" s="1"/>
      <c r="AG14" s="1">
        <v>0</v>
      </c>
    </row>
    <row r="15" spans="1:33">
      <c r="A15" s="18">
        <f t="shared" si="0"/>
        <v>5</v>
      </c>
      <c r="B15" s="13"/>
      <c r="C15" s="15"/>
      <c r="D15" s="15" t="s">
        <v>446</v>
      </c>
      <c r="E15" s="469">
        <f t="shared" si="1"/>
        <v>0</v>
      </c>
      <c r="F15" s="21">
        <f>+'ROR-Model'!F366</f>
        <v>951004456.01811922</v>
      </c>
      <c r="G15" s="21">
        <f>+'ROR-Model'!G366</f>
        <v>0</v>
      </c>
      <c r="H15" s="21">
        <f>+'ROR-Model'!H366</f>
        <v>0</v>
      </c>
      <c r="I15" s="21">
        <f>+'ROR-Model'!I366</f>
        <v>951004456.01811922</v>
      </c>
      <c r="J15" s="15"/>
      <c r="K15" s="15"/>
      <c r="L15" s="15">
        <f>SUM(J15:K15)</f>
        <v>0</v>
      </c>
      <c r="M15" s="15">
        <f t="shared" si="2"/>
        <v>0</v>
      </c>
      <c r="N15" s="21">
        <f t="shared" si="3"/>
        <v>951004456.01811922</v>
      </c>
      <c r="O15" s="1101">
        <f t="shared" si="4"/>
        <v>0</v>
      </c>
      <c r="P15" s="1102"/>
      <c r="Q15" s="1">
        <v>710367596.73691773</v>
      </c>
      <c r="R15" s="1">
        <v>0</v>
      </c>
      <c r="S15" s="1">
        <v>0</v>
      </c>
      <c r="T15" s="1">
        <v>710367596.73691773</v>
      </c>
      <c r="U15" s="1"/>
      <c r="V15" s="1"/>
      <c r="W15" s="1">
        <v>0</v>
      </c>
      <c r="X15" s="1"/>
      <c r="Y15" s="1101">
        <f t="shared" si="5"/>
        <v>0</v>
      </c>
      <c r="Z15" s="1102"/>
      <c r="AA15" s="1">
        <v>572594967.47539306</v>
      </c>
      <c r="AB15" s="1">
        <v>0</v>
      </c>
      <c r="AC15" s="1">
        <v>0</v>
      </c>
      <c r="AD15" s="1">
        <v>572594967.47539306</v>
      </c>
      <c r="AE15" s="1"/>
      <c r="AF15" s="1"/>
      <c r="AG15" s="1">
        <v>0</v>
      </c>
    </row>
    <row r="16" spans="1:33">
      <c r="A16" s="18">
        <f t="shared" si="0"/>
        <v>6</v>
      </c>
      <c r="B16" s="13"/>
      <c r="C16" s="15"/>
      <c r="D16" s="15" t="s">
        <v>447</v>
      </c>
      <c r="E16" s="468">
        <f t="shared" si="1"/>
        <v>0</v>
      </c>
      <c r="F16" s="22">
        <f>'ROR-Model'!F501+'ROR-Model'!F505</f>
        <v>39367058.559373006</v>
      </c>
      <c r="G16" s="22">
        <f>'ROR-Model'!G501+'ROR-Model'!G505</f>
        <v>0</v>
      </c>
      <c r="H16" s="22">
        <f>'ROR-Model'!H501+'ROR-Model'!H505</f>
        <v>0</v>
      </c>
      <c r="I16" s="22">
        <f>'ROR-Model'!I501+'ROR-Model'!I505</f>
        <v>39367058.559373006</v>
      </c>
      <c r="J16" s="15"/>
      <c r="K16" s="15"/>
      <c r="L16" s="15">
        <f>SUM(J16:K16)</f>
        <v>0</v>
      </c>
      <c r="M16" s="15">
        <f t="shared" si="2"/>
        <v>0</v>
      </c>
      <c r="N16" s="22">
        <f t="shared" si="3"/>
        <v>39367058.559373006</v>
      </c>
      <c r="O16" s="1101">
        <f t="shared" si="4"/>
        <v>0</v>
      </c>
      <c r="P16" s="1102"/>
      <c r="Q16" s="1">
        <v>39409597.597025998</v>
      </c>
      <c r="R16" s="1">
        <v>0</v>
      </c>
      <c r="S16" s="1">
        <v>0</v>
      </c>
      <c r="T16" s="1">
        <v>39409597.597025998</v>
      </c>
      <c r="U16" s="1"/>
      <c r="V16" s="1"/>
      <c r="W16" s="1">
        <v>0</v>
      </c>
      <c r="X16" s="1"/>
      <c r="Y16" s="1101">
        <f t="shared" si="5"/>
        <v>0</v>
      </c>
      <c r="Z16" s="1102"/>
      <c r="AA16" s="1">
        <v>31907130.602249</v>
      </c>
      <c r="AB16" s="1">
        <v>0</v>
      </c>
      <c r="AC16" s="1">
        <v>0</v>
      </c>
      <c r="AD16" s="1">
        <v>31907130.602249</v>
      </c>
      <c r="AE16" s="1"/>
      <c r="AF16" s="1"/>
      <c r="AG16" s="1">
        <v>0</v>
      </c>
    </row>
    <row r="17" spans="1:33" ht="13.5" thickBot="1">
      <c r="A17" s="18">
        <f t="shared" si="0"/>
        <v>7</v>
      </c>
      <c r="B17" s="13"/>
      <c r="C17" s="15"/>
      <c r="D17" s="15" t="s">
        <v>448</v>
      </c>
      <c r="E17" s="468">
        <f t="shared" si="1"/>
        <v>0</v>
      </c>
      <c r="F17" s="22">
        <f>'ROR-Model'!F502+'ROR-Model'!F506</f>
        <v>7386294.4306269996</v>
      </c>
      <c r="G17" s="22">
        <f>'ROR-Model'!G502+'ROR-Model'!G506</f>
        <v>0</v>
      </c>
      <c r="H17" s="22">
        <f>'ROR-Model'!H502+'ROR-Model'!H506</f>
        <v>0</v>
      </c>
      <c r="I17" s="22">
        <f>'ROR-Model'!I502+'ROR-Model'!I506</f>
        <v>7386294.4306269996</v>
      </c>
      <c r="J17" s="15">
        <f>'ROR-Model'!W509</f>
        <v>7061934.3356379988</v>
      </c>
      <c r="K17" s="15"/>
      <c r="L17" s="15">
        <f>SUM(J17:K17)</f>
        <v>7061934.3356379988</v>
      </c>
      <c r="M17" s="15">
        <f t="shared" si="2"/>
        <v>0</v>
      </c>
      <c r="N17" s="22">
        <f t="shared" si="3"/>
        <v>7386294.4306269996</v>
      </c>
      <c r="O17" s="1101">
        <f t="shared" si="4"/>
        <v>1195708.4201499987</v>
      </c>
      <c r="P17" s="1102">
        <f t="shared" ref="P17:P77" si="6">O17/W17</f>
        <v>0.20382924854514917</v>
      </c>
      <c r="Q17" s="1">
        <v>6110762.782974001</v>
      </c>
      <c r="R17" s="1">
        <v>0</v>
      </c>
      <c r="S17" s="1">
        <v>0</v>
      </c>
      <c r="T17" s="1">
        <v>6110762.782974001</v>
      </c>
      <c r="U17" s="1">
        <v>5866225.915488</v>
      </c>
      <c r="V17" s="1"/>
      <c r="W17" s="1">
        <v>5866225.915488</v>
      </c>
      <c r="X17" s="1"/>
      <c r="Y17" s="1101">
        <f t="shared" si="5"/>
        <v>1502493.0006339988</v>
      </c>
      <c r="Z17" s="1102">
        <f t="shared" ref="Z17:Z77" si="7">Y17/AE17</f>
        <v>0.27025970958157752</v>
      </c>
      <c r="AA17" s="1">
        <v>5732331.7577510001</v>
      </c>
      <c r="AB17" s="1">
        <v>0</v>
      </c>
      <c r="AC17" s="1">
        <v>0</v>
      </c>
      <c r="AD17" s="1">
        <v>5732331.7577510001</v>
      </c>
      <c r="AE17" s="1">
        <v>5559441.335004</v>
      </c>
      <c r="AF17" s="1"/>
      <c r="AG17" s="1">
        <v>5559441.335004</v>
      </c>
    </row>
    <row r="18" spans="1:33">
      <c r="A18" s="18">
        <f t="shared" si="0"/>
        <v>8</v>
      </c>
      <c r="B18" s="13"/>
      <c r="C18" s="13" t="s">
        <v>453</v>
      </c>
      <c r="D18" s="15"/>
      <c r="E18" s="328">
        <f t="shared" si="1"/>
        <v>0</v>
      </c>
      <c r="F18" s="328">
        <f t="shared" ref="F18:L18" si="8">SUM(F13:F17)</f>
        <v>1597142068.6085985</v>
      </c>
      <c r="G18" s="23">
        <f t="shared" si="8"/>
        <v>-26231775.859999996</v>
      </c>
      <c r="H18" s="23">
        <f t="shared" si="8"/>
        <v>0</v>
      </c>
      <c r="I18" s="23">
        <f t="shared" si="8"/>
        <v>1570910292.7485986</v>
      </c>
      <c r="J18" s="23">
        <f t="shared" si="8"/>
        <v>464961274.07143039</v>
      </c>
      <c r="K18" s="23">
        <f t="shared" si="8"/>
        <v>7100691.4356456865</v>
      </c>
      <c r="L18" s="23">
        <f t="shared" si="8"/>
        <v>472061965.50707608</v>
      </c>
      <c r="M18" s="15">
        <f t="shared" si="2"/>
        <v>0</v>
      </c>
      <c r="N18" s="23">
        <f t="shared" si="3"/>
        <v>1570910292.7485986</v>
      </c>
      <c r="O18" s="1101">
        <f t="shared" si="4"/>
        <v>40098650.774721384</v>
      </c>
      <c r="P18" s="1102">
        <f t="shared" si="6"/>
        <v>9.1398633167619259E-2</v>
      </c>
      <c r="Q18" s="1">
        <v>1313618785.2400002</v>
      </c>
      <c r="R18" s="1">
        <v>-29804769.810000002</v>
      </c>
      <c r="S18" s="1">
        <v>0</v>
      </c>
      <c r="T18" s="1">
        <v>1283814015.4300001</v>
      </c>
      <c r="U18" s="1">
        <v>424862623.296709</v>
      </c>
      <c r="V18" s="1">
        <v>13860029.1655332</v>
      </c>
      <c r="W18" s="1">
        <v>438722652.46224219</v>
      </c>
      <c r="X18" s="1"/>
      <c r="Y18" s="1101">
        <f t="shared" si="5"/>
        <v>49119544.474128664</v>
      </c>
      <c r="Z18" s="1102">
        <f t="shared" si="7"/>
        <v>0.11812076801838933</v>
      </c>
      <c r="AA18" s="1">
        <v>1152927687.8399999</v>
      </c>
      <c r="AB18" s="1">
        <v>-30240311.57</v>
      </c>
      <c r="AC18" s="1">
        <v>0</v>
      </c>
      <c r="AD18" s="1">
        <v>1122687376.2699997</v>
      </c>
      <c r="AE18" s="1">
        <v>415841729.59730172</v>
      </c>
      <c r="AF18" s="1">
        <v>11121561.655670052</v>
      </c>
      <c r="AG18" s="1">
        <v>426963291.25297177</v>
      </c>
    </row>
    <row r="19" spans="1:33">
      <c r="A19" s="18"/>
      <c r="B19" s="13"/>
      <c r="C19" s="15"/>
      <c r="D19" s="15"/>
      <c r="E19" s="300"/>
      <c r="F19" s="15"/>
      <c r="G19" s="15"/>
      <c r="H19" s="15"/>
      <c r="I19" s="15"/>
      <c r="J19" s="15"/>
      <c r="K19" s="15"/>
      <c r="L19" s="15"/>
      <c r="M19" s="15">
        <f t="shared" si="2"/>
        <v>0</v>
      </c>
      <c r="N19" s="15">
        <f t="shared" si="3"/>
        <v>0</v>
      </c>
      <c r="O19" s="1101">
        <f t="shared" si="4"/>
        <v>0</v>
      </c>
      <c r="P19" s="1102"/>
      <c r="Q19" s="1"/>
      <c r="R19" s="1"/>
      <c r="S19" s="1"/>
      <c r="T19" s="1"/>
      <c r="U19" s="1"/>
      <c r="V19" s="1"/>
      <c r="W19" s="1"/>
      <c r="X19" s="1"/>
      <c r="Y19" s="1101">
        <f t="shared" si="5"/>
        <v>0</v>
      </c>
      <c r="Z19" s="1102"/>
      <c r="AA19" s="1"/>
      <c r="AB19" s="1"/>
      <c r="AC19" s="1"/>
      <c r="AD19" s="1"/>
      <c r="AE19" s="1"/>
      <c r="AF19" s="1"/>
      <c r="AG19" s="1"/>
    </row>
    <row r="20" spans="1:33">
      <c r="A20" s="18">
        <f>+A18+1</f>
        <v>9</v>
      </c>
      <c r="B20" s="13" t="s">
        <v>158</v>
      </c>
      <c r="C20" s="15"/>
      <c r="D20" s="15"/>
      <c r="E20" s="300"/>
      <c r="F20" s="15"/>
      <c r="G20" s="15"/>
      <c r="H20" s="15"/>
      <c r="I20" s="15"/>
      <c r="J20" s="15"/>
      <c r="K20" s="15"/>
      <c r="L20" s="15"/>
      <c r="M20" s="15">
        <f t="shared" si="2"/>
        <v>0</v>
      </c>
      <c r="N20" s="15">
        <f t="shared" si="3"/>
        <v>0</v>
      </c>
      <c r="O20" s="1101">
        <f t="shared" si="4"/>
        <v>0</v>
      </c>
      <c r="P20" s="1102"/>
      <c r="Q20" s="1"/>
      <c r="R20" s="1"/>
      <c r="S20" s="1"/>
      <c r="T20" s="1"/>
      <c r="U20" s="1"/>
      <c r="V20" s="1"/>
      <c r="W20" s="1"/>
      <c r="X20" s="1"/>
      <c r="Y20" s="1101">
        <f t="shared" si="5"/>
        <v>0</v>
      </c>
      <c r="Z20" s="1102"/>
      <c r="AA20" s="1"/>
      <c r="AB20" s="1"/>
      <c r="AC20" s="1"/>
      <c r="AD20" s="1"/>
      <c r="AE20" s="1"/>
      <c r="AF20" s="1"/>
      <c r="AG20" s="1"/>
    </row>
    <row r="21" spans="1:33">
      <c r="A21" s="18">
        <f>+A20+1</f>
        <v>10</v>
      </c>
      <c r="B21" s="13"/>
      <c r="C21" s="15" t="s">
        <v>437</v>
      </c>
      <c r="D21" s="15"/>
      <c r="E21" s="300"/>
      <c r="F21" s="15"/>
      <c r="G21" s="15"/>
      <c r="H21" s="15"/>
      <c r="I21" s="15"/>
      <c r="J21" s="15"/>
      <c r="K21" s="15"/>
      <c r="L21" s="15"/>
      <c r="M21" s="15">
        <f t="shared" si="2"/>
        <v>0</v>
      </c>
      <c r="N21" s="15">
        <f t="shared" si="3"/>
        <v>0</v>
      </c>
      <c r="O21" s="1101">
        <f t="shared" si="4"/>
        <v>0</v>
      </c>
      <c r="P21" s="1102"/>
      <c r="Q21" s="1"/>
      <c r="R21" s="1"/>
      <c r="S21" s="1"/>
      <c r="T21" s="1"/>
      <c r="U21" s="1"/>
      <c r="V21" s="1"/>
      <c r="W21" s="1"/>
      <c r="X21" s="1"/>
      <c r="Y21" s="1101">
        <f t="shared" si="5"/>
        <v>0</v>
      </c>
      <c r="Z21" s="1102"/>
      <c r="AA21" s="1"/>
      <c r="AB21" s="1"/>
      <c r="AC21" s="1"/>
      <c r="AD21" s="1"/>
      <c r="AE21" s="1"/>
      <c r="AF21" s="1"/>
      <c r="AG21" s="1"/>
    </row>
    <row r="22" spans="1:33">
      <c r="A22" s="18">
        <f>+A21+1</f>
        <v>11</v>
      </c>
      <c r="B22" s="13"/>
      <c r="C22" s="15"/>
      <c r="D22" s="15" t="s">
        <v>12</v>
      </c>
      <c r="E22" s="300">
        <f>+F22+G22+H22-I22</f>
        <v>0</v>
      </c>
      <c r="F22" s="15">
        <f>'ROR-Model'!F633+'ROR-Model'!F636</f>
        <v>1058181609.0126004</v>
      </c>
      <c r="G22" s="15">
        <f>'ROR-Model'!G633+'ROR-Model'!G636</f>
        <v>0</v>
      </c>
      <c r="H22" s="15">
        <f>'ROR-Model'!H633+'ROR-Model'!H636</f>
        <v>0</v>
      </c>
      <c r="I22" s="15">
        <f>'ROR-Model'!I633+'ROR-Model'!I636</f>
        <v>1058181609.0126004</v>
      </c>
      <c r="J22" s="15"/>
      <c r="K22" s="15"/>
      <c r="L22" s="15">
        <f>SUM(J22:K22)</f>
        <v>0</v>
      </c>
      <c r="M22" s="15">
        <f t="shared" si="2"/>
        <v>0</v>
      </c>
      <c r="N22" s="15">
        <f t="shared" si="3"/>
        <v>1058181609.0126004</v>
      </c>
      <c r="O22" s="1101">
        <f t="shared" si="4"/>
        <v>0</v>
      </c>
      <c r="P22" s="1102"/>
      <c r="Q22" s="1">
        <v>818210449.13283598</v>
      </c>
      <c r="R22" s="1">
        <v>0</v>
      </c>
      <c r="S22" s="1">
        <v>0</v>
      </c>
      <c r="T22" s="1">
        <v>818210449.13283598</v>
      </c>
      <c r="U22" s="1"/>
      <c r="V22" s="1"/>
      <c r="W22" s="1">
        <v>0</v>
      </c>
      <c r="X22" s="1"/>
      <c r="Y22" s="1101">
        <f t="shared" si="5"/>
        <v>0</v>
      </c>
      <c r="Z22" s="1102"/>
      <c r="AA22" s="1">
        <v>670071387.17422628</v>
      </c>
      <c r="AB22" s="1">
        <v>0</v>
      </c>
      <c r="AC22" s="1">
        <v>0</v>
      </c>
      <c r="AD22" s="1">
        <v>670071387.17422628</v>
      </c>
      <c r="AE22" s="1"/>
      <c r="AF22" s="1"/>
      <c r="AG22" s="1">
        <v>0</v>
      </c>
    </row>
    <row r="23" spans="1:33" ht="13.5" thickBot="1">
      <c r="A23" s="18">
        <f>+A22+1</f>
        <v>12</v>
      </c>
      <c r="B23" s="13"/>
      <c r="C23" s="15"/>
      <c r="D23" s="15" t="s">
        <v>23</v>
      </c>
      <c r="E23" s="300">
        <f>+F23+G23+H23-I23</f>
        <v>0</v>
      </c>
      <c r="F23" s="15">
        <f>'ROR-Model'!F635+'ROR-Model'!F637</f>
        <v>33929180.072956301</v>
      </c>
      <c r="G23" s="15">
        <f>'ROR-Model'!G635+'ROR-Model'!G637</f>
        <v>0</v>
      </c>
      <c r="H23" s="15">
        <f>'ROR-Model'!H635+'ROR-Model'!H637</f>
        <v>0</v>
      </c>
      <c r="I23" s="15">
        <f>'ROR-Model'!I635+'ROR-Model'!I637</f>
        <v>33929180.072956301</v>
      </c>
      <c r="J23" s="15"/>
      <c r="K23" s="15"/>
      <c r="L23" s="15">
        <f>SUM(J23:K23)</f>
        <v>0</v>
      </c>
      <c r="M23" s="15">
        <f t="shared" si="2"/>
        <v>0</v>
      </c>
      <c r="N23" s="15">
        <f t="shared" si="3"/>
        <v>33929180.072956301</v>
      </c>
      <c r="O23" s="1101">
        <f t="shared" si="4"/>
        <v>0</v>
      </c>
      <c r="P23" s="1102"/>
      <c r="Q23" s="1">
        <v>26990507.815089189</v>
      </c>
      <c r="R23" s="1">
        <v>0</v>
      </c>
      <c r="S23" s="1">
        <v>0</v>
      </c>
      <c r="T23" s="1">
        <v>26990507.815089189</v>
      </c>
      <c r="U23" s="1"/>
      <c r="V23" s="1"/>
      <c r="W23" s="1">
        <v>0</v>
      </c>
      <c r="X23" s="1"/>
      <c r="Y23" s="1101">
        <f t="shared" si="5"/>
        <v>0</v>
      </c>
      <c r="Z23" s="1102"/>
      <c r="AA23" s="1">
        <v>22757235.309005853</v>
      </c>
      <c r="AB23" s="1">
        <v>0</v>
      </c>
      <c r="AC23" s="1">
        <v>0</v>
      </c>
      <c r="AD23" s="1">
        <v>22757235.309005853</v>
      </c>
      <c r="AE23" s="1"/>
      <c r="AF23" s="1"/>
      <c r="AG23" s="1">
        <v>0</v>
      </c>
    </row>
    <row r="24" spans="1:33">
      <c r="A24" s="18">
        <f>+A23+1</f>
        <v>13</v>
      </c>
      <c r="B24" s="13"/>
      <c r="C24" s="15"/>
      <c r="D24" s="15" t="s">
        <v>145</v>
      </c>
      <c r="E24" s="328">
        <f>+F24+G24+H24-I24</f>
        <v>0</v>
      </c>
      <c r="F24" s="23">
        <f t="shared" ref="F24:L24" si="9">SUM(F22:F23)</f>
        <v>1092110789.0855567</v>
      </c>
      <c r="G24" s="23">
        <f t="shared" si="9"/>
        <v>0</v>
      </c>
      <c r="H24" s="23">
        <f t="shared" si="9"/>
        <v>0</v>
      </c>
      <c r="I24" s="23">
        <f t="shared" si="9"/>
        <v>1092110789.0855567</v>
      </c>
      <c r="J24" s="23">
        <f t="shared" si="9"/>
        <v>0</v>
      </c>
      <c r="K24" s="23">
        <f t="shared" si="9"/>
        <v>0</v>
      </c>
      <c r="L24" s="23">
        <f t="shared" si="9"/>
        <v>0</v>
      </c>
      <c r="M24" s="15">
        <f t="shared" si="2"/>
        <v>0</v>
      </c>
      <c r="N24" s="23">
        <f t="shared" si="3"/>
        <v>1092110789.0855567</v>
      </c>
      <c r="O24" s="1101">
        <f t="shared" si="4"/>
        <v>0</v>
      </c>
      <c r="P24" s="1102"/>
      <c r="Q24" s="1">
        <v>845200956.94792521</v>
      </c>
      <c r="R24" s="1">
        <v>0</v>
      </c>
      <c r="S24" s="1">
        <v>0</v>
      </c>
      <c r="T24" s="1">
        <v>845200956.94792521</v>
      </c>
      <c r="U24" s="1">
        <v>0</v>
      </c>
      <c r="V24" s="1">
        <v>0</v>
      </c>
      <c r="W24" s="1">
        <v>0</v>
      </c>
      <c r="X24" s="1"/>
      <c r="Y24" s="1101">
        <f t="shared" si="5"/>
        <v>0</v>
      </c>
      <c r="Z24" s="1102"/>
      <c r="AA24" s="1">
        <v>692828622.48323214</v>
      </c>
      <c r="AB24" s="1">
        <v>0</v>
      </c>
      <c r="AC24" s="1">
        <v>0</v>
      </c>
      <c r="AD24" s="1">
        <v>692828622.48323214</v>
      </c>
      <c r="AE24" s="1">
        <v>0</v>
      </c>
      <c r="AF24" s="1">
        <v>0</v>
      </c>
      <c r="AG24" s="1">
        <v>0</v>
      </c>
    </row>
    <row r="25" spans="1:33">
      <c r="A25" s="18"/>
      <c r="B25" s="13"/>
      <c r="C25" s="15"/>
      <c r="D25" s="15"/>
      <c r="E25" s="301">
        <f>+F25+G25+H25-I25</f>
        <v>0</v>
      </c>
      <c r="F25" s="7"/>
      <c r="G25" s="7"/>
      <c r="H25" s="7"/>
      <c r="I25" s="7"/>
      <c r="J25" s="7"/>
      <c r="K25" s="7"/>
      <c r="L25" s="7"/>
      <c r="M25" s="15">
        <f t="shared" si="2"/>
        <v>0</v>
      </c>
      <c r="N25" s="7">
        <f>SUM(F25:H25)</f>
        <v>0</v>
      </c>
      <c r="O25" s="1101">
        <f t="shared" si="4"/>
        <v>0</v>
      </c>
      <c r="P25" s="1102"/>
      <c r="Q25" s="1"/>
      <c r="R25" s="1"/>
      <c r="S25" s="1"/>
      <c r="T25" s="1"/>
      <c r="U25" s="1"/>
      <c r="V25" s="1"/>
      <c r="W25" s="1"/>
      <c r="X25" s="1"/>
      <c r="Y25" s="1101">
        <f t="shared" si="5"/>
        <v>0</v>
      </c>
      <c r="Z25" s="1102"/>
      <c r="AA25" s="1"/>
      <c r="AB25" s="1"/>
      <c r="AC25" s="1"/>
      <c r="AD25" s="1"/>
      <c r="AE25" s="1"/>
      <c r="AF25" s="1"/>
      <c r="AG25" s="1"/>
    </row>
    <row r="26" spans="1:33">
      <c r="A26" s="18">
        <f>A24+1</f>
        <v>14</v>
      </c>
      <c r="B26" s="13"/>
      <c r="C26" s="15" t="s">
        <v>455</v>
      </c>
      <c r="D26" s="15"/>
      <c r="E26" s="300"/>
      <c r="F26" s="15"/>
      <c r="G26" s="15"/>
      <c r="H26" s="15"/>
      <c r="I26" s="15"/>
      <c r="J26" s="15"/>
      <c r="K26" s="15"/>
      <c r="L26" s="15"/>
      <c r="M26" s="15">
        <f t="shared" si="2"/>
        <v>0</v>
      </c>
      <c r="N26" s="15">
        <f t="shared" si="3"/>
        <v>0</v>
      </c>
      <c r="O26" s="1101">
        <f t="shared" si="4"/>
        <v>0</v>
      </c>
      <c r="P26" s="1102"/>
      <c r="Q26" s="1"/>
      <c r="R26" s="1"/>
      <c r="S26" s="1"/>
      <c r="T26" s="1"/>
      <c r="U26" s="1"/>
      <c r="V26" s="1"/>
      <c r="W26" s="1"/>
      <c r="X26" s="1"/>
      <c r="Y26" s="1101">
        <f t="shared" si="5"/>
        <v>0</v>
      </c>
      <c r="Z26" s="1102"/>
      <c r="AA26" s="1"/>
      <c r="AB26" s="1"/>
      <c r="AC26" s="1"/>
      <c r="AD26" s="1"/>
      <c r="AE26" s="1"/>
      <c r="AF26" s="1"/>
      <c r="AG26" s="1"/>
    </row>
    <row r="27" spans="1:33">
      <c r="A27" s="18">
        <f t="shared" ref="A27:A32" si="10">+A26+1</f>
        <v>15</v>
      </c>
      <c r="B27" s="13"/>
      <c r="C27" s="15"/>
      <c r="D27" s="15" t="s">
        <v>399</v>
      </c>
      <c r="E27" s="300">
        <f t="shared" ref="E27:E32" si="11">+F27+G27+H27-I27</f>
        <v>0</v>
      </c>
      <c r="F27" s="15">
        <f>'ROR-Model'!F650</f>
        <v>-438965.28</v>
      </c>
      <c r="G27" s="15">
        <f>'ROR-Model'!G650</f>
        <v>0</v>
      </c>
      <c r="H27" s="15">
        <f>'ROR-Model'!H650</f>
        <v>0</v>
      </c>
      <c r="I27" s="15">
        <f>'ROR-Model'!I650</f>
        <v>-438965.28</v>
      </c>
      <c r="J27" s="15">
        <f>'ROR-Model'!W650</f>
        <v>-424860.02870445774</v>
      </c>
      <c r="K27" s="15"/>
      <c r="L27" s="15">
        <f>SUM(J27:K27)</f>
        <v>-424860.02870445774</v>
      </c>
      <c r="M27" s="15">
        <f t="shared" si="2"/>
        <v>0</v>
      </c>
      <c r="N27" s="15">
        <f t="shared" si="3"/>
        <v>-438965.28</v>
      </c>
      <c r="O27" s="1101">
        <f t="shared" si="4"/>
        <v>-92676.307744702615</v>
      </c>
      <c r="P27" s="1102">
        <f t="shared" si="6"/>
        <v>0.27899111815876909</v>
      </c>
      <c r="Q27" s="1">
        <v>-343189.38</v>
      </c>
      <c r="R27" s="1">
        <v>0</v>
      </c>
      <c r="S27" s="1">
        <v>0</v>
      </c>
      <c r="T27" s="1">
        <v>-343189.38</v>
      </c>
      <c r="U27" s="1">
        <v>-332183.72095975513</v>
      </c>
      <c r="V27" s="1"/>
      <c r="W27" s="1">
        <v>-332183.72095975513</v>
      </c>
      <c r="X27" s="1"/>
      <c r="Y27" s="1101">
        <f t="shared" si="5"/>
        <v>-120996.96117827989</v>
      </c>
      <c r="Z27" s="1102">
        <f t="shared" si="7"/>
        <v>0.39819568124334814</v>
      </c>
      <c r="AA27" s="1">
        <v>-314116.87999999995</v>
      </c>
      <c r="AB27" s="1">
        <v>0</v>
      </c>
      <c r="AC27" s="1">
        <v>0</v>
      </c>
      <c r="AD27" s="1">
        <v>-314116.87999999995</v>
      </c>
      <c r="AE27" s="1">
        <v>-303863.06752617785</v>
      </c>
      <c r="AF27" s="1"/>
      <c r="AG27" s="1">
        <v>-303863.06752617785</v>
      </c>
    </row>
    <row r="28" spans="1:33">
      <c r="A28" s="18">
        <f t="shared" si="10"/>
        <v>16</v>
      </c>
      <c r="B28" s="13"/>
      <c r="C28" s="15"/>
      <c r="D28" s="15" t="s">
        <v>456</v>
      </c>
      <c r="E28" s="300">
        <f t="shared" si="11"/>
        <v>0</v>
      </c>
      <c r="F28" s="15">
        <f>'ROR-Model'!F753</f>
        <v>81815327.969999999</v>
      </c>
      <c r="G28" s="15">
        <f>'ROR-Model'!G753</f>
        <v>0</v>
      </c>
      <c r="H28" s="15">
        <f>'ROR-Model'!H753</f>
        <v>0</v>
      </c>
      <c r="I28" s="15">
        <f>'ROR-Model'!I753</f>
        <v>81815327.969999999</v>
      </c>
      <c r="J28" s="15">
        <f>'ROR-Model'!W753</f>
        <v>78583114.900000006</v>
      </c>
      <c r="K28" s="15"/>
      <c r="L28" s="15">
        <f>SUM(J28:K28)</f>
        <v>78583114.900000006</v>
      </c>
      <c r="M28" s="15">
        <f t="shared" si="2"/>
        <v>0</v>
      </c>
      <c r="N28" s="15">
        <f t="shared" si="3"/>
        <v>81815327.969999999</v>
      </c>
      <c r="O28" s="1101">
        <f t="shared" si="4"/>
        <v>6834480.1800000221</v>
      </c>
      <c r="P28" s="1102">
        <f t="shared" si="6"/>
        <v>9.5255891720750829E-2</v>
      </c>
      <c r="Q28" s="1">
        <v>74841437.019999996</v>
      </c>
      <c r="R28" s="1">
        <v>0</v>
      </c>
      <c r="S28" s="1">
        <v>0</v>
      </c>
      <c r="T28" s="1">
        <v>74841437.019999996</v>
      </c>
      <c r="U28" s="1">
        <v>71748634.719999984</v>
      </c>
      <c r="V28" s="1"/>
      <c r="W28" s="1">
        <v>71748634.719999984</v>
      </c>
      <c r="X28" s="1"/>
      <c r="Y28" s="1101">
        <f t="shared" si="5"/>
        <v>10110559.480000004</v>
      </c>
      <c r="Z28" s="1102">
        <f t="shared" si="7"/>
        <v>0.1476585679909769</v>
      </c>
      <c r="AA28" s="1">
        <v>71468258.910000011</v>
      </c>
      <c r="AB28" s="1">
        <v>0</v>
      </c>
      <c r="AC28" s="1">
        <v>0</v>
      </c>
      <c r="AD28" s="1">
        <v>71468258.910000011</v>
      </c>
      <c r="AE28" s="1">
        <v>68472555.420000002</v>
      </c>
      <c r="AF28" s="1"/>
      <c r="AG28" s="1">
        <v>68472555.420000002</v>
      </c>
    </row>
    <row r="29" spans="1:33">
      <c r="A29" s="18">
        <f t="shared" si="10"/>
        <v>17</v>
      </c>
      <c r="B29" s="13"/>
      <c r="C29" s="15"/>
      <c r="D29" s="15" t="s">
        <v>457</v>
      </c>
      <c r="E29" s="300">
        <f t="shared" si="11"/>
        <v>0</v>
      </c>
      <c r="F29" s="15">
        <f>'ROR-Model'!F806</f>
        <v>14780838.35</v>
      </c>
      <c r="G29" s="300">
        <f>'ROR-Model'!G806</f>
        <v>-1906404.0902244116</v>
      </c>
      <c r="H29" s="15">
        <f>'ROR-Model'!H806</f>
        <v>0</v>
      </c>
      <c r="I29" s="15">
        <f>'ROR-Model'!I806</f>
        <v>12874434.259775588</v>
      </c>
      <c r="J29" s="15">
        <f>'ROR-Model'!W806</f>
        <v>12512714.823074913</v>
      </c>
      <c r="K29" s="15">
        <f>+K13*'Control Panel'!F22</f>
        <v>15028.614454111017</v>
      </c>
      <c r="L29" s="15">
        <f>SUM(J29:K29)</f>
        <v>12527743.437529024</v>
      </c>
      <c r="M29" s="15">
        <f t="shared" si="2"/>
        <v>0</v>
      </c>
      <c r="N29" s="15">
        <f t="shared" si="3"/>
        <v>12874434.259775588</v>
      </c>
      <c r="O29" s="1101">
        <f t="shared" si="4"/>
        <v>908651.3902347628</v>
      </c>
      <c r="P29" s="1102">
        <f t="shared" si="6"/>
        <v>7.810713393124584E-2</v>
      </c>
      <c r="Q29" s="1">
        <v>13351043.439999999</v>
      </c>
      <c r="R29" s="1">
        <v>-1405892.7206601955</v>
      </c>
      <c r="S29" s="1">
        <v>0</v>
      </c>
      <c r="T29" s="1">
        <v>11945150.719339803</v>
      </c>
      <c r="U29" s="1">
        <v>11604063.43284015</v>
      </c>
      <c r="V29" s="1">
        <v>29334.753740442102</v>
      </c>
      <c r="W29" s="1">
        <v>11633398.186580593</v>
      </c>
      <c r="X29" s="1"/>
      <c r="Y29" s="1101">
        <f t="shared" si="5"/>
        <v>808991.58413294889</v>
      </c>
      <c r="Z29" s="1102">
        <f t="shared" si="7"/>
        <v>6.9122583268303867E-2</v>
      </c>
      <c r="AA29" s="1">
        <v>9635736.2100000009</v>
      </c>
      <c r="AB29" s="1">
        <v>2414946.0628193049</v>
      </c>
      <c r="AC29" s="1">
        <v>0</v>
      </c>
      <c r="AD29" s="1">
        <v>12050682.272819305</v>
      </c>
      <c r="AE29" s="1">
        <v>11703723.238941964</v>
      </c>
      <c r="AF29" s="1">
        <v>21985.692962324028</v>
      </c>
      <c r="AG29" s="1">
        <v>11725708.931904288</v>
      </c>
    </row>
    <row r="30" spans="1:33">
      <c r="A30" s="18">
        <f t="shared" si="10"/>
        <v>18</v>
      </c>
      <c r="B30" s="13"/>
      <c r="C30" s="15"/>
      <c r="D30" s="15" t="s">
        <v>458</v>
      </c>
      <c r="E30" s="300">
        <f t="shared" si="11"/>
        <v>5.1222741603851318E-9</v>
      </c>
      <c r="F30" s="15">
        <f>'ROR-Model'!F834</f>
        <v>29041440.250000007</v>
      </c>
      <c r="G30" s="300">
        <f>'ROR-Model'!G834</f>
        <v>-26843858.529999997</v>
      </c>
      <c r="H30" s="15">
        <f>'ROR-Model'!H834</f>
        <v>0</v>
      </c>
      <c r="I30" s="15">
        <f>'ROR-Model'!I834</f>
        <v>2197581.7200000049</v>
      </c>
      <c r="J30" s="15">
        <f>'ROR-Model'!W834</f>
        <v>2123552.380000005</v>
      </c>
      <c r="K30" s="15"/>
      <c r="L30" s="15">
        <f>SUM(J30:K30)</f>
        <v>2123552.380000005</v>
      </c>
      <c r="M30" s="15">
        <f t="shared" si="2"/>
        <v>5.1222741603851318E-9</v>
      </c>
      <c r="N30" s="15">
        <f t="shared" si="3"/>
        <v>2197581.72000001</v>
      </c>
      <c r="O30" s="1101">
        <f t="shared" si="4"/>
        <v>-322495.46999999788</v>
      </c>
      <c r="P30" s="1102">
        <f t="shared" si="6"/>
        <v>-0.13184348376504471</v>
      </c>
      <c r="Q30" s="1">
        <v>32814432.550000004</v>
      </c>
      <c r="R30" s="1">
        <v>-30296244.400000002</v>
      </c>
      <c r="S30" s="1">
        <v>0</v>
      </c>
      <c r="T30" s="1">
        <v>2518188.1500000027</v>
      </c>
      <c r="U30" s="1">
        <v>2446047.8500000029</v>
      </c>
      <c r="V30" s="1"/>
      <c r="W30" s="1">
        <v>2446047.8500000029</v>
      </c>
      <c r="X30" s="1"/>
      <c r="Y30" s="1101">
        <f t="shared" si="5"/>
        <v>-264768.92999999737</v>
      </c>
      <c r="Z30" s="1102">
        <f t="shared" si="7"/>
        <v>-0.11085984490085093</v>
      </c>
      <c r="AA30" s="1">
        <v>33199120.899999999</v>
      </c>
      <c r="AB30" s="1">
        <v>-30731786.16</v>
      </c>
      <c r="AC30" s="1">
        <v>0</v>
      </c>
      <c r="AD30" s="1">
        <v>2467334.7400000021</v>
      </c>
      <c r="AE30" s="1">
        <v>2388321.3100000024</v>
      </c>
      <c r="AF30" s="1"/>
      <c r="AG30" s="1">
        <v>2388321.3100000024</v>
      </c>
    </row>
    <row r="31" spans="1:33" ht="13.5" thickBot="1">
      <c r="A31" s="18">
        <f t="shared" si="10"/>
        <v>19</v>
      </c>
      <c r="B31" s="13"/>
      <c r="C31" s="15"/>
      <c r="D31" s="15" t="s">
        <v>459</v>
      </c>
      <c r="E31" s="300">
        <f t="shared" si="11"/>
        <v>0</v>
      </c>
      <c r="F31" s="15">
        <f>'ROR-Model'!F902</f>
        <v>34226305.630000003</v>
      </c>
      <c r="G31" s="300">
        <f>'ROR-Model'!G902</f>
        <v>9779961.3231036924</v>
      </c>
      <c r="H31" s="15">
        <f>'ROR-Model'!H902</f>
        <v>0</v>
      </c>
      <c r="I31" s="15">
        <f>'ROR-Model'!I902</f>
        <v>44006266.953103691</v>
      </c>
      <c r="J31" s="15">
        <f>'ROR-Model'!W902</f>
        <v>42403933.632268935</v>
      </c>
      <c r="K31" s="15"/>
      <c r="L31" s="15">
        <f>SUM(J31:K31)</f>
        <v>42403933.632268935</v>
      </c>
      <c r="M31" s="15">
        <f t="shared" si="2"/>
        <v>0</v>
      </c>
      <c r="N31" s="15">
        <f t="shared" si="3"/>
        <v>44006266.953103691</v>
      </c>
      <c r="O31" s="1101">
        <f t="shared" si="4"/>
        <v>1583053.205642581</v>
      </c>
      <c r="P31" s="1102">
        <f t="shared" si="6"/>
        <v>3.8780476782906387E-2</v>
      </c>
      <c r="Q31" s="1">
        <v>32745361.029999994</v>
      </c>
      <c r="R31" s="1">
        <v>9779961.3231036924</v>
      </c>
      <c r="S31" s="1">
        <v>0</v>
      </c>
      <c r="T31" s="1">
        <v>42525322.353103682</v>
      </c>
      <c r="U31" s="1">
        <v>40820880.426626354</v>
      </c>
      <c r="V31" s="1"/>
      <c r="W31" s="1">
        <v>40820880.426626354</v>
      </c>
      <c r="X31" s="1"/>
      <c r="Y31" s="1101">
        <f t="shared" si="5"/>
        <v>-2753988.3115203977</v>
      </c>
      <c r="Z31" s="1102">
        <f t="shared" si="7"/>
        <v>-6.0985718407247473E-2</v>
      </c>
      <c r="AA31" s="1">
        <v>34500930.750000015</v>
      </c>
      <c r="AB31" s="1">
        <v>12547798.617046785</v>
      </c>
      <c r="AC31" s="1">
        <v>0</v>
      </c>
      <c r="AD31" s="1">
        <v>47048729.367046788</v>
      </c>
      <c r="AE31" s="1">
        <v>45157921.943789333</v>
      </c>
      <c r="AF31" s="1"/>
      <c r="AG31" s="1">
        <v>45157921.943789333</v>
      </c>
    </row>
    <row r="32" spans="1:33">
      <c r="A32" s="18">
        <f t="shared" si="10"/>
        <v>20</v>
      </c>
      <c r="B32" s="13"/>
      <c r="C32" s="15"/>
      <c r="D32" s="15" t="s">
        <v>460</v>
      </c>
      <c r="E32" s="328">
        <f t="shared" si="11"/>
        <v>0</v>
      </c>
      <c r="F32" s="328">
        <f t="shared" ref="F32:L32" si="12">SUM(F27:F31)</f>
        <v>159424946.91999999</v>
      </c>
      <c r="G32" s="23">
        <f t="shared" si="12"/>
        <v>-18970301.297120716</v>
      </c>
      <c r="H32" s="23">
        <f t="shared" si="12"/>
        <v>0</v>
      </c>
      <c r="I32" s="23">
        <f t="shared" si="12"/>
        <v>140454645.62287927</v>
      </c>
      <c r="J32" s="23">
        <f t="shared" si="12"/>
        <v>135198455.70663941</v>
      </c>
      <c r="K32" s="23">
        <f t="shared" si="12"/>
        <v>15028.614454111017</v>
      </c>
      <c r="L32" s="23">
        <f t="shared" si="12"/>
        <v>135213484.3210935</v>
      </c>
      <c r="M32" s="15">
        <f t="shared" si="2"/>
        <v>0</v>
      </c>
      <c r="N32" s="23">
        <f t="shared" si="3"/>
        <v>140454645.62287927</v>
      </c>
      <c r="O32" s="1101">
        <f t="shared" si="4"/>
        <v>8911012.998132661</v>
      </c>
      <c r="P32" s="1102">
        <f t="shared" si="6"/>
        <v>7.0544967795714481E-2</v>
      </c>
      <c r="Q32" s="1">
        <v>153409084.66</v>
      </c>
      <c r="R32" s="1">
        <v>-21922175.797556505</v>
      </c>
      <c r="S32" s="1">
        <v>0</v>
      </c>
      <c r="T32" s="1">
        <v>131486908.86244349</v>
      </c>
      <c r="U32" s="1">
        <v>126287442.70850675</v>
      </c>
      <c r="V32" s="1">
        <v>29334.753740442102</v>
      </c>
      <c r="W32" s="1">
        <v>126316777.46224719</v>
      </c>
      <c r="X32" s="1"/>
      <c r="Y32" s="1101">
        <f t="shared" si="5"/>
        <v>7779796.8614342809</v>
      </c>
      <c r="Z32" s="1102">
        <f t="shared" si="7"/>
        <v>6.105696710311153E-2</v>
      </c>
      <c r="AA32" s="1">
        <v>148489929.89000005</v>
      </c>
      <c r="AB32" s="1">
        <v>-15769041.48013391</v>
      </c>
      <c r="AC32" s="1">
        <v>0</v>
      </c>
      <c r="AD32" s="1">
        <v>132720888.40986611</v>
      </c>
      <c r="AE32" s="1">
        <v>127418658.84520513</v>
      </c>
      <c r="AF32" s="1">
        <v>21985.692962324028</v>
      </c>
      <c r="AG32" s="1">
        <v>127440644.53816745</v>
      </c>
    </row>
    <row r="33" spans="1:33">
      <c r="A33" s="18"/>
      <c r="B33" s="13"/>
      <c r="C33" s="15"/>
      <c r="D33" s="15"/>
      <c r="E33" s="300"/>
      <c r="F33" s="15"/>
      <c r="G33" s="15"/>
      <c r="H33" s="15"/>
      <c r="I33" s="15"/>
      <c r="J33" s="115"/>
      <c r="K33" s="420"/>
      <c r="L33" s="15"/>
      <c r="M33" s="15">
        <f t="shared" si="2"/>
        <v>0</v>
      </c>
      <c r="N33" s="15">
        <f t="shared" si="3"/>
        <v>0</v>
      </c>
      <c r="O33" s="1101">
        <f t="shared" si="4"/>
        <v>0</v>
      </c>
      <c r="P33" s="1102"/>
      <c r="Q33" s="1"/>
      <c r="R33" s="1"/>
      <c r="S33" s="1"/>
      <c r="T33" s="1"/>
      <c r="U33" s="1"/>
      <c r="W33" s="1"/>
      <c r="X33" s="1"/>
      <c r="Y33" s="1101">
        <f t="shared" si="5"/>
        <v>0</v>
      </c>
      <c r="Z33" s="1102"/>
      <c r="AA33" s="1"/>
      <c r="AB33" s="1"/>
      <c r="AC33" s="1"/>
      <c r="AD33" s="1"/>
      <c r="AE33" s="1"/>
      <c r="AG33" s="1"/>
    </row>
    <row r="34" spans="1:33">
      <c r="A34" s="18">
        <f>+A32+1</f>
        <v>21</v>
      </c>
      <c r="B34" s="13"/>
      <c r="C34" s="15" t="s">
        <v>461</v>
      </c>
      <c r="D34" s="15"/>
      <c r="E34" s="300"/>
      <c r="F34" s="15"/>
      <c r="G34" s="15"/>
      <c r="H34" s="15"/>
      <c r="I34" s="15"/>
      <c r="J34" s="15"/>
      <c r="K34" s="15"/>
      <c r="L34" s="15"/>
      <c r="M34" s="15">
        <f t="shared" si="2"/>
        <v>0</v>
      </c>
      <c r="N34" s="15">
        <f t="shared" si="3"/>
        <v>0</v>
      </c>
      <c r="O34" s="1101">
        <f t="shared" si="4"/>
        <v>0</v>
      </c>
      <c r="P34" s="1102"/>
      <c r="Q34" s="1"/>
      <c r="R34" s="1"/>
      <c r="S34" s="1"/>
      <c r="T34" s="1"/>
      <c r="U34" s="1"/>
      <c r="V34" s="1"/>
      <c r="W34" s="1"/>
      <c r="X34" s="1"/>
      <c r="Y34" s="1101">
        <f t="shared" si="5"/>
        <v>0</v>
      </c>
      <c r="Z34" s="1102"/>
      <c r="AA34" s="1"/>
      <c r="AB34" s="1"/>
      <c r="AC34" s="1"/>
      <c r="AD34" s="1"/>
      <c r="AE34" s="1"/>
      <c r="AF34" s="1"/>
      <c r="AG34" s="1"/>
    </row>
    <row r="35" spans="1:33">
      <c r="A35" s="18">
        <f>+A34+1</f>
        <v>22</v>
      </c>
      <c r="B35" s="13"/>
      <c r="C35" s="15"/>
      <c r="D35" s="15" t="s">
        <v>250</v>
      </c>
      <c r="E35" s="300">
        <f>+F35+G35+H35-I35</f>
        <v>0</v>
      </c>
      <c r="F35" s="15">
        <f>'ROR-Model'!F926</f>
        <v>95519010.379999995</v>
      </c>
      <c r="G35" s="15">
        <f>'ROR-Model'!G926</f>
        <v>0</v>
      </c>
      <c r="H35" s="15">
        <f>'ROR-Model'!H926</f>
        <v>0</v>
      </c>
      <c r="I35" s="15">
        <f>'ROR-Model'!I926</f>
        <v>95519010.379999995</v>
      </c>
      <c r="J35" s="875">
        <f>'ROR-Model'!W926</f>
        <v>92735986.390182748</v>
      </c>
      <c r="K35" s="15"/>
      <c r="L35" s="15">
        <f>SUM(J35:K35)</f>
        <v>92735986.390182748</v>
      </c>
      <c r="M35" s="15">
        <f t="shared" si="2"/>
        <v>0</v>
      </c>
      <c r="N35" s="15">
        <f t="shared" si="3"/>
        <v>95519010.379999995</v>
      </c>
      <c r="O35" s="1101">
        <f t="shared" si="4"/>
        <v>5602943.0063456744</v>
      </c>
      <c r="P35" s="1102">
        <f t="shared" si="6"/>
        <v>6.4303308925681396E-2</v>
      </c>
      <c r="Q35" s="1">
        <v>89881138.670000002</v>
      </c>
      <c r="R35" s="1">
        <v>0</v>
      </c>
      <c r="S35" s="1">
        <v>0</v>
      </c>
      <c r="T35" s="1">
        <v>89881138.670000002</v>
      </c>
      <c r="U35" s="78">
        <v>87133043.383837074</v>
      </c>
      <c r="V35" s="1"/>
      <c r="W35" s="1">
        <v>87133043.383837074</v>
      </c>
      <c r="X35" s="1"/>
      <c r="Y35" s="1101">
        <f t="shared" si="5"/>
        <v>9251132.3328164816</v>
      </c>
      <c r="Z35" s="1102">
        <f t="shared" si="7"/>
        <v>0.11081210403098513</v>
      </c>
      <c r="AA35" s="1">
        <v>86189109.659999996</v>
      </c>
      <c r="AB35" s="1">
        <v>0</v>
      </c>
      <c r="AC35" s="1">
        <v>0</v>
      </c>
      <c r="AD35" s="1">
        <v>86189109.659999996</v>
      </c>
      <c r="AE35" s="78">
        <v>83484854.057366267</v>
      </c>
      <c r="AF35" s="1"/>
      <c r="AG35" s="1">
        <v>83484854.057366267</v>
      </c>
    </row>
    <row r="36" spans="1:33">
      <c r="A36" s="18">
        <f>+A35+1</f>
        <v>23</v>
      </c>
      <c r="B36" s="13"/>
      <c r="C36" s="15"/>
      <c r="D36" s="15" t="s">
        <v>548</v>
      </c>
      <c r="E36" s="300">
        <f>+F36+G36+H36-I36</f>
        <v>0</v>
      </c>
      <c r="F36" s="15">
        <f>'ROR-Model'!F934</f>
        <v>26718468.590000004</v>
      </c>
      <c r="G36" s="15">
        <f>'ROR-Model'!G934</f>
        <v>0</v>
      </c>
      <c r="H36" s="15">
        <f>'ROR-Model'!H934</f>
        <v>0</v>
      </c>
      <c r="I36" s="15">
        <f>'ROR-Model'!I934</f>
        <v>26718468.590000004</v>
      </c>
      <c r="J36" s="15">
        <f>'ROR-Model'!W934</f>
        <v>25460396.375659976</v>
      </c>
      <c r="K36" s="15"/>
      <c r="L36" s="15">
        <f>SUM(J36:K36)</f>
        <v>25460396.375659976</v>
      </c>
      <c r="M36" s="15">
        <f t="shared" si="2"/>
        <v>0</v>
      </c>
      <c r="N36" s="15">
        <f t="shared" si="3"/>
        <v>26718468.590000004</v>
      </c>
      <c r="O36" s="1101">
        <f t="shared" si="4"/>
        <v>125634.99723451212</v>
      </c>
      <c r="P36" s="1102">
        <f t="shared" si="6"/>
        <v>4.9589966669865765E-3</v>
      </c>
      <c r="Q36" s="1">
        <v>26498629.170000006</v>
      </c>
      <c r="R36" s="1">
        <v>0</v>
      </c>
      <c r="S36" s="1">
        <v>0</v>
      </c>
      <c r="T36" s="1">
        <v>26498629.170000006</v>
      </c>
      <c r="U36" s="1">
        <v>25334761.378425464</v>
      </c>
      <c r="V36" s="1"/>
      <c r="W36" s="1">
        <v>25334761.378425464</v>
      </c>
      <c r="X36" s="1"/>
      <c r="Y36" s="1101">
        <f t="shared" si="5"/>
        <v>-742551.60501261055</v>
      </c>
      <c r="Z36" s="1102">
        <f t="shared" si="7"/>
        <v>-2.8338475715034811E-2</v>
      </c>
      <c r="AA36" s="1">
        <v>27335334.720000006</v>
      </c>
      <c r="AB36" s="1">
        <v>0</v>
      </c>
      <c r="AC36" s="1">
        <v>0</v>
      </c>
      <c r="AD36" s="1">
        <v>27335334.720000006</v>
      </c>
      <c r="AE36" s="1">
        <v>26202947.980672587</v>
      </c>
      <c r="AF36" s="1"/>
      <c r="AG36" s="1">
        <v>26202947.980672587</v>
      </c>
    </row>
    <row r="37" spans="1:33" ht="13.5" thickBot="1">
      <c r="A37" s="18">
        <f>+A36+1</f>
        <v>24</v>
      </c>
      <c r="B37" s="13"/>
      <c r="C37" s="15"/>
      <c r="D37" s="15" t="s">
        <v>550</v>
      </c>
      <c r="E37" s="300">
        <f>+F37+G37+H37-I37</f>
        <v>0</v>
      </c>
      <c r="F37" s="15">
        <f>'ROR-Model'!F936+'ROR-Model'!F938+'ROR-Model'!F940+'ROR-Model'!F942</f>
        <v>36588792.750000015</v>
      </c>
      <c r="G37" s="15">
        <f>'ROR-Model'!G936+'ROR-Model'!G938+'ROR-Model'!G940+'ROR-Model'!G942</f>
        <v>-1790215.7069625775</v>
      </c>
      <c r="H37" s="15">
        <f>'ROR-Model'!H936+'ROR-Model'!H938+'ROR-Model'!H940+'ROR-Model'!H942</f>
        <v>5679930.2182409316</v>
      </c>
      <c r="I37" s="15">
        <f>'ROR-Model'!I936+'ROR-Model'!I938+'ROR-Model'!I940+'ROR-Model'!I942</f>
        <v>40478507.261278361</v>
      </c>
      <c r="J37" s="589">
        <f>'ROR-Model'!W936</f>
        <v>39723816.367047831</v>
      </c>
      <c r="K37" s="15">
        <f>(K13-K29)*Taxes!L23</f>
        <v>1746871.763702522</v>
      </c>
      <c r="L37" s="15">
        <f>SUM(J37:K37)</f>
        <v>41470688.130750351</v>
      </c>
      <c r="M37" s="15">
        <f t="shared" si="2"/>
        <v>0</v>
      </c>
      <c r="N37" s="15">
        <f t="shared" si="3"/>
        <v>40478507.261278369</v>
      </c>
      <c r="O37" s="1101">
        <f t="shared" si="4"/>
        <v>5212351.7700859532</v>
      </c>
      <c r="P37" s="1102">
        <f t="shared" si="6"/>
        <v>0.13745207471234097</v>
      </c>
      <c r="Q37" s="1">
        <v>34367820.690000005</v>
      </c>
      <c r="R37" s="1">
        <v>-1943344.0812178631</v>
      </c>
      <c r="S37" s="1">
        <v>2871468.1344698071</v>
      </c>
      <c r="T37" s="1">
        <v>35295944.74325195</v>
      </c>
      <c r="U37" s="1">
        <v>34511464.596961878</v>
      </c>
      <c r="V37" s="1">
        <v>3409765.6281499485</v>
      </c>
      <c r="W37" s="1">
        <v>37921230.225111827</v>
      </c>
      <c r="X37" s="1"/>
      <c r="Y37" s="1101">
        <f t="shared" si="5"/>
        <v>4091742.0332706645</v>
      </c>
      <c r="Z37" s="1102">
        <f t="shared" si="7"/>
        <v>0.11483311341747868</v>
      </c>
      <c r="AA37" s="1">
        <v>34045406.500000007</v>
      </c>
      <c r="AB37" s="1">
        <v>-3567690.6653383151</v>
      </c>
      <c r="AC37" s="1">
        <v>6085467.3142611608</v>
      </c>
      <c r="AD37" s="1">
        <v>36563183.148922846</v>
      </c>
      <c r="AE37" s="1">
        <v>35632074.333777167</v>
      </c>
      <c r="AF37" s="1">
        <v>2736446.303983836</v>
      </c>
      <c r="AG37" s="1">
        <v>38368520.637761004</v>
      </c>
    </row>
    <row r="38" spans="1:33">
      <c r="A38" s="18">
        <f>+A37+1</f>
        <v>25</v>
      </c>
      <c r="B38" s="13"/>
      <c r="C38" s="15"/>
      <c r="D38" s="15" t="s">
        <v>468</v>
      </c>
      <c r="E38" s="328">
        <f>+F38+G38+H38-I38</f>
        <v>0</v>
      </c>
      <c r="F38" s="328">
        <f t="shared" ref="F38:L38" si="13">SUM(F35:F37)</f>
        <v>158826271.72000003</v>
      </c>
      <c r="G38" s="23">
        <f t="shared" si="13"/>
        <v>-1790215.7069625775</v>
      </c>
      <c r="H38" s="23">
        <f t="shared" si="13"/>
        <v>5679930.2182409316</v>
      </c>
      <c r="I38" s="23">
        <f t="shared" si="13"/>
        <v>162715986.23127836</v>
      </c>
      <c r="J38" s="23">
        <f t="shared" si="13"/>
        <v>157920199.13289055</v>
      </c>
      <c r="K38" s="23">
        <f t="shared" si="13"/>
        <v>1746871.763702522</v>
      </c>
      <c r="L38" s="23">
        <f t="shared" si="13"/>
        <v>159667070.89659306</v>
      </c>
      <c r="M38" s="15">
        <f t="shared" si="2"/>
        <v>0</v>
      </c>
      <c r="N38" s="23">
        <f t="shared" si="3"/>
        <v>162715986.23127836</v>
      </c>
      <c r="O38" s="1101">
        <f t="shared" si="4"/>
        <v>10940929.773666143</v>
      </c>
      <c r="P38" s="1102">
        <f t="shared" si="6"/>
        <v>7.2750847657109236E-2</v>
      </c>
      <c r="Q38" s="1">
        <v>150747588.53</v>
      </c>
      <c r="R38" s="1">
        <v>-1943344.0812178631</v>
      </c>
      <c r="S38" s="1">
        <v>2871468.1344698071</v>
      </c>
      <c r="T38" s="1">
        <v>151675712.58325195</v>
      </c>
      <c r="U38" s="1">
        <v>146979269.35922441</v>
      </c>
      <c r="V38" s="1">
        <v>3409765.6281499485</v>
      </c>
      <c r="W38" s="1">
        <v>150389034.98737437</v>
      </c>
      <c r="X38" s="1"/>
      <c r="Y38" s="1101">
        <f t="shared" si="5"/>
        <v>12600322.761074543</v>
      </c>
      <c r="Z38" s="1102">
        <f t="shared" si="7"/>
        <v>8.6707497113714213E-2</v>
      </c>
      <c r="AA38" s="1">
        <v>147569850.88</v>
      </c>
      <c r="AB38" s="1">
        <v>-3567690.6653383151</v>
      </c>
      <c r="AC38" s="1">
        <v>6085467.3142611608</v>
      </c>
      <c r="AD38" s="1">
        <v>150087627.52892286</v>
      </c>
      <c r="AE38" s="1">
        <v>145319876.37181601</v>
      </c>
      <c r="AF38" s="1">
        <v>2736446.303983836</v>
      </c>
      <c r="AG38" s="1">
        <v>148056322.67579985</v>
      </c>
    </row>
    <row r="39" spans="1:33" ht="6.95" customHeight="1" thickBot="1">
      <c r="A39" s="18"/>
      <c r="B39" s="13"/>
      <c r="C39" s="15"/>
      <c r="D39" s="15"/>
      <c r="E39" s="470"/>
      <c r="F39" s="24"/>
      <c r="G39" s="24"/>
      <c r="H39" s="24"/>
      <c r="I39" s="24"/>
      <c r="J39" s="24"/>
      <c r="K39" s="24"/>
      <c r="L39" s="24"/>
      <c r="M39" s="15">
        <f t="shared" si="2"/>
        <v>0</v>
      </c>
      <c r="N39" s="24">
        <f t="shared" si="3"/>
        <v>0</v>
      </c>
      <c r="O39" s="1101">
        <f t="shared" si="4"/>
        <v>0</v>
      </c>
      <c r="P39" s="1102"/>
      <c r="Q39" s="1"/>
      <c r="R39" s="1"/>
      <c r="S39" s="1"/>
      <c r="T39" s="1"/>
      <c r="U39" s="1"/>
      <c r="V39" s="1"/>
      <c r="W39" s="1"/>
      <c r="X39" s="1"/>
      <c r="Y39" s="1101">
        <f t="shared" si="5"/>
        <v>0</v>
      </c>
      <c r="Z39" s="1102"/>
      <c r="AA39" s="1"/>
      <c r="AB39" s="1"/>
      <c r="AC39" s="1"/>
      <c r="AD39" s="1"/>
      <c r="AE39" s="1"/>
      <c r="AF39" s="1"/>
      <c r="AG39" s="1"/>
    </row>
    <row r="40" spans="1:33" ht="6.95" customHeight="1" thickTop="1">
      <c r="A40" s="18"/>
      <c r="B40" s="13"/>
      <c r="C40" s="15"/>
      <c r="D40" s="15"/>
      <c r="E40" s="300"/>
      <c r="F40" s="15"/>
      <c r="G40" s="15"/>
      <c r="H40" s="15"/>
      <c r="I40" s="15"/>
      <c r="J40" s="15"/>
      <c r="K40" s="15"/>
      <c r="L40" s="15"/>
      <c r="M40" s="15">
        <f t="shared" si="2"/>
        <v>0</v>
      </c>
      <c r="N40" s="15">
        <f t="shared" si="3"/>
        <v>0</v>
      </c>
      <c r="O40" s="1101">
        <f t="shared" si="4"/>
        <v>0</v>
      </c>
      <c r="P40" s="1102"/>
      <c r="Q40" s="1"/>
      <c r="R40" s="1"/>
      <c r="S40" s="1"/>
      <c r="T40" s="1"/>
      <c r="U40" s="1"/>
      <c r="V40" s="1"/>
      <c r="W40" s="1"/>
      <c r="X40" s="1"/>
      <c r="Y40" s="1101">
        <f t="shared" si="5"/>
        <v>0</v>
      </c>
      <c r="Z40" s="1102"/>
      <c r="AA40" s="1"/>
      <c r="AB40" s="1"/>
      <c r="AC40" s="1"/>
      <c r="AD40" s="1"/>
      <c r="AE40" s="1"/>
      <c r="AF40" s="1"/>
      <c r="AG40" s="1"/>
    </row>
    <row r="41" spans="1:33">
      <c r="A41" s="18">
        <f>+A38+1</f>
        <v>26</v>
      </c>
      <c r="B41" s="13"/>
      <c r="C41" s="13" t="s">
        <v>469</v>
      </c>
      <c r="D41" s="15"/>
      <c r="E41" s="300">
        <f>+F41+G41+H41-I41</f>
        <v>0</v>
      </c>
      <c r="F41" s="15">
        <f>+F24+F32+F38</f>
        <v>1410362007.7255569</v>
      </c>
      <c r="G41" s="15">
        <f t="shared" ref="G41:L41" si="14">+G24+G32+G38</f>
        <v>-20760517.004083294</v>
      </c>
      <c r="H41" s="15">
        <f t="shared" si="14"/>
        <v>5679930.2182409316</v>
      </c>
      <c r="I41" s="15">
        <f t="shared" si="14"/>
        <v>1395281420.9397144</v>
      </c>
      <c r="J41" s="15">
        <f t="shared" si="14"/>
        <v>293118654.83952999</v>
      </c>
      <c r="K41" s="15">
        <f t="shared" si="14"/>
        <v>1761900.3781566331</v>
      </c>
      <c r="L41" s="15">
        <f t="shared" si="14"/>
        <v>294880555.21768653</v>
      </c>
      <c r="M41" s="15">
        <f t="shared" si="2"/>
        <v>0</v>
      </c>
      <c r="N41" s="15">
        <f t="shared" si="3"/>
        <v>1395281420.9397144</v>
      </c>
      <c r="O41" s="1101">
        <f t="shared" si="4"/>
        <v>19851942.771798849</v>
      </c>
      <c r="P41" s="1102">
        <f t="shared" si="6"/>
        <v>7.1743858923864104E-2</v>
      </c>
      <c r="Q41" s="1">
        <v>1149357630.1379251</v>
      </c>
      <c r="R41" s="1">
        <v>-23865519.878774367</v>
      </c>
      <c r="S41" s="1">
        <v>2871468.1344698071</v>
      </c>
      <c r="T41" s="1">
        <v>1128363578.3936205</v>
      </c>
      <c r="U41" s="1">
        <v>273266712.06773114</v>
      </c>
      <c r="V41" s="1">
        <v>3439100.3818903905</v>
      </c>
      <c r="W41" s="1">
        <v>276705812.44962156</v>
      </c>
      <c r="X41" s="1"/>
      <c r="Y41" s="1101">
        <f t="shared" si="5"/>
        <v>20380119.622508883</v>
      </c>
      <c r="Z41" s="1102">
        <f t="shared" si="7"/>
        <v>7.472401949468635E-2</v>
      </c>
      <c r="AA41" s="1">
        <v>988888403.25323212</v>
      </c>
      <c r="AB41" s="1">
        <v>-19336732.145472225</v>
      </c>
      <c r="AC41" s="1">
        <v>6085467.3142611608</v>
      </c>
      <c r="AD41" s="1">
        <v>975637138.42202115</v>
      </c>
      <c r="AE41" s="1">
        <v>272738535.21702111</v>
      </c>
      <c r="AF41" s="1">
        <v>2758431.9969461602</v>
      </c>
      <c r="AG41" s="1">
        <v>275496967.21396732</v>
      </c>
    </row>
    <row r="42" spans="1:33" ht="6.95" customHeight="1" thickBot="1">
      <c r="A42" s="18"/>
      <c r="B42" s="13"/>
      <c r="C42" s="15"/>
      <c r="D42" s="15"/>
      <c r="E42" s="470"/>
      <c r="F42" s="24"/>
      <c r="G42" s="24"/>
      <c r="H42" s="24"/>
      <c r="I42" s="24"/>
      <c r="J42" s="24"/>
      <c r="K42" s="24"/>
      <c r="L42" s="24"/>
      <c r="M42" s="15">
        <f t="shared" si="2"/>
        <v>0</v>
      </c>
      <c r="N42" s="24">
        <f t="shared" si="3"/>
        <v>0</v>
      </c>
      <c r="O42" s="1101">
        <f t="shared" si="4"/>
        <v>0</v>
      </c>
      <c r="P42" s="1102"/>
      <c r="Q42" s="1"/>
      <c r="R42" s="1"/>
      <c r="S42" s="1"/>
      <c r="T42" s="1"/>
      <c r="U42" s="1"/>
      <c r="V42" s="1"/>
      <c r="W42" s="1"/>
      <c r="X42" s="1"/>
      <c r="Y42" s="1101">
        <f t="shared" si="5"/>
        <v>0</v>
      </c>
      <c r="Z42" s="1102"/>
      <c r="AA42" s="1"/>
      <c r="AB42" s="1"/>
      <c r="AC42" s="1"/>
      <c r="AD42" s="1"/>
      <c r="AE42" s="1"/>
      <c r="AF42" s="1"/>
      <c r="AG42" s="1"/>
    </row>
    <row r="43" spans="1:33" ht="6.95" customHeight="1" thickTop="1">
      <c r="A43" s="18"/>
      <c r="B43" s="13"/>
      <c r="C43" s="15"/>
      <c r="D43" s="15"/>
      <c r="E43" s="300"/>
      <c r="F43" s="15"/>
      <c r="G43" s="15"/>
      <c r="H43" s="15"/>
      <c r="I43" s="15"/>
      <c r="J43" s="15"/>
      <c r="K43" s="15"/>
      <c r="L43" s="15"/>
      <c r="M43" s="15">
        <f t="shared" si="2"/>
        <v>0</v>
      </c>
      <c r="N43" s="15">
        <f t="shared" si="3"/>
        <v>0</v>
      </c>
      <c r="O43" s="1101">
        <f t="shared" si="4"/>
        <v>0</v>
      </c>
      <c r="P43" s="1102"/>
      <c r="Q43" s="1"/>
      <c r="R43" s="1"/>
      <c r="S43" s="1"/>
      <c r="T43" s="1"/>
      <c r="U43" s="1"/>
      <c r="V43" s="1"/>
      <c r="W43" s="1"/>
      <c r="X43" s="1"/>
      <c r="Y43" s="1101">
        <f t="shared" si="5"/>
        <v>0</v>
      </c>
      <c r="Z43" s="1102"/>
      <c r="AA43" s="1"/>
      <c r="AB43" s="1"/>
      <c r="AC43" s="1"/>
      <c r="AD43" s="1"/>
      <c r="AE43" s="1"/>
      <c r="AF43" s="1"/>
      <c r="AG43" s="1"/>
    </row>
    <row r="44" spans="1:33">
      <c r="A44" s="18">
        <f>+A41+1</f>
        <v>27</v>
      </c>
      <c r="B44" s="13" t="s">
        <v>470</v>
      </c>
      <c r="C44" s="15"/>
      <c r="D44" s="15"/>
      <c r="E44" s="300">
        <f>+F44+G44+H44-I44</f>
        <v>0</v>
      </c>
      <c r="F44" s="15">
        <f>+F18-F41</f>
        <v>186780060.88304162</v>
      </c>
      <c r="G44" s="15">
        <f>+G18-G41</f>
        <v>-5471258.8559167013</v>
      </c>
      <c r="H44" s="15">
        <f>+H18-H41</f>
        <v>-5679930.2182409316</v>
      </c>
      <c r="I44" s="15">
        <f>+I18-I41</f>
        <v>175628871.80888414</v>
      </c>
      <c r="J44" s="15">
        <f>+J18-J41</f>
        <v>171842619.23190039</v>
      </c>
      <c r="K44" s="729">
        <f>+L44-J44</f>
        <v>5339538.1855047047</v>
      </c>
      <c r="L44" s="15">
        <f>L74*L77</f>
        <v>177182157.4174051</v>
      </c>
      <c r="M44" s="15">
        <f t="shared" si="2"/>
        <v>0</v>
      </c>
      <c r="N44" s="15">
        <f t="shared" si="3"/>
        <v>175628871.80888397</v>
      </c>
      <c r="O44" s="1101">
        <f t="shared" si="4"/>
        <v>20246708.002922535</v>
      </c>
      <c r="P44" s="1102">
        <f t="shared" si="6"/>
        <v>0.12496556382148442</v>
      </c>
      <c r="Q44" s="1">
        <v>164261155.1020751</v>
      </c>
      <c r="R44" s="1">
        <v>-5939249.9312256351</v>
      </c>
      <c r="S44" s="1">
        <v>-2871468.1344698071</v>
      </c>
      <c r="T44" s="1">
        <v>155450437.03637958</v>
      </c>
      <c r="U44" s="1">
        <v>151595911.22897786</v>
      </c>
      <c r="V44" s="1">
        <v>10422387.122761071</v>
      </c>
      <c r="W44" s="1">
        <v>162018298.35173893</v>
      </c>
      <c r="X44" s="1"/>
      <c r="Y44" s="1101">
        <f t="shared" si="5"/>
        <v>28739424.85161978</v>
      </c>
      <c r="Z44" s="1102">
        <f t="shared" si="7"/>
        <v>0.20083007214533588</v>
      </c>
      <c r="AA44" s="1">
        <v>164039284.58676779</v>
      </c>
      <c r="AB44" s="1">
        <v>-10903579.424527775</v>
      </c>
      <c r="AC44" s="1">
        <v>-6085467.3142611608</v>
      </c>
      <c r="AD44" s="1">
        <v>147050237.84797859</v>
      </c>
      <c r="AE44" s="1">
        <v>143103194.38028061</v>
      </c>
      <c r="AF44" s="1">
        <v>8363129.6587238908</v>
      </c>
      <c r="AG44" s="1">
        <v>151466324.0390045</v>
      </c>
    </row>
    <row r="45" spans="1:33" ht="13.5" thickBot="1">
      <c r="A45" s="7"/>
      <c r="B45" s="154"/>
      <c r="C45" s="154"/>
      <c r="D45" s="154"/>
      <c r="E45" s="471"/>
      <c r="F45" s="154"/>
      <c r="G45" s="154"/>
      <c r="H45" s="154"/>
      <c r="I45" s="154"/>
      <c r="J45" s="154"/>
      <c r="K45" s="154"/>
      <c r="L45" s="154"/>
      <c r="M45" s="154">
        <f t="shared" si="2"/>
        <v>0</v>
      </c>
      <c r="N45" s="154"/>
      <c r="O45" s="1101">
        <f t="shared" si="4"/>
        <v>0</v>
      </c>
      <c r="P45" s="1102"/>
      <c r="Q45" s="1"/>
      <c r="R45" s="1"/>
      <c r="S45" s="1"/>
      <c r="T45" s="1"/>
      <c r="U45" s="1"/>
      <c r="V45" s="1"/>
      <c r="W45" s="1"/>
      <c r="X45" s="1"/>
      <c r="Y45" s="1101">
        <f t="shared" si="5"/>
        <v>0</v>
      </c>
      <c r="Z45" s="1102"/>
      <c r="AA45" s="1"/>
      <c r="AB45" s="1"/>
      <c r="AC45" s="1"/>
      <c r="AD45" s="1"/>
      <c r="AE45" s="1"/>
      <c r="AF45" s="1"/>
      <c r="AG45" s="1"/>
    </row>
    <row r="46" spans="1:33">
      <c r="E46" s="1"/>
      <c r="F46" s="1"/>
      <c r="G46" s="1"/>
      <c r="H46" s="109"/>
      <c r="I46" s="109"/>
      <c r="N46" s="109"/>
      <c r="O46" s="1101">
        <f t="shared" si="4"/>
        <v>0</v>
      </c>
      <c r="P46" s="1102"/>
      <c r="Q46" s="1"/>
      <c r="R46" s="1"/>
      <c r="S46" s="369"/>
      <c r="T46" s="369"/>
      <c r="Y46" s="1101">
        <f t="shared" si="5"/>
        <v>0</v>
      </c>
      <c r="Z46" s="1102"/>
      <c r="AA46" s="1"/>
      <c r="AB46" s="1"/>
      <c r="AC46" s="369"/>
      <c r="AD46" s="369"/>
    </row>
    <row r="47" spans="1:33">
      <c r="A47" s="18">
        <f>+A44+1</f>
        <v>28</v>
      </c>
      <c r="B47" s="15" t="s">
        <v>154</v>
      </c>
      <c r="C47" s="15"/>
      <c r="D47" s="15"/>
      <c r="E47" s="300"/>
      <c r="F47" s="15"/>
      <c r="G47" s="15"/>
      <c r="H47" s="80"/>
      <c r="J47" s="15"/>
      <c r="L47" s="15"/>
      <c r="M47" s="15"/>
      <c r="O47" s="1101">
        <f t="shared" si="4"/>
        <v>0</v>
      </c>
      <c r="P47" s="1102"/>
      <c r="Q47" s="1"/>
      <c r="R47" s="1"/>
      <c r="S47" s="78"/>
      <c r="U47" s="1"/>
      <c r="W47" s="1"/>
      <c r="X47" s="1"/>
      <c r="Y47" s="1101">
        <f t="shared" si="5"/>
        <v>0</v>
      </c>
      <c r="Z47" s="1102"/>
      <c r="AA47" s="1"/>
      <c r="AB47" s="1"/>
      <c r="AC47" s="78"/>
      <c r="AE47" s="1"/>
      <c r="AG47" s="1"/>
    </row>
    <row r="48" spans="1:33">
      <c r="A48" s="18"/>
      <c r="B48" s="17"/>
      <c r="C48" s="17"/>
      <c r="D48" s="17"/>
      <c r="E48" s="300"/>
      <c r="F48" s="15"/>
      <c r="G48" s="15"/>
      <c r="H48" s="109"/>
      <c r="J48" s="15"/>
      <c r="K48" s="1"/>
      <c r="L48" s="15"/>
      <c r="M48" s="15"/>
      <c r="O48" s="1101">
        <f t="shared" si="4"/>
        <v>0</v>
      </c>
      <c r="P48" s="1102"/>
      <c r="Q48" s="1"/>
      <c r="R48" s="1"/>
      <c r="S48" s="369"/>
      <c r="U48" s="1"/>
      <c r="V48" s="1"/>
      <c r="W48" s="1"/>
      <c r="X48" s="1"/>
      <c r="Y48" s="1101">
        <f t="shared" si="5"/>
        <v>0</v>
      </c>
      <c r="Z48" s="1102"/>
      <c r="AA48" s="1"/>
      <c r="AB48" s="1"/>
      <c r="AC48" s="369"/>
      <c r="AE48" s="1"/>
      <c r="AF48" s="1"/>
      <c r="AG48" s="1"/>
    </row>
    <row r="49" spans="1:33">
      <c r="A49" s="18">
        <f>+A47+1</f>
        <v>29</v>
      </c>
      <c r="B49" s="13" t="s">
        <v>256</v>
      </c>
      <c r="C49" s="15"/>
      <c r="D49" s="15"/>
      <c r="E49" s="300"/>
      <c r="F49" s="15"/>
      <c r="G49" s="15"/>
      <c r="H49" s="15"/>
      <c r="J49" s="15"/>
      <c r="K49" s="15"/>
      <c r="L49" s="15"/>
      <c r="M49" s="15"/>
      <c r="O49" s="1101">
        <f t="shared" si="4"/>
        <v>0</v>
      </c>
      <c r="P49" s="1102"/>
      <c r="Q49" s="1"/>
      <c r="R49" s="1"/>
      <c r="S49" s="1"/>
      <c r="U49" s="1"/>
      <c r="V49" s="1"/>
      <c r="W49" s="1"/>
      <c r="X49" s="1"/>
      <c r="Y49" s="1101">
        <f t="shared" si="5"/>
        <v>0</v>
      </c>
      <c r="Z49" s="1102"/>
      <c r="AA49" s="1"/>
      <c r="AB49" s="1"/>
      <c r="AC49" s="1"/>
      <c r="AE49" s="1"/>
      <c r="AF49" s="1"/>
      <c r="AG49" s="1"/>
    </row>
    <row r="50" spans="1:33">
      <c r="A50" s="18">
        <f t="shared" ref="A50:A56" si="15">+A49+1</f>
        <v>30</v>
      </c>
      <c r="C50" s="14">
        <v>101</v>
      </c>
      <c r="D50" s="15" t="s">
        <v>264</v>
      </c>
      <c r="E50" s="300">
        <f t="shared" ref="E50:E56" si="16">+F50+G50+H50-I50</f>
        <v>0</v>
      </c>
      <c r="F50" s="15">
        <f>'ROR-Model'!F1112</f>
        <v>3802688058.3095722</v>
      </c>
      <c r="G50" s="15">
        <f>'ROR-Model'!G1112</f>
        <v>-111657435.01800011</v>
      </c>
      <c r="H50" s="15">
        <f>'ROR-Model'!H1112</f>
        <v>0</v>
      </c>
      <c r="I50" s="15">
        <f>'ROR-Model'!I1112</f>
        <v>3691030623.2915721</v>
      </c>
      <c r="J50" s="15">
        <f>'ROR-Model'!W1112</f>
        <v>3563355420.9801316</v>
      </c>
      <c r="K50" s="15"/>
      <c r="L50" s="15">
        <f t="shared" ref="L50:L55" si="17">SUM(J50:K50)</f>
        <v>3563355420.9801316</v>
      </c>
      <c r="M50" s="15">
        <f t="shared" ref="M50:M76" si="18">+N50-I50</f>
        <v>0</v>
      </c>
      <c r="N50" s="15">
        <f t="shared" ref="N50:N56" si="19">SUM(F50:H50)</f>
        <v>3691030623.2915721</v>
      </c>
      <c r="O50" s="1101">
        <f t="shared" si="4"/>
        <v>96773908.945147514</v>
      </c>
      <c r="P50" s="1102">
        <f t="shared" si="6"/>
        <v>2.7916236387108179E-2</v>
      </c>
      <c r="Q50" s="1">
        <v>3707350263.239572</v>
      </c>
      <c r="R50" s="1">
        <v>-115282142.84821723</v>
      </c>
      <c r="S50" s="1">
        <v>0</v>
      </c>
      <c r="T50" s="1">
        <v>3592068120.3913546</v>
      </c>
      <c r="U50" s="1">
        <v>3466581512.0349841</v>
      </c>
      <c r="V50" s="1"/>
      <c r="W50" s="1">
        <v>3466581512.0349841</v>
      </c>
      <c r="X50" s="1"/>
      <c r="Y50" s="1101">
        <f t="shared" si="5"/>
        <v>237649377.13173008</v>
      </c>
      <c r="Z50" s="1102">
        <f t="shared" si="7"/>
        <v>7.1458323134515445E-2</v>
      </c>
      <c r="AA50" s="1">
        <v>3596497469.5695724</v>
      </c>
      <c r="AB50" s="1">
        <v>-147423716.32030079</v>
      </c>
      <c r="AC50" s="1">
        <v>0</v>
      </c>
      <c r="AD50" s="1">
        <v>3449073753.2492714</v>
      </c>
      <c r="AE50" s="1">
        <v>3325706043.8484015</v>
      </c>
      <c r="AF50" s="1"/>
      <c r="AG50" s="1">
        <v>3325706043.8484015</v>
      </c>
    </row>
    <row r="51" spans="1:33">
      <c r="A51" s="18">
        <f t="shared" si="15"/>
        <v>31</v>
      </c>
      <c r="C51" s="14">
        <v>105</v>
      </c>
      <c r="D51" s="15" t="s">
        <v>265</v>
      </c>
      <c r="E51" s="300">
        <f t="shared" si="16"/>
        <v>0</v>
      </c>
      <c r="F51" s="15">
        <f>'ROR-Model'!F1116</f>
        <v>0</v>
      </c>
      <c r="G51" s="15">
        <f>'ROR-Model'!G1116</f>
        <v>0</v>
      </c>
      <c r="H51" s="15">
        <f>'ROR-Model'!H1116</f>
        <v>0</v>
      </c>
      <c r="I51" s="15">
        <f>'ROR-Model'!I1116</f>
        <v>0</v>
      </c>
      <c r="J51" s="15">
        <f>'ROR-Model'!W1116</f>
        <v>0</v>
      </c>
      <c r="K51" s="15"/>
      <c r="L51" s="15">
        <f t="shared" si="17"/>
        <v>0</v>
      </c>
      <c r="M51" s="15">
        <f t="shared" si="18"/>
        <v>0</v>
      </c>
      <c r="N51" s="15">
        <f t="shared" si="19"/>
        <v>0</v>
      </c>
      <c r="O51" s="1101">
        <f t="shared" si="4"/>
        <v>0</v>
      </c>
      <c r="P51" s="1102"/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/>
      <c r="W51" s="1">
        <v>0</v>
      </c>
      <c r="X51" s="1"/>
      <c r="Y51" s="1101">
        <f t="shared" si="5"/>
        <v>0</v>
      </c>
      <c r="Z51" s="1102"/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/>
      <c r="AG51" s="1">
        <v>0</v>
      </c>
    </row>
    <row r="52" spans="1:33">
      <c r="A52" s="18">
        <f t="shared" si="15"/>
        <v>32</v>
      </c>
      <c r="C52" s="14">
        <v>106</v>
      </c>
      <c r="D52" s="15" t="s">
        <v>472</v>
      </c>
      <c r="E52" s="300">
        <f t="shared" si="16"/>
        <v>0</v>
      </c>
      <c r="F52" s="15">
        <f>'ROR-Model'!F1123</f>
        <v>511742536.5</v>
      </c>
      <c r="G52" s="15">
        <f>'ROR-Model'!G1123</f>
        <v>-145670941.85695988</v>
      </c>
      <c r="H52" s="15">
        <f>'ROR-Model'!H1123</f>
        <v>0</v>
      </c>
      <c r="I52" s="15">
        <f>'ROR-Model'!I1123</f>
        <v>366071594.64304012</v>
      </c>
      <c r="J52" s="15">
        <f>'ROR-Model'!W1123</f>
        <v>361175851.28876364</v>
      </c>
      <c r="K52" s="15"/>
      <c r="L52" s="15">
        <f t="shared" si="17"/>
        <v>361175851.28876364</v>
      </c>
      <c r="M52" s="15">
        <f t="shared" si="18"/>
        <v>0</v>
      </c>
      <c r="N52" s="15">
        <f t="shared" si="19"/>
        <v>366071594.64304012</v>
      </c>
      <c r="O52" s="1101">
        <f t="shared" si="4"/>
        <v>156641777.39616027</v>
      </c>
      <c r="P52" s="1102">
        <f t="shared" si="6"/>
        <v>0.76584685580755429</v>
      </c>
      <c r="Q52" s="1">
        <v>446573733.12</v>
      </c>
      <c r="R52" s="1">
        <v>-237247412.37820989</v>
      </c>
      <c r="S52" s="1">
        <v>0</v>
      </c>
      <c r="T52" s="1">
        <v>209326320.74179009</v>
      </c>
      <c r="U52" s="1">
        <v>204534073.89260337</v>
      </c>
      <c r="V52" s="1"/>
      <c r="W52" s="1">
        <v>204534073.89260337</v>
      </c>
      <c r="X52" s="1"/>
      <c r="Y52" s="1101">
        <f t="shared" si="5"/>
        <v>178142072.28378454</v>
      </c>
      <c r="Z52" s="1102">
        <f t="shared" si="7"/>
        <v>0.97327429533615484</v>
      </c>
      <c r="AA52" s="1">
        <v>190171389.23000002</v>
      </c>
      <c r="AB52" s="1">
        <v>-3314519.2416666616</v>
      </c>
      <c r="AC52" s="1">
        <v>0</v>
      </c>
      <c r="AD52" s="1">
        <v>186856869.98833337</v>
      </c>
      <c r="AE52" s="1">
        <v>183033779.0049791</v>
      </c>
      <c r="AF52" s="1"/>
      <c r="AG52" s="1">
        <v>183033779.0049791</v>
      </c>
    </row>
    <row r="53" spans="1:33">
      <c r="A53" s="18">
        <f t="shared" si="15"/>
        <v>33</v>
      </c>
      <c r="C53" s="14">
        <v>108</v>
      </c>
      <c r="D53" s="15" t="s">
        <v>477</v>
      </c>
      <c r="E53" s="300">
        <f t="shared" si="16"/>
        <v>0</v>
      </c>
      <c r="F53" s="15">
        <f>'ROR-Model'!F1130</f>
        <v>-1008127085.5699999</v>
      </c>
      <c r="G53" s="15">
        <f>'ROR-Model'!G1130</f>
        <v>43455489.7327324</v>
      </c>
      <c r="H53" s="15">
        <f>'ROR-Model'!H1130</f>
        <v>0</v>
      </c>
      <c r="I53" s="15">
        <f>'ROR-Model'!I1130</f>
        <v>-964671595.83726764</v>
      </c>
      <c r="J53" s="15">
        <f>'ROR-Model'!W1130</f>
        <v>-921523309.28431571</v>
      </c>
      <c r="K53" s="15"/>
      <c r="L53" s="15">
        <f t="shared" si="17"/>
        <v>-921523309.28431571</v>
      </c>
      <c r="M53" s="15">
        <f t="shared" si="18"/>
        <v>0</v>
      </c>
      <c r="N53" s="15">
        <f t="shared" si="19"/>
        <v>-964671595.83726752</v>
      </c>
      <c r="O53" s="1101">
        <f t="shared" si="4"/>
        <v>-35126165.785723686</v>
      </c>
      <c r="P53" s="1102">
        <f t="shared" si="6"/>
        <v>3.9628022318620525E-2</v>
      </c>
      <c r="Q53" s="1">
        <v>-968496960.35000002</v>
      </c>
      <c r="R53" s="1">
        <v>39791421.776651174</v>
      </c>
      <c r="S53" s="1">
        <v>0</v>
      </c>
      <c r="T53" s="1">
        <v>-928705538.57334888</v>
      </c>
      <c r="U53" s="1">
        <v>-886397143.49859202</v>
      </c>
      <c r="V53" s="1"/>
      <c r="W53" s="1">
        <v>-886397143.49859202</v>
      </c>
      <c r="X53" s="1"/>
      <c r="Y53" s="1101">
        <f t="shared" si="5"/>
        <v>-63866746.213708878</v>
      </c>
      <c r="Z53" s="1102">
        <f t="shared" si="7"/>
        <v>7.4466574341891939E-2</v>
      </c>
      <c r="AA53" s="1">
        <v>-932199755.59000015</v>
      </c>
      <c r="AB53" s="1">
        <v>33062400.427587166</v>
      </c>
      <c r="AC53" s="1">
        <v>0</v>
      </c>
      <c r="AD53" s="1">
        <v>-899137355.16241288</v>
      </c>
      <c r="AE53" s="1">
        <v>-857656563.07060683</v>
      </c>
      <c r="AF53" s="1"/>
      <c r="AG53" s="1">
        <v>-857656563.07060683</v>
      </c>
    </row>
    <row r="54" spans="1:33">
      <c r="A54" s="18">
        <f t="shared" si="15"/>
        <v>34</v>
      </c>
      <c r="C54" s="14">
        <v>111</v>
      </c>
      <c r="D54" s="15" t="s">
        <v>478</v>
      </c>
      <c r="E54" s="300">
        <f t="shared" si="16"/>
        <v>0</v>
      </c>
      <c r="F54" s="15">
        <f>'ROR-Model'!F1137</f>
        <v>-6939702.0599999996</v>
      </c>
      <c r="G54" s="15">
        <f>'ROR-Model'!G1137</f>
        <v>680511.99749666662</v>
      </c>
      <c r="H54" s="15">
        <f>'ROR-Model'!H1137</f>
        <v>0</v>
      </c>
      <c r="I54" s="15">
        <f>'ROR-Model'!I1137</f>
        <v>-6259190.0625033332</v>
      </c>
      <c r="J54" s="15">
        <f>'ROR-Model'!W1137</f>
        <v>-6050229.8258677265</v>
      </c>
      <c r="K54" s="15"/>
      <c r="L54" s="15">
        <f t="shared" si="17"/>
        <v>-6050229.8258677265</v>
      </c>
      <c r="M54" s="15">
        <f t="shared" si="18"/>
        <v>0</v>
      </c>
      <c r="N54" s="15">
        <f t="shared" si="19"/>
        <v>-6259190.0625033332</v>
      </c>
      <c r="O54" s="1101">
        <f t="shared" si="4"/>
        <v>-201010.41910542268</v>
      </c>
      <c r="P54" s="1102">
        <f t="shared" si="6"/>
        <v>3.436534093301985E-2</v>
      </c>
      <c r="Q54" s="1">
        <v>-6636083.0099999998</v>
      </c>
      <c r="R54" s="1">
        <v>584185.58416333329</v>
      </c>
      <c r="S54" s="1">
        <v>0</v>
      </c>
      <c r="T54" s="1">
        <v>-6051897.4258366665</v>
      </c>
      <c r="U54" s="1">
        <v>-5849219.4067623038</v>
      </c>
      <c r="V54" s="1"/>
      <c r="W54" s="1">
        <v>-5849219.4067623038</v>
      </c>
      <c r="X54" s="1"/>
      <c r="Y54" s="1101">
        <f t="shared" si="5"/>
        <v>-336990.23411819991</v>
      </c>
      <c r="Z54" s="1102">
        <f t="shared" si="7"/>
        <v>5.8984089273071368E-2</v>
      </c>
      <c r="AA54" s="1">
        <v>-6409799.5499999998</v>
      </c>
      <c r="AB54" s="1">
        <v>494883.70791333326</v>
      </c>
      <c r="AC54" s="1">
        <v>0</v>
      </c>
      <c r="AD54" s="1">
        <v>-5914915.8420866663</v>
      </c>
      <c r="AE54" s="1">
        <v>-5713239.5917495266</v>
      </c>
      <c r="AF54" s="1"/>
      <c r="AG54" s="1">
        <v>-5713239.5917495266</v>
      </c>
    </row>
    <row r="55" spans="1:33" ht="13.5" thickBot="1">
      <c r="A55" s="18">
        <f t="shared" si="15"/>
        <v>35</v>
      </c>
      <c r="C55" s="14">
        <v>254</v>
      </c>
      <c r="D55" s="300" t="s">
        <v>1076</v>
      </c>
      <c r="E55" s="300"/>
      <c r="F55" s="15">
        <f>'ROR-Model'!F1144</f>
        <v>-413515967.60000002</v>
      </c>
      <c r="G55" s="15">
        <f>'ROR-Model'!G1144</f>
        <v>2209823.9883333715</v>
      </c>
      <c r="H55" s="15">
        <f>'ROR-Model'!H1144</f>
        <v>0</v>
      </c>
      <c r="I55" s="15">
        <f>'ROR-Model'!I1144</f>
        <v>-411306143.61166662</v>
      </c>
      <c r="J55" s="15">
        <f>'ROR-Model'!W1144</f>
        <v>-397508836.09591645</v>
      </c>
      <c r="K55" s="15"/>
      <c r="L55" s="15">
        <f t="shared" si="17"/>
        <v>-397508836.09591645</v>
      </c>
      <c r="M55" s="15"/>
      <c r="N55" s="15">
        <f t="shared" si="19"/>
        <v>-411306143.61166668</v>
      </c>
      <c r="O55" s="1101">
        <f t="shared" si="4"/>
        <v>2590310.4866368175</v>
      </c>
      <c r="P55" s="1102">
        <f t="shared" si="6"/>
        <v>-6.474171486647631E-3</v>
      </c>
      <c r="Q55" s="1">
        <v>-410360382.00999999</v>
      </c>
      <c r="R55" s="1">
        <v>-3847738.924166725</v>
      </c>
      <c r="S55" s="1">
        <v>0</v>
      </c>
      <c r="T55" s="1">
        <v>-414208120.93416673</v>
      </c>
      <c r="U55" s="1">
        <v>-400099146.58255327</v>
      </c>
      <c r="V55" s="1"/>
      <c r="W55" s="1">
        <v>-400099146.58255327</v>
      </c>
      <c r="X55" s="1"/>
      <c r="Y55" s="1101">
        <f t="shared" si="5"/>
        <v>4758096.5029912591</v>
      </c>
      <c r="Z55" s="1102">
        <f t="shared" si="7"/>
        <v>-1.1828206888025423E-2</v>
      </c>
      <c r="AA55" s="1">
        <v>-411384830.5</v>
      </c>
      <c r="AB55" s="1">
        <v>-5127613.7166666426</v>
      </c>
      <c r="AC55" s="1">
        <v>0</v>
      </c>
      <c r="AD55" s="1">
        <v>-416512444.21666664</v>
      </c>
      <c r="AE55" s="1">
        <v>-402266932.59890771</v>
      </c>
      <c r="AF55" s="1"/>
      <c r="AG55" s="1">
        <v>-402266932.59890771</v>
      </c>
    </row>
    <row r="56" spans="1:33">
      <c r="A56" s="18">
        <f t="shared" si="15"/>
        <v>36</v>
      </c>
      <c r="C56" s="26" t="s">
        <v>155</v>
      </c>
      <c r="D56" s="15"/>
      <c r="E56" s="328">
        <f t="shared" si="16"/>
        <v>0</v>
      </c>
      <c r="F56" s="23">
        <f t="shared" ref="F56:L56" si="20">SUM(F50:F55)</f>
        <v>2885847839.5795727</v>
      </c>
      <c r="G56" s="23">
        <f t="shared" si="20"/>
        <v>-210982551.15639755</v>
      </c>
      <c r="H56" s="23">
        <f t="shared" si="20"/>
        <v>0</v>
      </c>
      <c r="I56" s="23">
        <f t="shared" si="20"/>
        <v>2674865288.4231744</v>
      </c>
      <c r="J56" s="23">
        <f>SUM(J50:J55)</f>
        <v>2599448897.0627956</v>
      </c>
      <c r="K56" s="23">
        <f t="shared" si="20"/>
        <v>0</v>
      </c>
      <c r="L56" s="23">
        <f t="shared" si="20"/>
        <v>2599448897.0627956</v>
      </c>
      <c r="M56" s="15">
        <f t="shared" si="18"/>
        <v>0</v>
      </c>
      <c r="N56" s="23">
        <f t="shared" si="19"/>
        <v>2674865288.4231753</v>
      </c>
      <c r="O56" s="1101">
        <f t="shared" si="4"/>
        <v>220678820.62311554</v>
      </c>
      <c r="P56" s="1102">
        <f t="shared" si="6"/>
        <v>9.2770134788901878E-2</v>
      </c>
      <c r="Q56" s="1">
        <v>2768430570.9895716</v>
      </c>
      <c r="R56" s="1">
        <v>-316001686.78977937</v>
      </c>
      <c r="S56" s="1">
        <v>0</v>
      </c>
      <c r="T56" s="1">
        <v>2452428884.1997924</v>
      </c>
      <c r="U56" s="1">
        <v>2378770076.4396801</v>
      </c>
      <c r="V56" s="1">
        <v>0</v>
      </c>
      <c r="W56" s="1">
        <v>2378770076.4396801</v>
      </c>
      <c r="X56" s="1"/>
      <c r="Y56" s="1101">
        <f t="shared" si="5"/>
        <v>356345809.47067928</v>
      </c>
      <c r="Z56" s="1102">
        <f t="shared" si="7"/>
        <v>0.15886287680750447</v>
      </c>
      <c r="AA56" s="1">
        <v>2436674473.1595721</v>
      </c>
      <c r="AB56" s="1">
        <v>-122308565.1431336</v>
      </c>
      <c r="AC56" s="1">
        <v>0</v>
      </c>
      <c r="AD56" s="1">
        <v>2314365908.016438</v>
      </c>
      <c r="AE56" s="1">
        <v>2243103087.5921164</v>
      </c>
      <c r="AF56" s="1">
        <v>0</v>
      </c>
      <c r="AG56" s="1">
        <v>2243103087.5921164</v>
      </c>
    </row>
    <row r="57" spans="1:33">
      <c r="A57" s="18"/>
      <c r="B57" s="300"/>
      <c r="C57" s="15"/>
      <c r="D57" s="15"/>
      <c r="E57" s="300"/>
      <c r="F57" s="15"/>
      <c r="G57" s="15"/>
      <c r="H57" s="15"/>
      <c r="I57" s="15"/>
      <c r="J57" s="15"/>
      <c r="K57" s="15"/>
      <c r="L57" s="15"/>
      <c r="M57" s="15">
        <f t="shared" si="18"/>
        <v>0</v>
      </c>
      <c r="N57" s="15"/>
      <c r="O57" s="1101">
        <f t="shared" si="4"/>
        <v>0</v>
      </c>
      <c r="P57" s="1102"/>
      <c r="Q57" s="1"/>
      <c r="R57" s="1"/>
      <c r="S57" s="1"/>
      <c r="T57" s="1"/>
      <c r="U57" s="1"/>
      <c r="V57" s="1"/>
      <c r="W57" s="1"/>
      <c r="X57" s="1"/>
      <c r="Y57" s="1101">
        <f t="shared" si="5"/>
        <v>0</v>
      </c>
      <c r="Z57" s="1102"/>
      <c r="AA57" s="1"/>
      <c r="AB57" s="1"/>
      <c r="AC57" s="1"/>
      <c r="AD57" s="1"/>
      <c r="AE57" s="1"/>
      <c r="AF57" s="1"/>
      <c r="AG57" s="1"/>
    </row>
    <row r="58" spans="1:33">
      <c r="A58" s="18">
        <f>+A56+1</f>
        <v>37</v>
      </c>
      <c r="B58" s="13" t="s">
        <v>159</v>
      </c>
      <c r="C58" s="15"/>
      <c r="D58" s="15"/>
      <c r="E58" s="300"/>
      <c r="F58" s="15"/>
      <c r="G58" s="15"/>
      <c r="H58" s="15"/>
      <c r="I58" s="15"/>
      <c r="J58" s="15"/>
      <c r="K58" s="15"/>
      <c r="L58" s="15"/>
      <c r="M58" s="15">
        <f t="shared" si="18"/>
        <v>0</v>
      </c>
      <c r="N58" s="15"/>
      <c r="O58" s="1101">
        <f t="shared" si="4"/>
        <v>0</v>
      </c>
      <c r="P58" s="1102"/>
      <c r="Q58" s="1"/>
      <c r="R58" s="1"/>
      <c r="S58" s="1"/>
      <c r="T58" s="1"/>
      <c r="U58" s="1"/>
      <c r="V58" s="1"/>
      <c r="W58" s="1"/>
      <c r="X58" s="1"/>
      <c r="Y58" s="1101">
        <f t="shared" si="5"/>
        <v>0</v>
      </c>
      <c r="Z58" s="1102"/>
      <c r="AA58" s="1"/>
      <c r="AB58" s="1"/>
      <c r="AC58" s="1"/>
      <c r="AD58" s="1"/>
      <c r="AE58" s="1"/>
      <c r="AF58" s="1"/>
      <c r="AG58" s="1"/>
    </row>
    <row r="59" spans="1:33">
      <c r="A59" s="472">
        <f t="shared" ref="A59:A71" si="21">+A58+1</f>
        <v>38</v>
      </c>
      <c r="C59" s="299">
        <v>154</v>
      </c>
      <c r="D59" s="300" t="s">
        <v>473</v>
      </c>
      <c r="E59" s="300">
        <f t="shared" ref="E59:E68" si="22">+F59+G59+H59-I59</f>
        <v>0</v>
      </c>
      <c r="F59" s="300">
        <f>'ROR-Model'!F1162</f>
        <v>37449967.030000001</v>
      </c>
      <c r="G59" s="300">
        <f>'ROR-Model'!G1162</f>
        <v>-9871719.4437499978</v>
      </c>
      <c r="H59" s="300">
        <f>'ROR-Model'!H1162</f>
        <v>0</v>
      </c>
      <c r="I59" s="300">
        <f>'ROR-Model'!I1162</f>
        <v>27578247.586250003</v>
      </c>
      <c r="J59" s="300">
        <f>'ROR-Model'!W1162</f>
        <v>26806012.528638866</v>
      </c>
      <c r="K59" s="300"/>
      <c r="L59" s="300">
        <f t="shared" ref="L59:L69" si="23">SUM(J59:K59)</f>
        <v>26806012.528638866</v>
      </c>
      <c r="M59" s="300">
        <f t="shared" si="18"/>
        <v>0</v>
      </c>
      <c r="N59" s="300">
        <f t="shared" ref="N59:N74" si="24">SUM(F59:H59)</f>
        <v>27578247.586250003</v>
      </c>
      <c r="O59" s="1101">
        <f t="shared" si="4"/>
        <v>4233104.7354298979</v>
      </c>
      <c r="P59" s="1102">
        <f t="shared" si="6"/>
        <v>0.18753032503430606</v>
      </c>
      <c r="Q59" s="1">
        <v>25205737.300000001</v>
      </c>
      <c r="R59" s="1">
        <v>-1982542.9066666709</v>
      </c>
      <c r="S59" s="1">
        <v>0</v>
      </c>
      <c r="T59" s="1">
        <v>23223194.393333331</v>
      </c>
      <c r="U59" s="1">
        <v>22572907.793208968</v>
      </c>
      <c r="V59" s="1"/>
      <c r="W59" s="1">
        <v>22572907.793208968</v>
      </c>
      <c r="X59" s="1"/>
      <c r="Y59" s="1101">
        <f t="shared" si="5"/>
        <v>4452171.7886388637</v>
      </c>
      <c r="Z59" s="1102">
        <f t="shared" si="7"/>
        <v>0.19916809108656391</v>
      </c>
      <c r="AA59" s="1">
        <v>23994757.599999998</v>
      </c>
      <c r="AB59" s="1">
        <v>-1640916.8599999957</v>
      </c>
      <c r="AC59" s="1">
        <v>0</v>
      </c>
      <c r="AD59" s="1">
        <v>22353840.740000002</v>
      </c>
      <c r="AE59" s="1">
        <v>22353840.740000002</v>
      </c>
      <c r="AF59" s="1"/>
      <c r="AG59" s="1">
        <v>22353840.740000002</v>
      </c>
    </row>
    <row r="60" spans="1:33">
      <c r="A60" s="472">
        <f t="shared" si="21"/>
        <v>39</v>
      </c>
      <c r="C60" s="299" t="s">
        <v>490</v>
      </c>
      <c r="D60" s="300" t="s">
        <v>274</v>
      </c>
      <c r="E60" s="300">
        <f t="shared" si="22"/>
        <v>0</v>
      </c>
      <c r="F60" s="300">
        <f>'ROR-Model'!F1166</f>
        <v>19959087.870000001</v>
      </c>
      <c r="G60" s="300">
        <f>'ROR-Model'!G1166</f>
        <v>-19959087.870000001</v>
      </c>
      <c r="H60" s="300">
        <f>'ROR-Model'!H1166</f>
        <v>0</v>
      </c>
      <c r="I60" s="300">
        <f>'ROR-Model'!I1166</f>
        <v>0</v>
      </c>
      <c r="J60" s="300">
        <f>'ROR-Model'!W1166</f>
        <v>0</v>
      </c>
      <c r="K60" s="300"/>
      <c r="L60" s="300">
        <f t="shared" si="23"/>
        <v>0</v>
      </c>
      <c r="M60" s="300">
        <f t="shared" si="18"/>
        <v>0</v>
      </c>
      <c r="N60" s="300">
        <f t="shared" si="24"/>
        <v>0</v>
      </c>
      <c r="O60" s="1101">
        <f t="shared" si="4"/>
        <v>0</v>
      </c>
      <c r="P60" s="1102"/>
      <c r="Q60" s="1">
        <v>48124018.939999998</v>
      </c>
      <c r="R60" s="1">
        <v>-48124018.939999998</v>
      </c>
      <c r="S60" s="1">
        <v>0</v>
      </c>
      <c r="T60" s="1">
        <v>0</v>
      </c>
      <c r="U60" s="1">
        <v>0</v>
      </c>
      <c r="V60" s="1"/>
      <c r="W60" s="1">
        <v>0</v>
      </c>
      <c r="X60" s="1"/>
      <c r="Y60" s="1101">
        <f t="shared" si="5"/>
        <v>0</v>
      </c>
      <c r="Z60" s="1102"/>
      <c r="AA60" s="1">
        <v>9042867.9100000001</v>
      </c>
      <c r="AB60" s="1">
        <v>-9042867.9100000001</v>
      </c>
      <c r="AC60" s="1">
        <v>0</v>
      </c>
      <c r="AD60" s="1">
        <v>0</v>
      </c>
      <c r="AE60" s="1">
        <v>0</v>
      </c>
      <c r="AF60" s="1"/>
      <c r="AG60" s="1">
        <v>0</v>
      </c>
    </row>
    <row r="61" spans="1:33">
      <c r="A61" s="472">
        <f t="shared" si="21"/>
        <v>40</v>
      </c>
      <c r="C61" s="299">
        <v>165</v>
      </c>
      <c r="D61" s="300" t="s">
        <v>275</v>
      </c>
      <c r="E61" s="300">
        <f t="shared" si="22"/>
        <v>0</v>
      </c>
      <c r="F61" s="300">
        <f>'ROR-Model'!F1170</f>
        <v>2392122.9500000002</v>
      </c>
      <c r="G61" s="300">
        <f>'ROR-Model'!G1170</f>
        <v>1849404.65625</v>
      </c>
      <c r="H61" s="300">
        <f>'ROR-Model'!H1170</f>
        <v>0</v>
      </c>
      <c r="I61" s="300">
        <f>'ROR-Model'!I1170</f>
        <v>4241527.6062500002</v>
      </c>
      <c r="J61" s="300">
        <f>'ROR-Model'!W1170</f>
        <v>4113303.5299559385</v>
      </c>
      <c r="K61" s="300"/>
      <c r="L61" s="300">
        <f t="shared" si="23"/>
        <v>4113303.5299559385</v>
      </c>
      <c r="M61" s="300">
        <f t="shared" si="18"/>
        <v>0</v>
      </c>
      <c r="N61" s="300">
        <f t="shared" si="24"/>
        <v>4241527.6062500002</v>
      </c>
      <c r="O61" s="1101">
        <f t="shared" si="4"/>
        <v>-2373696.1678586127</v>
      </c>
      <c r="P61" s="1102">
        <f t="shared" si="6"/>
        <v>-0.36591587458502628</v>
      </c>
      <c r="Q61" s="1">
        <v>1512116.55</v>
      </c>
      <c r="R61" s="1">
        <v>5188256.4837500006</v>
      </c>
      <c r="S61" s="1">
        <v>0</v>
      </c>
      <c r="T61" s="1">
        <v>6700373.0337500004</v>
      </c>
      <c r="U61" s="1">
        <v>6486999.6978145512</v>
      </c>
      <c r="V61" s="1"/>
      <c r="W61" s="1">
        <v>6486999.6978145512</v>
      </c>
      <c r="X61" s="1"/>
      <c r="Y61" s="1101">
        <f t="shared" si="5"/>
        <v>-953049.73003125843</v>
      </c>
      <c r="Z61" s="1102">
        <f t="shared" si="7"/>
        <v>-0.18811355646243802</v>
      </c>
      <c r="AA61" s="1">
        <v>7391762.5199999996</v>
      </c>
      <c r="AB61" s="1">
        <v>-2155522.08</v>
      </c>
      <c r="AC61" s="1">
        <v>0</v>
      </c>
      <c r="AD61" s="1">
        <v>5236240.4399999995</v>
      </c>
      <c r="AE61" s="1">
        <v>5066353.2599871969</v>
      </c>
      <c r="AF61" s="1"/>
      <c r="AG61" s="1">
        <v>5066353.2599871969</v>
      </c>
    </row>
    <row r="62" spans="1:33">
      <c r="A62" s="472">
        <f t="shared" si="21"/>
        <v>41</v>
      </c>
      <c r="C62" s="473" t="s">
        <v>268</v>
      </c>
      <c r="D62" s="304" t="s">
        <v>270</v>
      </c>
      <c r="E62" s="265">
        <f t="shared" si="22"/>
        <v>0</v>
      </c>
      <c r="F62" s="265">
        <f>+'ROR-Model'!F1177</f>
        <v>11766835.779999999</v>
      </c>
      <c r="G62" s="300">
        <f>+'ROR-Model'!G1177</f>
        <v>14703197.269166661</v>
      </c>
      <c r="H62" s="300">
        <f>'ROR-Model'!H1177</f>
        <v>0</v>
      </c>
      <c r="I62" s="300">
        <f>+'ROR-Model'!I1177</f>
        <v>26470033.049166661</v>
      </c>
      <c r="J62" s="300">
        <f>+'ROR-Model'!W1177</f>
        <v>25669827.120481584</v>
      </c>
      <c r="K62" s="300"/>
      <c r="L62" s="300">
        <f t="shared" si="23"/>
        <v>25669827.120481584</v>
      </c>
      <c r="M62" s="300">
        <f t="shared" si="18"/>
        <v>0</v>
      </c>
      <c r="N62" s="300">
        <f t="shared" si="24"/>
        <v>26470033.049166661</v>
      </c>
      <c r="O62" s="1101">
        <f t="shared" si="4"/>
        <v>-15915801.129650783</v>
      </c>
      <c r="P62" s="1102">
        <f t="shared" si="6"/>
        <v>-0.38272359464955596</v>
      </c>
      <c r="Q62" s="10">
        <v>14248609.73</v>
      </c>
      <c r="R62" s="1">
        <v>28704871.86375</v>
      </c>
      <c r="S62" s="1">
        <v>0</v>
      </c>
      <c r="T62" s="1">
        <v>42953481.59375</v>
      </c>
      <c r="U62" s="1">
        <v>41585628.250132367</v>
      </c>
      <c r="V62" s="1"/>
      <c r="W62" s="1">
        <v>41585628.250132367</v>
      </c>
      <c r="X62" s="1"/>
      <c r="Y62" s="1101">
        <f t="shared" si="5"/>
        <v>-20073574.983128544</v>
      </c>
      <c r="Z62" s="1102">
        <f t="shared" si="7"/>
        <v>-0.43882995273638187</v>
      </c>
      <c r="AA62" s="10">
        <v>44158775.420000002</v>
      </c>
      <c r="AB62" s="1">
        <v>3118514.5095833316</v>
      </c>
      <c r="AC62" s="1">
        <v>0</v>
      </c>
      <c r="AD62" s="1">
        <v>47277289.929583333</v>
      </c>
      <c r="AE62" s="1">
        <v>45743402.103610128</v>
      </c>
      <c r="AF62" s="1"/>
      <c r="AG62" s="1">
        <v>45743402.103610128</v>
      </c>
    </row>
    <row r="63" spans="1:33">
      <c r="A63" s="472">
        <f t="shared" si="21"/>
        <v>42</v>
      </c>
      <c r="C63" s="473" t="s">
        <v>269</v>
      </c>
      <c r="D63" s="304" t="s">
        <v>271</v>
      </c>
      <c r="E63" s="300">
        <f t="shared" si="22"/>
        <v>0</v>
      </c>
      <c r="F63" s="300">
        <f>+'ROR-Model'!F1184</f>
        <v>2593978.38</v>
      </c>
      <c r="G63" s="300">
        <f>+'ROR-Model'!G1184</f>
        <v>3499284.8333333335</v>
      </c>
      <c r="H63" s="300">
        <f>'ROR-Model'!H1184</f>
        <v>0</v>
      </c>
      <c r="I63" s="300">
        <f>+'ROR-Model'!I1184</f>
        <v>6093263.2133333338</v>
      </c>
      <c r="J63" s="300">
        <f>+'ROR-Model'!W1184</f>
        <v>5909069.8640269078</v>
      </c>
      <c r="K63" s="300"/>
      <c r="L63" s="300">
        <f t="shared" si="23"/>
        <v>5909069.8640269078</v>
      </c>
      <c r="M63" s="300">
        <f t="shared" si="18"/>
        <v>0</v>
      </c>
      <c r="N63" s="300">
        <f t="shared" si="24"/>
        <v>6093263.2133333329</v>
      </c>
      <c r="O63" s="1101">
        <f t="shared" si="4"/>
        <v>-3754646.6441248786</v>
      </c>
      <c r="P63" s="1102">
        <f t="shared" si="6"/>
        <v>-0.38853029690571556</v>
      </c>
      <c r="Q63" s="1">
        <v>3282252.01</v>
      </c>
      <c r="R63" s="1">
        <v>6699326.7945833337</v>
      </c>
      <c r="S63" s="1">
        <v>0</v>
      </c>
      <c r="T63" s="1">
        <v>9981578.8045833334</v>
      </c>
      <c r="U63" s="1">
        <v>9663716.5081517864</v>
      </c>
      <c r="V63" s="1"/>
      <c r="W63" s="1">
        <v>9663716.5081517864</v>
      </c>
      <c r="X63" s="1"/>
      <c r="Y63" s="1101">
        <f t="shared" si="5"/>
        <v>-4749169.5520201232</v>
      </c>
      <c r="Z63" s="1102">
        <f t="shared" si="7"/>
        <v>-0.4455866833756596</v>
      </c>
      <c r="AA63" s="1">
        <v>10243087.9</v>
      </c>
      <c r="AB63" s="1">
        <v>772547.87583333103</v>
      </c>
      <c r="AC63" s="1">
        <v>0</v>
      </c>
      <c r="AD63" s="1">
        <v>11015635.775833331</v>
      </c>
      <c r="AE63" s="1">
        <v>10658239.416047031</v>
      </c>
      <c r="AF63" s="1"/>
      <c r="AG63" s="1">
        <v>10658239.416047031</v>
      </c>
    </row>
    <row r="64" spans="1:33">
      <c r="A64" s="18">
        <f t="shared" si="21"/>
        <v>43</v>
      </c>
      <c r="C64" s="14" t="s">
        <v>491</v>
      </c>
      <c r="D64" s="15" t="s">
        <v>276</v>
      </c>
      <c r="E64" s="300">
        <f t="shared" si="22"/>
        <v>0</v>
      </c>
      <c r="F64" s="15">
        <f>'ROR-Model'!F1189</f>
        <v>-3409030.04</v>
      </c>
      <c r="G64" s="15">
        <f>'ROR-Model'!G1189</f>
        <v>227333.64041666643</v>
      </c>
      <c r="H64" s="15">
        <f>'ROR-Model'!H1189</f>
        <v>0</v>
      </c>
      <c r="I64" s="15">
        <f>'ROR-Model'!I1189</f>
        <v>-3181696.3995833332</v>
      </c>
      <c r="J64" s="15">
        <f>'ROR-Model'!W1189</f>
        <v>-3073553.6991666667</v>
      </c>
      <c r="K64" s="15"/>
      <c r="L64" s="15">
        <f t="shared" si="23"/>
        <v>-3073553.6991666667</v>
      </c>
      <c r="M64" s="15">
        <f t="shared" si="18"/>
        <v>0</v>
      </c>
      <c r="N64" s="15">
        <f t="shared" si="24"/>
        <v>-3181696.3995833336</v>
      </c>
      <c r="O64" s="1101">
        <f t="shared" si="4"/>
        <v>303301.19541666657</v>
      </c>
      <c r="P64" s="1102">
        <f t="shared" si="6"/>
        <v>-8.9817657223939015E-2</v>
      </c>
      <c r="Q64" s="1">
        <v>-2855760.8899999997</v>
      </c>
      <c r="R64" s="1">
        <v>-646032.10916666675</v>
      </c>
      <c r="S64" s="1">
        <v>0</v>
      </c>
      <c r="T64" s="1">
        <v>-3501792.9991666665</v>
      </c>
      <c r="U64" s="1">
        <v>-3376854.8945833333</v>
      </c>
      <c r="V64" s="1"/>
      <c r="W64" s="1">
        <v>-3376854.8945833333</v>
      </c>
      <c r="X64" s="1"/>
      <c r="Y64" s="1101">
        <f t="shared" si="5"/>
        <v>770475.72333333408</v>
      </c>
      <c r="Z64" s="1102">
        <f t="shared" si="7"/>
        <v>-0.20043439803648744</v>
      </c>
      <c r="AA64" s="1">
        <v>-3507917.67</v>
      </c>
      <c r="AB64" s="1">
        <v>-468363.17083333398</v>
      </c>
      <c r="AC64" s="1">
        <v>0</v>
      </c>
      <c r="AD64" s="1">
        <v>-3976280.8408333343</v>
      </c>
      <c r="AE64" s="1">
        <v>-3844029.4225000008</v>
      </c>
      <c r="AF64" s="1"/>
      <c r="AG64" s="1">
        <v>-3844029.4225000008</v>
      </c>
    </row>
    <row r="65" spans="1:33">
      <c r="A65" s="18">
        <f t="shared" si="21"/>
        <v>44</v>
      </c>
      <c r="C65" s="189">
        <v>252</v>
      </c>
      <c r="D65" s="15" t="s">
        <v>246</v>
      </c>
      <c r="E65" s="300">
        <f t="shared" si="22"/>
        <v>0</v>
      </c>
      <c r="F65" s="15">
        <f>+'ROR-Model'!F1194</f>
        <v>0</v>
      </c>
      <c r="G65" s="15">
        <f>'ROR-Model'!G1194</f>
        <v>0</v>
      </c>
      <c r="H65" s="15">
        <f>'ROR-Model'!H1194</f>
        <v>0</v>
      </c>
      <c r="I65" s="15">
        <f>'ROR-Model'!I1194</f>
        <v>0</v>
      </c>
      <c r="J65" s="15">
        <f>'ROR-Model'!W1194</f>
        <v>0</v>
      </c>
      <c r="K65" s="15"/>
      <c r="L65" s="15">
        <f t="shared" si="23"/>
        <v>0</v>
      </c>
      <c r="M65" s="15">
        <f t="shared" si="18"/>
        <v>0</v>
      </c>
      <c r="N65" s="15">
        <f t="shared" si="24"/>
        <v>0</v>
      </c>
      <c r="O65" s="1101">
        <f t="shared" si="4"/>
        <v>0</v>
      </c>
      <c r="P65" s="1102"/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/>
      <c r="W65" s="1">
        <v>0</v>
      </c>
      <c r="X65" s="1"/>
      <c r="Y65" s="1101">
        <f t="shared" si="5"/>
        <v>0</v>
      </c>
      <c r="Z65" s="1102"/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/>
      <c r="AG65" s="1">
        <v>0</v>
      </c>
    </row>
    <row r="66" spans="1:33">
      <c r="A66" s="18">
        <f t="shared" si="21"/>
        <v>45</v>
      </c>
      <c r="C66" s="14" t="s">
        <v>492</v>
      </c>
      <c r="D66" s="15" t="s">
        <v>277</v>
      </c>
      <c r="E66" s="300">
        <f t="shared" si="22"/>
        <v>0</v>
      </c>
      <c r="F66" s="15">
        <f>'ROR-Model'!F1198</f>
        <v>-126945.45</v>
      </c>
      <c r="G66" s="15">
        <f>'ROR-Model'!G1198</f>
        <v>14083.890416666662</v>
      </c>
      <c r="H66" s="15">
        <f>'ROR-Model'!H1198</f>
        <v>0</v>
      </c>
      <c r="I66" s="15">
        <f>'ROR-Model'!I1198</f>
        <v>-112861.55958333334</v>
      </c>
      <c r="J66" s="15">
        <f>'ROR-Model'!W1198</f>
        <v>-109449.68287991264</v>
      </c>
      <c r="K66" s="15"/>
      <c r="L66" s="15">
        <f t="shared" si="23"/>
        <v>-109449.68287991264</v>
      </c>
      <c r="M66" s="15">
        <f t="shared" si="18"/>
        <v>0</v>
      </c>
      <c r="N66" s="15">
        <f t="shared" si="24"/>
        <v>-112861.55958333334</v>
      </c>
      <c r="O66" s="1101">
        <f t="shared" si="4"/>
        <v>-9696.2541463143862</v>
      </c>
      <c r="P66" s="1102">
        <f t="shared" si="6"/>
        <v>9.7202214193651687E-2</v>
      </c>
      <c r="Q66" s="1">
        <v>-120981.89</v>
      </c>
      <c r="R66" s="1">
        <v>17947.326249999984</v>
      </c>
      <c r="S66" s="1">
        <v>0</v>
      </c>
      <c r="T66" s="1">
        <v>-103034.56375000002</v>
      </c>
      <c r="U66" s="1">
        <v>-99753.428733598252</v>
      </c>
      <c r="V66" s="1"/>
      <c r="W66" s="1">
        <v>-99753.428733598252</v>
      </c>
      <c r="X66" s="1"/>
      <c r="Y66" s="1101">
        <f t="shared" si="5"/>
        <v>-7135.1745239205047</v>
      </c>
      <c r="Z66" s="1102">
        <f t="shared" si="7"/>
        <v>6.9737661242474491E-2</v>
      </c>
      <c r="AA66" s="1">
        <v>-99673.499999999956</v>
      </c>
      <c r="AB66" s="1">
        <v>-6071.863333333371</v>
      </c>
      <c r="AC66" s="1">
        <v>0</v>
      </c>
      <c r="AD66" s="1">
        <v>-105745.36333333333</v>
      </c>
      <c r="AE66" s="1">
        <v>-102314.50835599213</v>
      </c>
      <c r="AF66" s="1"/>
      <c r="AG66" s="1">
        <v>-102314.50835599213</v>
      </c>
    </row>
    <row r="67" spans="1:33" ht="12.75" customHeight="1">
      <c r="A67" s="18">
        <f t="shared" si="21"/>
        <v>46</v>
      </c>
      <c r="C67" s="14">
        <v>255</v>
      </c>
      <c r="D67" s="15" t="s">
        <v>278</v>
      </c>
      <c r="E67" s="300">
        <f t="shared" si="22"/>
        <v>0</v>
      </c>
      <c r="F67" s="15">
        <f>'ROR-Model'!F1205</f>
        <v>0</v>
      </c>
      <c r="G67" s="15">
        <f>'ROR-Model'!G1205</f>
        <v>0</v>
      </c>
      <c r="H67" s="15">
        <f>'ROR-Model'!H1205</f>
        <v>0</v>
      </c>
      <c r="I67" s="15">
        <f>'ROR-Model'!I1205</f>
        <v>0</v>
      </c>
      <c r="J67" s="15">
        <f>'ROR-Model'!W1205</f>
        <v>0</v>
      </c>
      <c r="K67" s="15"/>
      <c r="L67" s="15">
        <f t="shared" si="23"/>
        <v>0</v>
      </c>
      <c r="M67" s="15">
        <f t="shared" si="18"/>
        <v>0</v>
      </c>
      <c r="N67" s="15">
        <f t="shared" si="24"/>
        <v>0</v>
      </c>
      <c r="O67" s="1101">
        <f t="shared" si="4"/>
        <v>0</v>
      </c>
      <c r="P67" s="1102"/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/>
      <c r="W67" s="1">
        <v>0</v>
      </c>
      <c r="X67" s="1"/>
      <c r="Y67" s="1101">
        <f t="shared" si="5"/>
        <v>0</v>
      </c>
      <c r="Z67" s="1102"/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/>
      <c r="AG67" s="1">
        <v>0</v>
      </c>
    </row>
    <row r="68" spans="1:33" ht="12.75" customHeight="1">
      <c r="A68" s="18">
        <f t="shared" si="21"/>
        <v>47</v>
      </c>
      <c r="C68" s="14">
        <v>282</v>
      </c>
      <c r="D68" s="300" t="s">
        <v>33</v>
      </c>
      <c r="E68" s="300">
        <f t="shared" si="22"/>
        <v>0</v>
      </c>
      <c r="F68" s="15">
        <f>'ROR-Model'!F1212+'ROR-Model'!F1219</f>
        <v>-360797102.81999999</v>
      </c>
      <c r="G68" s="15">
        <f>'ROR-Model'!G1212+'ROR-Model'!G1219</f>
        <v>47948892.529328667</v>
      </c>
      <c r="H68" s="15">
        <f>'ROR-Model'!H1212+'ROR-Model'!H1219</f>
        <v>0</v>
      </c>
      <c r="I68" s="15">
        <f>'ROR-Model'!I1212+'ROR-Model'!I1219</f>
        <v>-312848210.29067135</v>
      </c>
      <c r="J68" s="15">
        <f>'ROR-Model'!W1212+'ROR-Model'!W1219</f>
        <v>-304626253.02586496</v>
      </c>
      <c r="K68" s="15"/>
      <c r="L68" s="15">
        <f t="shared" si="23"/>
        <v>-304626253.02586496</v>
      </c>
      <c r="M68" s="15">
        <f t="shared" si="18"/>
        <v>0</v>
      </c>
      <c r="N68" s="15">
        <f t="shared" si="24"/>
        <v>-312848210.29067135</v>
      </c>
      <c r="O68" s="1101">
        <f t="shared" si="4"/>
        <v>-5037782.5799193978</v>
      </c>
      <c r="P68" s="1102">
        <f t="shared" si="6"/>
        <v>1.6815675758217671E-2</v>
      </c>
      <c r="Q68" s="1">
        <v>-357258227.44</v>
      </c>
      <c r="R68" s="1">
        <v>49643348.608495325</v>
      </c>
      <c r="S68" s="1">
        <v>0</v>
      </c>
      <c r="T68" s="1">
        <v>-307614878.8315047</v>
      </c>
      <c r="U68" s="1">
        <v>-299588470.44594556</v>
      </c>
      <c r="V68" s="1"/>
      <c r="W68" s="1">
        <v>-299588470.44594556</v>
      </c>
      <c r="X68" s="1"/>
      <c r="Y68" s="1101">
        <f t="shared" si="5"/>
        <v>-10196687.606304884</v>
      </c>
      <c r="Z68" s="1102">
        <f t="shared" si="7"/>
        <v>3.4632009838328141E-2</v>
      </c>
      <c r="AA68" s="1">
        <v>-349071039.87</v>
      </c>
      <c r="AB68" s="1">
        <v>46778859.254328653</v>
      </c>
      <c r="AC68" s="1">
        <v>0</v>
      </c>
      <c r="AD68" s="1">
        <v>-302292180.61567134</v>
      </c>
      <c r="AE68" s="1">
        <v>-294429565.41956007</v>
      </c>
      <c r="AF68" s="1"/>
      <c r="AG68" s="1">
        <v>-294429565.41956007</v>
      </c>
    </row>
    <row r="69" spans="1:33" ht="12.75" customHeight="1">
      <c r="A69" s="18">
        <f t="shared" si="21"/>
        <v>48</v>
      </c>
      <c r="C69" s="299" t="s">
        <v>1201</v>
      </c>
      <c r="D69" s="265" t="s">
        <v>1191</v>
      </c>
      <c r="E69" s="300"/>
      <c r="F69" s="15">
        <f>+'ROR-Model'!F1223</f>
        <v>171694786.80000001</v>
      </c>
      <c r="G69" s="15">
        <f>+'ROR-Model'!G1223</f>
        <v>-171694786.80000001</v>
      </c>
      <c r="H69" s="15">
        <f>+'ROR-Model'!H1223</f>
        <v>0</v>
      </c>
      <c r="I69" s="15">
        <f>+'ROR-Model'!I1223</f>
        <v>0</v>
      </c>
      <c r="J69" s="15">
        <f>+'ROR-Model'!W1223</f>
        <v>0</v>
      </c>
      <c r="K69" s="15"/>
      <c r="L69" s="15">
        <f t="shared" si="23"/>
        <v>0</v>
      </c>
      <c r="M69" s="15"/>
      <c r="N69" s="15"/>
      <c r="O69" s="1101">
        <f t="shared" si="4"/>
        <v>0</v>
      </c>
      <c r="P69" s="1102"/>
      <c r="Q69" s="1">
        <v>158620260.49000001</v>
      </c>
      <c r="R69" s="1">
        <v>-158620260.49000001</v>
      </c>
      <c r="S69" s="1">
        <v>0</v>
      </c>
      <c r="T69" s="1">
        <v>0</v>
      </c>
      <c r="U69" s="1">
        <v>0</v>
      </c>
      <c r="V69" s="1"/>
      <c r="W69" s="1">
        <v>0</v>
      </c>
      <c r="X69" s="1"/>
      <c r="Y69" s="1101">
        <f t="shared" si="5"/>
        <v>0</v>
      </c>
      <c r="Z69" s="1102"/>
      <c r="AA69" s="1">
        <v>143856701.21000001</v>
      </c>
      <c r="AB69" s="1">
        <v>-143856701.21000001</v>
      </c>
      <c r="AC69" s="1">
        <v>0</v>
      </c>
      <c r="AD69" s="1">
        <v>0</v>
      </c>
      <c r="AE69" s="1">
        <v>0</v>
      </c>
      <c r="AF69" s="1"/>
      <c r="AG69" s="1">
        <v>0</v>
      </c>
    </row>
    <row r="70" spans="1:33" ht="12.75" customHeight="1" thickBot="1">
      <c r="A70" s="18">
        <f t="shared" si="21"/>
        <v>49</v>
      </c>
      <c r="C70" s="15"/>
      <c r="D70" s="15" t="s">
        <v>474</v>
      </c>
      <c r="E70" s="300"/>
      <c r="F70" s="15">
        <f>'ROR-Model'!F1263</f>
        <v>29722079.732547671</v>
      </c>
      <c r="G70" s="300">
        <f>'ROR-Model'!G1263</f>
        <v>-474932.37529889186</v>
      </c>
      <c r="H70" s="15">
        <f>'ROR-Model'!H1263</f>
        <v>129938.12965016926</v>
      </c>
      <c r="I70" s="15">
        <f>'ROR-Model'!I1263</f>
        <v>29377085.486898944</v>
      </c>
      <c r="J70" s="15">
        <f>'ROR-Model'!W1263</f>
        <v>28791812.922759619</v>
      </c>
      <c r="K70" s="15"/>
      <c r="L70" s="15">
        <f>SUM(J70:K70)</f>
        <v>28791812.922759619</v>
      </c>
      <c r="M70" s="15">
        <f t="shared" si="18"/>
        <v>0</v>
      </c>
      <c r="N70" s="15">
        <f t="shared" si="24"/>
        <v>29377085.486898948</v>
      </c>
      <c r="O70" s="1101">
        <f t="shared" si="4"/>
        <v>5815721.4603768922</v>
      </c>
      <c r="P70" s="1102">
        <f t="shared" si="6"/>
        <v>0.25312057404970723</v>
      </c>
      <c r="Q70" s="1">
        <v>24063926.261500474</v>
      </c>
      <c r="R70" s="1">
        <v>-545964.63284319453</v>
      </c>
      <c r="S70" s="1">
        <v>65689.750473487366</v>
      </c>
      <c r="T70" s="1">
        <v>23583651.37913077</v>
      </c>
      <c r="U70" s="1">
        <v>22976091.462382726</v>
      </c>
      <c r="V70" s="1"/>
      <c r="W70" s="1">
        <v>22976091.462382726</v>
      </c>
      <c r="X70" s="1"/>
      <c r="Y70" s="1101">
        <f t="shared" si="5"/>
        <v>30922468.229176503</v>
      </c>
      <c r="Z70" s="1102">
        <f>Y70/AE70</f>
        <v>-14.513125673611993</v>
      </c>
      <c r="AA70" s="1">
        <v>-2235435.1941541787</v>
      </c>
      <c r="AB70" s="1">
        <v>47944.500251102363</v>
      </c>
      <c r="AC70" s="1">
        <v>-15088.624436729729</v>
      </c>
      <c r="AD70" s="1">
        <v>-2202579.3183398061</v>
      </c>
      <c r="AE70" s="1">
        <v>-2130655.3064168836</v>
      </c>
      <c r="AF70" s="1"/>
      <c r="AG70" s="1">
        <v>-2130655.3064168836</v>
      </c>
    </row>
    <row r="71" spans="1:33" ht="12.75" customHeight="1">
      <c r="A71" s="18">
        <f t="shared" si="21"/>
        <v>50</v>
      </c>
      <c r="C71" s="26" t="s">
        <v>156</v>
      </c>
      <c r="D71" s="15"/>
      <c r="E71" s="328"/>
      <c r="F71" s="23">
        <f t="shared" ref="F71:L71" si="25">SUM(F59:F70)</f>
        <v>-88754219.767452329</v>
      </c>
      <c r="G71" s="23">
        <f t="shared" si="25"/>
        <v>-133758329.6701369</v>
      </c>
      <c r="H71" s="23">
        <f t="shared" si="25"/>
        <v>129938.12965016926</v>
      </c>
      <c r="I71" s="23">
        <f>SUM(I59:I70)</f>
        <v>-222382611.30793905</v>
      </c>
      <c r="J71" s="23">
        <f>SUM(J59:J70)</f>
        <v>-216519230.44204864</v>
      </c>
      <c r="K71" s="23">
        <f t="shared" si="25"/>
        <v>0</v>
      </c>
      <c r="L71" s="23">
        <f t="shared" si="25"/>
        <v>-216519230.44204864</v>
      </c>
      <c r="M71" s="15">
        <f t="shared" si="18"/>
        <v>0</v>
      </c>
      <c r="N71" s="23">
        <f t="shared" si="24"/>
        <v>-222382611.30793905</v>
      </c>
      <c r="O71" s="1101">
        <f t="shared" si="4"/>
        <v>-16739495.384476572</v>
      </c>
      <c r="P71" s="1102">
        <f t="shared" si="6"/>
        <v>8.3789756652007885E-2</v>
      </c>
      <c r="Q71" s="1">
        <v>-85178048.93849951</v>
      </c>
      <c r="R71" s="1">
        <v>-119665068.00184789</v>
      </c>
      <c r="S71" s="1">
        <v>65689.750473487366</v>
      </c>
      <c r="T71" s="1">
        <v>-204777427.18987393</v>
      </c>
      <c r="U71" s="1">
        <v>-199779735.05757207</v>
      </c>
      <c r="V71" s="1">
        <v>0</v>
      </c>
      <c r="W71" s="1">
        <v>-199779735.05757207</v>
      </c>
      <c r="X71" s="1"/>
      <c r="Y71" s="1101">
        <f t="shared" si="5"/>
        <v>165498.69513991475</v>
      </c>
      <c r="Z71" s="1102">
        <f t="shared" si="7"/>
        <v>-7.6377645900064031E-4</v>
      </c>
      <c r="AA71" s="1">
        <v>-116226113.67415416</v>
      </c>
      <c r="AB71" s="1">
        <v>-106452576.95417026</v>
      </c>
      <c r="AC71" s="1">
        <v>-15088.624436729729</v>
      </c>
      <c r="AD71" s="1">
        <v>-222693779.25276116</v>
      </c>
      <c r="AE71" s="1">
        <v>-216684729.13718855</v>
      </c>
      <c r="AF71" s="1">
        <v>0</v>
      </c>
      <c r="AG71" s="1">
        <v>-216684729.13718855</v>
      </c>
    </row>
    <row r="72" spans="1:33" ht="12.75" customHeight="1" thickBot="1">
      <c r="A72" s="18"/>
      <c r="B72" s="13"/>
      <c r="C72" s="15"/>
      <c r="D72" s="15"/>
      <c r="E72" s="470"/>
      <c r="F72" s="24"/>
      <c r="G72" s="24"/>
      <c r="H72" s="24"/>
      <c r="I72" s="24"/>
      <c r="J72" s="24"/>
      <c r="K72" s="24"/>
      <c r="L72" s="24"/>
      <c r="M72" s="15">
        <f t="shared" si="18"/>
        <v>0</v>
      </c>
      <c r="N72" s="24">
        <f t="shared" si="24"/>
        <v>0</v>
      </c>
      <c r="O72" s="1101">
        <f t="shared" si="4"/>
        <v>0</v>
      </c>
      <c r="P72" s="1102"/>
      <c r="Q72" s="1"/>
      <c r="R72" s="1"/>
      <c r="S72" s="1"/>
      <c r="T72" s="1"/>
      <c r="U72" s="1"/>
      <c r="V72" s="1"/>
      <c r="W72" s="1"/>
      <c r="X72" s="1"/>
      <c r="Y72" s="1101">
        <f t="shared" si="5"/>
        <v>0</v>
      </c>
      <c r="Z72" s="1102"/>
      <c r="AA72" s="1"/>
      <c r="AB72" s="1"/>
      <c r="AC72" s="1"/>
      <c r="AD72" s="1"/>
      <c r="AE72" s="1"/>
      <c r="AF72" s="1"/>
      <c r="AG72" s="1"/>
    </row>
    <row r="73" spans="1:33" ht="12.75" customHeight="1" thickTop="1">
      <c r="A73" s="18"/>
      <c r="B73" s="13"/>
      <c r="C73" s="15"/>
      <c r="D73" s="15"/>
      <c r="E73" s="300"/>
      <c r="F73" s="15"/>
      <c r="G73" s="15"/>
      <c r="H73" s="15"/>
      <c r="I73" s="15"/>
      <c r="J73" s="15"/>
      <c r="K73" s="15"/>
      <c r="L73" s="15"/>
      <c r="M73" s="15">
        <f t="shared" si="18"/>
        <v>0</v>
      </c>
      <c r="N73" s="15">
        <f t="shared" si="24"/>
        <v>0</v>
      </c>
      <c r="O73" s="1101">
        <f t="shared" si="4"/>
        <v>0</v>
      </c>
      <c r="P73" s="1102"/>
      <c r="Q73" s="1"/>
      <c r="R73" s="1"/>
      <c r="S73" s="1"/>
      <c r="T73" s="1"/>
      <c r="U73" s="1"/>
      <c r="V73" s="1"/>
      <c r="W73" s="1"/>
      <c r="X73" s="1"/>
      <c r="Y73" s="1101">
        <f t="shared" si="5"/>
        <v>0</v>
      </c>
      <c r="Z73" s="1102"/>
      <c r="AA73" s="1"/>
      <c r="AB73" s="1"/>
      <c r="AC73" s="1"/>
      <c r="AD73" s="1"/>
      <c r="AE73" s="1"/>
      <c r="AF73" s="1"/>
      <c r="AG73" s="1"/>
    </row>
    <row r="74" spans="1:33" ht="12.75" customHeight="1">
      <c r="A74" s="18">
        <f>+A71+1</f>
        <v>51</v>
      </c>
      <c r="B74" s="26" t="s">
        <v>738</v>
      </c>
      <c r="C74" s="15"/>
      <c r="D74" s="15"/>
      <c r="E74" s="300"/>
      <c r="F74" s="15">
        <f>+F56+F71</f>
        <v>2797093619.8121204</v>
      </c>
      <c r="G74" s="15">
        <f>+G56+G71</f>
        <v>-344740880.82653445</v>
      </c>
      <c r="H74" s="15">
        <f>+H56+H71</f>
        <v>129938.12965016926</v>
      </c>
      <c r="I74" s="15">
        <f>+I56+I71</f>
        <v>2452482677.1152353</v>
      </c>
      <c r="J74" s="15">
        <f>+J56+J71</f>
        <v>2382929666.6207471</v>
      </c>
      <c r="K74" s="15"/>
      <c r="L74" s="15">
        <f>+L56+L71</f>
        <v>2382929666.6207471</v>
      </c>
      <c r="M74" s="15">
        <f t="shared" si="18"/>
        <v>0</v>
      </c>
      <c r="N74" s="15">
        <f t="shared" si="24"/>
        <v>2452482677.1152363</v>
      </c>
      <c r="O74" s="1101">
        <f t="shared" si="4"/>
        <v>203939325.23863888</v>
      </c>
      <c r="P74" s="1102">
        <f t="shared" si="6"/>
        <v>9.3593496660146977E-2</v>
      </c>
      <c r="Q74" s="1">
        <v>2683252522.0510721</v>
      </c>
      <c r="R74" s="1">
        <v>-435666754.79162729</v>
      </c>
      <c r="S74" s="1">
        <v>65689.750473487366</v>
      </c>
      <c r="T74" s="1">
        <v>2247651457.0099182</v>
      </c>
      <c r="U74" s="1">
        <v>2178990341.3821082</v>
      </c>
      <c r="V74" s="1"/>
      <c r="W74" s="1">
        <v>2178990341.3821082</v>
      </c>
      <c r="X74" s="1"/>
      <c r="Y74" s="1101">
        <f t="shared" si="5"/>
        <v>356511308.16581917</v>
      </c>
      <c r="Z74" s="1102">
        <f t="shared" si="7"/>
        <v>0.17593174019487584</v>
      </c>
      <c r="AA74" s="1">
        <v>2320448359.4854178</v>
      </c>
      <c r="AB74" s="1">
        <v>-228761142.09730387</v>
      </c>
      <c r="AC74" s="1">
        <v>-15088.624436729729</v>
      </c>
      <c r="AD74" s="1">
        <v>2091672128.7636769</v>
      </c>
      <c r="AE74" s="1">
        <v>2026418358.4549279</v>
      </c>
      <c r="AF74" s="1"/>
      <c r="AG74" s="1">
        <v>2026418358.4549279</v>
      </c>
    </row>
    <row r="75" spans="1:33" ht="12.75" customHeight="1" thickBot="1">
      <c r="A75" s="7"/>
      <c r="B75" s="154"/>
      <c r="C75" s="154"/>
      <c r="D75" s="154"/>
      <c r="E75" s="471"/>
      <c r="F75" s="154"/>
      <c r="G75" s="154"/>
      <c r="H75" s="154"/>
      <c r="I75" s="154"/>
      <c r="J75" s="154"/>
      <c r="K75" s="154"/>
      <c r="L75" s="154"/>
      <c r="M75" s="15">
        <f t="shared" si="18"/>
        <v>0</v>
      </c>
      <c r="N75" s="154"/>
      <c r="O75" s="1101">
        <f t="shared" si="4"/>
        <v>0</v>
      </c>
      <c r="P75" s="1102"/>
      <c r="Q75" s="1"/>
      <c r="R75" s="1"/>
      <c r="S75" s="1"/>
      <c r="T75" s="1"/>
      <c r="U75" s="1"/>
      <c r="V75" s="1"/>
      <c r="W75" s="1"/>
      <c r="X75" s="1"/>
      <c r="Y75" s="1101">
        <f t="shared" si="5"/>
        <v>0</v>
      </c>
      <c r="Z75" s="1102"/>
      <c r="AA75" s="1"/>
      <c r="AB75" s="1"/>
      <c r="AC75" s="1"/>
      <c r="AD75" s="1"/>
      <c r="AE75" s="1"/>
      <c r="AF75" s="1"/>
      <c r="AG75" s="1"/>
    </row>
    <row r="76" spans="1:33" ht="12.75" customHeight="1">
      <c r="E76" s="1">
        <f>SUM(E13:E74)</f>
        <v>5.1222741603851318E-9</v>
      </c>
      <c r="M76" s="15">
        <f t="shared" si="18"/>
        <v>0</v>
      </c>
      <c r="N76">
        <f>SUM(F76:H76)</f>
        <v>0</v>
      </c>
      <c r="O76" s="1101">
        <f t="shared" si="4"/>
        <v>0</v>
      </c>
      <c r="P76" s="1102"/>
      <c r="Y76" s="1101">
        <f t="shared" si="5"/>
        <v>0</v>
      </c>
      <c r="Z76" s="1102"/>
    </row>
    <row r="77" spans="1:33" ht="12.75" customHeight="1">
      <c r="A77" s="18">
        <f>+A74+1</f>
        <v>52</v>
      </c>
      <c r="B77" s="26" t="s">
        <v>736</v>
      </c>
      <c r="C77" s="15"/>
      <c r="D77" s="15"/>
      <c r="E77" s="27"/>
      <c r="F77" s="27">
        <f>F44/F74</f>
        <v>6.6776478112873308E-2</v>
      </c>
      <c r="G77" s="27"/>
      <c r="H77" s="185"/>
      <c r="I77" s="27">
        <f>I44/I74</f>
        <v>7.1612685972351042E-2</v>
      </c>
      <c r="J77" s="27">
        <f>J44/J74</f>
        <v>7.2114012276154119E-2</v>
      </c>
      <c r="K77" s="27"/>
      <c r="L77" s="27">
        <f>'Capital Str'!H10</f>
        <v>7.4354757464859894E-2</v>
      </c>
      <c r="M77" s="15">
        <f>+N77-I77</f>
        <v>-4.8362078594777341E-3</v>
      </c>
      <c r="N77" s="27">
        <f>SUM(F77:H77)</f>
        <v>6.6776478112873308E-2</v>
      </c>
      <c r="O77" s="1101">
        <f t="shared" si="4"/>
        <v>2.542381622287912E-3</v>
      </c>
      <c r="P77" s="1102">
        <f t="shared" si="6"/>
        <v>3.4192588463346725E-2</v>
      </c>
      <c r="Q77" s="81">
        <v>6.1217180922097575E-2</v>
      </c>
      <c r="R77" s="81"/>
      <c r="S77" s="1066"/>
      <c r="T77" s="81">
        <v>6.916127344903264E-2</v>
      </c>
      <c r="U77" s="81">
        <v>6.9571630653866207E-2</v>
      </c>
      <c r="V77" s="81"/>
      <c r="W77" s="81">
        <v>7.4354757464859894E-2</v>
      </c>
      <c r="X77" s="81"/>
      <c r="Y77" s="1101">
        <f t="shared" si="5"/>
        <v>1.495231221785992E-3</v>
      </c>
      <c r="Z77" s="1102">
        <f t="shared" si="7"/>
        <v>2.1173279961244875E-2</v>
      </c>
      <c r="AA77" s="81">
        <v>7.0692926182225016E-2</v>
      </c>
      <c r="AB77" s="81"/>
      <c r="AC77" s="1066"/>
      <c r="AD77" s="81">
        <v>7.0302718971015532E-2</v>
      </c>
      <c r="AE77" s="81">
        <v>7.0618781054368127E-2</v>
      </c>
      <c r="AF77" s="81"/>
      <c r="AG77" s="81">
        <v>7.4745830942082564E-2</v>
      </c>
    </row>
    <row r="78" spans="1:33" ht="12.75" customHeight="1">
      <c r="A78" s="18"/>
      <c r="B78" s="13"/>
      <c r="C78" s="15"/>
      <c r="D78" s="15"/>
      <c r="E78" s="186"/>
      <c r="F78" s="186"/>
      <c r="G78" s="186"/>
      <c r="H78" s="184"/>
      <c r="I78" s="27"/>
      <c r="J78" s="27"/>
      <c r="K78" s="27"/>
      <c r="L78" s="27"/>
      <c r="M78" s="15"/>
      <c r="N78" s="27">
        <f>SUM(F78:H78)</f>
        <v>0</v>
      </c>
      <c r="O78" s="1101">
        <f t="shared" ref="O78:O79" si="26">J78-U78</f>
        <v>0</v>
      </c>
      <c r="P78" s="1102"/>
      <c r="Q78" s="81"/>
      <c r="R78" s="81"/>
      <c r="S78" s="1066"/>
      <c r="T78" s="81"/>
      <c r="U78" s="81"/>
      <c r="V78" s="81"/>
      <c r="W78" s="81"/>
      <c r="X78" s="81"/>
      <c r="Y78" s="1101">
        <f t="shared" ref="Y78:Y79" si="27">J78-AE78</f>
        <v>0</v>
      </c>
      <c r="Z78" s="1102"/>
      <c r="AA78" s="81"/>
      <c r="AB78" s="81"/>
      <c r="AC78" s="1066"/>
      <c r="AD78" s="81"/>
      <c r="AE78" s="81"/>
      <c r="AF78" s="81"/>
      <c r="AG78" s="81"/>
    </row>
    <row r="79" spans="1:33" ht="12.75" customHeight="1">
      <c r="A79" s="18">
        <f>+A77+1</f>
        <v>53</v>
      </c>
      <c r="B79" s="13" t="s">
        <v>36</v>
      </c>
      <c r="C79" s="15"/>
      <c r="D79" s="15"/>
      <c r="E79" s="27"/>
      <c r="F79" s="27">
        <f>(F77-'Capital Str'!$H$7)/'Capital Str'!$D$9</f>
        <v>8.232184986904631E-2</v>
      </c>
      <c r="G79" s="27"/>
      <c r="H79" s="183"/>
      <c r="I79" s="27">
        <f>(I77-'Capital Str'!$H$7)/'Capital Str'!$D$9</f>
        <v>9.1050794012428118E-2</v>
      </c>
      <c r="J79" s="27">
        <f>(J77-'Capital Str'!$H$7)/'Capital Str'!$D$9</f>
        <v>9.1955645381653114E-2</v>
      </c>
      <c r="K79" s="27"/>
      <c r="L79" s="27">
        <f>'Capital Str'!E9</f>
        <v>9.6000000000000002E-2</v>
      </c>
      <c r="M79" s="15">
        <f>+N79-I79</f>
        <v>-8.7289441433818088E-3</v>
      </c>
      <c r="N79" s="27">
        <f>SUM(F79:H79)</f>
        <v>8.232184986904631E-2</v>
      </c>
      <c r="O79" s="1101">
        <f t="shared" si="26"/>
        <v>4.5887827440295736E-3</v>
      </c>
      <c r="P79" s="1102">
        <f t="shared" ref="P79" si="28">O79/W79</f>
        <v>4.7799820250308059E-2</v>
      </c>
      <c r="Q79" s="81">
        <v>7.2287790940077673E-2</v>
      </c>
      <c r="R79" s="81"/>
      <c r="S79" s="1066"/>
      <c r="T79" s="81">
        <v>8.6626202760317669E-2</v>
      </c>
      <c r="U79" s="81">
        <v>8.7366862637623541E-2</v>
      </c>
      <c r="V79" s="81"/>
      <c r="W79" s="81">
        <v>9.6000000000000002E-2</v>
      </c>
      <c r="X79" s="81"/>
      <c r="Y79" s="1101">
        <f t="shared" si="27"/>
        <v>3.7310538299688695E-3</v>
      </c>
      <c r="Z79" s="1102">
        <f t="shared" ref="Z79" si="29">Y79/AE79</f>
        <v>4.2290406386105192E-2</v>
      </c>
      <c r="AA79" s="81">
        <v>8.8346316158691887E-2</v>
      </c>
      <c r="AB79" s="81"/>
      <c r="AC79" s="1066"/>
      <c r="AD79" s="81">
        <v>8.7705710082353283E-2</v>
      </c>
      <c r="AE79" s="81">
        <v>8.8224591551684245E-2</v>
      </c>
      <c r="AF79" s="81"/>
      <c r="AG79" s="81">
        <v>9.5000000000000001E-2</v>
      </c>
    </row>
    <row r="80" spans="1:33" ht="12.75" customHeight="1"/>
    <row r="81" spans="12:12" ht="12.75" customHeight="1"/>
    <row r="83" spans="12:12">
      <c r="L83" s="1017"/>
    </row>
    <row r="142" ht="6.95" customHeight="1"/>
    <row r="143" ht="6.95" customHeight="1"/>
    <row r="145" ht="6.95" customHeight="1"/>
    <row r="146" ht="6.95" customHeight="1"/>
    <row r="171" ht="6.95" customHeight="1"/>
    <row r="172" ht="6.95" customHeight="1"/>
  </sheetData>
  <mergeCells count="2">
    <mergeCell ref="B5:D5"/>
    <mergeCell ref="B8:D8"/>
  </mergeCell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859393" r:id="rId4" name="Button 1">
              <controlPr defaultSize="0" print="0" autoFill="0" autoPict="0" macro="[0]!Macro5">
                <anchor moveWithCells="1" sizeWithCells="1">
                  <from>
                    <xdr:col>3</xdr:col>
                    <xdr:colOff>1752600</xdr:colOff>
                    <xdr:row>0</xdr:row>
                    <xdr:rowOff>9525</xdr:rowOff>
                  </from>
                  <to>
                    <xdr:col>3</xdr:col>
                    <xdr:colOff>1752600</xdr:colOff>
                    <xdr:row>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394" r:id="rId5" name="Button 2">
              <controlPr defaultSize="0" print="0" autoFill="0" autoPict="0">
                <anchor moveWithCells="1" sizeWithCells="1">
                  <from>
                    <xdr:col>3</xdr:col>
                    <xdr:colOff>2505075</xdr:colOff>
                    <xdr:row>34</xdr:row>
                    <xdr:rowOff>38100</xdr:rowOff>
                  </from>
                  <to>
                    <xdr:col>3</xdr:col>
                    <xdr:colOff>2505075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395" r:id="rId6" name="Button 3">
              <controlPr defaultSize="0" print="0" autoFill="0" autoPict="0" macro="[0]!Macro5">
                <anchor moveWithCells="1" sizeWithCells="1">
                  <from>
                    <xdr:col>3</xdr:col>
                    <xdr:colOff>1752600</xdr:colOff>
                    <xdr:row>0</xdr:row>
                    <xdr:rowOff>9525</xdr:rowOff>
                  </from>
                  <to>
                    <xdr:col>3</xdr:col>
                    <xdr:colOff>1752600</xdr:colOff>
                    <xdr:row>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396" r:id="rId7" name="Button 4">
              <controlPr defaultSize="0" print="0" autoFill="0" autoPict="0">
                <anchor moveWithCells="1" sizeWithCells="1">
                  <from>
                    <xdr:col>3</xdr:col>
                    <xdr:colOff>2505075</xdr:colOff>
                    <xdr:row>34</xdr:row>
                    <xdr:rowOff>38100</xdr:rowOff>
                  </from>
                  <to>
                    <xdr:col>3</xdr:col>
                    <xdr:colOff>2505075</xdr:colOff>
                    <xdr:row>34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92D050"/>
    <pageSetUpPr fitToPage="1"/>
  </sheetPr>
  <dimension ref="A1:G26"/>
  <sheetViews>
    <sheetView zoomScale="90" zoomScaleNormal="90" workbookViewId="0">
      <selection activeCell="C25" sqref="C25"/>
    </sheetView>
  </sheetViews>
  <sheetFormatPr defaultRowHeight="12.75"/>
  <cols>
    <col min="1" max="1" width="22.28515625" style="63" customWidth="1"/>
    <col min="2" max="2" width="32" style="63" bestFit="1" customWidth="1"/>
    <col min="3" max="3" width="18.5703125" style="63" customWidth="1"/>
    <col min="4" max="4" width="12.5703125" bestFit="1" customWidth="1"/>
  </cols>
  <sheetData>
    <row r="1" spans="1:7">
      <c r="A1" s="1039" t="s">
        <v>1200</v>
      </c>
      <c r="B1" s="985"/>
      <c r="C1" s="985"/>
    </row>
    <row r="2" spans="1:7">
      <c r="A2" s="1024" t="s">
        <v>1043</v>
      </c>
      <c r="B2" s="985"/>
      <c r="C2" s="1025"/>
    </row>
    <row r="3" spans="1:7" ht="25.5">
      <c r="A3" s="987" t="str">
        <f>'Control Panel'!B2</f>
        <v>Utah - June 2023 Adjusted Avg Results</v>
      </c>
      <c r="B3" s="985"/>
      <c r="C3" s="331" t="s">
        <v>1487</v>
      </c>
    </row>
    <row r="4" spans="1:7">
      <c r="A4" s="987" t="str">
        <f>'Control Panel'!B3</f>
        <v>12 Months Ended : Jun-2023</v>
      </c>
      <c r="B4" s="985"/>
      <c r="C4" s="1040"/>
    </row>
    <row r="5" spans="1:7">
      <c r="A5" s="12"/>
      <c r="B5" s="985"/>
      <c r="C5" s="985"/>
    </row>
    <row r="6" spans="1:7">
      <c r="A6" s="1028"/>
      <c r="B6" s="985"/>
      <c r="C6" s="985"/>
    </row>
    <row r="7" spans="1:7">
      <c r="A7" s="1028"/>
      <c r="B7" s="985"/>
      <c r="C7" s="985"/>
    </row>
    <row r="8" spans="1:7">
      <c r="A8" s="985"/>
      <c r="B8" s="985"/>
      <c r="C8" s="985"/>
    </row>
    <row r="9" spans="1:7">
      <c r="A9" s="985"/>
      <c r="B9" s="985"/>
      <c r="C9" s="985"/>
    </row>
    <row r="10" spans="1:7">
      <c r="A10" s="985"/>
      <c r="B10" s="985"/>
      <c r="C10" s="985"/>
    </row>
    <row r="11" spans="1:7" ht="13.5" thickBot="1">
      <c r="A11" s="1028"/>
      <c r="B11" s="1041" t="s">
        <v>732</v>
      </c>
      <c r="C11" s="1041" t="s">
        <v>733</v>
      </c>
    </row>
    <row r="12" spans="1:7">
      <c r="A12" s="1028"/>
      <c r="B12" s="985"/>
      <c r="C12" s="1042"/>
    </row>
    <row r="13" spans="1:7">
      <c r="A13" s="1028"/>
      <c r="B13" s="985"/>
      <c r="C13" s="1042"/>
    </row>
    <row r="14" spans="1:7">
      <c r="A14" s="1025"/>
      <c r="B14" s="985"/>
      <c r="C14" s="1042"/>
    </row>
    <row r="15" spans="1:7">
      <c r="A15" s="1028">
        <v>1</v>
      </c>
      <c r="B15" s="985" t="s">
        <v>1194</v>
      </c>
      <c r="C15" s="808">
        <v>42576806.288911998</v>
      </c>
    </row>
    <row r="16" spans="1:7">
      <c r="A16" s="1028">
        <v>2</v>
      </c>
      <c r="B16" s="985" t="s">
        <v>1195</v>
      </c>
      <c r="C16" s="808">
        <f>-'Rate Base'!AC260</f>
        <v>-157260994.34208333</v>
      </c>
      <c r="G16">
        <f>'Rate Base'!V271*-1</f>
        <v>0</v>
      </c>
    </row>
    <row r="17" spans="1:4">
      <c r="A17" s="84">
        <v>3</v>
      </c>
      <c r="B17" s="63" t="s">
        <v>1196</v>
      </c>
      <c r="C17" s="1070">
        <f t="shared" ref="C17" si="0">SUM(C15:C16)</f>
        <v>-114684188.05317134</v>
      </c>
    </row>
    <row r="19" spans="1:4">
      <c r="A19" s="1028">
        <v>4</v>
      </c>
      <c r="B19" s="985" t="s">
        <v>1197</v>
      </c>
      <c r="C19" s="1092">
        <f>C21-C20</f>
        <v>8198932.6521643</v>
      </c>
    </row>
    <row r="20" spans="1:4">
      <c r="A20" s="1028">
        <v>5</v>
      </c>
      <c r="B20" s="985" t="s">
        <v>1198</v>
      </c>
      <c r="C20" s="1092">
        <f>'ROR-Model'!N2*C21</f>
        <v>255585.45783569937</v>
      </c>
    </row>
    <row r="21" spans="1:4">
      <c r="A21" s="1028">
        <v>6</v>
      </c>
      <c r="B21" s="985" t="s">
        <v>1199</v>
      </c>
      <c r="C21" s="1093">
        <f>[31]Summary!$J$60*-1</f>
        <v>8454518.1099999994</v>
      </c>
      <c r="D21" s="130"/>
    </row>
    <row r="22" spans="1:4">
      <c r="A22" s="1043"/>
      <c r="B22" s="1044"/>
      <c r="C22" s="1044"/>
    </row>
    <row r="23" spans="1:4">
      <c r="A23" s="1028"/>
      <c r="B23" s="1036"/>
      <c r="C23" s="985"/>
    </row>
    <row r="24" spans="1:4">
      <c r="A24" s="1028"/>
      <c r="B24" s="1036"/>
      <c r="C24" s="985"/>
    </row>
    <row r="25" spans="1:4">
      <c r="A25" s="1028"/>
      <c r="B25" s="985"/>
      <c r="C25" s="985"/>
    </row>
    <row r="26" spans="1:4">
      <c r="A26" s="1028"/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">
    <tabColor rgb="FF92D050"/>
  </sheetPr>
  <dimension ref="A1:R621"/>
  <sheetViews>
    <sheetView zoomScale="80" zoomScaleNormal="80" workbookViewId="0">
      <selection activeCell="R331" sqref="R331"/>
    </sheetView>
  </sheetViews>
  <sheetFormatPr defaultRowHeight="12.75"/>
  <cols>
    <col min="1" max="1" width="5.7109375" customWidth="1"/>
    <col min="2" max="2" width="21" customWidth="1"/>
    <col min="3" max="3" width="5.7109375" customWidth="1"/>
    <col min="4" max="4" width="62.28515625" customWidth="1"/>
    <col min="5" max="5" width="6.28515625" customWidth="1"/>
    <col min="6" max="6" width="17.85546875" bestFit="1" customWidth="1"/>
    <col min="7" max="7" width="16.28515625" customWidth="1"/>
    <col min="8" max="8" width="3.140625" customWidth="1"/>
    <col min="9" max="9" width="16.28515625" customWidth="1"/>
    <col min="10" max="10" width="1.5703125" customWidth="1"/>
    <col min="11" max="11" width="13.28515625" customWidth="1"/>
    <col min="12" max="12" width="35.42578125" customWidth="1"/>
    <col min="13" max="13" width="18.5703125" customWidth="1"/>
    <col min="14" max="14" width="17.85546875" customWidth="1"/>
    <col min="15" max="17" width="13.85546875" customWidth="1"/>
    <col min="18" max="18" width="12.85546875" customWidth="1"/>
    <col min="19" max="19" width="15.5703125" bestFit="1" customWidth="1"/>
  </cols>
  <sheetData>
    <row r="1" spans="1:13">
      <c r="A1" s="12" t="s">
        <v>440</v>
      </c>
      <c r="B1" s="53"/>
      <c r="C1" s="53"/>
      <c r="D1" s="53"/>
      <c r="E1" s="15"/>
      <c r="G1" s="2"/>
      <c r="I1" s="2"/>
    </row>
    <row r="2" spans="1:13">
      <c r="A2" s="12" t="str">
        <f>'Control Panel'!$B$1</f>
        <v>Dominion Energy</v>
      </c>
      <c r="B2" s="53"/>
      <c r="C2" s="53"/>
      <c r="D2" s="53"/>
      <c r="E2" s="15"/>
      <c r="G2" s="2"/>
      <c r="I2" s="2"/>
    </row>
    <row r="3" spans="1:13">
      <c r="A3" s="12" t="str">
        <f>'Control Panel'!$B$2</f>
        <v>Utah - June 2023 Adjusted Avg Results</v>
      </c>
      <c r="B3" s="15"/>
      <c r="C3" s="14"/>
      <c r="D3" s="53"/>
      <c r="E3" s="15"/>
      <c r="G3" s="2"/>
      <c r="I3" s="2"/>
    </row>
    <row r="4" spans="1:13">
      <c r="A4" s="12" t="str">
        <f>'Control Panel'!$B$3</f>
        <v>12 Months Ended : Jun-2023</v>
      </c>
      <c r="B4" s="15"/>
      <c r="C4" s="15"/>
      <c r="D4" s="15"/>
      <c r="E4" s="15"/>
      <c r="G4" s="2"/>
      <c r="H4" s="2"/>
      <c r="I4" s="2"/>
    </row>
    <row r="5" spans="1:13">
      <c r="A5" s="45" t="str">
        <f>IF('Control Panel'!$B$4="","",'Control Panel'!$B$4)</f>
        <v>Capital Structure : AVG CAP STR</v>
      </c>
      <c r="B5" s="15"/>
      <c r="C5" s="15"/>
      <c r="D5" s="15"/>
      <c r="E5" s="15"/>
      <c r="H5" s="92"/>
    </row>
    <row r="6" spans="1:13">
      <c r="A6" s="136"/>
      <c r="B6" s="47"/>
      <c r="C6" s="47"/>
      <c r="D6" s="47"/>
      <c r="E6" s="47"/>
      <c r="F6" s="804"/>
      <c r="H6" s="3"/>
    </row>
    <row r="7" spans="1:13" ht="35.25" customHeight="1">
      <c r="A7" s="377"/>
      <c r="B7" s="378"/>
      <c r="C7" s="378"/>
      <c r="D7" s="378"/>
      <c r="E7" s="378"/>
      <c r="F7" s="63"/>
      <c r="G7" s="559"/>
      <c r="H7" s="71"/>
      <c r="I7" s="559"/>
      <c r="J7" s="71"/>
      <c r="K7" s="71"/>
    </row>
    <row r="8" spans="1:13" ht="91.5" customHeight="1">
      <c r="A8" s="349"/>
      <c r="B8" s="350"/>
      <c r="C8" s="350"/>
      <c r="E8" s="517"/>
      <c r="F8" s="804" t="s">
        <v>1276</v>
      </c>
      <c r="G8" s="804" t="s">
        <v>1276</v>
      </c>
      <c r="H8" s="329"/>
      <c r="I8" s="560" t="s">
        <v>805</v>
      </c>
      <c r="J8" s="353"/>
      <c r="K8" s="594">
        <v>1</v>
      </c>
    </row>
    <row r="9" spans="1:13" ht="13.5" thickBot="1">
      <c r="A9" s="134" t="s">
        <v>775</v>
      </c>
      <c r="B9" s="135"/>
      <c r="C9" s="1111" t="s">
        <v>776</v>
      </c>
      <c r="D9" s="1111"/>
      <c r="E9" s="105"/>
      <c r="F9" s="20"/>
      <c r="G9" s="282"/>
      <c r="H9" s="233"/>
      <c r="I9" s="282"/>
      <c r="J9" s="234"/>
      <c r="K9" s="3">
        <f>+K8+1</f>
        <v>2</v>
      </c>
    </row>
    <row r="10" spans="1:13">
      <c r="A10" s="136"/>
      <c r="B10" s="47"/>
      <c r="C10" s="47"/>
      <c r="D10" s="47"/>
      <c r="E10" s="47"/>
      <c r="H10" s="52"/>
      <c r="J10" s="47"/>
      <c r="K10" s="3">
        <f t="shared" ref="K10:K73" si="0">+K9+1</f>
        <v>3</v>
      </c>
    </row>
    <row r="11" spans="1:13">
      <c r="A11" s="1129" t="s">
        <v>777</v>
      </c>
      <c r="B11" s="1129"/>
      <c r="C11" s="1129"/>
      <c r="D11" s="1129"/>
      <c r="E11" s="176"/>
      <c r="F11" s="1">
        <f>+F363+F365</f>
        <v>1052743730.5261838</v>
      </c>
      <c r="G11" s="301">
        <f>HLOOKUP($G$8,RevenueScenarios,K11,FALSE)</f>
        <v>1052743730.5261838</v>
      </c>
      <c r="H11" s="3"/>
      <c r="I11" s="301">
        <f>+I362+I364</f>
        <v>0</v>
      </c>
      <c r="J11" s="1"/>
      <c r="K11" s="3">
        <f t="shared" si="0"/>
        <v>4</v>
      </c>
      <c r="L11" s="1">
        <f>+L363+L365</f>
        <v>510903480.74925363</v>
      </c>
      <c r="M11" s="1">
        <f>L11-F11</f>
        <v>-541840249.77693021</v>
      </c>
    </row>
    <row r="12" spans="1:13">
      <c r="A12" s="1129" t="s">
        <v>11</v>
      </c>
      <c r="B12" s="1129"/>
      <c r="C12" s="1129"/>
      <c r="D12" s="1129"/>
      <c r="E12" s="176"/>
      <c r="F12" s="266"/>
      <c r="G12" s="561"/>
      <c r="H12" s="267"/>
      <c r="I12" s="561"/>
      <c r="J12" s="12"/>
      <c r="K12" s="3">
        <f t="shared" si="0"/>
        <v>5</v>
      </c>
      <c r="L12" s="1037"/>
      <c r="M12" s="1">
        <f t="shared" ref="M12:M75" si="1">L12-F12</f>
        <v>0</v>
      </c>
    </row>
    <row r="13" spans="1:13">
      <c r="A13" s="136"/>
      <c r="B13" s="47"/>
      <c r="C13" s="47"/>
      <c r="D13" s="47"/>
      <c r="E13" s="47"/>
      <c r="F13" s="558"/>
      <c r="G13" s="3"/>
      <c r="H13" s="3"/>
      <c r="I13" s="3"/>
      <c r="J13" s="47"/>
      <c r="K13" s="3">
        <f t="shared" si="0"/>
        <v>6</v>
      </c>
      <c r="L13" s="301"/>
      <c r="M13" s="1">
        <f t="shared" si="1"/>
        <v>0</v>
      </c>
    </row>
    <row r="14" spans="1:13">
      <c r="A14" s="116" t="s">
        <v>12</v>
      </c>
      <c r="B14" s="14"/>
      <c r="C14" s="15"/>
      <c r="D14" s="47"/>
      <c r="E14" s="47"/>
      <c r="F14" s="558"/>
      <c r="G14" s="3"/>
      <c r="H14" s="3"/>
      <c r="I14" s="3"/>
      <c r="J14" s="49"/>
      <c r="K14" s="3">
        <f t="shared" si="0"/>
        <v>7</v>
      </c>
      <c r="L14" s="301"/>
      <c r="M14" s="1">
        <f t="shared" si="1"/>
        <v>0</v>
      </c>
    </row>
    <row r="15" spans="1:13">
      <c r="A15" s="136"/>
      <c r="B15" s="32" t="s">
        <v>806</v>
      </c>
      <c r="C15" s="15" t="s">
        <v>14</v>
      </c>
      <c r="D15" s="47"/>
      <c r="E15" s="47"/>
      <c r="F15" s="558">
        <f>'Booked June 2023 Rev'!$T$15</f>
        <v>417385871.17000008</v>
      </c>
      <c r="G15" s="301">
        <f>HLOOKUP($G$8,RevenueScenarios,K15,FALSE)</f>
        <v>417385871.17000008</v>
      </c>
      <c r="H15" s="7"/>
      <c r="I15" s="301">
        <f>G15-F15</f>
        <v>0</v>
      </c>
      <c r="J15" s="7"/>
      <c r="K15" s="3">
        <f t="shared" si="0"/>
        <v>8</v>
      </c>
      <c r="L15" s="301">
        <f>'[32]Booked Dec 2018 Rev'!$T$15</f>
        <v>320787573.88</v>
      </c>
      <c r="M15" s="1">
        <f t="shared" si="1"/>
        <v>-96598297.290000081</v>
      </c>
    </row>
    <row r="16" spans="1:13">
      <c r="A16" s="136"/>
      <c r="B16" s="32"/>
      <c r="C16" s="15"/>
      <c r="D16" s="47"/>
      <c r="E16" s="47"/>
      <c r="F16" s="558"/>
      <c r="G16" s="301"/>
      <c r="H16" s="7"/>
      <c r="I16" s="301"/>
      <c r="J16" s="7"/>
      <c r="K16" s="3">
        <f t="shared" si="0"/>
        <v>9</v>
      </c>
      <c r="L16" s="301"/>
      <c r="M16" s="1">
        <f t="shared" si="1"/>
        <v>0</v>
      </c>
    </row>
    <row r="17" spans="1:13">
      <c r="A17" s="136"/>
      <c r="B17" s="32"/>
      <c r="C17" s="15" t="s">
        <v>15</v>
      </c>
      <c r="D17" s="47"/>
      <c r="E17" s="47"/>
      <c r="F17" s="558">
        <f>'Booked June 2023 Rev'!$T$17</f>
        <v>97822065.770000011</v>
      </c>
      <c r="G17" s="301">
        <f>HLOOKUP($G$8,RevenueScenarios,K17,FALSE)</f>
        <v>97822065.770000011</v>
      </c>
      <c r="H17" s="7"/>
      <c r="I17" s="301">
        <f>G17-F17</f>
        <v>0</v>
      </c>
      <c r="J17" s="7"/>
      <c r="K17" s="3">
        <f t="shared" si="0"/>
        <v>10</v>
      </c>
      <c r="L17" s="301">
        <f>'[32]Booked Dec 2018 Rev'!$T$17</f>
        <v>104955704.50999999</v>
      </c>
      <c r="M17" s="1">
        <f t="shared" si="1"/>
        <v>7133638.7399999797</v>
      </c>
    </row>
    <row r="18" spans="1:13">
      <c r="A18" s="136"/>
      <c r="B18" s="32"/>
      <c r="C18" s="15"/>
      <c r="D18" s="47"/>
      <c r="E18" s="47"/>
      <c r="F18" s="558"/>
      <c r="G18" s="301"/>
      <c r="H18" s="7"/>
      <c r="I18" s="301"/>
      <c r="J18" s="7"/>
      <c r="K18" s="3">
        <f t="shared" si="0"/>
        <v>11</v>
      </c>
      <c r="L18" s="301"/>
      <c r="M18" s="1">
        <f t="shared" si="1"/>
        <v>0</v>
      </c>
    </row>
    <row r="19" spans="1:13">
      <c r="A19" s="136"/>
      <c r="B19" s="32"/>
      <c r="C19" s="15" t="s">
        <v>16</v>
      </c>
      <c r="D19" s="47"/>
      <c r="E19" s="47"/>
      <c r="F19" s="558">
        <f>'Booked June 2023 Rev'!$T$19</f>
        <v>896100630.36999989</v>
      </c>
      <c r="G19" s="301">
        <f>HLOOKUP($G$8,RevenueScenarios,K19,FALSE)</f>
        <v>896100630.36999989</v>
      </c>
      <c r="H19" s="7"/>
      <c r="I19" s="301">
        <f>G19-F19</f>
        <v>0</v>
      </c>
      <c r="J19" s="7"/>
      <c r="K19" s="3">
        <f t="shared" si="0"/>
        <v>12</v>
      </c>
      <c r="L19" s="301">
        <f>'[32]Booked Dec 2018 Rev'!$T$19</f>
        <v>369426321.50999999</v>
      </c>
      <c r="M19" s="1">
        <f t="shared" si="1"/>
        <v>-526674308.8599999</v>
      </c>
    </row>
    <row r="20" spans="1:13">
      <c r="A20" s="136"/>
      <c r="B20" s="32"/>
      <c r="C20" s="15" t="s">
        <v>17</v>
      </c>
      <c r="D20" s="47"/>
      <c r="E20" s="47"/>
      <c r="F20" s="562">
        <f>SUM(F15:F19)</f>
        <v>1411308567.3099999</v>
      </c>
      <c r="G20" s="323">
        <f>HLOOKUP($G$8,RevenueScenarios,K20,FALSE)</f>
        <v>1411308567.3099999</v>
      </c>
      <c r="H20" s="140"/>
      <c r="I20" s="323">
        <f>G20-F20</f>
        <v>0</v>
      </c>
      <c r="J20" s="7"/>
      <c r="K20" s="3">
        <f t="shared" si="0"/>
        <v>13</v>
      </c>
      <c r="L20" s="323">
        <f>'[32]Booked Dec 2018 Rev'!$T$21</f>
        <v>1017004.25</v>
      </c>
      <c r="M20" s="1">
        <f t="shared" si="1"/>
        <v>-1410291563.0599999</v>
      </c>
    </row>
    <row r="21" spans="1:13">
      <c r="A21" s="136"/>
      <c r="B21" s="32"/>
      <c r="C21" s="15"/>
      <c r="D21" s="47"/>
      <c r="E21" s="47"/>
      <c r="F21" s="558"/>
      <c r="G21" s="301"/>
      <c r="H21" s="7"/>
      <c r="I21" s="301"/>
      <c r="J21" s="7"/>
      <c r="K21" s="3">
        <f t="shared" si="0"/>
        <v>14</v>
      </c>
      <c r="L21" s="301"/>
      <c r="M21" s="1">
        <f t="shared" si="1"/>
        <v>0</v>
      </c>
    </row>
    <row r="22" spans="1:13">
      <c r="A22" s="136"/>
      <c r="B22" s="32"/>
      <c r="C22" s="15" t="s">
        <v>18</v>
      </c>
      <c r="D22" s="47"/>
      <c r="E22" s="47"/>
      <c r="F22" s="558">
        <f>'Booked June 2023 Rev'!$T$22</f>
        <v>121459397.234</v>
      </c>
      <c r="G22" s="301">
        <f>HLOOKUP($G$8,RevenueScenarios,K22,FALSE)</f>
        <v>121459397.234</v>
      </c>
      <c r="H22" s="7"/>
      <c r="I22" s="301">
        <f>G22-F22</f>
        <v>0</v>
      </c>
      <c r="J22" s="7"/>
      <c r="K22" s="3">
        <f t="shared" si="0"/>
        <v>15</v>
      </c>
      <c r="L22" s="301">
        <f>'[32]Booked Dec 2018 Rev'!$T$22</f>
        <v>97853908.929999977</v>
      </c>
      <c r="M22" s="1">
        <f t="shared" si="1"/>
        <v>-23605488.30400002</v>
      </c>
    </row>
    <row r="23" spans="1:13">
      <c r="A23" s="136"/>
      <c r="B23" s="32"/>
      <c r="C23" s="15"/>
      <c r="D23" s="47"/>
      <c r="E23" s="47"/>
      <c r="F23" s="558"/>
      <c r="G23" s="301"/>
      <c r="H23" s="7"/>
      <c r="I23" s="301"/>
      <c r="J23" s="7"/>
      <c r="K23" s="3">
        <f t="shared" si="0"/>
        <v>16</v>
      </c>
      <c r="L23" s="301"/>
      <c r="M23" s="1">
        <f t="shared" si="1"/>
        <v>0</v>
      </c>
    </row>
    <row r="24" spans="1:13">
      <c r="A24" s="136"/>
      <c r="B24" s="32" t="s">
        <v>216</v>
      </c>
      <c r="C24" s="15" t="s">
        <v>14</v>
      </c>
      <c r="D24" s="47"/>
      <c r="E24" s="47"/>
      <c r="F24" s="558">
        <f>'Booked June 2023 Rev'!$T$24</f>
        <v>0</v>
      </c>
      <c r="G24" s="301">
        <f>HLOOKUP($G$8,RevenueScenarios,K24,FALSE)</f>
        <v>0</v>
      </c>
      <c r="H24" s="7"/>
      <c r="I24" s="301">
        <f>G24-F24</f>
        <v>0</v>
      </c>
      <c r="J24" s="7"/>
      <c r="K24" s="3">
        <f t="shared" si="0"/>
        <v>17</v>
      </c>
      <c r="L24" s="301">
        <f>'[32]Booked Dec 2018 Rev'!$T$24</f>
        <v>0</v>
      </c>
      <c r="M24" s="1">
        <f t="shared" si="1"/>
        <v>0</v>
      </c>
    </row>
    <row r="25" spans="1:13">
      <c r="A25" s="136"/>
      <c r="B25" s="32"/>
      <c r="C25" s="15"/>
      <c r="D25" s="47"/>
      <c r="E25" s="47"/>
      <c r="F25" s="558"/>
      <c r="G25" s="301"/>
      <c r="H25" s="7"/>
      <c r="I25" s="301"/>
      <c r="J25" s="7"/>
      <c r="K25" s="3">
        <f t="shared" si="0"/>
        <v>18</v>
      </c>
      <c r="L25" s="301"/>
      <c r="M25" s="1">
        <f t="shared" si="1"/>
        <v>0</v>
      </c>
    </row>
    <row r="26" spans="1:13">
      <c r="A26" s="136"/>
      <c r="B26" s="32"/>
      <c r="C26" s="15" t="s">
        <v>15</v>
      </c>
      <c r="D26" s="47"/>
      <c r="E26" s="47"/>
      <c r="F26" s="558">
        <f>'Booked June 2023 Rev'!$T$26</f>
        <v>0</v>
      </c>
      <c r="G26" s="301">
        <f>HLOOKUP($G$8,RevenueScenarios,K26,FALSE)</f>
        <v>0</v>
      </c>
      <c r="H26" s="7"/>
      <c r="I26" s="301">
        <f>G26-F26</f>
        <v>0</v>
      </c>
      <c r="J26" s="7"/>
      <c r="K26" s="3">
        <f t="shared" si="0"/>
        <v>19</v>
      </c>
      <c r="L26" s="301">
        <f>'[32]Booked Dec 2018 Rev'!$T$26</f>
        <v>0</v>
      </c>
      <c r="M26" s="1">
        <f t="shared" si="1"/>
        <v>0</v>
      </c>
    </row>
    <row r="27" spans="1:13">
      <c r="A27" s="136"/>
      <c r="B27" s="32"/>
      <c r="C27" s="15"/>
      <c r="D27" s="47"/>
      <c r="E27" s="47"/>
      <c r="F27" s="558"/>
      <c r="G27" s="301"/>
      <c r="H27" s="7"/>
      <c r="I27" s="301"/>
      <c r="J27" s="7"/>
      <c r="K27" s="3">
        <f t="shared" si="0"/>
        <v>20</v>
      </c>
      <c r="L27" s="301"/>
      <c r="M27" s="1">
        <f t="shared" si="1"/>
        <v>0</v>
      </c>
    </row>
    <row r="28" spans="1:13">
      <c r="A28" s="136"/>
      <c r="B28" s="32"/>
      <c r="C28" s="15" t="s">
        <v>16</v>
      </c>
      <c r="D28" s="47"/>
      <c r="E28" s="47"/>
      <c r="F28" s="558">
        <f>'Booked June 2023 Rev'!$T$28</f>
        <v>0</v>
      </c>
      <c r="G28" s="301">
        <f>HLOOKUP($G$8,RevenueScenarios,K28,FALSE)</f>
        <v>0</v>
      </c>
      <c r="H28" s="7"/>
      <c r="I28" s="301">
        <f>G28-F28</f>
        <v>0</v>
      </c>
      <c r="J28" s="7"/>
      <c r="K28" s="3">
        <f t="shared" si="0"/>
        <v>21</v>
      </c>
      <c r="L28" s="301">
        <f>'[32]Booked Dec 2018 Rev'!$T$28</f>
        <v>0</v>
      </c>
      <c r="M28" s="1">
        <f t="shared" si="1"/>
        <v>0</v>
      </c>
    </row>
    <row r="29" spans="1:13">
      <c r="A29" s="136"/>
      <c r="B29" s="32"/>
      <c r="C29" s="15" t="s">
        <v>17</v>
      </c>
      <c r="D29" s="47"/>
      <c r="E29" s="47"/>
      <c r="F29" s="562">
        <f>'Booked June 2023 Rev'!$T$29</f>
        <v>0</v>
      </c>
      <c r="G29" s="323">
        <f>HLOOKUP($G$8,RevenueScenarios,K29,FALSE)</f>
        <v>0</v>
      </c>
      <c r="H29" s="140"/>
      <c r="I29" s="323">
        <f>G29-F29</f>
        <v>0</v>
      </c>
      <c r="J29" s="7"/>
      <c r="K29" s="3">
        <f t="shared" si="0"/>
        <v>22</v>
      </c>
      <c r="L29" s="323">
        <f>'[32]Booked Dec 2018 Rev'!$T$29</f>
        <v>0</v>
      </c>
      <c r="M29" s="1">
        <f t="shared" si="1"/>
        <v>0</v>
      </c>
    </row>
    <row r="30" spans="1:13">
      <c r="A30" s="136"/>
      <c r="B30" s="32"/>
      <c r="C30" s="15"/>
      <c r="D30" s="47"/>
      <c r="E30" s="47"/>
      <c r="F30" s="558"/>
      <c r="G30" s="301"/>
      <c r="H30" s="7"/>
      <c r="I30" s="301"/>
      <c r="J30" s="7"/>
      <c r="K30" s="3">
        <f t="shared" si="0"/>
        <v>23</v>
      </c>
      <c r="L30" s="301"/>
      <c r="M30" s="1">
        <f t="shared" si="1"/>
        <v>0</v>
      </c>
    </row>
    <row r="31" spans="1:13">
      <c r="A31" s="136"/>
      <c r="B31" s="32"/>
      <c r="C31" s="15" t="s">
        <v>18</v>
      </c>
      <c r="D31" s="47"/>
      <c r="E31" s="47"/>
      <c r="F31" s="558">
        <f>'Booked June 2023 Rev'!$T$31</f>
        <v>0</v>
      </c>
      <c r="G31" s="301">
        <f>HLOOKUP($G$8,RevenueScenarios,K31,FALSE)</f>
        <v>0</v>
      </c>
      <c r="H31" s="7"/>
      <c r="I31" s="301">
        <f>G31-F31</f>
        <v>0</v>
      </c>
      <c r="J31" s="7"/>
      <c r="K31" s="3">
        <f t="shared" si="0"/>
        <v>24</v>
      </c>
      <c r="L31" s="301">
        <f>'[32]Booked Dec 2018 Rev'!$T$31</f>
        <v>0</v>
      </c>
      <c r="M31" s="1">
        <f t="shared" si="1"/>
        <v>0</v>
      </c>
    </row>
    <row r="32" spans="1:13">
      <c r="A32" s="136"/>
      <c r="B32" s="58"/>
      <c r="E32" s="47"/>
      <c r="F32" s="558"/>
      <c r="G32" s="301"/>
      <c r="H32" s="7"/>
      <c r="I32" s="301"/>
      <c r="J32" s="7"/>
      <c r="K32" s="3">
        <f t="shared" si="0"/>
        <v>25</v>
      </c>
      <c r="L32" s="301"/>
      <c r="M32" s="1">
        <f t="shared" si="1"/>
        <v>0</v>
      </c>
    </row>
    <row r="33" spans="1:13">
      <c r="A33" s="136"/>
      <c r="B33" s="32" t="s">
        <v>744</v>
      </c>
      <c r="C33" s="15" t="s">
        <v>14</v>
      </c>
      <c r="D33" s="47"/>
      <c r="E33" s="47"/>
      <c r="F33" s="558">
        <f>'Booked June 2023 Rev'!$T$33</f>
        <v>0</v>
      </c>
      <c r="G33" s="301">
        <f>HLOOKUP($G$8,RevenueScenarios,K33,FALSE)</f>
        <v>0</v>
      </c>
      <c r="H33" s="7"/>
      <c r="I33" s="301">
        <f>G33-F33</f>
        <v>0</v>
      </c>
      <c r="J33" s="7"/>
      <c r="K33" s="3">
        <f t="shared" si="0"/>
        <v>26</v>
      </c>
      <c r="L33" s="301">
        <f>'[32]Booked Dec 2018 Rev'!$T$33</f>
        <v>0</v>
      </c>
      <c r="M33" s="1">
        <f t="shared" si="1"/>
        <v>0</v>
      </c>
    </row>
    <row r="34" spans="1:13">
      <c r="A34" s="136"/>
      <c r="B34" s="32"/>
      <c r="C34" s="15"/>
      <c r="D34" s="47"/>
      <c r="E34" s="47"/>
      <c r="F34" s="558"/>
      <c r="G34" s="301"/>
      <c r="H34" s="7"/>
      <c r="I34" s="301"/>
      <c r="J34" s="7"/>
      <c r="K34" s="3">
        <f t="shared" si="0"/>
        <v>27</v>
      </c>
      <c r="L34" s="301"/>
      <c r="M34" s="1">
        <f t="shared" si="1"/>
        <v>0</v>
      </c>
    </row>
    <row r="35" spans="1:13">
      <c r="A35" s="136"/>
      <c r="B35" s="32"/>
      <c r="C35" s="15" t="s">
        <v>15</v>
      </c>
      <c r="D35" s="47"/>
      <c r="E35" s="47"/>
      <c r="F35" s="558">
        <f>'Booked June 2023 Rev'!$T$35</f>
        <v>0</v>
      </c>
      <c r="G35" s="301">
        <f>HLOOKUP($G$8,RevenueScenarios,K35,FALSE)</f>
        <v>0</v>
      </c>
      <c r="H35" s="7"/>
      <c r="I35" s="301">
        <f>G35-F35</f>
        <v>0</v>
      </c>
      <c r="J35" s="7"/>
      <c r="K35" s="3">
        <f t="shared" si="0"/>
        <v>28</v>
      </c>
      <c r="L35" s="301">
        <f>'[32]Booked Dec 2018 Rev'!$T$35</f>
        <v>0</v>
      </c>
      <c r="M35" s="1">
        <f t="shared" si="1"/>
        <v>0</v>
      </c>
    </row>
    <row r="36" spans="1:13">
      <c r="A36" s="136"/>
      <c r="B36" s="32"/>
      <c r="C36" s="15"/>
      <c r="D36" s="47"/>
      <c r="E36" s="47"/>
      <c r="F36" s="558"/>
      <c r="G36" s="301"/>
      <c r="H36" s="7"/>
      <c r="I36" s="301"/>
      <c r="J36" s="7"/>
      <c r="K36" s="3">
        <f t="shared" si="0"/>
        <v>29</v>
      </c>
      <c r="L36" s="301"/>
      <c r="M36" s="1">
        <f t="shared" si="1"/>
        <v>0</v>
      </c>
    </row>
    <row r="37" spans="1:13">
      <c r="A37" s="136"/>
      <c r="B37" s="32"/>
      <c r="C37" s="15" t="s">
        <v>16</v>
      </c>
      <c r="D37" s="47"/>
      <c r="E37" s="47"/>
      <c r="F37" s="558">
        <f>'Booked June 2023 Rev'!$T$37</f>
        <v>0</v>
      </c>
      <c r="G37" s="301">
        <f>HLOOKUP($G$8,RevenueScenarios,K37,FALSE)</f>
        <v>0</v>
      </c>
      <c r="H37" s="7"/>
      <c r="I37" s="301">
        <f>G37-F37</f>
        <v>0</v>
      </c>
      <c r="J37" s="7"/>
      <c r="K37" s="3">
        <f t="shared" si="0"/>
        <v>30</v>
      </c>
      <c r="L37" s="301">
        <f>'[32]Booked Dec 2018 Rev'!$T$37</f>
        <v>0</v>
      </c>
      <c r="M37" s="1">
        <f t="shared" si="1"/>
        <v>0</v>
      </c>
    </row>
    <row r="38" spans="1:13">
      <c r="A38" s="136"/>
      <c r="B38" s="32"/>
      <c r="C38" s="15" t="s">
        <v>17</v>
      </c>
      <c r="D38" s="47"/>
      <c r="E38" s="47"/>
      <c r="F38" s="562">
        <f>'Booked June 2023 Rev'!$T$38</f>
        <v>0</v>
      </c>
      <c r="G38" s="323">
        <f>HLOOKUP($G$8,RevenueScenarios,K38,FALSE)</f>
        <v>0</v>
      </c>
      <c r="H38" s="140"/>
      <c r="I38" s="323">
        <f>G38-F38</f>
        <v>0</v>
      </c>
      <c r="J38" s="7"/>
      <c r="K38" s="3">
        <f t="shared" si="0"/>
        <v>31</v>
      </c>
      <c r="L38" s="323">
        <f>'[32]Booked Dec 2018 Rev'!$T$38</f>
        <v>0</v>
      </c>
      <c r="M38" s="1">
        <f t="shared" si="1"/>
        <v>0</v>
      </c>
    </row>
    <row r="39" spans="1:13">
      <c r="A39" s="136"/>
      <c r="B39" s="32"/>
      <c r="C39" s="15"/>
      <c r="D39" s="47"/>
      <c r="E39" s="47"/>
      <c r="F39" s="558"/>
      <c r="G39" s="301"/>
      <c r="H39" s="7"/>
      <c r="I39" s="301"/>
      <c r="J39" s="7"/>
      <c r="K39" s="3">
        <f t="shared" si="0"/>
        <v>32</v>
      </c>
      <c r="L39" s="301"/>
      <c r="M39" s="1">
        <f t="shared" si="1"/>
        <v>0</v>
      </c>
    </row>
    <row r="40" spans="1:13">
      <c r="A40" s="136"/>
      <c r="B40" s="32"/>
      <c r="C40" s="15" t="s">
        <v>18</v>
      </c>
      <c r="D40" s="47"/>
      <c r="E40" s="47"/>
      <c r="F40" s="558">
        <f>'Booked June 2023 Rev'!$T$40</f>
        <v>0</v>
      </c>
      <c r="G40" s="301">
        <f>HLOOKUP($G$8,RevenueScenarios,K40,FALSE)</f>
        <v>0</v>
      </c>
      <c r="H40" s="7"/>
      <c r="I40" s="301">
        <f>G40-F40</f>
        <v>0</v>
      </c>
      <c r="J40" s="7"/>
      <c r="K40" s="3">
        <f t="shared" si="0"/>
        <v>33</v>
      </c>
      <c r="L40" s="301">
        <f>'[32]Booked Dec 2018 Rev'!$T$40</f>
        <v>0</v>
      </c>
      <c r="M40" s="1">
        <f t="shared" si="1"/>
        <v>0</v>
      </c>
    </row>
    <row r="41" spans="1:13">
      <c r="A41" s="136"/>
      <c r="B41" s="58"/>
      <c r="C41" s="15"/>
      <c r="D41" s="47"/>
      <c r="E41" s="47"/>
      <c r="F41" s="558"/>
      <c r="G41" s="301"/>
      <c r="H41" s="7"/>
      <c r="I41" s="301"/>
      <c r="J41" s="7"/>
      <c r="K41" s="3">
        <f t="shared" si="0"/>
        <v>34</v>
      </c>
      <c r="L41" s="301"/>
      <c r="M41" s="1">
        <f t="shared" si="1"/>
        <v>0</v>
      </c>
    </row>
    <row r="42" spans="1:13">
      <c r="A42" s="136"/>
      <c r="B42" s="32" t="s">
        <v>745</v>
      </c>
      <c r="C42" s="15" t="s">
        <v>14</v>
      </c>
      <c r="D42" s="47"/>
      <c r="E42" s="47"/>
      <c r="F42" s="558">
        <f>'Booked June 2023 Rev'!$T$42</f>
        <v>3509385.9699999997</v>
      </c>
      <c r="G42" s="301">
        <f>HLOOKUP($G$8,RevenueScenarios,K42,FALSE)</f>
        <v>3509385.9699999997</v>
      </c>
      <c r="H42" s="7"/>
      <c r="I42" s="301">
        <f>G42-F42</f>
        <v>0</v>
      </c>
      <c r="J42" s="7"/>
      <c r="K42" s="3">
        <f t="shared" si="0"/>
        <v>35</v>
      </c>
      <c r="L42" s="301">
        <f>'[32]Booked Dec 2018 Rev'!$T$42</f>
        <v>2951861.35</v>
      </c>
      <c r="M42" s="1">
        <f t="shared" si="1"/>
        <v>-557524.61999999965</v>
      </c>
    </row>
    <row r="43" spans="1:13">
      <c r="A43" s="136"/>
      <c r="B43" s="32"/>
      <c r="C43" s="15"/>
      <c r="D43" s="47"/>
      <c r="E43" s="47"/>
      <c r="F43" s="558"/>
      <c r="G43" s="301"/>
      <c r="H43" s="7"/>
      <c r="I43" s="301"/>
      <c r="J43" s="7"/>
      <c r="K43" s="3">
        <f t="shared" si="0"/>
        <v>36</v>
      </c>
      <c r="L43" s="301"/>
      <c r="M43" s="1">
        <f t="shared" si="1"/>
        <v>0</v>
      </c>
    </row>
    <row r="44" spans="1:13">
      <c r="A44" s="136"/>
      <c r="B44" s="32"/>
      <c r="C44" s="15" t="s">
        <v>15</v>
      </c>
      <c r="D44" s="47"/>
      <c r="E44" s="47"/>
      <c r="F44" s="558">
        <f>'Booked June 2023 Rev'!$T$44</f>
        <v>2195889.2800000003</v>
      </c>
      <c r="G44" s="301">
        <f>HLOOKUP($G$8,RevenueScenarios,K44,FALSE)</f>
        <v>2195889.2800000003</v>
      </c>
      <c r="H44" s="7"/>
      <c r="I44" s="301">
        <f>G44-F44</f>
        <v>0</v>
      </c>
      <c r="J44" s="7"/>
      <c r="K44" s="3">
        <f t="shared" si="0"/>
        <v>37</v>
      </c>
      <c r="L44" s="301">
        <f>'[32]Booked Dec 2018 Rev'!$T$44</f>
        <v>3121695.61</v>
      </c>
      <c r="M44" s="1">
        <f t="shared" si="1"/>
        <v>925806.32999999961</v>
      </c>
    </row>
    <row r="45" spans="1:13">
      <c r="A45" s="136"/>
      <c r="B45" s="32"/>
      <c r="C45" s="15"/>
      <c r="D45" s="47"/>
      <c r="E45" s="47"/>
      <c r="F45" s="558"/>
      <c r="G45" s="301"/>
      <c r="H45" s="7"/>
      <c r="I45" s="301"/>
      <c r="J45" s="7"/>
      <c r="K45" s="3">
        <f t="shared" si="0"/>
        <v>38</v>
      </c>
      <c r="L45" s="301"/>
      <c r="M45" s="1">
        <f t="shared" si="1"/>
        <v>0</v>
      </c>
    </row>
    <row r="46" spans="1:13">
      <c r="A46" s="136"/>
      <c r="B46" s="32"/>
      <c r="C46" s="15" t="s">
        <v>16</v>
      </c>
      <c r="D46" s="47"/>
      <c r="E46" s="47"/>
      <c r="F46" s="558">
        <f>'Booked June 2023 Rev'!$T$46</f>
        <v>18427219.41</v>
      </c>
      <c r="G46" s="301">
        <f>HLOOKUP($G$8,RevenueScenarios,K46,FALSE)</f>
        <v>18427219.41</v>
      </c>
      <c r="H46" s="7"/>
      <c r="I46" s="301">
        <f>G46-F46</f>
        <v>0</v>
      </c>
      <c r="J46" s="7"/>
      <c r="K46" s="3">
        <f t="shared" si="0"/>
        <v>39</v>
      </c>
      <c r="L46" s="301">
        <f>'[32]Booked Dec 2018 Rev'!$T$46</f>
        <v>12763808.199999999</v>
      </c>
      <c r="M46" s="1">
        <f t="shared" si="1"/>
        <v>-5663411.2100000009</v>
      </c>
    </row>
    <row r="47" spans="1:13">
      <c r="A47" s="136"/>
      <c r="B47" s="32"/>
      <c r="C47" s="15" t="s">
        <v>17</v>
      </c>
      <c r="D47" s="47"/>
      <c r="E47" s="47"/>
      <c r="F47" s="562">
        <f>'Booked June 2023 Rev'!$T$47</f>
        <v>24132494.66</v>
      </c>
      <c r="G47" s="323">
        <f>HLOOKUP($G$8,RevenueScenarios,K47,FALSE)</f>
        <v>24132494.66</v>
      </c>
      <c r="H47" s="140"/>
      <c r="I47" s="323">
        <f>G47-F47</f>
        <v>0</v>
      </c>
      <c r="J47" s="7"/>
      <c r="K47" s="3">
        <f t="shared" si="0"/>
        <v>40</v>
      </c>
      <c r="L47" s="323">
        <f>'[32]Booked Dec 2018 Rev'!$T$47</f>
        <v>18837365.16</v>
      </c>
      <c r="M47" s="1">
        <f t="shared" si="1"/>
        <v>-5295129.5</v>
      </c>
    </row>
    <row r="48" spans="1:13">
      <c r="A48" s="136"/>
      <c r="B48" s="32"/>
      <c r="C48" s="15"/>
      <c r="D48" s="47"/>
      <c r="E48" s="47"/>
      <c r="F48" s="558"/>
      <c r="G48" s="301"/>
      <c r="H48" s="7"/>
      <c r="I48" s="301"/>
      <c r="J48" s="7"/>
      <c r="K48" s="3">
        <f t="shared" si="0"/>
        <v>41</v>
      </c>
      <c r="L48" s="301"/>
      <c r="M48" s="1">
        <f t="shared" si="1"/>
        <v>0</v>
      </c>
    </row>
    <row r="49" spans="1:13">
      <c r="A49" s="136"/>
      <c r="B49" s="32"/>
      <c r="C49" s="15" t="s">
        <v>18</v>
      </c>
      <c r="D49" s="47"/>
      <c r="E49" s="47"/>
      <c r="F49" s="558">
        <f>'Booked June 2023 Rev'!$T$49</f>
        <v>2550541.0180000002</v>
      </c>
      <c r="G49" s="301">
        <f>HLOOKUP($G$8,RevenueScenarios,K49,FALSE)</f>
        <v>2550541.0180000002</v>
      </c>
      <c r="H49" s="7"/>
      <c r="I49" s="301">
        <f>G49-F49</f>
        <v>0</v>
      </c>
      <c r="J49" s="7"/>
      <c r="K49" s="3">
        <f t="shared" si="0"/>
        <v>42</v>
      </c>
      <c r="L49" s="301">
        <f>'[32]Booked Dec 2018 Rev'!$T$49</f>
        <v>3393689.11</v>
      </c>
      <c r="M49" s="1">
        <f t="shared" si="1"/>
        <v>843148.09199999971</v>
      </c>
    </row>
    <row r="50" spans="1:13">
      <c r="A50" s="136"/>
      <c r="B50" s="58"/>
      <c r="C50" s="15"/>
      <c r="D50" s="47"/>
      <c r="E50" s="47"/>
      <c r="F50" s="558"/>
      <c r="G50" s="301"/>
      <c r="H50" s="7"/>
      <c r="I50" s="301"/>
      <c r="J50" s="7"/>
      <c r="K50" s="3">
        <f t="shared" si="0"/>
        <v>43</v>
      </c>
      <c r="L50" s="301"/>
      <c r="M50" s="1">
        <f t="shared" si="1"/>
        <v>0</v>
      </c>
    </row>
    <row r="51" spans="1:13">
      <c r="A51" s="136"/>
      <c r="B51" s="32" t="s">
        <v>747</v>
      </c>
      <c r="C51" s="15" t="s">
        <v>14</v>
      </c>
      <c r="D51" s="47"/>
      <c r="E51" s="47"/>
      <c r="F51" s="558">
        <f>'Booked June 2023 Rev'!$T$51</f>
        <v>0</v>
      </c>
      <c r="G51" s="301">
        <f>HLOOKUP($G$8,RevenueScenarios,K51,FALSE)</f>
        <v>0</v>
      </c>
      <c r="H51" s="7"/>
      <c r="I51" s="301">
        <f>G51-F51</f>
        <v>0</v>
      </c>
      <c r="J51" s="7"/>
      <c r="K51" s="3">
        <f t="shared" si="0"/>
        <v>44</v>
      </c>
      <c r="L51" s="301">
        <f>'[32]Booked Dec 2018 Rev'!$T$51</f>
        <v>0</v>
      </c>
      <c r="M51" s="1">
        <f t="shared" si="1"/>
        <v>0</v>
      </c>
    </row>
    <row r="52" spans="1:13">
      <c r="A52" s="136"/>
      <c r="B52" s="32"/>
      <c r="C52" s="15" t="s">
        <v>15</v>
      </c>
      <c r="D52" s="47"/>
      <c r="E52" s="47"/>
      <c r="F52" s="558">
        <f>'Booked June 2023 Rev'!$T$52</f>
        <v>0</v>
      </c>
      <c r="G52" s="301"/>
      <c r="H52" s="7"/>
      <c r="I52" s="301"/>
      <c r="J52" s="7"/>
      <c r="K52" s="3">
        <f t="shared" si="0"/>
        <v>45</v>
      </c>
      <c r="L52" s="301">
        <f>'[32]Booked Dec 2018 Rev'!$T$52</f>
        <v>0</v>
      </c>
      <c r="M52" s="1">
        <f t="shared" si="1"/>
        <v>0</v>
      </c>
    </row>
    <row r="53" spans="1:13">
      <c r="A53" s="136"/>
      <c r="B53" s="58"/>
      <c r="C53" s="15" t="s">
        <v>748</v>
      </c>
      <c r="D53" s="47"/>
      <c r="E53" s="47"/>
      <c r="F53" s="558">
        <f>'Booked June 2023 Rev'!$T$53</f>
        <v>0</v>
      </c>
      <c r="G53" s="301">
        <f>HLOOKUP($G$8,RevenueScenarios,K53,FALSE)</f>
        <v>0</v>
      </c>
      <c r="H53" s="7"/>
      <c r="I53" s="301">
        <f>G53-F53</f>
        <v>0</v>
      </c>
      <c r="J53" s="7"/>
      <c r="K53" s="3">
        <f t="shared" si="0"/>
        <v>46</v>
      </c>
      <c r="L53" s="301">
        <f>'[32]Booked Dec 2018 Rev'!$T$53</f>
        <v>0</v>
      </c>
      <c r="M53" s="1">
        <f t="shared" si="1"/>
        <v>0</v>
      </c>
    </row>
    <row r="54" spans="1:13">
      <c r="A54" s="136"/>
      <c r="B54" s="32"/>
      <c r="C54" s="15" t="s">
        <v>749</v>
      </c>
      <c r="D54" s="47"/>
      <c r="E54" s="47"/>
      <c r="F54" s="558">
        <f>'Booked June 2023 Rev'!$T$54</f>
        <v>0</v>
      </c>
      <c r="G54" s="301"/>
      <c r="H54" s="7"/>
      <c r="I54" s="301"/>
      <c r="J54" s="7"/>
      <c r="K54" s="3">
        <f t="shared" si="0"/>
        <v>47</v>
      </c>
      <c r="L54" s="301">
        <f>'[32]Booked Dec 2018 Rev'!$T$54</f>
        <v>0</v>
      </c>
      <c r="M54" s="1">
        <f t="shared" si="1"/>
        <v>0</v>
      </c>
    </row>
    <row r="55" spans="1:13">
      <c r="A55" s="136"/>
      <c r="B55" s="58"/>
      <c r="C55" s="15" t="s">
        <v>750</v>
      </c>
      <c r="D55" s="47"/>
      <c r="E55" s="47"/>
      <c r="F55" s="558">
        <f>'Booked June 2023 Rev'!$T$55</f>
        <v>0</v>
      </c>
      <c r="G55" s="301">
        <f>HLOOKUP($G$8,RevenueScenarios,K55,FALSE)</f>
        <v>0</v>
      </c>
      <c r="H55" s="7"/>
      <c r="I55" s="301">
        <f>G55-F55</f>
        <v>0</v>
      </c>
      <c r="J55" s="7"/>
      <c r="K55" s="3">
        <f t="shared" si="0"/>
        <v>48</v>
      </c>
      <c r="L55" s="301">
        <f>'[32]Booked Dec 2018 Rev'!$T$55</f>
        <v>0</v>
      </c>
      <c r="M55" s="1">
        <f t="shared" si="1"/>
        <v>0</v>
      </c>
    </row>
    <row r="56" spans="1:13">
      <c r="A56" s="136"/>
      <c r="B56" s="58"/>
      <c r="C56" s="15" t="s">
        <v>17</v>
      </c>
      <c r="D56" s="47"/>
      <c r="E56" s="47"/>
      <c r="F56" s="562">
        <f>'Booked June 2023 Rev'!$T$56</f>
        <v>0</v>
      </c>
      <c r="G56" s="323">
        <f>HLOOKUP($G$8,RevenueScenarios,K56,FALSE)</f>
        <v>0</v>
      </c>
      <c r="H56" s="140"/>
      <c r="I56" s="323">
        <f>G56-F56</f>
        <v>0</v>
      </c>
      <c r="J56" s="7"/>
      <c r="K56" s="3">
        <f t="shared" si="0"/>
        <v>49</v>
      </c>
      <c r="L56" s="323">
        <f>'[32]Booked Dec 2018 Rev'!$T$56</f>
        <v>0</v>
      </c>
      <c r="M56" s="1">
        <f t="shared" si="1"/>
        <v>0</v>
      </c>
    </row>
    <row r="57" spans="1:13">
      <c r="A57" s="136"/>
      <c r="B57" s="58"/>
      <c r="C57" s="15"/>
      <c r="D57" s="47"/>
      <c r="E57" s="47"/>
      <c r="F57" s="558"/>
      <c r="G57" s="301"/>
      <c r="H57" s="7"/>
      <c r="I57" s="301"/>
      <c r="J57" s="7"/>
      <c r="K57" s="3">
        <f t="shared" si="0"/>
        <v>50</v>
      </c>
      <c r="L57" s="301"/>
      <c r="M57" s="1">
        <f t="shared" si="1"/>
        <v>0</v>
      </c>
    </row>
    <row r="58" spans="1:13">
      <c r="A58" s="136"/>
      <c r="B58" s="58"/>
      <c r="C58" s="15" t="s">
        <v>73</v>
      </c>
      <c r="D58" s="47"/>
      <c r="E58" s="47"/>
      <c r="F58" s="558">
        <f>'Booked June 2023 Rev'!$T$58</f>
        <v>0</v>
      </c>
      <c r="G58" s="301">
        <f>HLOOKUP($G$8,RevenueScenarios,K58,FALSE)</f>
        <v>0</v>
      </c>
      <c r="H58" s="7"/>
      <c r="I58" s="301">
        <f>G58-F58</f>
        <v>0</v>
      </c>
      <c r="J58" s="7"/>
      <c r="K58" s="3">
        <f t="shared" si="0"/>
        <v>51</v>
      </c>
      <c r="L58" s="301">
        <f>'[32]Booked Dec 2018 Rev'!$T$58</f>
        <v>0</v>
      </c>
      <c r="M58" s="1">
        <f t="shared" si="1"/>
        <v>0</v>
      </c>
    </row>
    <row r="59" spans="1:13">
      <c r="A59" s="136"/>
      <c r="B59" s="58"/>
      <c r="C59" s="15"/>
      <c r="D59" s="47"/>
      <c r="E59" s="47"/>
      <c r="F59" s="558"/>
      <c r="G59" s="301"/>
      <c r="H59" s="7"/>
      <c r="I59" s="301"/>
      <c r="J59" s="7"/>
      <c r="K59" s="3">
        <f t="shared" si="0"/>
        <v>52</v>
      </c>
      <c r="L59" s="301"/>
      <c r="M59" s="1">
        <f t="shared" si="1"/>
        <v>0</v>
      </c>
    </row>
    <row r="60" spans="1:13">
      <c r="A60" s="136"/>
      <c r="B60" s="32" t="s">
        <v>746</v>
      </c>
      <c r="C60" s="15" t="s">
        <v>14</v>
      </c>
      <c r="D60" s="47"/>
      <c r="E60" s="47"/>
      <c r="F60" s="558">
        <f>'Booked June 2023 Rev'!$T$60</f>
        <v>2373319.4157923507</v>
      </c>
      <c r="G60" s="301">
        <f>HLOOKUP($G$8,RevenueScenarios,K60,FALSE)</f>
        <v>2373319.4157923507</v>
      </c>
      <c r="H60" s="7"/>
      <c r="I60" s="301">
        <f>G60-F60</f>
        <v>0</v>
      </c>
      <c r="J60" s="7"/>
      <c r="K60" s="3">
        <f t="shared" si="0"/>
        <v>53</v>
      </c>
      <c r="L60" s="301">
        <f>'[32]Booked Dec 2018 Rev'!$T$60</f>
        <v>1661079.2805644001</v>
      </c>
      <c r="M60" s="1">
        <f t="shared" si="1"/>
        <v>-712240.13522795052</v>
      </c>
    </row>
    <row r="61" spans="1:13">
      <c r="A61" s="136"/>
      <c r="B61" s="32"/>
      <c r="C61" s="15"/>
      <c r="D61" s="47"/>
      <c r="E61" s="47"/>
      <c r="F61" s="558"/>
      <c r="G61" s="301"/>
      <c r="H61" s="7"/>
      <c r="I61" s="301"/>
      <c r="J61" s="7"/>
      <c r="K61" s="3">
        <f t="shared" si="0"/>
        <v>54</v>
      </c>
      <c r="L61" s="301"/>
      <c r="M61" s="1">
        <f t="shared" si="1"/>
        <v>0</v>
      </c>
    </row>
    <row r="62" spans="1:13">
      <c r="A62" s="136"/>
      <c r="B62" s="32"/>
      <c r="C62" s="15" t="s">
        <v>15</v>
      </c>
      <c r="D62" s="47"/>
      <c r="E62" s="47"/>
      <c r="F62" s="558">
        <f>'Booked June 2023 Rev'!$T$62</f>
        <v>209862.77806461003</v>
      </c>
      <c r="G62" s="301">
        <f>HLOOKUP($G$8,RevenueScenarios,K62,FALSE)</f>
        <v>209862.77806461003</v>
      </c>
      <c r="H62" s="7"/>
      <c r="I62" s="301">
        <f>G62-F62</f>
        <v>0</v>
      </c>
      <c r="J62" s="7"/>
      <c r="K62" s="3">
        <f t="shared" si="0"/>
        <v>55</v>
      </c>
      <c r="L62" s="301">
        <f>'[32]Booked Dec 2018 Rev'!$T$62</f>
        <v>251564.60403120003</v>
      </c>
      <c r="M62" s="1">
        <f t="shared" si="1"/>
        <v>41701.825966589997</v>
      </c>
    </row>
    <row r="63" spans="1:13">
      <c r="A63" s="136"/>
      <c r="B63" s="32"/>
      <c r="C63" s="15"/>
      <c r="D63" s="47"/>
      <c r="E63" s="47"/>
      <c r="F63" s="558"/>
      <c r="G63" s="301"/>
      <c r="H63" s="7"/>
      <c r="I63" s="301"/>
      <c r="J63" s="7"/>
      <c r="K63" s="3">
        <f t="shared" si="0"/>
        <v>56</v>
      </c>
      <c r="L63" s="301"/>
      <c r="M63" s="1">
        <f t="shared" si="1"/>
        <v>0</v>
      </c>
    </row>
    <row r="64" spans="1:13">
      <c r="A64" s="136"/>
      <c r="B64" s="32"/>
      <c r="C64" s="15" t="s">
        <v>16</v>
      </c>
      <c r="D64" s="47"/>
      <c r="E64" s="47"/>
      <c r="F64" s="558">
        <f>'Booked June 2023 Rev'!$T$64</f>
        <v>1500273.5161430398</v>
      </c>
      <c r="G64" s="301">
        <f>HLOOKUP($G$8,RevenueScenarios,K64,FALSE)</f>
        <v>1500273.5161430398</v>
      </c>
      <c r="H64" s="7"/>
      <c r="I64" s="301">
        <f>G64-F64</f>
        <v>0</v>
      </c>
      <c r="J64" s="7"/>
      <c r="K64" s="3">
        <f t="shared" si="0"/>
        <v>57</v>
      </c>
      <c r="L64" s="301">
        <f>'[32]Booked Dec 2018 Rev'!$T$64</f>
        <v>1034189.8954043998</v>
      </c>
      <c r="M64" s="1">
        <f t="shared" si="1"/>
        <v>-466083.62073863996</v>
      </c>
    </row>
    <row r="65" spans="1:13">
      <c r="A65" s="136"/>
      <c r="B65" s="32"/>
      <c r="C65" s="15" t="s">
        <v>17</v>
      </c>
      <c r="D65" s="47"/>
      <c r="E65" s="47"/>
      <c r="F65" s="562">
        <f>'Booked June 2023 Rev'!$T$65</f>
        <v>4083455.7100000004</v>
      </c>
      <c r="G65" s="323">
        <f>HLOOKUP($G$8,RevenueScenarios,K65,FALSE)</f>
        <v>4083455.7100000004</v>
      </c>
      <c r="H65" s="140"/>
      <c r="I65" s="323">
        <f>G65-F65</f>
        <v>0</v>
      </c>
      <c r="J65" s="7"/>
      <c r="K65" s="3">
        <f t="shared" si="0"/>
        <v>58</v>
      </c>
      <c r="L65" s="323">
        <f>'[32]Booked Dec 2018 Rev'!$T$65</f>
        <v>2946833.7800000003</v>
      </c>
      <c r="M65" s="1">
        <f t="shared" si="1"/>
        <v>-1136621.9300000002</v>
      </c>
    </row>
    <row r="66" spans="1:13">
      <c r="A66" s="136"/>
      <c r="B66" s="32"/>
      <c r="C66" s="15"/>
      <c r="D66" s="47"/>
      <c r="E66" s="47"/>
      <c r="F66" s="558"/>
      <c r="G66" s="301"/>
      <c r="H66" s="7"/>
      <c r="I66" s="301"/>
      <c r="J66" s="7"/>
      <c r="K66" s="3">
        <f t="shared" si="0"/>
        <v>59</v>
      </c>
      <c r="L66" s="301"/>
      <c r="M66" s="1">
        <f t="shared" si="1"/>
        <v>0</v>
      </c>
    </row>
    <row r="67" spans="1:13">
      <c r="A67" s="136"/>
      <c r="B67" s="32"/>
      <c r="C67" s="15" t="s">
        <v>18</v>
      </c>
      <c r="D67" s="47"/>
      <c r="E67" s="47"/>
      <c r="F67" s="558">
        <f>'Booked June 2023 Rev'!$T$67</f>
        <v>245045.76099999997</v>
      </c>
      <c r="G67" s="301">
        <f>HLOOKUP($G$8,RevenueScenarios,K67,FALSE)</f>
        <v>245045.76099999997</v>
      </c>
      <c r="H67" s="7"/>
      <c r="I67" s="301">
        <f>G67-F67</f>
        <v>0</v>
      </c>
      <c r="J67" s="7"/>
      <c r="K67" s="3">
        <f t="shared" si="0"/>
        <v>60</v>
      </c>
      <c r="L67" s="301">
        <f>'[32]Booked Dec 2018 Rev'!$T$67</f>
        <v>271663.58999999997</v>
      </c>
      <c r="M67" s="1">
        <f t="shared" si="1"/>
        <v>26617.828999999998</v>
      </c>
    </row>
    <row r="68" spans="1:13">
      <c r="A68" s="136"/>
      <c r="B68" s="58"/>
      <c r="C68" s="15"/>
      <c r="D68" s="47"/>
      <c r="E68" s="47"/>
      <c r="F68" s="558"/>
      <c r="G68" s="301"/>
      <c r="H68" s="7"/>
      <c r="I68" s="301"/>
      <c r="J68" s="7"/>
      <c r="K68" s="3">
        <f t="shared" si="0"/>
        <v>61</v>
      </c>
      <c r="L68" s="301"/>
      <c r="M68" s="1">
        <f t="shared" si="1"/>
        <v>0</v>
      </c>
    </row>
    <row r="69" spans="1:13">
      <c r="A69" s="136"/>
      <c r="B69" s="14" t="s">
        <v>4</v>
      </c>
      <c r="C69" s="15" t="s">
        <v>14</v>
      </c>
      <c r="D69" s="47"/>
      <c r="E69" s="47"/>
      <c r="F69" s="558">
        <f>'Booked June 2023 Rev'!$T$69</f>
        <v>0</v>
      </c>
      <c r="G69" s="301">
        <f>HLOOKUP($G$8,RevenueScenarios,K69,FALSE)</f>
        <v>0</v>
      </c>
      <c r="H69" s="7"/>
      <c r="I69" s="301">
        <f>G69-F69</f>
        <v>0</v>
      </c>
      <c r="J69" s="7"/>
      <c r="K69" s="3">
        <f t="shared" si="0"/>
        <v>62</v>
      </c>
      <c r="L69" s="301">
        <f>'[32]Booked Dec 2018 Rev'!$T$69</f>
        <v>0</v>
      </c>
      <c r="M69" s="1">
        <f t="shared" si="1"/>
        <v>0</v>
      </c>
    </row>
    <row r="70" spans="1:13">
      <c r="A70" s="136"/>
      <c r="B70" s="14"/>
      <c r="C70" s="15"/>
      <c r="D70" s="47"/>
      <c r="E70" s="47"/>
      <c r="F70" s="558"/>
      <c r="G70" s="301"/>
      <c r="H70" s="7"/>
      <c r="I70" s="301"/>
      <c r="J70" s="7"/>
      <c r="K70" s="3">
        <f t="shared" si="0"/>
        <v>63</v>
      </c>
      <c r="L70" s="301"/>
      <c r="M70" s="1">
        <f t="shared" si="1"/>
        <v>0</v>
      </c>
    </row>
    <row r="71" spans="1:13">
      <c r="A71" s="136"/>
      <c r="B71" s="14"/>
      <c r="C71" s="15" t="s">
        <v>15</v>
      </c>
      <c r="D71" s="47"/>
      <c r="E71" s="47"/>
      <c r="F71" s="558">
        <f>'Booked June 2023 Rev'!$T$71</f>
        <v>0</v>
      </c>
      <c r="G71" s="301">
        <f>HLOOKUP($G$8,RevenueScenarios,K71,FALSE)</f>
        <v>0</v>
      </c>
      <c r="H71" s="7"/>
      <c r="I71" s="301">
        <f>G71-F71</f>
        <v>0</v>
      </c>
      <c r="J71" s="7"/>
      <c r="K71" s="3">
        <f t="shared" si="0"/>
        <v>64</v>
      </c>
      <c r="L71" s="301">
        <f>'[32]Booked Dec 2018 Rev'!$T$71</f>
        <v>0</v>
      </c>
      <c r="M71" s="1">
        <f t="shared" si="1"/>
        <v>0</v>
      </c>
    </row>
    <row r="72" spans="1:13">
      <c r="A72" s="136"/>
      <c r="B72" s="14"/>
      <c r="C72" s="15"/>
      <c r="D72" s="47"/>
      <c r="E72" s="47"/>
      <c r="F72" s="558"/>
      <c r="G72" s="301"/>
      <c r="H72" s="7"/>
      <c r="I72" s="301"/>
      <c r="J72" s="7"/>
      <c r="K72" s="3">
        <f t="shared" si="0"/>
        <v>65</v>
      </c>
      <c r="L72" s="301"/>
      <c r="M72" s="1">
        <f t="shared" si="1"/>
        <v>0</v>
      </c>
    </row>
    <row r="73" spans="1:13">
      <c r="A73" s="136"/>
      <c r="B73" s="14"/>
      <c r="C73" s="15" t="s">
        <v>16</v>
      </c>
      <c r="D73" s="47"/>
      <c r="E73" s="47"/>
      <c r="F73" s="558">
        <f>'Booked June 2023 Rev'!$T$73</f>
        <v>0</v>
      </c>
      <c r="G73" s="301">
        <f>HLOOKUP($G$8,RevenueScenarios,K73,FALSE)</f>
        <v>0</v>
      </c>
      <c r="H73" s="7"/>
      <c r="I73" s="301">
        <f>G73-F73</f>
        <v>0</v>
      </c>
      <c r="J73" s="7"/>
      <c r="K73" s="3">
        <f t="shared" si="0"/>
        <v>66</v>
      </c>
      <c r="L73" s="301">
        <f>'[32]Booked Dec 2018 Rev'!$T$73</f>
        <v>0</v>
      </c>
      <c r="M73" s="1">
        <f t="shared" si="1"/>
        <v>0</v>
      </c>
    </row>
    <row r="74" spans="1:13">
      <c r="A74" s="136"/>
      <c r="B74" s="14"/>
      <c r="C74" s="15" t="s">
        <v>17</v>
      </c>
      <c r="D74" s="47"/>
      <c r="E74" s="47"/>
      <c r="F74" s="562">
        <f>'Booked June 2023 Rev'!$T$74</f>
        <v>0</v>
      </c>
      <c r="G74" s="323">
        <f>HLOOKUP($G$8,RevenueScenarios,K74,FALSE)</f>
        <v>0</v>
      </c>
      <c r="H74" s="140"/>
      <c r="I74" s="323">
        <f>G74-F74</f>
        <v>0</v>
      </c>
      <c r="J74" s="7"/>
      <c r="K74" s="3">
        <f t="shared" ref="K74:K137" si="2">+K73+1</f>
        <v>67</v>
      </c>
      <c r="L74" s="323">
        <f>'[32]Booked Dec 2018 Rev'!$T$74</f>
        <v>0</v>
      </c>
      <c r="M74" s="1">
        <f t="shared" si="1"/>
        <v>0</v>
      </c>
    </row>
    <row r="75" spans="1:13">
      <c r="A75" s="136"/>
      <c r="B75" s="14"/>
      <c r="C75" s="15"/>
      <c r="D75" s="47"/>
      <c r="E75" s="47"/>
      <c r="F75" s="558"/>
      <c r="G75" s="301"/>
      <c r="H75" s="7"/>
      <c r="I75" s="301"/>
      <c r="J75" s="7"/>
      <c r="K75" s="3">
        <f t="shared" si="2"/>
        <v>68</v>
      </c>
      <c r="L75" s="301"/>
      <c r="M75" s="1">
        <f t="shared" si="1"/>
        <v>0</v>
      </c>
    </row>
    <row r="76" spans="1:13">
      <c r="A76" s="136"/>
      <c r="B76" s="14"/>
      <c r="C76" s="15" t="s">
        <v>18</v>
      </c>
      <c r="D76" s="47"/>
      <c r="E76" s="47"/>
      <c r="F76" s="558">
        <f>'Booked June 2023 Rev'!$T$76</f>
        <v>0</v>
      </c>
      <c r="G76" s="301">
        <f>HLOOKUP($G$8,RevenueScenarios,K76,FALSE)</f>
        <v>0</v>
      </c>
      <c r="H76" s="7"/>
      <c r="I76" s="301">
        <f>G76-F76</f>
        <v>0</v>
      </c>
      <c r="J76" s="7"/>
      <c r="K76" s="3">
        <f t="shared" si="2"/>
        <v>69</v>
      </c>
      <c r="L76" s="301">
        <f>'[32]Booked Dec 2018 Rev'!$T$76</f>
        <v>0</v>
      </c>
      <c r="M76" s="1">
        <f t="shared" ref="M76:M139" si="3">L76-F76</f>
        <v>0</v>
      </c>
    </row>
    <row r="77" spans="1:13">
      <c r="A77" s="136"/>
      <c r="B77" s="32"/>
      <c r="C77" s="15"/>
      <c r="D77" s="47"/>
      <c r="E77" s="47"/>
      <c r="F77" s="558"/>
      <c r="G77" s="301"/>
      <c r="H77" s="7"/>
      <c r="I77" s="301"/>
      <c r="J77" s="7"/>
      <c r="K77" s="3">
        <f t="shared" si="2"/>
        <v>70</v>
      </c>
      <c r="L77" s="301"/>
      <c r="M77" s="1">
        <f t="shared" si="3"/>
        <v>0</v>
      </c>
    </row>
    <row r="78" spans="1:13">
      <c r="A78" s="136"/>
      <c r="B78" s="14" t="s">
        <v>78</v>
      </c>
      <c r="C78" s="15" t="s">
        <v>14</v>
      </c>
      <c r="D78" s="47"/>
      <c r="E78" s="47"/>
      <c r="F78" s="558">
        <f>'Booked June 2023 Rev'!$T$78</f>
        <v>0</v>
      </c>
      <c r="G78" s="301">
        <f>HLOOKUP($G$8,RevenueScenarios,K78,FALSE)</f>
        <v>0</v>
      </c>
      <c r="H78" s="7"/>
      <c r="I78" s="301">
        <f>G78-F78</f>
        <v>0</v>
      </c>
      <c r="J78" s="7"/>
      <c r="K78" s="3">
        <f t="shared" si="2"/>
        <v>71</v>
      </c>
      <c r="L78" s="301">
        <f>'[32]Booked Dec 2018 Rev'!$T$78</f>
        <v>0</v>
      </c>
      <c r="M78" s="1">
        <f t="shared" si="3"/>
        <v>0</v>
      </c>
    </row>
    <row r="79" spans="1:13">
      <c r="A79" s="136"/>
      <c r="B79" s="14"/>
      <c r="C79" s="15"/>
      <c r="D79" s="47"/>
      <c r="E79" s="47"/>
      <c r="F79" s="558"/>
      <c r="G79" s="301"/>
      <c r="H79" s="7"/>
      <c r="I79" s="301"/>
      <c r="J79" s="7"/>
      <c r="K79" s="3">
        <f t="shared" si="2"/>
        <v>72</v>
      </c>
      <c r="L79" s="301"/>
      <c r="M79" s="1">
        <f t="shared" si="3"/>
        <v>0</v>
      </c>
    </row>
    <row r="80" spans="1:13">
      <c r="A80" s="136"/>
      <c r="B80" s="14"/>
      <c r="C80" s="15" t="s">
        <v>15</v>
      </c>
      <c r="D80" s="47"/>
      <c r="E80" s="47"/>
      <c r="F80" s="558">
        <f>'Booked June 2023 Rev'!$T$80</f>
        <v>0</v>
      </c>
      <c r="G80" s="301">
        <f>HLOOKUP($G$8,RevenueScenarios,K80,FALSE)</f>
        <v>0</v>
      </c>
      <c r="H80" s="7"/>
      <c r="I80" s="301">
        <f>G80-F80</f>
        <v>0</v>
      </c>
      <c r="J80" s="7"/>
      <c r="K80" s="3">
        <f t="shared" si="2"/>
        <v>73</v>
      </c>
      <c r="L80" s="301">
        <f>'[32]Booked Dec 2018 Rev'!$T$80</f>
        <v>0</v>
      </c>
      <c r="M80" s="1">
        <f t="shared" si="3"/>
        <v>0</v>
      </c>
    </row>
    <row r="81" spans="1:13">
      <c r="A81" s="136"/>
      <c r="B81" s="14"/>
      <c r="C81" s="15"/>
      <c r="D81" s="47"/>
      <c r="E81" s="47"/>
      <c r="F81" s="558"/>
      <c r="G81" s="301"/>
      <c r="H81" s="7"/>
      <c r="I81" s="301"/>
      <c r="J81" s="7"/>
      <c r="K81" s="3">
        <f t="shared" si="2"/>
        <v>74</v>
      </c>
      <c r="L81" s="301"/>
      <c r="M81" s="1">
        <f t="shared" si="3"/>
        <v>0</v>
      </c>
    </row>
    <row r="82" spans="1:13">
      <c r="A82" s="136"/>
      <c r="B82" s="14"/>
      <c r="C82" s="15" t="s">
        <v>16</v>
      </c>
      <c r="D82" s="47"/>
      <c r="E82" s="47"/>
      <c r="F82" s="558">
        <f>'Booked June 2023 Rev'!$T$82</f>
        <v>0</v>
      </c>
      <c r="G82" s="301">
        <f>HLOOKUP($G$8,RevenueScenarios,K82,FALSE)</f>
        <v>0</v>
      </c>
      <c r="H82" s="7"/>
      <c r="I82" s="301">
        <f>G82-F82</f>
        <v>0</v>
      </c>
      <c r="J82" s="7"/>
      <c r="K82" s="3">
        <f t="shared" si="2"/>
        <v>75</v>
      </c>
      <c r="L82" s="301">
        <f>'[32]Booked Dec 2018 Rev'!$T$82</f>
        <v>0</v>
      </c>
      <c r="M82" s="1">
        <f t="shared" si="3"/>
        <v>0</v>
      </c>
    </row>
    <row r="83" spans="1:13">
      <c r="A83" s="136"/>
      <c r="B83" s="14"/>
      <c r="C83" s="15" t="s">
        <v>17</v>
      </c>
      <c r="D83" s="47"/>
      <c r="E83" s="47"/>
      <c r="F83" s="562">
        <f>'Booked June 2023 Rev'!$T$83</f>
        <v>0</v>
      </c>
      <c r="G83" s="323">
        <f>HLOOKUP($G$8,RevenueScenarios,K83,FALSE)</f>
        <v>0</v>
      </c>
      <c r="H83" s="140"/>
      <c r="I83" s="323">
        <f>G83-F83</f>
        <v>0</v>
      </c>
      <c r="J83" s="7"/>
      <c r="K83" s="3">
        <f t="shared" si="2"/>
        <v>76</v>
      </c>
      <c r="L83" s="323">
        <f>'[32]Booked Dec 2018 Rev'!$T$83</f>
        <v>0</v>
      </c>
      <c r="M83" s="1">
        <f t="shared" si="3"/>
        <v>0</v>
      </c>
    </row>
    <row r="84" spans="1:13">
      <c r="A84" s="136"/>
      <c r="B84" s="14"/>
      <c r="C84" s="15"/>
      <c r="D84" s="47"/>
      <c r="E84" s="47"/>
      <c r="F84" s="558"/>
      <c r="G84" s="301"/>
      <c r="H84" s="7"/>
      <c r="I84" s="301"/>
      <c r="J84" s="7"/>
      <c r="K84" s="3">
        <f t="shared" si="2"/>
        <v>77</v>
      </c>
      <c r="L84" s="301"/>
      <c r="M84" s="1">
        <f t="shared" si="3"/>
        <v>0</v>
      </c>
    </row>
    <row r="85" spans="1:13">
      <c r="A85" s="136"/>
      <c r="B85" s="14"/>
      <c r="C85" s="15" t="s">
        <v>18</v>
      </c>
      <c r="D85" s="47"/>
      <c r="E85" s="47"/>
      <c r="F85" s="558">
        <f>'Booked June 2023 Rev'!$T$85</f>
        <v>0</v>
      </c>
      <c r="G85" s="301">
        <f>HLOOKUP($G$8,RevenueScenarios,K85,FALSE)</f>
        <v>0</v>
      </c>
      <c r="H85" s="7"/>
      <c r="I85" s="301">
        <f>G85-F85</f>
        <v>0</v>
      </c>
      <c r="J85" s="7"/>
      <c r="K85" s="3">
        <f t="shared" si="2"/>
        <v>78</v>
      </c>
      <c r="L85" s="301">
        <f>'[32]Booked Dec 2018 Rev'!$T$85</f>
        <v>0</v>
      </c>
      <c r="M85" s="1">
        <f t="shared" si="3"/>
        <v>0</v>
      </c>
    </row>
    <row r="86" spans="1:13">
      <c r="A86" s="136"/>
      <c r="B86" s="32"/>
      <c r="C86" s="15"/>
      <c r="D86" s="47"/>
      <c r="E86" s="47"/>
      <c r="F86" s="558"/>
      <c r="G86" s="301"/>
      <c r="H86" s="7"/>
      <c r="I86" s="301"/>
      <c r="J86" s="7"/>
      <c r="K86" s="3">
        <f t="shared" si="2"/>
        <v>79</v>
      </c>
      <c r="L86" s="301"/>
      <c r="M86" s="1">
        <f t="shared" si="3"/>
        <v>0</v>
      </c>
    </row>
    <row r="87" spans="1:13">
      <c r="A87" s="136"/>
      <c r="B87" s="32" t="s">
        <v>79</v>
      </c>
      <c r="C87" s="15" t="s">
        <v>14</v>
      </c>
      <c r="D87" s="47"/>
      <c r="E87" s="47"/>
      <c r="F87" s="558">
        <f>'Booked June 2023 Rev'!$T$87</f>
        <v>0</v>
      </c>
      <c r="G87" s="301">
        <f>HLOOKUP($G$8,RevenueScenarios,K87,FALSE)</f>
        <v>0</v>
      </c>
      <c r="H87" s="7"/>
      <c r="I87" s="301">
        <f>G87-F87</f>
        <v>0</v>
      </c>
      <c r="J87" s="7"/>
      <c r="K87" s="3">
        <f t="shared" si="2"/>
        <v>80</v>
      </c>
      <c r="L87" s="301">
        <f>'[32]Booked Dec 2018 Rev'!$T$87</f>
        <v>0</v>
      </c>
      <c r="M87" s="1">
        <f t="shared" si="3"/>
        <v>0</v>
      </c>
    </row>
    <row r="88" spans="1:13">
      <c r="A88" s="136"/>
      <c r="B88" s="32"/>
      <c r="C88" s="15"/>
      <c r="D88" s="47"/>
      <c r="E88" s="47"/>
      <c r="F88" s="558"/>
      <c r="G88" s="301"/>
      <c r="H88" s="7"/>
      <c r="I88" s="301"/>
      <c r="J88" s="7"/>
      <c r="K88" s="3">
        <f t="shared" si="2"/>
        <v>81</v>
      </c>
      <c r="L88" s="301"/>
      <c r="M88" s="1">
        <f t="shared" si="3"/>
        <v>0</v>
      </c>
    </row>
    <row r="89" spans="1:13">
      <c r="A89" s="136"/>
      <c r="B89" s="32"/>
      <c r="C89" s="15" t="s">
        <v>15</v>
      </c>
      <c r="D89" s="47"/>
      <c r="E89" s="47"/>
      <c r="F89" s="558">
        <f>'Booked June 2023 Rev'!$T$89</f>
        <v>0</v>
      </c>
      <c r="G89" s="301">
        <f>HLOOKUP($G$8,RevenueScenarios,K89,FALSE)</f>
        <v>0</v>
      </c>
      <c r="H89" s="7"/>
      <c r="I89" s="301">
        <f>G89-F89</f>
        <v>0</v>
      </c>
      <c r="J89" s="7"/>
      <c r="K89" s="3">
        <f t="shared" si="2"/>
        <v>82</v>
      </c>
      <c r="L89" s="301">
        <f>'[32]Booked Dec 2018 Rev'!$T$89</f>
        <v>0</v>
      </c>
      <c r="M89" s="1">
        <f t="shared" si="3"/>
        <v>0</v>
      </c>
    </row>
    <row r="90" spans="1:13">
      <c r="A90" s="136"/>
      <c r="B90" s="32"/>
      <c r="C90" s="15"/>
      <c r="D90" s="47"/>
      <c r="E90" s="47"/>
      <c r="F90" s="558"/>
      <c r="G90" s="301"/>
      <c r="H90" s="7"/>
      <c r="I90" s="301"/>
      <c r="J90" s="7"/>
      <c r="K90" s="3">
        <f t="shared" si="2"/>
        <v>83</v>
      </c>
      <c r="L90" s="301"/>
      <c r="M90" s="1">
        <f t="shared" si="3"/>
        <v>0</v>
      </c>
    </row>
    <row r="91" spans="1:13">
      <c r="A91" s="136"/>
      <c r="B91" s="32"/>
      <c r="C91" s="15" t="s">
        <v>16</v>
      </c>
      <c r="D91" s="47"/>
      <c r="E91" s="47"/>
      <c r="F91" s="558">
        <f>'Booked June 2023 Rev'!$T$91</f>
        <v>0</v>
      </c>
      <c r="G91" s="301">
        <f>HLOOKUP($G$8,RevenueScenarios,K91,FALSE)</f>
        <v>0</v>
      </c>
      <c r="H91" s="7"/>
      <c r="I91" s="301">
        <f>G91-F91</f>
        <v>0</v>
      </c>
      <c r="J91" s="7"/>
      <c r="K91" s="3">
        <f t="shared" si="2"/>
        <v>84</v>
      </c>
      <c r="L91" s="301">
        <f>'[32]Booked Dec 2018 Rev'!$T$91</f>
        <v>0</v>
      </c>
      <c r="M91" s="1">
        <f t="shared" si="3"/>
        <v>0</v>
      </c>
    </row>
    <row r="92" spans="1:13">
      <c r="A92" s="136"/>
      <c r="B92" s="32"/>
      <c r="C92" s="15" t="s">
        <v>17</v>
      </c>
      <c r="D92" s="47"/>
      <c r="E92" s="47"/>
      <c r="F92" s="562">
        <f>'Booked June 2023 Rev'!$T$92</f>
        <v>0</v>
      </c>
      <c r="G92" s="323">
        <f>HLOOKUP($G$8,RevenueScenarios,K92,FALSE)</f>
        <v>0</v>
      </c>
      <c r="H92" s="140"/>
      <c r="I92" s="323">
        <f>G92-F92</f>
        <v>0</v>
      </c>
      <c r="J92" s="7"/>
      <c r="K92" s="3">
        <f t="shared" si="2"/>
        <v>85</v>
      </c>
      <c r="L92" s="323">
        <f>'[32]Booked Dec 2018 Rev'!$T$92</f>
        <v>0</v>
      </c>
      <c r="M92" s="1">
        <f t="shared" si="3"/>
        <v>0</v>
      </c>
    </row>
    <row r="93" spans="1:13">
      <c r="A93" s="136"/>
      <c r="B93" s="32"/>
      <c r="C93" s="15"/>
      <c r="D93" s="47"/>
      <c r="E93" s="47"/>
      <c r="F93" s="558"/>
      <c r="G93" s="301"/>
      <c r="H93" s="7"/>
      <c r="I93" s="301"/>
      <c r="J93" s="7"/>
      <c r="K93" s="3">
        <f t="shared" si="2"/>
        <v>86</v>
      </c>
      <c r="L93" s="301"/>
      <c r="M93" s="1">
        <f t="shared" si="3"/>
        <v>0</v>
      </c>
    </row>
    <row r="94" spans="1:13">
      <c r="A94" s="136"/>
      <c r="B94" s="32"/>
      <c r="C94" s="15" t="s">
        <v>18</v>
      </c>
      <c r="D94" s="47"/>
      <c r="E94" s="47"/>
      <c r="F94" s="558">
        <f>'Booked June 2023 Rev'!$T$94</f>
        <v>0</v>
      </c>
      <c r="G94" s="301">
        <f>HLOOKUP($G$8,RevenueScenarios,K94,FALSE)</f>
        <v>0</v>
      </c>
      <c r="H94" s="7"/>
      <c r="I94" s="301">
        <f>G94-F94</f>
        <v>0</v>
      </c>
      <c r="J94" s="7"/>
      <c r="K94" s="3">
        <f t="shared" si="2"/>
        <v>87</v>
      </c>
      <c r="L94" s="301">
        <f>'[32]Booked Dec 2018 Rev'!$T$94</f>
        <v>0</v>
      </c>
      <c r="M94" s="1">
        <f t="shared" si="3"/>
        <v>0</v>
      </c>
    </row>
    <row r="95" spans="1:13">
      <c r="A95" s="136"/>
      <c r="B95" s="32"/>
      <c r="C95" s="15"/>
      <c r="D95" s="47"/>
      <c r="E95" s="47"/>
      <c r="F95" s="558"/>
      <c r="G95" s="301"/>
      <c r="H95" s="7"/>
      <c r="I95" s="301"/>
      <c r="J95" s="7"/>
      <c r="K95" s="3">
        <f t="shared" si="2"/>
        <v>88</v>
      </c>
      <c r="L95" s="301"/>
      <c r="M95" s="1">
        <f t="shared" si="3"/>
        <v>0</v>
      </c>
    </row>
    <row r="96" spans="1:13">
      <c r="A96" s="136"/>
      <c r="B96" s="14" t="s">
        <v>76</v>
      </c>
      <c r="C96" s="15" t="s">
        <v>14</v>
      </c>
      <c r="D96" s="47"/>
      <c r="E96" s="47"/>
      <c r="F96" s="558">
        <f>'Booked June 2023 Rev'!$T$96</f>
        <v>255321.66</v>
      </c>
      <c r="G96" s="301">
        <f>HLOOKUP($G$8,RevenueScenarios,K96,FALSE)</f>
        <v>255321.66</v>
      </c>
      <c r="H96" s="7"/>
      <c r="I96" s="301">
        <f>G96-F96</f>
        <v>0</v>
      </c>
      <c r="J96" s="7"/>
      <c r="K96" s="3">
        <f t="shared" si="2"/>
        <v>89</v>
      </c>
      <c r="L96" s="301">
        <f>'[32]Booked Dec 2018 Rev'!$T$96</f>
        <v>202686.04999999993</v>
      </c>
      <c r="M96" s="1">
        <f t="shared" si="3"/>
        <v>-52635.610000000073</v>
      </c>
    </row>
    <row r="97" spans="1:13">
      <c r="A97" s="136"/>
      <c r="B97" s="14"/>
      <c r="C97" s="15"/>
      <c r="D97" s="47"/>
      <c r="E97" s="47"/>
      <c r="F97" s="558"/>
      <c r="G97" s="301"/>
      <c r="H97" s="7"/>
      <c r="I97" s="301"/>
      <c r="J97" s="7"/>
      <c r="K97" s="3">
        <f t="shared" si="2"/>
        <v>90</v>
      </c>
      <c r="L97" s="301"/>
      <c r="M97" s="1">
        <f t="shared" si="3"/>
        <v>0</v>
      </c>
    </row>
    <row r="98" spans="1:13">
      <c r="A98" s="136"/>
      <c r="B98" s="14"/>
      <c r="C98" s="15" t="s">
        <v>15</v>
      </c>
      <c r="D98" s="47"/>
      <c r="E98" s="47"/>
      <c r="F98" s="558">
        <f>'Booked June 2023 Rev'!$T$98</f>
        <v>54307.23000000001</v>
      </c>
      <c r="G98" s="301">
        <f>HLOOKUP($G$8,RevenueScenarios,K98,FALSE)</f>
        <v>54307.23000000001</v>
      </c>
      <c r="H98" s="7"/>
      <c r="I98" s="301">
        <f>G98-F98</f>
        <v>0</v>
      </c>
      <c r="J98" s="7"/>
      <c r="K98" s="3">
        <f t="shared" si="2"/>
        <v>91</v>
      </c>
      <c r="L98" s="301">
        <f>'[32]Booked Dec 2018 Rev'!$T$98</f>
        <v>41903.810000000005</v>
      </c>
      <c r="M98" s="1">
        <f t="shared" si="3"/>
        <v>-12403.420000000006</v>
      </c>
    </row>
    <row r="99" spans="1:13">
      <c r="A99" s="136"/>
      <c r="B99" s="14"/>
      <c r="C99" s="15"/>
      <c r="D99" s="47"/>
      <c r="E99" s="47"/>
      <c r="F99" s="558"/>
      <c r="G99" s="301"/>
      <c r="H99" s="7"/>
      <c r="I99" s="301"/>
      <c r="J99" s="7"/>
      <c r="K99" s="3">
        <f t="shared" si="2"/>
        <v>92</v>
      </c>
      <c r="L99" s="301"/>
      <c r="M99" s="1">
        <f t="shared" si="3"/>
        <v>0</v>
      </c>
    </row>
    <row r="100" spans="1:13">
      <c r="A100" s="136"/>
      <c r="B100" s="14"/>
      <c r="C100" s="15" t="s">
        <v>16</v>
      </c>
      <c r="D100" s="47"/>
      <c r="E100" s="47"/>
      <c r="F100" s="558">
        <f>'Booked June 2023 Rev'!$T$100</f>
        <v>2209476.0500000003</v>
      </c>
      <c r="G100" s="301">
        <f>HLOOKUP($G$8,RevenueScenarios,K100,FALSE)</f>
        <v>2209476.0500000003</v>
      </c>
      <c r="H100" s="7"/>
      <c r="I100" s="301">
        <f>G100-F100</f>
        <v>0</v>
      </c>
      <c r="J100" s="7"/>
      <c r="K100" s="3">
        <f t="shared" si="2"/>
        <v>93</v>
      </c>
      <c r="L100" s="301">
        <f>'[32]Booked Dec 2018 Rev'!$T$100</f>
        <v>898937.00999999989</v>
      </c>
      <c r="M100" s="1">
        <f t="shared" si="3"/>
        <v>-1310539.0400000005</v>
      </c>
    </row>
    <row r="101" spans="1:13">
      <c r="A101" s="136"/>
      <c r="B101" s="14"/>
      <c r="C101" s="15" t="s">
        <v>17</v>
      </c>
      <c r="D101" s="47"/>
      <c r="E101" s="47"/>
      <c r="F101" s="562">
        <f>'Booked June 2023 Rev'!$T$101</f>
        <v>2519104.9400000004</v>
      </c>
      <c r="G101" s="323">
        <f>HLOOKUP($G$8,RevenueScenarios,K101,FALSE)</f>
        <v>2519104.9400000004</v>
      </c>
      <c r="H101" s="140"/>
      <c r="I101" s="323">
        <f>G101-F101</f>
        <v>0</v>
      </c>
      <c r="J101" s="7"/>
      <c r="K101" s="3">
        <f t="shared" si="2"/>
        <v>94</v>
      </c>
      <c r="L101" s="323">
        <f>'[32]Booked Dec 2018 Rev'!$T$101</f>
        <v>1143526.8699999999</v>
      </c>
      <c r="M101" s="1">
        <f t="shared" si="3"/>
        <v>-1375578.0700000005</v>
      </c>
    </row>
    <row r="102" spans="1:13">
      <c r="A102" s="136"/>
      <c r="B102" s="14"/>
      <c r="C102" s="15"/>
      <c r="D102" s="47"/>
      <c r="E102" s="47"/>
      <c r="F102" s="558"/>
      <c r="G102" s="301"/>
      <c r="H102" s="7"/>
      <c r="I102" s="301"/>
      <c r="J102" s="7"/>
      <c r="K102" s="3">
        <f t="shared" si="2"/>
        <v>95</v>
      </c>
      <c r="L102" s="301"/>
      <c r="M102" s="1">
        <f t="shared" si="3"/>
        <v>0</v>
      </c>
    </row>
    <row r="103" spans="1:13">
      <c r="A103" s="136"/>
      <c r="B103" s="14"/>
      <c r="C103" s="15" t="s">
        <v>18</v>
      </c>
      <c r="D103" s="47"/>
      <c r="E103" s="47"/>
      <c r="F103" s="558">
        <f>'Booked June 2023 Rev'!$T$103</f>
        <v>305183.54300000001</v>
      </c>
      <c r="G103" s="301">
        <f>HLOOKUP($G$8,RevenueScenarios,K103,FALSE)</f>
        <v>305183.54300000001</v>
      </c>
      <c r="H103" s="7"/>
      <c r="I103" s="301">
        <f>G103-F103</f>
        <v>0</v>
      </c>
      <c r="J103" s="7"/>
      <c r="K103" s="3">
        <f t="shared" si="2"/>
        <v>96</v>
      </c>
      <c r="L103" s="301">
        <f>'[32]Booked Dec 2018 Rev'!$T$103</f>
        <v>235476.26</v>
      </c>
      <c r="M103" s="1">
        <f t="shared" si="3"/>
        <v>-69707.282999999996</v>
      </c>
    </row>
    <row r="104" spans="1:13">
      <c r="A104" s="136"/>
      <c r="B104" s="32"/>
      <c r="C104" s="15"/>
      <c r="D104" s="47"/>
      <c r="E104" s="47"/>
      <c r="F104" s="558"/>
      <c r="G104" s="301"/>
      <c r="H104" s="7"/>
      <c r="I104" s="301"/>
      <c r="J104" s="7"/>
      <c r="K104" s="3">
        <f t="shared" si="2"/>
        <v>97</v>
      </c>
      <c r="L104" s="301"/>
      <c r="M104" s="1">
        <f t="shared" si="3"/>
        <v>0</v>
      </c>
    </row>
    <row r="105" spans="1:13">
      <c r="A105" s="136"/>
      <c r="B105" s="14" t="s">
        <v>77</v>
      </c>
      <c r="C105" s="15" t="s">
        <v>14</v>
      </c>
      <c r="D105" s="47"/>
      <c r="E105" s="47"/>
      <c r="F105" s="558">
        <f>'Booked June 2023 Rev'!$T$105</f>
        <v>0</v>
      </c>
      <c r="G105" s="301">
        <f>HLOOKUP($G$8,RevenueScenarios,K105,FALSE)</f>
        <v>0</v>
      </c>
      <c r="H105" s="7"/>
      <c r="I105" s="301">
        <f>G105-F105</f>
        <v>0</v>
      </c>
      <c r="J105" s="7"/>
      <c r="K105" s="3">
        <f t="shared" si="2"/>
        <v>98</v>
      </c>
      <c r="L105" s="301">
        <f>'[32]Booked Dec 2018 Rev'!$T$105</f>
        <v>0</v>
      </c>
      <c r="M105" s="1">
        <f t="shared" si="3"/>
        <v>0</v>
      </c>
    </row>
    <row r="106" spans="1:13">
      <c r="A106" s="136"/>
      <c r="B106" s="14"/>
      <c r="C106" s="15"/>
      <c r="D106" s="47"/>
      <c r="E106" s="47"/>
      <c r="F106" s="558"/>
      <c r="G106" s="301"/>
      <c r="H106" s="7"/>
      <c r="I106" s="301"/>
      <c r="J106" s="7"/>
      <c r="K106" s="3">
        <f t="shared" si="2"/>
        <v>99</v>
      </c>
      <c r="L106" s="301"/>
      <c r="M106" s="1">
        <f t="shared" si="3"/>
        <v>0</v>
      </c>
    </row>
    <row r="107" spans="1:13">
      <c r="A107" s="136"/>
      <c r="B107" s="14"/>
      <c r="C107" s="15" t="s">
        <v>15</v>
      </c>
      <c r="D107" s="47"/>
      <c r="E107" s="47"/>
      <c r="F107" s="558">
        <f>'Booked June 2023 Rev'!$T$107</f>
        <v>0</v>
      </c>
      <c r="G107" s="301">
        <f>HLOOKUP($G$8,RevenueScenarios,K107,FALSE)</f>
        <v>0</v>
      </c>
      <c r="H107" s="7"/>
      <c r="I107" s="301">
        <f>G107-F107</f>
        <v>0</v>
      </c>
      <c r="J107" s="7"/>
      <c r="K107" s="3">
        <f t="shared" si="2"/>
        <v>100</v>
      </c>
      <c r="L107" s="301">
        <f>'[32]Booked Dec 2018 Rev'!$T$107</f>
        <v>0</v>
      </c>
      <c r="M107" s="1">
        <f t="shared" si="3"/>
        <v>0</v>
      </c>
    </row>
    <row r="108" spans="1:13">
      <c r="A108" s="136"/>
      <c r="B108" s="14"/>
      <c r="C108" s="15"/>
      <c r="D108" s="47"/>
      <c r="E108" s="47"/>
      <c r="F108" s="558"/>
      <c r="G108" s="301"/>
      <c r="H108" s="7"/>
      <c r="I108" s="301"/>
      <c r="J108" s="7"/>
      <c r="K108" s="3">
        <f t="shared" si="2"/>
        <v>101</v>
      </c>
      <c r="L108" s="301"/>
      <c r="M108" s="1">
        <f t="shared" si="3"/>
        <v>0</v>
      </c>
    </row>
    <row r="109" spans="1:13">
      <c r="A109" s="136"/>
      <c r="B109" s="14"/>
      <c r="C109" s="15" t="s">
        <v>16</v>
      </c>
      <c r="D109" s="47"/>
      <c r="E109" s="47"/>
      <c r="F109" s="558">
        <f>'Booked June 2023 Rev'!$T$109</f>
        <v>0</v>
      </c>
      <c r="G109" s="301">
        <f>HLOOKUP($G$8,RevenueScenarios,K109,FALSE)</f>
        <v>0</v>
      </c>
      <c r="H109" s="7"/>
      <c r="I109" s="301">
        <f>G109-F109</f>
        <v>0</v>
      </c>
      <c r="J109" s="7"/>
      <c r="K109" s="3">
        <f t="shared" si="2"/>
        <v>102</v>
      </c>
      <c r="L109" s="301">
        <f>'[32]Booked Dec 2018 Rev'!$T$109</f>
        <v>0</v>
      </c>
      <c r="M109" s="1">
        <f t="shared" si="3"/>
        <v>0</v>
      </c>
    </row>
    <row r="110" spans="1:13">
      <c r="A110" s="136"/>
      <c r="B110" s="14"/>
      <c r="C110" s="15" t="s">
        <v>17</v>
      </c>
      <c r="D110" s="47"/>
      <c r="E110" s="47"/>
      <c r="F110" s="562">
        <f>'Booked June 2023 Rev'!$T$110</f>
        <v>0</v>
      </c>
      <c r="G110" s="323">
        <f>HLOOKUP($G$8,RevenueScenarios,K110,FALSE)</f>
        <v>0</v>
      </c>
      <c r="H110" s="140"/>
      <c r="I110" s="323">
        <f>G110-F110</f>
        <v>0</v>
      </c>
      <c r="J110" s="7"/>
      <c r="K110" s="3">
        <f t="shared" si="2"/>
        <v>103</v>
      </c>
      <c r="L110" s="323">
        <f>'[32]Booked Dec 2018 Rev'!$T$110</f>
        <v>0</v>
      </c>
      <c r="M110" s="1">
        <f t="shared" si="3"/>
        <v>0</v>
      </c>
    </row>
    <row r="111" spans="1:13">
      <c r="A111" s="136"/>
      <c r="B111" s="14"/>
      <c r="C111" s="15"/>
      <c r="D111" s="47"/>
      <c r="E111" s="47"/>
      <c r="F111" s="558"/>
      <c r="G111" s="301"/>
      <c r="H111" s="7"/>
      <c r="I111" s="301"/>
      <c r="J111" s="7"/>
      <c r="K111" s="3">
        <f t="shared" si="2"/>
        <v>104</v>
      </c>
      <c r="L111" s="301"/>
      <c r="M111" s="1">
        <f t="shared" si="3"/>
        <v>0</v>
      </c>
    </row>
    <row r="112" spans="1:13">
      <c r="A112" s="136"/>
      <c r="B112" s="14"/>
      <c r="C112" s="15" t="s">
        <v>18</v>
      </c>
      <c r="D112" s="47"/>
      <c r="E112" s="47"/>
      <c r="F112" s="558">
        <f>'Booked June 2023 Rev'!$T$112</f>
        <v>0</v>
      </c>
      <c r="G112" s="301">
        <f>HLOOKUP($G$8,RevenueScenarios,K112,FALSE)</f>
        <v>0</v>
      </c>
      <c r="H112" s="7"/>
      <c r="I112" s="301">
        <f>G112-F112</f>
        <v>0</v>
      </c>
      <c r="J112" s="7"/>
      <c r="K112" s="3">
        <f t="shared" si="2"/>
        <v>105</v>
      </c>
      <c r="L112" s="301">
        <f>'[32]Booked Dec 2018 Rev'!$T$112</f>
        <v>0</v>
      </c>
      <c r="M112" s="1">
        <f t="shared" si="3"/>
        <v>0</v>
      </c>
    </row>
    <row r="113" spans="1:13">
      <c r="A113" s="136"/>
      <c r="B113" s="32"/>
      <c r="C113" s="15"/>
      <c r="D113" s="47"/>
      <c r="E113" s="47"/>
      <c r="F113" s="558"/>
      <c r="G113" s="301"/>
      <c r="H113" s="7"/>
      <c r="I113" s="301"/>
      <c r="J113" s="7"/>
      <c r="K113" s="3">
        <f t="shared" si="2"/>
        <v>106</v>
      </c>
      <c r="L113" s="301"/>
      <c r="M113" s="1">
        <f t="shared" si="3"/>
        <v>0</v>
      </c>
    </row>
    <row r="114" spans="1:13">
      <c r="A114" s="136"/>
      <c r="B114" s="32" t="s">
        <v>35</v>
      </c>
      <c r="C114" s="15" t="s">
        <v>14</v>
      </c>
      <c r="D114" s="47"/>
      <c r="E114" s="47"/>
      <c r="F114" s="558">
        <f>'Booked June 2023 Rev'!$T$114</f>
        <v>0</v>
      </c>
      <c r="G114" s="301">
        <f>HLOOKUP($G$8,RevenueScenarios,K114,FALSE)</f>
        <v>0</v>
      </c>
      <c r="H114" s="7"/>
      <c r="I114" s="301">
        <f>G114-F114</f>
        <v>0</v>
      </c>
      <c r="J114" s="7"/>
      <c r="K114" s="3">
        <f t="shared" si="2"/>
        <v>107</v>
      </c>
      <c r="L114" s="301">
        <f>'[32]Booked Dec 2018 Rev'!$T$114</f>
        <v>0</v>
      </c>
      <c r="M114" s="1">
        <f t="shared" si="3"/>
        <v>0</v>
      </c>
    </row>
    <row r="115" spans="1:13">
      <c r="A115" s="136"/>
      <c r="B115" s="32"/>
      <c r="C115" s="15"/>
      <c r="D115" s="47"/>
      <c r="E115" s="47"/>
      <c r="F115" s="558"/>
      <c r="G115" s="301"/>
      <c r="H115" s="7"/>
      <c r="I115" s="301"/>
      <c r="J115" s="7"/>
      <c r="K115" s="3">
        <f t="shared" si="2"/>
        <v>108</v>
      </c>
      <c r="L115" s="301"/>
      <c r="M115" s="1">
        <f t="shared" si="3"/>
        <v>0</v>
      </c>
    </row>
    <row r="116" spans="1:13">
      <c r="A116" s="136"/>
      <c r="B116" s="32"/>
      <c r="C116" s="15" t="s">
        <v>15</v>
      </c>
      <c r="D116" s="47"/>
      <c r="E116" s="47"/>
      <c r="F116" s="558">
        <f>'Booked June 2023 Rev'!$T$116</f>
        <v>0</v>
      </c>
      <c r="G116" s="301">
        <f>HLOOKUP($G$8,RevenueScenarios,K116,FALSE)</f>
        <v>0</v>
      </c>
      <c r="H116" s="7"/>
      <c r="I116" s="301">
        <f>G116-F116</f>
        <v>0</v>
      </c>
      <c r="J116" s="7"/>
      <c r="K116" s="3">
        <f t="shared" si="2"/>
        <v>109</v>
      </c>
      <c r="L116" s="301">
        <f>'[32]Booked Dec 2018 Rev'!$T$116</f>
        <v>0</v>
      </c>
      <c r="M116" s="1">
        <f t="shared" si="3"/>
        <v>0</v>
      </c>
    </row>
    <row r="117" spans="1:13">
      <c r="A117" s="136"/>
      <c r="B117" s="32"/>
      <c r="C117" s="15"/>
      <c r="D117" s="47"/>
      <c r="E117" s="47"/>
      <c r="F117" s="558"/>
      <c r="G117" s="301"/>
      <c r="H117" s="7"/>
      <c r="I117" s="301"/>
      <c r="J117" s="7"/>
      <c r="K117" s="3">
        <f t="shared" si="2"/>
        <v>110</v>
      </c>
      <c r="L117" s="301"/>
      <c r="M117" s="1">
        <f t="shared" si="3"/>
        <v>0</v>
      </c>
    </row>
    <row r="118" spans="1:13">
      <c r="A118" s="136"/>
      <c r="B118" s="32"/>
      <c r="C118" s="15" t="s">
        <v>16</v>
      </c>
      <c r="D118" s="47"/>
      <c r="E118" s="47"/>
      <c r="F118" s="558">
        <f>'Booked June 2023 Rev'!$T$118</f>
        <v>0</v>
      </c>
      <c r="G118" s="301">
        <f>HLOOKUP($G$8,RevenueScenarios,K118,FALSE)</f>
        <v>0</v>
      </c>
      <c r="H118" s="7"/>
      <c r="I118" s="301">
        <f>G118-F118</f>
        <v>0</v>
      </c>
      <c r="J118" s="7"/>
      <c r="K118" s="3">
        <f t="shared" si="2"/>
        <v>111</v>
      </c>
      <c r="L118" s="301">
        <f>'[32]Booked Dec 2018 Rev'!$T$118</f>
        <v>0</v>
      </c>
      <c r="M118" s="1">
        <f t="shared" si="3"/>
        <v>0</v>
      </c>
    </row>
    <row r="119" spans="1:13">
      <c r="A119" s="136"/>
      <c r="B119" s="32"/>
      <c r="C119" s="15" t="s">
        <v>17</v>
      </c>
      <c r="D119" s="47"/>
      <c r="E119" s="47"/>
      <c r="F119" s="562">
        <f>'Booked June 2023 Rev'!$T$119</f>
        <v>0</v>
      </c>
      <c r="G119" s="323">
        <f>HLOOKUP($G$8,RevenueScenarios,K119,FALSE)</f>
        <v>0</v>
      </c>
      <c r="H119" s="140"/>
      <c r="I119" s="323">
        <f>G119-F119</f>
        <v>0</v>
      </c>
      <c r="J119" s="7"/>
      <c r="K119" s="3">
        <f t="shared" si="2"/>
        <v>112</v>
      </c>
      <c r="L119" s="323">
        <f>'[32]Booked Dec 2018 Rev'!$T$119</f>
        <v>0</v>
      </c>
      <c r="M119" s="1">
        <f t="shared" si="3"/>
        <v>0</v>
      </c>
    </row>
    <row r="120" spans="1:13">
      <c r="A120" s="136"/>
      <c r="B120" s="32"/>
      <c r="C120" s="15"/>
      <c r="D120" s="47"/>
      <c r="E120" s="47"/>
      <c r="F120" s="558"/>
      <c r="G120" s="301"/>
      <c r="H120" s="7"/>
      <c r="I120" s="301"/>
      <c r="J120" s="7"/>
      <c r="K120" s="3">
        <f t="shared" si="2"/>
        <v>113</v>
      </c>
      <c r="L120" s="301"/>
      <c r="M120" s="1">
        <f t="shared" si="3"/>
        <v>0</v>
      </c>
    </row>
    <row r="121" spans="1:13">
      <c r="A121" s="136"/>
      <c r="B121" s="32"/>
      <c r="C121" s="15" t="s">
        <v>18</v>
      </c>
      <c r="D121" s="47"/>
      <c r="E121" s="47"/>
      <c r="F121" s="558">
        <f>'Booked June 2023 Rev'!$T$121</f>
        <v>0</v>
      </c>
      <c r="G121" s="301">
        <f>HLOOKUP($G$8,RevenueScenarios,K121,FALSE)</f>
        <v>0</v>
      </c>
      <c r="H121" s="7"/>
      <c r="I121" s="301">
        <f>G121-F121</f>
        <v>0</v>
      </c>
      <c r="J121" s="7"/>
      <c r="K121" s="3">
        <f t="shared" si="2"/>
        <v>114</v>
      </c>
      <c r="L121" s="301">
        <f>'[32]Booked Dec 2018 Rev'!$T$121</f>
        <v>0</v>
      </c>
      <c r="M121" s="1">
        <f t="shared" si="3"/>
        <v>0</v>
      </c>
    </row>
    <row r="122" spans="1:13">
      <c r="A122" s="136"/>
      <c r="B122" s="32"/>
      <c r="C122" s="15"/>
      <c r="D122" s="47"/>
      <c r="E122" s="47"/>
      <c r="F122" s="558"/>
      <c r="G122" s="301"/>
      <c r="H122" s="7"/>
      <c r="I122" s="301"/>
      <c r="J122" s="7"/>
      <c r="K122" s="3">
        <f t="shared" si="2"/>
        <v>115</v>
      </c>
      <c r="L122" s="301"/>
      <c r="M122" s="1">
        <f t="shared" si="3"/>
        <v>0</v>
      </c>
    </row>
    <row r="123" spans="1:13">
      <c r="A123" s="136"/>
      <c r="B123" s="32" t="s">
        <v>82</v>
      </c>
      <c r="C123" s="1" t="s">
        <v>14</v>
      </c>
      <c r="D123" s="47"/>
      <c r="E123" s="47"/>
      <c r="F123" s="558">
        <f>'Booked June 2023 Rev'!$T$123</f>
        <v>9333726.3400000017</v>
      </c>
      <c r="G123" s="301">
        <f>HLOOKUP($G$8,RevenueScenarios,K123,FALSE)</f>
        <v>9333726.3400000017</v>
      </c>
      <c r="H123" s="7"/>
      <c r="I123" s="301">
        <f>G123-F123</f>
        <v>0</v>
      </c>
      <c r="J123" s="7"/>
      <c r="K123" s="3">
        <f t="shared" si="2"/>
        <v>116</v>
      </c>
      <c r="L123" s="301">
        <f>'[32]Booked Dec 2018 Rev'!$T$123</f>
        <v>4995387.8000000007</v>
      </c>
      <c r="M123" s="1">
        <f t="shared" si="3"/>
        <v>-4338338.540000001</v>
      </c>
    </row>
    <row r="124" spans="1:13">
      <c r="A124" s="136"/>
      <c r="B124" s="32"/>
      <c r="C124" s="15"/>
      <c r="D124" s="47"/>
      <c r="E124" s="47"/>
      <c r="F124" s="558"/>
      <c r="G124" s="301"/>
      <c r="H124" s="7"/>
      <c r="I124" s="301"/>
      <c r="J124" s="7"/>
      <c r="K124" s="3">
        <f t="shared" si="2"/>
        <v>117</v>
      </c>
      <c r="L124" s="301"/>
      <c r="M124" s="1">
        <f t="shared" si="3"/>
        <v>0</v>
      </c>
    </row>
    <row r="125" spans="1:13">
      <c r="A125" s="136"/>
      <c r="B125" s="32"/>
      <c r="C125" s="15" t="s">
        <v>15</v>
      </c>
      <c r="D125" s="47"/>
      <c r="E125" s="47"/>
      <c r="F125" s="558">
        <f>'Booked June 2023 Rev'!$T$125</f>
        <v>220850.51</v>
      </c>
      <c r="G125" s="301">
        <f>HLOOKUP($G$8,RevenueScenarios,K125,FALSE)</f>
        <v>220850.51</v>
      </c>
      <c r="H125" s="7"/>
      <c r="I125" s="301">
        <f>G125-F125</f>
        <v>0</v>
      </c>
      <c r="J125" s="7"/>
      <c r="K125" s="3">
        <f t="shared" si="2"/>
        <v>118</v>
      </c>
      <c r="L125" s="301">
        <f>'[32]Booked Dec 2018 Rev'!$T$125</f>
        <v>54948.979999999996</v>
      </c>
      <c r="M125" s="1">
        <f t="shared" si="3"/>
        <v>-165901.53000000003</v>
      </c>
    </row>
    <row r="126" spans="1:13">
      <c r="A126" s="136"/>
      <c r="B126" s="32"/>
      <c r="C126" s="15"/>
      <c r="D126" s="47"/>
      <c r="E126" s="47"/>
      <c r="F126" s="558"/>
      <c r="G126" s="301"/>
      <c r="H126" s="7"/>
      <c r="I126" s="301"/>
      <c r="J126" s="7"/>
      <c r="K126" s="3">
        <f t="shared" si="2"/>
        <v>119</v>
      </c>
      <c r="L126" s="301"/>
      <c r="M126" s="1">
        <f t="shared" si="3"/>
        <v>0</v>
      </c>
    </row>
    <row r="127" spans="1:13">
      <c r="A127" s="136"/>
      <c r="B127" s="32"/>
      <c r="C127" s="15" t="s">
        <v>16</v>
      </c>
      <c r="D127" s="47"/>
      <c r="E127" s="47"/>
      <c r="F127" s="558">
        <f>'Booked June 2023 Rev'!$T$127</f>
        <v>0</v>
      </c>
      <c r="G127" s="301">
        <f>HLOOKUP($G$8,RevenueScenarios,K127,FALSE)</f>
        <v>0</v>
      </c>
      <c r="H127" s="7"/>
      <c r="I127" s="301">
        <f>G127-F127</f>
        <v>0</v>
      </c>
      <c r="J127" s="7"/>
      <c r="K127" s="3">
        <f t="shared" si="2"/>
        <v>120</v>
      </c>
      <c r="L127" s="301">
        <f>'[32]Booked Dec 2018 Rev'!$T$127</f>
        <v>0</v>
      </c>
      <c r="M127" s="1">
        <f t="shared" si="3"/>
        <v>0</v>
      </c>
    </row>
    <row r="128" spans="1:13">
      <c r="A128" s="136"/>
      <c r="B128" s="32"/>
      <c r="C128" s="15" t="s">
        <v>17</v>
      </c>
      <c r="D128" s="47"/>
      <c r="E128" s="47"/>
      <c r="F128" s="562">
        <f>'Booked June 2023 Rev'!$T$128</f>
        <v>9554576.8500000015</v>
      </c>
      <c r="G128" s="323">
        <f>HLOOKUP($G$8,RevenueScenarios,K128,FALSE)</f>
        <v>9554576.8500000015</v>
      </c>
      <c r="H128" s="140"/>
      <c r="I128" s="323">
        <f>G128-F128</f>
        <v>0</v>
      </c>
      <c r="J128" s="7"/>
      <c r="K128" s="3">
        <f t="shared" si="2"/>
        <v>121</v>
      </c>
      <c r="L128" s="323">
        <f>'[32]Booked Dec 2018 Rev'!$T$128</f>
        <v>5050336.7800000012</v>
      </c>
      <c r="M128" s="1">
        <f t="shared" si="3"/>
        <v>-4504240.07</v>
      </c>
    </row>
    <row r="129" spans="1:13">
      <c r="A129" s="136"/>
      <c r="B129" s="32"/>
      <c r="C129" s="15"/>
      <c r="D129" s="47"/>
      <c r="E129" s="47"/>
      <c r="F129" s="558"/>
      <c r="G129" s="301"/>
      <c r="H129" s="7"/>
      <c r="I129" s="301"/>
      <c r="J129" s="7"/>
      <c r="K129" s="3">
        <f t="shared" si="2"/>
        <v>122</v>
      </c>
      <c r="L129" s="301"/>
      <c r="M129" s="1">
        <f t="shared" si="3"/>
        <v>0</v>
      </c>
    </row>
    <row r="130" spans="1:13">
      <c r="A130" s="136"/>
      <c r="B130" s="32"/>
      <c r="C130" s="15" t="s">
        <v>18</v>
      </c>
      <c r="D130" s="47"/>
      <c r="E130" s="47"/>
      <c r="F130" s="558">
        <f>'Booked June 2023 Rev'!$T$130</f>
        <v>53788751</v>
      </c>
      <c r="G130" s="301">
        <f>HLOOKUP($G$8,RevenueScenarios,K130,FALSE)</f>
        <v>53788751</v>
      </c>
      <c r="H130" s="7"/>
      <c r="I130" s="301">
        <f>G130-F130</f>
        <v>0</v>
      </c>
      <c r="J130" s="7"/>
      <c r="K130" s="3">
        <f t="shared" si="2"/>
        <v>123</v>
      </c>
      <c r="L130" s="301">
        <f>'[32]Booked Dec 2018 Rev'!$T$130</f>
        <v>41548831</v>
      </c>
      <c r="M130" s="1">
        <f t="shared" si="3"/>
        <v>-12239920</v>
      </c>
    </row>
    <row r="131" spans="1:13">
      <c r="A131" s="136"/>
      <c r="B131" s="32"/>
      <c r="C131" s="15"/>
      <c r="D131" s="47"/>
      <c r="E131" s="47"/>
      <c r="F131" s="558"/>
      <c r="G131" s="301"/>
      <c r="H131" s="7"/>
      <c r="I131" s="301"/>
      <c r="J131" s="7"/>
      <c r="K131" s="3">
        <f t="shared" si="2"/>
        <v>124</v>
      </c>
      <c r="L131" s="301"/>
      <c r="M131" s="1">
        <f t="shared" si="3"/>
        <v>0</v>
      </c>
    </row>
    <row r="132" spans="1:13">
      <c r="A132" s="136"/>
      <c r="B132" s="14" t="s">
        <v>83</v>
      </c>
      <c r="C132" s="15" t="s">
        <v>14</v>
      </c>
      <c r="D132" s="47"/>
      <c r="E132" s="47"/>
      <c r="F132" s="558">
        <f>'Booked June 2023 Rev'!$T$132</f>
        <v>0</v>
      </c>
      <c r="G132" s="301">
        <f>HLOOKUP($G$8,RevenueScenarios,K132,FALSE)</f>
        <v>0</v>
      </c>
      <c r="H132" s="7"/>
      <c r="I132" s="301">
        <f>G132-F132</f>
        <v>0</v>
      </c>
      <c r="J132" s="7"/>
      <c r="K132" s="3">
        <f t="shared" si="2"/>
        <v>125</v>
      </c>
      <c r="L132" s="301">
        <f>'[32]Booked Dec 2018 Rev'!$T$132</f>
        <v>0</v>
      </c>
      <c r="M132" s="1">
        <f t="shared" si="3"/>
        <v>0</v>
      </c>
    </row>
    <row r="133" spans="1:13">
      <c r="A133" s="136"/>
      <c r="B133" s="14"/>
      <c r="C133" s="15"/>
      <c r="D133" s="47"/>
      <c r="E133" s="47"/>
      <c r="F133" s="558"/>
      <c r="G133" s="301"/>
      <c r="H133" s="7"/>
      <c r="I133" s="301"/>
      <c r="J133" s="7"/>
      <c r="K133" s="3">
        <f t="shared" si="2"/>
        <v>126</v>
      </c>
      <c r="L133" s="301"/>
      <c r="M133" s="1">
        <f t="shared" si="3"/>
        <v>0</v>
      </c>
    </row>
    <row r="134" spans="1:13">
      <c r="A134" s="136"/>
      <c r="B134" s="14"/>
      <c r="C134" s="15" t="s">
        <v>15</v>
      </c>
      <c r="D134" s="47"/>
      <c r="E134" s="47"/>
      <c r="F134" s="558">
        <f>'Booked June 2023 Rev'!$T$134</f>
        <v>0</v>
      </c>
      <c r="G134" s="301">
        <f>HLOOKUP($G$8,RevenueScenarios,K134,FALSE)</f>
        <v>0</v>
      </c>
      <c r="H134" s="7"/>
      <c r="I134" s="301">
        <f>G134-F134</f>
        <v>0</v>
      </c>
      <c r="J134" s="7"/>
      <c r="K134" s="3">
        <f t="shared" si="2"/>
        <v>127</v>
      </c>
      <c r="L134" s="301">
        <f>'[32]Booked Dec 2018 Rev'!$T$134</f>
        <v>0</v>
      </c>
      <c r="M134" s="1">
        <f t="shared" si="3"/>
        <v>0</v>
      </c>
    </row>
    <row r="135" spans="1:13">
      <c r="A135" s="136"/>
      <c r="B135" s="14"/>
      <c r="C135" s="15"/>
      <c r="D135" s="47"/>
      <c r="E135" s="47"/>
      <c r="F135" s="558"/>
      <c r="G135" s="301"/>
      <c r="H135" s="7"/>
      <c r="I135" s="301"/>
      <c r="J135" s="7"/>
      <c r="K135" s="3">
        <f t="shared" si="2"/>
        <v>128</v>
      </c>
      <c r="L135" s="301"/>
      <c r="M135" s="1">
        <f t="shared" si="3"/>
        <v>0</v>
      </c>
    </row>
    <row r="136" spans="1:13">
      <c r="A136" s="136"/>
      <c r="B136" s="14"/>
      <c r="C136" s="15" t="s">
        <v>16</v>
      </c>
      <c r="D136" s="47"/>
      <c r="E136" s="47"/>
      <c r="F136" s="558">
        <f>'Booked June 2023 Rev'!$T$136</f>
        <v>0</v>
      </c>
      <c r="G136" s="301">
        <f>HLOOKUP($G$8,RevenueScenarios,K136,FALSE)</f>
        <v>0</v>
      </c>
      <c r="H136" s="7"/>
      <c r="I136" s="301">
        <f>G136-F136</f>
        <v>0</v>
      </c>
      <c r="J136" s="7"/>
      <c r="K136" s="3">
        <f t="shared" si="2"/>
        <v>129</v>
      </c>
      <c r="L136" s="301">
        <f>'[32]Booked Dec 2018 Rev'!$T$136</f>
        <v>0</v>
      </c>
      <c r="M136" s="1">
        <f t="shared" si="3"/>
        <v>0</v>
      </c>
    </row>
    <row r="137" spans="1:13">
      <c r="A137" s="136"/>
      <c r="B137" s="14"/>
      <c r="C137" s="15" t="s">
        <v>17</v>
      </c>
      <c r="D137" s="47"/>
      <c r="E137" s="47"/>
      <c r="F137" s="562">
        <f>'Booked June 2023 Rev'!$T$137</f>
        <v>0</v>
      </c>
      <c r="G137" s="323">
        <f>HLOOKUP($G$8,RevenueScenarios,K137,FALSE)</f>
        <v>0</v>
      </c>
      <c r="H137" s="140"/>
      <c r="I137" s="323">
        <f>G137-F137</f>
        <v>0</v>
      </c>
      <c r="J137" s="7"/>
      <c r="K137" s="3">
        <f t="shared" si="2"/>
        <v>130</v>
      </c>
      <c r="L137" s="323">
        <f>'[32]Booked Dec 2018 Rev'!$T$137</f>
        <v>0</v>
      </c>
      <c r="M137" s="1">
        <f t="shared" si="3"/>
        <v>0</v>
      </c>
    </row>
    <row r="138" spans="1:13">
      <c r="A138" s="136"/>
      <c r="B138" s="14"/>
      <c r="C138" s="15"/>
      <c r="D138" s="47"/>
      <c r="E138" s="47"/>
      <c r="F138" s="558"/>
      <c r="G138" s="301"/>
      <c r="H138" s="7"/>
      <c r="I138" s="301"/>
      <c r="J138" s="7"/>
      <c r="K138" s="3">
        <f t="shared" ref="K138:K201" si="4">+K137+1</f>
        <v>131</v>
      </c>
      <c r="L138" s="301"/>
      <c r="M138" s="1">
        <f t="shared" si="3"/>
        <v>0</v>
      </c>
    </row>
    <row r="139" spans="1:13">
      <c r="A139" s="136"/>
      <c r="B139" s="14"/>
      <c r="C139" s="15" t="s">
        <v>18</v>
      </c>
      <c r="D139" s="47"/>
      <c r="E139" s="47"/>
      <c r="F139" s="558">
        <f>'Booked June 2023 Rev'!$T$139</f>
        <v>0</v>
      </c>
      <c r="G139" s="301">
        <f>HLOOKUP($G$8,RevenueScenarios,K139,FALSE)</f>
        <v>0</v>
      </c>
      <c r="H139" s="7"/>
      <c r="I139" s="301">
        <f>G139-F139</f>
        <v>0</v>
      </c>
      <c r="J139" s="7"/>
      <c r="K139" s="3">
        <f t="shared" si="4"/>
        <v>132</v>
      </c>
      <c r="L139" s="301">
        <f>'[32]Booked Dec 2018 Rev'!$T$139</f>
        <v>0</v>
      </c>
      <c r="M139" s="1">
        <f t="shared" si="3"/>
        <v>0</v>
      </c>
    </row>
    <row r="140" spans="1:13">
      <c r="A140" s="136"/>
      <c r="B140" s="32"/>
      <c r="C140" s="15"/>
      <c r="D140" s="47"/>
      <c r="E140" s="47"/>
      <c r="F140" s="558"/>
      <c r="G140" s="301"/>
      <c r="H140" s="7"/>
      <c r="I140" s="301"/>
      <c r="J140" s="7"/>
      <c r="K140" s="3">
        <f t="shared" si="4"/>
        <v>133</v>
      </c>
      <c r="L140" s="301"/>
      <c r="M140" s="1">
        <f t="shared" ref="M140:M203" si="5">L140-F140</f>
        <v>0</v>
      </c>
    </row>
    <row r="141" spans="1:13">
      <c r="A141" s="136"/>
      <c r="B141" s="32" t="s">
        <v>636</v>
      </c>
      <c r="C141" s="15" t="s">
        <v>14</v>
      </c>
      <c r="D141" s="47"/>
      <c r="E141" s="47"/>
      <c r="F141" s="558">
        <f>'Booked June 2023 Rev'!$T$141</f>
        <v>30202.34</v>
      </c>
      <c r="G141" s="301">
        <f>HLOOKUP($G$8,RevenueScenarios,K141,FALSE)</f>
        <v>30202.34</v>
      </c>
      <c r="H141" s="7"/>
      <c r="I141" s="301">
        <f>G141-F141</f>
        <v>0</v>
      </c>
      <c r="J141" s="7"/>
      <c r="K141" s="3">
        <f t="shared" si="4"/>
        <v>134</v>
      </c>
      <c r="L141" s="301">
        <f>'[32]Booked Dec 2018 Rev'!$T$141</f>
        <v>80471.64</v>
      </c>
      <c r="M141" s="1">
        <f t="shared" si="5"/>
        <v>50269.3</v>
      </c>
    </row>
    <row r="142" spans="1:13">
      <c r="A142" s="136"/>
      <c r="B142" s="32"/>
      <c r="C142" s="15"/>
      <c r="D142" s="47"/>
      <c r="E142" s="47"/>
      <c r="F142" s="558"/>
      <c r="G142" s="301"/>
      <c r="H142" s="7"/>
      <c r="I142" s="301"/>
      <c r="J142" s="7"/>
      <c r="K142" s="3">
        <f t="shared" si="4"/>
        <v>135</v>
      </c>
      <c r="L142" s="301"/>
      <c r="M142" s="1">
        <f t="shared" si="5"/>
        <v>0</v>
      </c>
    </row>
    <row r="143" spans="1:13">
      <c r="A143" s="136"/>
      <c r="B143" s="32"/>
      <c r="C143" s="15" t="s">
        <v>15</v>
      </c>
      <c r="D143" s="47"/>
      <c r="E143" s="47"/>
      <c r="F143" s="558">
        <f>'Booked June 2023 Rev'!$T$143</f>
        <v>1389.26</v>
      </c>
      <c r="G143" s="301">
        <f>HLOOKUP($G$8,RevenueScenarios,K143,FALSE)</f>
        <v>1389.26</v>
      </c>
      <c r="H143" s="7"/>
      <c r="I143" s="301">
        <f>G143-F143</f>
        <v>0</v>
      </c>
      <c r="J143" s="7"/>
      <c r="K143" s="3">
        <f t="shared" si="4"/>
        <v>136</v>
      </c>
      <c r="L143" s="301">
        <f>'[32]Booked Dec 2018 Rev'!$T$143</f>
        <v>2294.25</v>
      </c>
      <c r="M143" s="1">
        <f t="shared" si="5"/>
        <v>904.99</v>
      </c>
    </row>
    <row r="144" spans="1:13">
      <c r="A144" s="136"/>
      <c r="B144" s="32"/>
      <c r="C144" s="15"/>
      <c r="D144" s="47"/>
      <c r="E144" s="47"/>
      <c r="F144" s="558"/>
      <c r="G144" s="301"/>
      <c r="H144" s="7"/>
      <c r="I144" s="301"/>
      <c r="J144" s="7"/>
      <c r="K144" s="3">
        <f t="shared" si="4"/>
        <v>137</v>
      </c>
      <c r="L144" s="301"/>
      <c r="M144" s="1">
        <f t="shared" si="5"/>
        <v>0</v>
      </c>
    </row>
    <row r="145" spans="1:13">
      <c r="A145" s="136"/>
      <c r="B145" s="32"/>
      <c r="C145" s="15" t="s">
        <v>16</v>
      </c>
      <c r="D145" s="47"/>
      <c r="E145" s="47"/>
      <c r="F145" s="558">
        <f>'Booked June 2023 Rev'!$T$145</f>
        <v>0</v>
      </c>
      <c r="G145" s="301">
        <f>HLOOKUP($G$8,RevenueScenarios,K145,FALSE)</f>
        <v>0</v>
      </c>
      <c r="H145" s="7"/>
      <c r="I145" s="301">
        <f>G145-F145</f>
        <v>0</v>
      </c>
      <c r="J145" s="7"/>
      <c r="K145" s="3">
        <f t="shared" si="4"/>
        <v>138</v>
      </c>
      <c r="L145" s="301">
        <f>'[32]Booked Dec 2018 Rev'!$T$145</f>
        <v>0</v>
      </c>
      <c r="M145" s="1">
        <f t="shared" si="5"/>
        <v>0</v>
      </c>
    </row>
    <row r="146" spans="1:13">
      <c r="A146" s="136"/>
      <c r="B146" s="32"/>
      <c r="C146" s="15" t="s">
        <v>17</v>
      </c>
      <c r="D146" s="47"/>
      <c r="E146" s="47"/>
      <c r="F146" s="562">
        <f>'Booked June 2023 Rev'!$T$146</f>
        <v>31591.599999999999</v>
      </c>
      <c r="G146" s="323">
        <f>HLOOKUP($G$8,RevenueScenarios,K146,FALSE)</f>
        <v>31591.599999999999</v>
      </c>
      <c r="H146" s="140"/>
      <c r="I146" s="323">
        <f>G146-F146</f>
        <v>0</v>
      </c>
      <c r="J146" s="7"/>
      <c r="K146" s="3">
        <f t="shared" si="4"/>
        <v>139</v>
      </c>
      <c r="L146" s="323">
        <f>'[32]Booked Dec 2018 Rev'!$T$146</f>
        <v>82765.89</v>
      </c>
      <c r="M146" s="1">
        <f t="shared" si="5"/>
        <v>51174.29</v>
      </c>
    </row>
    <row r="147" spans="1:13">
      <c r="A147" s="136"/>
      <c r="B147" s="32"/>
      <c r="C147" s="15"/>
      <c r="D147" s="47"/>
      <c r="E147" s="47"/>
      <c r="F147" s="558"/>
      <c r="G147" s="301"/>
      <c r="H147" s="7"/>
      <c r="I147" s="301"/>
      <c r="J147" s="7"/>
      <c r="K147" s="3">
        <f t="shared" si="4"/>
        <v>140</v>
      </c>
      <c r="L147" s="301"/>
      <c r="M147" s="1">
        <f t="shared" si="5"/>
        <v>0</v>
      </c>
    </row>
    <row r="148" spans="1:13">
      <c r="A148" s="136"/>
      <c r="B148" s="32"/>
      <c r="C148" s="15" t="s">
        <v>18</v>
      </c>
      <c r="D148" s="47"/>
      <c r="E148" s="47"/>
      <c r="F148" s="558">
        <f>'Booked June 2023 Rev'!$T$148</f>
        <v>30101</v>
      </c>
      <c r="G148" s="301">
        <f>HLOOKUP($G$8,RevenueScenarios,K148,FALSE)</f>
        <v>30101</v>
      </c>
      <c r="H148" s="7"/>
      <c r="I148" s="301">
        <f>G148-F148</f>
        <v>0</v>
      </c>
      <c r="J148" s="7"/>
      <c r="K148" s="3">
        <f t="shared" si="4"/>
        <v>141</v>
      </c>
      <c r="L148" s="301">
        <f>'[32]Booked Dec 2018 Rev'!$T$148</f>
        <v>21619</v>
      </c>
      <c r="M148" s="1">
        <f t="shared" si="5"/>
        <v>-8482</v>
      </c>
    </row>
    <row r="149" spans="1:13">
      <c r="A149" s="136"/>
      <c r="B149" s="32"/>
      <c r="C149" s="15"/>
      <c r="D149" s="47"/>
      <c r="E149" s="47"/>
      <c r="F149" s="558"/>
      <c r="G149" s="301"/>
      <c r="H149" s="7"/>
      <c r="I149" s="301"/>
      <c r="J149" s="7"/>
      <c r="K149" s="3">
        <f t="shared" si="4"/>
        <v>142</v>
      </c>
      <c r="L149" s="301"/>
      <c r="M149" s="1">
        <f t="shared" si="5"/>
        <v>0</v>
      </c>
    </row>
    <row r="150" spans="1:13">
      <c r="A150" s="136"/>
      <c r="B150" s="14" t="s">
        <v>707</v>
      </c>
      <c r="C150" s="15" t="s">
        <v>14</v>
      </c>
      <c r="D150" s="47"/>
      <c r="E150" s="47"/>
      <c r="F150" s="558">
        <f>'Booked June 2023 Rev'!$T$150</f>
        <v>0</v>
      </c>
      <c r="G150" s="301">
        <f>HLOOKUP($G$8,RevenueScenarios,K150,FALSE)</f>
        <v>0</v>
      </c>
      <c r="H150" s="7"/>
      <c r="I150" s="301">
        <f>G150-F150</f>
        <v>0</v>
      </c>
      <c r="J150" s="7"/>
      <c r="K150" s="3">
        <f t="shared" si="4"/>
        <v>143</v>
      </c>
      <c r="L150" s="301">
        <f>'[32]Booked Dec 2018 Rev'!$T$150</f>
        <v>0</v>
      </c>
      <c r="M150" s="1">
        <f t="shared" si="5"/>
        <v>0</v>
      </c>
    </row>
    <row r="151" spans="1:13">
      <c r="A151" s="136"/>
      <c r="B151" s="14"/>
      <c r="C151" s="15"/>
      <c r="D151" s="47"/>
      <c r="E151" s="47"/>
      <c r="F151" s="558"/>
      <c r="G151" s="301"/>
      <c r="H151" s="7"/>
      <c r="I151" s="301"/>
      <c r="J151" s="7"/>
      <c r="K151" s="3">
        <f t="shared" si="4"/>
        <v>144</v>
      </c>
      <c r="L151" s="301"/>
      <c r="M151" s="1">
        <f t="shared" si="5"/>
        <v>0</v>
      </c>
    </row>
    <row r="152" spans="1:13">
      <c r="A152" s="136"/>
      <c r="B152" s="14"/>
      <c r="C152" s="15" t="s">
        <v>15</v>
      </c>
      <c r="D152" s="47"/>
      <c r="E152" s="47"/>
      <c r="F152" s="558">
        <f>'Booked June 2023 Rev'!$T$152</f>
        <v>0</v>
      </c>
      <c r="G152" s="301">
        <f>HLOOKUP($G$8,RevenueScenarios,K152,FALSE)</f>
        <v>0</v>
      </c>
      <c r="H152" s="7"/>
      <c r="I152" s="301">
        <f>G152-F152</f>
        <v>0</v>
      </c>
      <c r="J152" s="7"/>
      <c r="K152" s="3">
        <f t="shared" si="4"/>
        <v>145</v>
      </c>
      <c r="L152" s="301">
        <f>'[32]Booked Dec 2018 Rev'!$T$152</f>
        <v>0</v>
      </c>
      <c r="M152" s="1">
        <f t="shared" si="5"/>
        <v>0</v>
      </c>
    </row>
    <row r="153" spans="1:13">
      <c r="A153" s="136"/>
      <c r="B153" s="14"/>
      <c r="C153" s="15"/>
      <c r="D153" s="47"/>
      <c r="E153" s="47"/>
      <c r="F153" s="558"/>
      <c r="G153" s="301"/>
      <c r="H153" s="7"/>
      <c r="I153" s="301"/>
      <c r="J153" s="7"/>
      <c r="K153" s="3">
        <f t="shared" si="4"/>
        <v>146</v>
      </c>
      <c r="L153" s="301"/>
      <c r="M153" s="1">
        <f t="shared" si="5"/>
        <v>0</v>
      </c>
    </row>
    <row r="154" spans="1:13">
      <c r="A154" s="136"/>
      <c r="B154" s="14"/>
      <c r="C154" s="15" t="s">
        <v>16</v>
      </c>
      <c r="D154" s="47"/>
      <c r="E154" s="47"/>
      <c r="F154" s="558">
        <f>'Booked June 2023 Rev'!$T$154</f>
        <v>0</v>
      </c>
      <c r="G154" s="301">
        <f>HLOOKUP($G$8,RevenueScenarios,K154,FALSE)</f>
        <v>0</v>
      </c>
      <c r="H154" s="7"/>
      <c r="I154" s="301">
        <f>G154-F154</f>
        <v>0</v>
      </c>
      <c r="J154" s="7"/>
      <c r="K154" s="3">
        <f t="shared" si="4"/>
        <v>147</v>
      </c>
      <c r="L154" s="301">
        <f>'[32]Booked Dec 2018 Rev'!$T$154</f>
        <v>0</v>
      </c>
      <c r="M154" s="1">
        <f t="shared" si="5"/>
        <v>0</v>
      </c>
    </row>
    <row r="155" spans="1:13">
      <c r="A155" s="136"/>
      <c r="B155" s="14"/>
      <c r="C155" s="15" t="s">
        <v>17</v>
      </c>
      <c r="D155" s="47"/>
      <c r="E155" s="47"/>
      <c r="F155" s="562">
        <f>'Booked June 2023 Rev'!$T$155</f>
        <v>0</v>
      </c>
      <c r="G155" s="323">
        <f>HLOOKUP($G$8,RevenueScenarios,K155,FALSE)</f>
        <v>0</v>
      </c>
      <c r="H155" s="140"/>
      <c r="I155" s="323">
        <f>G155-F155</f>
        <v>0</v>
      </c>
      <c r="J155" s="7"/>
      <c r="K155" s="3">
        <f t="shared" si="4"/>
        <v>148</v>
      </c>
      <c r="L155" s="323">
        <f>'[32]Booked Dec 2018 Rev'!$T$155</f>
        <v>0</v>
      </c>
      <c r="M155" s="1">
        <f t="shared" si="5"/>
        <v>0</v>
      </c>
    </row>
    <row r="156" spans="1:13">
      <c r="A156" s="136"/>
      <c r="B156" s="14"/>
      <c r="C156" s="15"/>
      <c r="D156" s="47"/>
      <c r="E156" s="47"/>
      <c r="F156" s="558"/>
      <c r="G156" s="301"/>
      <c r="H156" s="7"/>
      <c r="I156" s="301"/>
      <c r="J156" s="7"/>
      <c r="K156" s="3">
        <f t="shared" si="4"/>
        <v>149</v>
      </c>
      <c r="L156" s="301"/>
      <c r="M156" s="1">
        <f t="shared" si="5"/>
        <v>0</v>
      </c>
    </row>
    <row r="157" spans="1:13">
      <c r="A157" s="136"/>
      <c r="B157" s="14"/>
      <c r="C157" s="15" t="s">
        <v>18</v>
      </c>
      <c r="D157" s="47"/>
      <c r="E157" s="47"/>
      <c r="F157" s="558">
        <f>'Booked June 2023 Rev'!$T$157</f>
        <v>0</v>
      </c>
      <c r="G157" s="301">
        <f>HLOOKUP($G$8,RevenueScenarios,K157,FALSE)</f>
        <v>0</v>
      </c>
      <c r="H157" s="7"/>
      <c r="I157" s="301">
        <f>G157-F157</f>
        <v>0</v>
      </c>
      <c r="J157" s="7"/>
      <c r="K157" s="3">
        <f t="shared" si="4"/>
        <v>150</v>
      </c>
      <c r="L157" s="301">
        <f>'[32]Booked Dec 2018 Rev'!$T$157</f>
        <v>0</v>
      </c>
      <c r="M157" s="1">
        <f t="shared" si="5"/>
        <v>0</v>
      </c>
    </row>
    <row r="158" spans="1:13">
      <c r="A158" s="136"/>
      <c r="B158" s="32"/>
      <c r="C158" s="15"/>
      <c r="D158" s="47"/>
      <c r="E158" s="47"/>
      <c r="F158" s="558"/>
      <c r="G158" s="301"/>
      <c r="H158" s="7"/>
      <c r="I158" s="301"/>
      <c r="J158" s="7"/>
      <c r="K158" s="3">
        <f t="shared" si="4"/>
        <v>151</v>
      </c>
      <c r="L158" s="301"/>
      <c r="M158" s="1">
        <f t="shared" si="5"/>
        <v>0</v>
      </c>
    </row>
    <row r="159" spans="1:13">
      <c r="A159" s="136"/>
      <c r="B159" s="30" t="s">
        <v>80</v>
      </c>
      <c r="C159" s="15" t="s">
        <v>14</v>
      </c>
      <c r="D159" s="47"/>
      <c r="E159" s="47"/>
      <c r="F159" s="558">
        <f>'Booked June 2023 Rev'!$T$159</f>
        <v>44945988.06000001</v>
      </c>
      <c r="G159" s="301">
        <f>HLOOKUP($G$8,RevenueScenarios,K159,FALSE)</f>
        <v>44945988.06000001</v>
      </c>
      <c r="H159" s="7"/>
      <c r="I159" s="301">
        <f>G159-F159</f>
        <v>0</v>
      </c>
      <c r="J159" s="7"/>
      <c r="K159" s="3">
        <f t="shared" si="4"/>
        <v>152</v>
      </c>
      <c r="L159" s="301">
        <f>'[32]Booked Dec 2018 Rev'!$T$159</f>
        <v>22483627.450000003</v>
      </c>
      <c r="M159" s="1">
        <f t="shared" si="5"/>
        <v>-22462360.610000007</v>
      </c>
    </row>
    <row r="160" spans="1:13">
      <c r="A160" s="136"/>
      <c r="B160" s="32"/>
      <c r="C160" s="15"/>
      <c r="D160" s="47"/>
      <c r="E160" s="47"/>
      <c r="F160" s="558"/>
      <c r="G160" s="301"/>
      <c r="H160" s="7"/>
      <c r="I160" s="301"/>
      <c r="J160" s="7"/>
      <c r="K160" s="3">
        <f t="shared" si="4"/>
        <v>153</v>
      </c>
      <c r="L160" s="301"/>
      <c r="M160" s="1">
        <f t="shared" si="5"/>
        <v>0</v>
      </c>
    </row>
    <row r="161" spans="1:13">
      <c r="A161" s="136"/>
      <c r="B161" s="32"/>
      <c r="C161" s="15" t="s">
        <v>15</v>
      </c>
      <c r="D161" s="47"/>
      <c r="E161" s="47"/>
      <c r="F161" s="558">
        <f>'Booked June 2023 Rev'!$T$161</f>
        <v>1235255.9799999997</v>
      </c>
      <c r="G161" s="301">
        <f>HLOOKUP($G$8,RevenueScenarios,K161,FALSE)</f>
        <v>1235255.9799999997</v>
      </c>
      <c r="H161" s="7"/>
      <c r="I161" s="301">
        <f>G161-F161</f>
        <v>0</v>
      </c>
      <c r="J161" s="7"/>
      <c r="K161" s="3">
        <f t="shared" si="4"/>
        <v>154</v>
      </c>
      <c r="L161" s="301">
        <f>'[32]Booked Dec 2018 Rev'!$T$161</f>
        <v>610731.39</v>
      </c>
      <c r="M161" s="1">
        <f t="shared" si="5"/>
        <v>-624524.58999999973</v>
      </c>
    </row>
    <row r="162" spans="1:13">
      <c r="A162" s="136"/>
      <c r="B162" s="32"/>
      <c r="C162" s="15"/>
      <c r="D162" s="47"/>
      <c r="E162" s="47"/>
      <c r="F162" s="558"/>
      <c r="G162" s="301"/>
      <c r="H162" s="7"/>
      <c r="I162" s="301"/>
      <c r="J162" s="7"/>
      <c r="K162" s="3">
        <f t="shared" si="4"/>
        <v>155</v>
      </c>
      <c r="L162" s="301"/>
      <c r="M162" s="1">
        <f t="shared" si="5"/>
        <v>0</v>
      </c>
    </row>
    <row r="163" spans="1:13">
      <c r="A163" s="136"/>
      <c r="B163" s="32"/>
      <c r="C163" s="15" t="s">
        <v>16</v>
      </c>
      <c r="D163" s="47"/>
      <c r="E163" s="47"/>
      <c r="F163" s="558">
        <f>'Booked June 2023 Rev'!$T$163</f>
        <v>0</v>
      </c>
      <c r="G163" s="301">
        <f>HLOOKUP($G$8,RevenueScenarios,K163,FALSE)</f>
        <v>0</v>
      </c>
      <c r="H163" s="7"/>
      <c r="I163" s="301">
        <f>G163-F163</f>
        <v>0</v>
      </c>
      <c r="J163" s="7"/>
      <c r="K163" s="3">
        <f t="shared" si="4"/>
        <v>156</v>
      </c>
      <c r="L163" s="301">
        <f>'[32]Booked Dec 2018 Rev'!$T$163</f>
        <v>-11182.41</v>
      </c>
      <c r="M163" s="1">
        <f t="shared" si="5"/>
        <v>-11182.41</v>
      </c>
    </row>
    <row r="164" spans="1:13">
      <c r="A164" s="136"/>
      <c r="B164" s="32"/>
      <c r="C164" s="15" t="s">
        <v>17</v>
      </c>
      <c r="D164" s="47"/>
      <c r="E164" s="47"/>
      <c r="F164" s="562">
        <f>'Booked June 2023 Rev'!$T$164</f>
        <v>46181244.040000007</v>
      </c>
      <c r="G164" s="323">
        <f>HLOOKUP($G$8,RevenueScenarios,K164,FALSE)</f>
        <v>46181244.040000007</v>
      </c>
      <c r="H164" s="140"/>
      <c r="I164" s="323">
        <f>G164-F164</f>
        <v>0</v>
      </c>
      <c r="J164" s="7"/>
      <c r="K164" s="3">
        <f t="shared" si="4"/>
        <v>157</v>
      </c>
      <c r="L164" s="323">
        <f>'[32]Booked Dec 2018 Rev'!$T$164</f>
        <v>23083176.430000003</v>
      </c>
      <c r="M164" s="1">
        <f t="shared" si="5"/>
        <v>-23098067.610000003</v>
      </c>
    </row>
    <row r="165" spans="1:13">
      <c r="A165" s="136"/>
      <c r="B165" s="32"/>
      <c r="C165" s="15"/>
      <c r="D165" s="47"/>
      <c r="E165" s="47"/>
      <c r="F165" s="558"/>
      <c r="G165" s="301"/>
      <c r="H165" s="7"/>
      <c r="I165" s="301"/>
      <c r="J165" s="7"/>
      <c r="K165" s="3">
        <f t="shared" si="4"/>
        <v>158</v>
      </c>
      <c r="L165" s="301"/>
      <c r="M165" s="1">
        <f t="shared" si="5"/>
        <v>0</v>
      </c>
    </row>
    <row r="166" spans="1:13">
      <c r="A166" s="136"/>
      <c r="B166" s="32"/>
      <c r="C166" s="15" t="s">
        <v>18</v>
      </c>
      <c r="D166" s="47"/>
      <c r="E166" s="47"/>
      <c r="F166" s="558">
        <f>'Booked June 2023 Rev'!$T$166</f>
        <v>51043723</v>
      </c>
      <c r="G166" s="301">
        <f>HLOOKUP($G$8,RevenueScenarios,K166,FALSE)</f>
        <v>51043723</v>
      </c>
      <c r="H166" s="7"/>
      <c r="I166" s="301">
        <f>G166-F166</f>
        <v>0</v>
      </c>
      <c r="J166" s="7"/>
      <c r="K166" s="3">
        <f t="shared" si="4"/>
        <v>159</v>
      </c>
      <c r="L166" s="301">
        <f>'[32]Booked Dec 2018 Rev'!$T$166</f>
        <v>47258689.909999996</v>
      </c>
      <c r="M166" s="1">
        <f t="shared" si="5"/>
        <v>-3785033.0900000036</v>
      </c>
    </row>
    <row r="167" spans="1:13">
      <c r="A167" s="136"/>
      <c r="B167" s="58"/>
      <c r="C167" s="15"/>
      <c r="D167" s="47"/>
      <c r="E167" s="47"/>
      <c r="F167" s="558"/>
      <c r="G167" s="301"/>
      <c r="H167" s="7"/>
      <c r="I167" s="301"/>
      <c r="J167" s="7"/>
      <c r="K167" s="3">
        <f t="shared" si="4"/>
        <v>160</v>
      </c>
      <c r="L167" s="301"/>
      <c r="M167" s="1">
        <f t="shared" si="5"/>
        <v>0</v>
      </c>
    </row>
    <row r="168" spans="1:13">
      <c r="A168" s="136"/>
      <c r="B168" s="32" t="s">
        <v>81</v>
      </c>
      <c r="C168" s="15" t="s">
        <v>14</v>
      </c>
      <c r="D168" s="47"/>
      <c r="E168" s="47"/>
      <c r="F168" s="558">
        <f>'Booked June 2023 Rev'!$T$168</f>
        <v>0</v>
      </c>
      <c r="G168" s="301">
        <f>HLOOKUP($G$8,RevenueScenarios,K168,FALSE)</f>
        <v>0</v>
      </c>
      <c r="H168" s="7"/>
      <c r="I168" s="301">
        <f>G168-F168</f>
        <v>0</v>
      </c>
      <c r="J168" s="7"/>
      <c r="K168" s="3">
        <f t="shared" si="4"/>
        <v>161</v>
      </c>
      <c r="L168" s="301">
        <f>'[32]Booked Dec 2018 Rev'!$T$168</f>
        <v>0</v>
      </c>
      <c r="M168" s="1">
        <f t="shared" si="5"/>
        <v>0</v>
      </c>
    </row>
    <row r="169" spans="1:13">
      <c r="A169" s="136"/>
      <c r="B169" s="32"/>
      <c r="C169" s="15"/>
      <c r="D169" s="47"/>
      <c r="E169" s="47"/>
      <c r="F169" s="558"/>
      <c r="G169" s="301"/>
      <c r="H169" s="7"/>
      <c r="I169" s="301"/>
      <c r="J169" s="7"/>
      <c r="K169" s="3">
        <f t="shared" si="4"/>
        <v>162</v>
      </c>
      <c r="L169" s="301"/>
      <c r="M169" s="1">
        <f t="shared" si="5"/>
        <v>0</v>
      </c>
    </row>
    <row r="170" spans="1:13">
      <c r="A170" s="136"/>
      <c r="B170" s="32"/>
      <c r="C170" s="15" t="s">
        <v>15</v>
      </c>
      <c r="D170" s="47"/>
      <c r="E170" s="47"/>
      <c r="F170" s="558">
        <f>'Booked June 2023 Rev'!$T$170</f>
        <v>0</v>
      </c>
      <c r="G170" s="301">
        <f>HLOOKUP($G$8,RevenueScenarios,K170,FALSE)</f>
        <v>0</v>
      </c>
      <c r="H170" s="7"/>
      <c r="I170" s="301">
        <f>G170-F170</f>
        <v>0</v>
      </c>
      <c r="J170" s="7"/>
      <c r="K170" s="3">
        <f t="shared" si="4"/>
        <v>163</v>
      </c>
      <c r="L170" s="301">
        <f>'[32]Booked Dec 2018 Rev'!$T$170</f>
        <v>0</v>
      </c>
      <c r="M170" s="1">
        <f t="shared" si="5"/>
        <v>0</v>
      </c>
    </row>
    <row r="171" spans="1:13">
      <c r="A171" s="136"/>
      <c r="B171" s="32"/>
      <c r="C171" s="15"/>
      <c r="D171" s="47"/>
      <c r="E171" s="47"/>
      <c r="F171" s="558"/>
      <c r="G171" s="301"/>
      <c r="H171" s="7"/>
      <c r="I171" s="301"/>
      <c r="J171" s="7"/>
      <c r="K171" s="3">
        <f t="shared" si="4"/>
        <v>164</v>
      </c>
      <c r="L171" s="301"/>
      <c r="M171" s="1">
        <f t="shared" si="5"/>
        <v>0</v>
      </c>
    </row>
    <row r="172" spans="1:13">
      <c r="A172" s="136"/>
      <c r="B172" s="32"/>
      <c r="C172" s="15" t="s">
        <v>16</v>
      </c>
      <c r="D172" s="47"/>
      <c r="E172" s="47"/>
      <c r="F172" s="558">
        <f>'Booked June 2023 Rev'!$T$172</f>
        <v>0</v>
      </c>
      <c r="G172" s="301">
        <f>HLOOKUP($G$8,RevenueScenarios,K172,FALSE)</f>
        <v>0</v>
      </c>
      <c r="H172" s="7"/>
      <c r="I172" s="301">
        <f>G172-F172</f>
        <v>0</v>
      </c>
      <c r="J172" s="7"/>
      <c r="K172" s="3">
        <f t="shared" si="4"/>
        <v>165</v>
      </c>
      <c r="L172" s="301">
        <f>'[32]Booked Dec 2018 Rev'!$T$172</f>
        <v>0</v>
      </c>
      <c r="M172" s="1">
        <f t="shared" si="5"/>
        <v>0</v>
      </c>
    </row>
    <row r="173" spans="1:13">
      <c r="A173" s="136"/>
      <c r="B173" s="32"/>
      <c r="C173" s="15" t="s">
        <v>17</v>
      </c>
      <c r="D173" s="47"/>
      <c r="E173" s="47"/>
      <c r="F173" s="562">
        <f>'Booked June 2023 Rev'!$T$173</f>
        <v>0</v>
      </c>
      <c r="G173" s="323">
        <f>HLOOKUP($G$8,RevenueScenarios,K173,FALSE)</f>
        <v>0</v>
      </c>
      <c r="H173" s="140"/>
      <c r="I173" s="323">
        <f>G173-F173</f>
        <v>0</v>
      </c>
      <c r="J173" s="7"/>
      <c r="K173" s="3">
        <f t="shared" si="4"/>
        <v>166</v>
      </c>
      <c r="L173" s="323">
        <f>'[32]Booked Dec 2018 Rev'!$T$173</f>
        <v>0</v>
      </c>
      <c r="M173" s="1">
        <f t="shared" si="5"/>
        <v>0</v>
      </c>
    </row>
    <row r="174" spans="1:13">
      <c r="A174" s="136"/>
      <c r="B174" s="32"/>
      <c r="C174" s="15"/>
      <c r="D174" s="47"/>
      <c r="E174" s="47"/>
      <c r="F174" s="558"/>
      <c r="G174" s="301"/>
      <c r="H174" s="7"/>
      <c r="I174" s="301"/>
      <c r="J174" s="7"/>
      <c r="K174" s="3">
        <f t="shared" si="4"/>
        <v>167</v>
      </c>
      <c r="L174" s="301"/>
      <c r="M174" s="1">
        <f t="shared" si="5"/>
        <v>0</v>
      </c>
    </row>
    <row r="175" spans="1:13">
      <c r="A175" s="136"/>
      <c r="B175" s="32"/>
      <c r="C175" s="15" t="s">
        <v>18</v>
      </c>
      <c r="D175" s="47"/>
      <c r="E175" s="47"/>
      <c r="F175" s="558">
        <f>'Booked June 2023 Rev'!$T$175</f>
        <v>0</v>
      </c>
      <c r="G175" s="301">
        <f>HLOOKUP($G$8,RevenueScenarios,K175,FALSE)</f>
        <v>0</v>
      </c>
      <c r="H175" s="7"/>
      <c r="I175" s="301">
        <f>G175-F175</f>
        <v>0</v>
      </c>
      <c r="J175" s="7"/>
      <c r="K175" s="3">
        <f t="shared" si="4"/>
        <v>168</v>
      </c>
      <c r="L175" s="301">
        <f>'[32]Booked Dec 2018 Rev'!$T$175</f>
        <v>0</v>
      </c>
      <c r="M175" s="1">
        <f t="shared" si="5"/>
        <v>0</v>
      </c>
    </row>
    <row r="176" spans="1:13">
      <c r="A176" s="136"/>
      <c r="B176" s="32"/>
      <c r="C176" s="15"/>
      <c r="D176" s="47"/>
      <c r="E176" s="47"/>
      <c r="F176" s="558"/>
      <c r="G176" s="301"/>
      <c r="H176" s="7"/>
      <c r="I176" s="301"/>
      <c r="J176" s="7"/>
      <c r="K176" s="3">
        <f t="shared" si="4"/>
        <v>169</v>
      </c>
      <c r="L176" s="301"/>
      <c r="M176" s="1">
        <f t="shared" si="5"/>
        <v>0</v>
      </c>
    </row>
    <row r="177" spans="1:13">
      <c r="A177" s="136"/>
      <c r="B177" s="32" t="s">
        <v>112</v>
      </c>
      <c r="C177" s="15" t="s">
        <v>14</v>
      </c>
      <c r="D177" s="47"/>
      <c r="E177" s="47"/>
      <c r="F177" s="558">
        <f>'Booked June 2023 Rev'!$T$177</f>
        <v>0</v>
      </c>
      <c r="G177" s="301">
        <f>HLOOKUP($G$8,RevenueScenarios,K177,FALSE)</f>
        <v>0</v>
      </c>
      <c r="H177" s="7"/>
      <c r="I177" s="301">
        <f>G177-F177</f>
        <v>0</v>
      </c>
      <c r="J177" s="7"/>
      <c r="K177" s="3">
        <f t="shared" si="4"/>
        <v>170</v>
      </c>
      <c r="L177" s="301">
        <f>'[32]Booked Dec 2018 Rev'!$T$177</f>
        <v>0</v>
      </c>
      <c r="M177" s="1">
        <f t="shared" si="5"/>
        <v>0</v>
      </c>
    </row>
    <row r="178" spans="1:13">
      <c r="A178" s="136"/>
      <c r="B178" s="32"/>
      <c r="C178" s="15"/>
      <c r="D178" s="47"/>
      <c r="E178" s="47"/>
      <c r="F178" s="558"/>
      <c r="G178" s="301"/>
      <c r="H178" s="7"/>
      <c r="I178" s="301"/>
      <c r="J178" s="7"/>
      <c r="K178" s="3">
        <f t="shared" si="4"/>
        <v>171</v>
      </c>
      <c r="L178" s="301"/>
      <c r="M178" s="1">
        <f t="shared" si="5"/>
        <v>0</v>
      </c>
    </row>
    <row r="179" spans="1:13">
      <c r="A179" s="136"/>
      <c r="B179" s="32"/>
      <c r="C179" s="15" t="s">
        <v>15</v>
      </c>
      <c r="D179" s="47"/>
      <c r="E179" s="47"/>
      <c r="F179" s="558">
        <f>'Booked June 2023 Rev'!$T$179</f>
        <v>0</v>
      </c>
      <c r="G179" s="301">
        <f>HLOOKUP($G$8,RevenueScenarios,K179,FALSE)</f>
        <v>0</v>
      </c>
      <c r="H179" s="7"/>
      <c r="I179" s="301">
        <f>G179-F179</f>
        <v>0</v>
      </c>
      <c r="J179" s="7"/>
      <c r="K179" s="3">
        <f t="shared" si="4"/>
        <v>172</v>
      </c>
      <c r="L179" s="301">
        <f>'[32]Booked Dec 2018 Rev'!$T$179</f>
        <v>0</v>
      </c>
      <c r="M179" s="1">
        <f t="shared" si="5"/>
        <v>0</v>
      </c>
    </row>
    <row r="180" spans="1:13">
      <c r="A180" s="136"/>
      <c r="B180" s="32"/>
      <c r="C180" s="15"/>
      <c r="D180" s="47"/>
      <c r="E180" s="47"/>
      <c r="F180" s="558"/>
      <c r="G180" s="301"/>
      <c r="H180" s="7"/>
      <c r="I180" s="301"/>
      <c r="J180" s="7"/>
      <c r="K180" s="3">
        <f t="shared" si="4"/>
        <v>173</v>
      </c>
      <c r="L180" s="301"/>
      <c r="M180" s="1">
        <f t="shared" si="5"/>
        <v>0</v>
      </c>
    </row>
    <row r="181" spans="1:13">
      <c r="A181" s="136"/>
      <c r="B181" s="32"/>
      <c r="C181" s="15" t="s">
        <v>16</v>
      </c>
      <c r="D181" s="47"/>
      <c r="E181" s="47"/>
      <c r="F181" s="558">
        <f>'Booked June 2023 Rev'!$T$181</f>
        <v>0</v>
      </c>
      <c r="G181" s="301">
        <f>HLOOKUP($G$8,RevenueScenarios,K181,FALSE)</f>
        <v>0</v>
      </c>
      <c r="H181" s="7"/>
      <c r="I181" s="301">
        <f>G181-F181</f>
        <v>0</v>
      </c>
      <c r="J181" s="7"/>
      <c r="K181" s="3">
        <f t="shared" si="4"/>
        <v>174</v>
      </c>
      <c r="L181" s="301">
        <f>'[32]Booked Dec 2018 Rev'!$T$181</f>
        <v>0</v>
      </c>
      <c r="M181" s="1">
        <f t="shared" si="5"/>
        <v>0</v>
      </c>
    </row>
    <row r="182" spans="1:13">
      <c r="A182" s="136"/>
      <c r="B182" s="32"/>
      <c r="C182" s="15" t="s">
        <v>17</v>
      </c>
      <c r="D182" s="47"/>
      <c r="E182" s="47"/>
      <c r="F182" s="562">
        <f>'Booked June 2023 Rev'!$T$182</f>
        <v>0</v>
      </c>
      <c r="G182" s="323">
        <f>HLOOKUP($G$8,RevenueScenarios,K182,FALSE)</f>
        <v>0</v>
      </c>
      <c r="H182" s="140"/>
      <c r="I182" s="323">
        <f>G182-F182</f>
        <v>0</v>
      </c>
      <c r="J182" s="7"/>
      <c r="K182" s="3">
        <f t="shared" si="4"/>
        <v>175</v>
      </c>
      <c r="L182" s="323">
        <f>'[32]Booked Dec 2018 Rev'!$T$182</f>
        <v>0</v>
      </c>
      <c r="M182" s="1">
        <f t="shared" si="5"/>
        <v>0</v>
      </c>
    </row>
    <row r="183" spans="1:13">
      <c r="A183" s="136"/>
      <c r="B183" s="32"/>
      <c r="C183" s="15"/>
      <c r="D183" s="47"/>
      <c r="E183" s="47"/>
      <c r="F183" s="558"/>
      <c r="G183" s="301"/>
      <c r="H183" s="7"/>
      <c r="I183" s="301"/>
      <c r="J183" s="7"/>
      <c r="K183" s="3">
        <f t="shared" si="4"/>
        <v>176</v>
      </c>
      <c r="L183" s="301"/>
      <c r="M183" s="1">
        <f t="shared" si="5"/>
        <v>0</v>
      </c>
    </row>
    <row r="184" spans="1:13">
      <c r="A184" s="136"/>
      <c r="B184" s="32"/>
      <c r="C184" s="15" t="s">
        <v>18</v>
      </c>
      <c r="D184" s="47"/>
      <c r="E184" s="47"/>
      <c r="F184" s="558">
        <f>'Booked June 2023 Rev'!$T$184</f>
        <v>0</v>
      </c>
      <c r="G184" s="301">
        <f>HLOOKUP($G$8,RevenueScenarios,K184,FALSE)</f>
        <v>0</v>
      </c>
      <c r="H184" s="7"/>
      <c r="I184" s="301">
        <f>G184-F184</f>
        <v>0</v>
      </c>
      <c r="J184" s="7"/>
      <c r="K184" s="3">
        <f t="shared" si="4"/>
        <v>177</v>
      </c>
      <c r="L184" s="301">
        <f>'[32]Booked Dec 2018 Rev'!$T$184</f>
        <v>0</v>
      </c>
      <c r="M184" s="1">
        <f t="shared" si="5"/>
        <v>0</v>
      </c>
    </row>
    <row r="185" spans="1:13">
      <c r="A185" s="136"/>
      <c r="B185" s="32"/>
      <c r="C185" s="15"/>
      <c r="D185" s="47"/>
      <c r="E185" s="47"/>
      <c r="F185" s="558"/>
      <c r="G185" s="301"/>
      <c r="H185" s="7"/>
      <c r="I185" s="301"/>
      <c r="J185" s="7"/>
      <c r="K185" s="3">
        <f t="shared" si="4"/>
        <v>178</v>
      </c>
      <c r="L185" s="301"/>
      <c r="M185" s="1">
        <f t="shared" si="5"/>
        <v>0</v>
      </c>
    </row>
    <row r="186" spans="1:13">
      <c r="A186" s="136"/>
      <c r="B186" s="32" t="s">
        <v>74</v>
      </c>
      <c r="C186" s="15" t="s">
        <v>14</v>
      </c>
      <c r="D186" s="47"/>
      <c r="E186" s="47"/>
      <c r="F186" s="558">
        <f>'Booked June 2023 Rev'!$T$186</f>
        <v>0</v>
      </c>
      <c r="G186" s="301">
        <f>HLOOKUP($G$8,RevenueScenarios,K186,FALSE)</f>
        <v>0</v>
      </c>
      <c r="H186" s="7"/>
      <c r="I186" s="301">
        <f>G186-F186</f>
        <v>0</v>
      </c>
      <c r="J186" s="7"/>
      <c r="K186" s="3">
        <f t="shared" si="4"/>
        <v>179</v>
      </c>
      <c r="L186" s="301">
        <f>'[32]Booked Dec 2018 Rev'!$T$186</f>
        <v>0</v>
      </c>
      <c r="M186" s="1">
        <f t="shared" si="5"/>
        <v>0</v>
      </c>
    </row>
    <row r="187" spans="1:13">
      <c r="A187" s="136"/>
      <c r="B187" s="32"/>
      <c r="C187" s="15"/>
      <c r="D187" s="47"/>
      <c r="E187" s="47"/>
      <c r="F187" s="558"/>
      <c r="G187" s="301"/>
      <c r="H187" s="7"/>
      <c r="I187" s="301"/>
      <c r="J187" s="7"/>
      <c r="K187" s="3">
        <f t="shared" si="4"/>
        <v>180</v>
      </c>
      <c r="L187" s="301"/>
      <c r="M187" s="1">
        <f t="shared" si="5"/>
        <v>0</v>
      </c>
    </row>
    <row r="188" spans="1:13">
      <c r="A188" s="136"/>
      <c r="B188" s="32"/>
      <c r="C188" s="15" t="s">
        <v>15</v>
      </c>
      <c r="D188" s="47"/>
      <c r="E188" s="47"/>
      <c r="F188" s="558">
        <f>'Booked June 2023 Rev'!$T$188</f>
        <v>0</v>
      </c>
      <c r="G188" s="301">
        <f>HLOOKUP($G$8,RevenueScenarios,K188,FALSE)</f>
        <v>0</v>
      </c>
      <c r="H188" s="7"/>
      <c r="I188" s="301">
        <f>G188-F188</f>
        <v>0</v>
      </c>
      <c r="J188" s="7"/>
      <c r="K188" s="3">
        <f t="shared" si="4"/>
        <v>181</v>
      </c>
      <c r="L188" s="301">
        <f>'[32]Booked Dec 2018 Rev'!$T$188</f>
        <v>0</v>
      </c>
      <c r="M188" s="1">
        <f t="shared" si="5"/>
        <v>0</v>
      </c>
    </row>
    <row r="189" spans="1:13">
      <c r="A189" s="136"/>
      <c r="B189" s="32"/>
      <c r="C189" s="15"/>
      <c r="D189" s="47"/>
      <c r="E189" s="47"/>
      <c r="F189" s="558"/>
      <c r="G189" s="301"/>
      <c r="H189" s="7"/>
      <c r="I189" s="301"/>
      <c r="J189" s="7"/>
      <c r="K189" s="3">
        <f t="shared" si="4"/>
        <v>182</v>
      </c>
      <c r="L189" s="301"/>
      <c r="M189" s="1">
        <f t="shared" si="5"/>
        <v>0</v>
      </c>
    </row>
    <row r="190" spans="1:13">
      <c r="A190" s="136"/>
      <c r="B190" s="32"/>
      <c r="C190" s="15" t="s">
        <v>16</v>
      </c>
      <c r="D190" s="47"/>
      <c r="E190" s="47"/>
      <c r="F190" s="558">
        <f>'Booked June 2023 Rev'!$T$190</f>
        <v>0</v>
      </c>
      <c r="G190" s="301">
        <f>HLOOKUP($G$8,RevenueScenarios,K190,FALSE)</f>
        <v>0</v>
      </c>
      <c r="H190" s="7"/>
      <c r="I190" s="301">
        <f>G190-F190</f>
        <v>0</v>
      </c>
      <c r="J190" s="7"/>
      <c r="K190" s="3">
        <f t="shared" si="4"/>
        <v>183</v>
      </c>
      <c r="L190" s="301">
        <f>'[32]Booked Dec 2018 Rev'!$T$190</f>
        <v>0</v>
      </c>
      <c r="M190" s="1">
        <f t="shared" si="5"/>
        <v>0</v>
      </c>
    </row>
    <row r="191" spans="1:13">
      <c r="A191" s="136"/>
      <c r="B191" s="32"/>
      <c r="C191" s="15" t="s">
        <v>17</v>
      </c>
      <c r="D191" s="47"/>
      <c r="E191" s="47"/>
      <c r="F191" s="562">
        <f>'Booked June 2023 Rev'!$T$191</f>
        <v>0</v>
      </c>
      <c r="G191" s="323">
        <f>HLOOKUP($G$8,RevenueScenarios,K191,FALSE)</f>
        <v>0</v>
      </c>
      <c r="H191" s="140"/>
      <c r="I191" s="323">
        <f>G191-F191</f>
        <v>0</v>
      </c>
      <c r="J191" s="7"/>
      <c r="K191" s="3">
        <f t="shared" si="4"/>
        <v>184</v>
      </c>
      <c r="L191" s="323">
        <f>'[32]Booked Dec 2018 Rev'!$T$191</f>
        <v>0</v>
      </c>
      <c r="M191" s="1">
        <f t="shared" si="5"/>
        <v>0</v>
      </c>
    </row>
    <row r="192" spans="1:13">
      <c r="A192" s="136"/>
      <c r="B192" s="32"/>
      <c r="C192" s="15"/>
      <c r="D192" s="47"/>
      <c r="E192" s="47"/>
      <c r="F192" s="558"/>
      <c r="G192" s="301"/>
      <c r="H192" s="7"/>
      <c r="I192" s="301"/>
      <c r="J192" s="7"/>
      <c r="K192" s="3">
        <f t="shared" si="4"/>
        <v>185</v>
      </c>
      <c r="L192" s="301"/>
      <c r="M192" s="1">
        <f t="shared" si="5"/>
        <v>0</v>
      </c>
    </row>
    <row r="193" spans="1:13">
      <c r="A193" s="136"/>
      <c r="B193" s="32"/>
      <c r="C193" s="15" t="s">
        <v>18</v>
      </c>
      <c r="D193" s="47"/>
      <c r="E193" s="47"/>
      <c r="F193" s="558">
        <f>'Booked June 2023 Rev'!$T$193</f>
        <v>0</v>
      </c>
      <c r="G193" s="301">
        <f>HLOOKUP($G$8,RevenueScenarios,K193,FALSE)</f>
        <v>0</v>
      </c>
      <c r="H193" s="7"/>
      <c r="I193" s="301">
        <f>G193-F193</f>
        <v>0</v>
      </c>
      <c r="J193" s="7"/>
      <c r="K193" s="3">
        <f t="shared" si="4"/>
        <v>186</v>
      </c>
      <c r="L193" s="301">
        <f>'[32]Booked Dec 2018 Rev'!$T$193</f>
        <v>0</v>
      </c>
      <c r="M193" s="1">
        <f t="shared" si="5"/>
        <v>0</v>
      </c>
    </row>
    <row r="194" spans="1:13">
      <c r="A194" s="136"/>
      <c r="B194" s="32"/>
      <c r="C194" s="15"/>
      <c r="D194" s="47"/>
      <c r="E194" s="47"/>
      <c r="F194" s="558"/>
      <c r="G194" s="301"/>
      <c r="H194" s="7"/>
      <c r="I194" s="301"/>
      <c r="J194" s="7"/>
      <c r="K194" s="3">
        <f t="shared" si="4"/>
        <v>187</v>
      </c>
      <c r="L194" s="301"/>
      <c r="M194" s="1">
        <f t="shared" si="5"/>
        <v>0</v>
      </c>
    </row>
    <row r="195" spans="1:13" s="725" customFormat="1">
      <c r="A195" s="718"/>
      <c r="B195" s="719" t="s">
        <v>634</v>
      </c>
      <c r="C195" s="720" t="s">
        <v>14</v>
      </c>
      <c r="D195" s="721"/>
      <c r="E195" s="721"/>
      <c r="F195" s="558">
        <f>'Booked June 2023 Rev'!$T$195</f>
        <v>-19322392.549999997</v>
      </c>
      <c r="G195" s="722">
        <f>HLOOKUP($G$8,RevenueScenarios,K195,FALSE)</f>
        <v>-19322392.549999997</v>
      </c>
      <c r="H195" s="723"/>
      <c r="I195" s="722">
        <f>G195-F195</f>
        <v>0</v>
      </c>
      <c r="J195" s="723"/>
      <c r="K195" s="724">
        <f t="shared" si="4"/>
        <v>188</v>
      </c>
      <c r="L195" s="301">
        <f>'[32]Booked Dec 2018 Rev'!$T$195</f>
        <v>-3883550.45</v>
      </c>
      <c r="M195" s="1">
        <f t="shared" si="5"/>
        <v>15438842.099999998</v>
      </c>
    </row>
    <row r="196" spans="1:13" s="725" customFormat="1">
      <c r="A196" s="718"/>
      <c r="B196" s="719" t="s">
        <v>103</v>
      </c>
      <c r="C196" s="720" t="s">
        <v>14</v>
      </c>
      <c r="D196" s="721"/>
      <c r="E196" s="721"/>
      <c r="F196" s="558">
        <f>'Booked June 2023 Rev'!$T$196</f>
        <v>25512561.919999998</v>
      </c>
      <c r="G196" s="722">
        <f>HLOOKUP($G$8,RevenueScenarios,K196,FALSE)</f>
        <v>25512561.919999998</v>
      </c>
      <c r="H196" s="723"/>
      <c r="I196" s="722">
        <f>G196-F196</f>
        <v>0</v>
      </c>
      <c r="J196" s="723"/>
      <c r="K196" s="724">
        <f t="shared" si="4"/>
        <v>189</v>
      </c>
      <c r="L196" s="301">
        <f>'[32]Booked Dec 2018 Rev'!$T$196</f>
        <v>23887961.539999999</v>
      </c>
      <c r="M196" s="1">
        <f t="shared" si="5"/>
        <v>-1624600.379999999</v>
      </c>
    </row>
    <row r="197" spans="1:13" ht="13.5" thickBot="1">
      <c r="A197" s="136"/>
      <c r="B197" s="58"/>
      <c r="C197" s="15"/>
      <c r="D197" s="47"/>
      <c r="E197" s="47"/>
      <c r="F197" s="563"/>
      <c r="G197" s="470"/>
      <c r="H197" s="24"/>
      <c r="I197" s="470"/>
      <c r="J197" s="7"/>
      <c r="K197" s="3">
        <f t="shared" si="4"/>
        <v>190</v>
      </c>
      <c r="L197" s="470"/>
      <c r="M197" s="1">
        <f t="shared" si="5"/>
        <v>0</v>
      </c>
    </row>
    <row r="198" spans="1:13" ht="13.5" thickTop="1">
      <c r="A198" s="136"/>
      <c r="C198" s="15"/>
      <c r="D198" s="47"/>
      <c r="E198" s="47"/>
      <c r="F198" s="558"/>
      <c r="G198" s="301"/>
      <c r="H198" s="7"/>
      <c r="I198" s="301"/>
      <c r="J198" s="7"/>
      <c r="K198" s="3">
        <f t="shared" si="4"/>
        <v>191</v>
      </c>
      <c r="L198" s="301"/>
      <c r="M198" s="1">
        <f t="shared" si="5"/>
        <v>0</v>
      </c>
    </row>
    <row r="199" spans="1:13">
      <c r="A199" s="136"/>
      <c r="B199" s="58"/>
      <c r="C199" s="15" t="s">
        <v>14</v>
      </c>
      <c r="D199" s="47"/>
      <c r="E199" s="47"/>
      <c r="F199" s="564">
        <f>+F15+F24+F33+F42+F51+F60+F69+F78+F87+F96+F105+F114+F123+F132+F141+F150+F159+F168+F177+F186+F195+F196</f>
        <v>484023984.32579243</v>
      </c>
      <c r="G199" s="302">
        <f>HLOOKUP($G$8,RevenueScenarios,K199,FALSE)</f>
        <v>484023984.32579243</v>
      </c>
      <c r="H199" s="8"/>
      <c r="I199" s="302">
        <f>G199-F199</f>
        <v>0</v>
      </c>
      <c r="J199" s="8"/>
      <c r="K199" s="3">
        <f t="shared" si="4"/>
        <v>192</v>
      </c>
      <c r="L199" s="302">
        <f>+L15+L24+L33+L42+L51+L60+L69+L78+L87+L96+L105+L114+L123+L132+L141+L150+L159+L168+L177+L186+L195+L196</f>
        <v>373167098.54056448</v>
      </c>
      <c r="M199" s="1">
        <f t="shared" si="5"/>
        <v>-110856885.78522795</v>
      </c>
    </row>
    <row r="200" spans="1:13">
      <c r="A200" s="136"/>
      <c r="B200" s="58"/>
      <c r="C200" s="15" t="s">
        <v>15</v>
      </c>
      <c r="D200" s="47"/>
      <c r="E200" s="47"/>
      <c r="F200" s="564">
        <f>+F17+F26+F35+F44+F53+F62+F71+F80+F89+F98+F107+F116+F125+F134+F143+F152+F161+F170+F179+F188</f>
        <v>101739620.80806464</v>
      </c>
      <c r="G200" s="302">
        <f>HLOOKUP($G$8,RevenueScenarios,K200,FALSE)</f>
        <v>101739620.80806464</v>
      </c>
      <c r="H200" s="8"/>
      <c r="I200" s="302">
        <f>G200-F200</f>
        <v>0</v>
      </c>
      <c r="J200" s="8"/>
      <c r="K200" s="3">
        <f t="shared" si="4"/>
        <v>193</v>
      </c>
      <c r="L200" s="302">
        <f>+L17+L26+L35+L44+L53+L61+L62+L71+L80+L89+L98+L107+L116+L125+L134+L143+L152+L161+L170+L179+L188</f>
        <v>109038843.1540312</v>
      </c>
      <c r="M200" s="1">
        <f t="shared" si="5"/>
        <v>7299222.3459665626</v>
      </c>
    </row>
    <row r="201" spans="1:13">
      <c r="A201" s="136"/>
      <c r="B201" s="58"/>
      <c r="C201" s="15" t="s">
        <v>16</v>
      </c>
      <c r="D201" s="47"/>
      <c r="E201" s="47"/>
      <c r="F201" s="565">
        <f>+F19+F28+F37+F46+F55+F64+F73+F82+F91+F100+F109+F118+F127+F136+F145+F154+F163+F172+F181+F190</f>
        <v>918237599.34614289</v>
      </c>
      <c r="G201" s="302">
        <f>HLOOKUP($G$8,RevenueScenarios,K201,FALSE)</f>
        <v>918237599.34614289</v>
      </c>
      <c r="H201" s="8"/>
      <c r="I201" s="302">
        <f>G201-F201</f>
        <v>0</v>
      </c>
      <c r="J201" s="8"/>
      <c r="K201" s="3">
        <f t="shared" si="4"/>
        <v>194</v>
      </c>
      <c r="L201" s="302">
        <f>+L19+L28+L37+L46+L55+L63+L64+L73+L82+L91+L100+L109+L118+L127+L136+L145+L154+L163+L172+L181+L190</f>
        <v>384112074.20540434</v>
      </c>
      <c r="M201" s="1">
        <f t="shared" si="5"/>
        <v>-534125525.14073855</v>
      </c>
    </row>
    <row r="202" spans="1:13">
      <c r="A202" s="136"/>
      <c r="B202" s="298"/>
      <c r="C202" s="13" t="s">
        <v>412</v>
      </c>
      <c r="D202" s="47"/>
      <c r="E202" s="47"/>
      <c r="F202" s="566">
        <f>+F20+F38+F47+F56+F65+F74+F83+F92+F101+F110+F119+F128+F137+F146+F155+F164+F173+F182+F191+F29+F195+F196</f>
        <v>1504001204.48</v>
      </c>
      <c r="G202" s="324">
        <f>HLOOKUP($G$8,RevenueScenarios,K202,FALSE)</f>
        <v>1504001204.48</v>
      </c>
      <c r="H202" s="169"/>
      <c r="I202" s="324">
        <f>G202-F202</f>
        <v>0</v>
      </c>
      <c r="J202" s="8"/>
      <c r="K202" s="3">
        <f t="shared" ref="K202:K265" si="6">+K201+1</f>
        <v>195</v>
      </c>
      <c r="L202" s="324">
        <f>+L20+L38+L47+L56+L65+L74+L83+L92+L101+L110+L119+L128+L137+L146+L155+L164+L173+L182+L191+L29+L195+L196</f>
        <v>72165420.25</v>
      </c>
      <c r="M202" s="1">
        <f t="shared" si="5"/>
        <v>-1431835784.23</v>
      </c>
    </row>
    <row r="203" spans="1:13">
      <c r="A203" s="136"/>
      <c r="B203" s="298"/>
      <c r="C203" s="13"/>
      <c r="D203" s="47"/>
      <c r="E203" s="47"/>
      <c r="F203" s="567"/>
      <c r="G203" s="325"/>
      <c r="H203" s="9"/>
      <c r="I203" s="325"/>
      <c r="J203" s="9"/>
      <c r="K203" s="3">
        <f t="shared" si="6"/>
        <v>196</v>
      </c>
      <c r="L203" s="325"/>
      <c r="M203" s="1">
        <f t="shared" si="5"/>
        <v>0</v>
      </c>
    </row>
    <row r="204" spans="1:13">
      <c r="A204" s="136"/>
      <c r="B204" s="298"/>
      <c r="C204" s="25" t="s">
        <v>56</v>
      </c>
      <c r="D204" s="47"/>
      <c r="E204" s="47"/>
      <c r="F204" s="564">
        <f>F22+F31+F40+F49+F58+F67+F76+F85+F94+F103+F112+F121+F193</f>
        <v>124560167.55600001</v>
      </c>
      <c r="G204" s="302">
        <f>HLOOKUP($G$8,RevenueScenarios,K204,FALSE)</f>
        <v>124560167.55600001</v>
      </c>
      <c r="H204" s="8"/>
      <c r="I204" s="302">
        <f>G204-F204</f>
        <v>0</v>
      </c>
      <c r="J204" s="8"/>
      <c r="K204" s="3">
        <f t="shared" si="6"/>
        <v>197</v>
      </c>
      <c r="L204" s="302">
        <f>L22+L31+L40+L49+L58+L67+L76+L85+L94+L103+L112+L121+L193</f>
        <v>101754737.88999999</v>
      </c>
      <c r="M204" s="1">
        <f t="shared" ref="M204:M267" si="7">L204-F204</f>
        <v>-22805429.666000023</v>
      </c>
    </row>
    <row r="205" spans="1:13">
      <c r="A205" s="136"/>
      <c r="B205" s="48"/>
      <c r="C205" s="15" t="s">
        <v>57</v>
      </c>
      <c r="D205" s="47"/>
      <c r="E205" s="47"/>
      <c r="F205" s="564">
        <f>F130+F139+F148+F157+F166+F175+F184+F31</f>
        <v>104862575</v>
      </c>
      <c r="G205" s="302">
        <f>HLOOKUP($G$8,RevenueScenarios,K205,FALSE)</f>
        <v>104862575</v>
      </c>
      <c r="H205" s="8"/>
      <c r="I205" s="302">
        <f>G205-F205</f>
        <v>0</v>
      </c>
      <c r="J205" s="8"/>
      <c r="K205" s="3">
        <f t="shared" si="6"/>
        <v>198</v>
      </c>
      <c r="L205" s="302">
        <f>L130+L139+L148+L157+L166+L175+L184+L31</f>
        <v>88829139.909999996</v>
      </c>
      <c r="M205" s="1">
        <f t="shared" si="7"/>
        <v>-16033435.090000004</v>
      </c>
    </row>
    <row r="206" spans="1:13">
      <c r="A206" s="136"/>
      <c r="B206" s="298"/>
      <c r="C206" s="13" t="s">
        <v>413</v>
      </c>
      <c r="D206" s="47"/>
      <c r="E206" s="47"/>
      <c r="F206" s="566">
        <f>+F22+F40+F49+F58+F67+F76+F85+F94+F103+F112+F121+F130+F139+F148+F157+F166+F175+F184+F193+F31</f>
        <v>229422742.55599999</v>
      </c>
      <c r="G206" s="324">
        <f>HLOOKUP($G$8,RevenueScenarios,K206,FALSE)</f>
        <v>229422742.55599999</v>
      </c>
      <c r="H206" s="169"/>
      <c r="I206" s="324">
        <f>G206-F206</f>
        <v>0</v>
      </c>
      <c r="J206" s="8"/>
      <c r="K206" s="3">
        <f t="shared" si="6"/>
        <v>199</v>
      </c>
      <c r="L206" s="324">
        <f>+L22+L40+L49+L58+L67+L76+L85+L94+L103+L112+L121+L130+L139+L148+L157+L166+L175+L184+L193+L31</f>
        <v>190583877.79999998</v>
      </c>
      <c r="M206" s="1">
        <f t="shared" si="7"/>
        <v>-38838864.756000012</v>
      </c>
    </row>
    <row r="207" spans="1:13">
      <c r="A207" s="136"/>
      <c r="B207" s="298"/>
      <c r="C207" s="15"/>
      <c r="D207" s="47"/>
      <c r="E207" s="47"/>
      <c r="F207" s="558"/>
      <c r="G207" s="301"/>
      <c r="H207" s="7"/>
      <c r="I207" s="301"/>
      <c r="J207" s="7"/>
      <c r="K207" s="3">
        <f t="shared" si="6"/>
        <v>200</v>
      </c>
      <c r="L207" s="301"/>
      <c r="M207" s="1">
        <f t="shared" si="7"/>
        <v>0</v>
      </c>
    </row>
    <row r="208" spans="1:13">
      <c r="A208" s="116" t="s">
        <v>414</v>
      </c>
      <c r="B208" s="298"/>
      <c r="C208" s="15"/>
      <c r="D208" s="47"/>
      <c r="E208" s="47"/>
      <c r="F208" s="558"/>
      <c r="G208" s="301"/>
      <c r="H208" s="7"/>
      <c r="I208" s="301"/>
      <c r="J208" s="7"/>
      <c r="K208" s="3">
        <f t="shared" si="6"/>
        <v>201</v>
      </c>
      <c r="L208" s="301"/>
      <c r="M208" s="1">
        <f t="shared" si="7"/>
        <v>0</v>
      </c>
    </row>
    <row r="209" spans="1:13">
      <c r="A209" s="136"/>
      <c r="B209" s="298" t="s">
        <v>13</v>
      </c>
      <c r="C209" s="15" t="s">
        <v>14</v>
      </c>
      <c r="D209" s="47"/>
      <c r="E209" s="47"/>
      <c r="F209" s="558">
        <f>'Booked June 2023 Rev'!$T$209</f>
        <v>0</v>
      </c>
      <c r="G209" s="301">
        <f>HLOOKUP($G$8,RevenueScenarios,K209,FALSE)</f>
        <v>0</v>
      </c>
      <c r="H209" s="7"/>
      <c r="I209" s="301">
        <f>G209-F209</f>
        <v>0</v>
      </c>
      <c r="J209" s="7"/>
      <c r="K209" s="3">
        <f t="shared" si="6"/>
        <v>202</v>
      </c>
      <c r="L209" s="301">
        <f>'[32]Booked Dec 2018 Rev'!$T$209</f>
        <v>0</v>
      </c>
      <c r="M209" s="1">
        <f t="shared" si="7"/>
        <v>0</v>
      </c>
    </row>
    <row r="210" spans="1:13">
      <c r="A210" s="136"/>
      <c r="B210" s="298"/>
      <c r="C210" s="15"/>
      <c r="D210" s="47"/>
      <c r="E210" s="47"/>
      <c r="F210" s="558"/>
      <c r="G210" s="301"/>
      <c r="H210" s="7"/>
      <c r="I210" s="301"/>
      <c r="J210" s="7"/>
      <c r="K210" s="3">
        <f t="shared" si="6"/>
        <v>203</v>
      </c>
      <c r="L210" s="301"/>
      <c r="M210" s="1">
        <f t="shared" si="7"/>
        <v>0</v>
      </c>
    </row>
    <row r="211" spans="1:13">
      <c r="A211" s="136"/>
      <c r="B211" s="298"/>
      <c r="C211" s="15" t="s">
        <v>15</v>
      </c>
      <c r="D211" s="47"/>
      <c r="E211" s="47"/>
      <c r="F211" s="558">
        <f>'Booked June 2023 Rev'!$T$211</f>
        <v>0</v>
      </c>
      <c r="G211" s="301">
        <f>HLOOKUP($G$8,RevenueScenarios,K211,FALSE)</f>
        <v>0</v>
      </c>
      <c r="H211" s="7"/>
      <c r="I211" s="301">
        <f>G211-F211</f>
        <v>0</v>
      </c>
      <c r="J211" s="7"/>
      <c r="K211" s="3">
        <f t="shared" si="6"/>
        <v>204</v>
      </c>
      <c r="L211" s="301">
        <f>'[32]Booked Dec 2018 Rev'!$T$211</f>
        <v>0</v>
      </c>
      <c r="M211" s="1">
        <f t="shared" si="7"/>
        <v>0</v>
      </c>
    </row>
    <row r="212" spans="1:13">
      <c r="A212" s="136"/>
      <c r="B212" s="298"/>
      <c r="C212" s="15"/>
      <c r="D212" s="47"/>
      <c r="E212" s="47"/>
      <c r="F212" s="558"/>
      <c r="G212" s="301"/>
      <c r="H212" s="7"/>
      <c r="I212" s="301"/>
      <c r="J212" s="7"/>
      <c r="K212" s="3">
        <f t="shared" si="6"/>
        <v>205</v>
      </c>
      <c r="L212" s="301"/>
      <c r="M212" s="1">
        <f t="shared" si="7"/>
        <v>0</v>
      </c>
    </row>
    <row r="213" spans="1:13">
      <c r="A213" s="136"/>
      <c r="B213" s="298"/>
      <c r="C213" s="15" t="s">
        <v>16</v>
      </c>
      <c r="D213" s="47"/>
      <c r="E213" s="47"/>
      <c r="F213" s="558">
        <f>'Booked June 2023 Rev'!$T$213</f>
        <v>0</v>
      </c>
      <c r="G213" s="301">
        <f>HLOOKUP($G$8,RevenueScenarios,K213,FALSE)</f>
        <v>0</v>
      </c>
      <c r="H213" s="7"/>
      <c r="I213" s="301">
        <f>G213-F213</f>
        <v>0</v>
      </c>
      <c r="J213" s="7"/>
      <c r="K213" s="3">
        <f t="shared" si="6"/>
        <v>206</v>
      </c>
      <c r="L213" s="301">
        <f>'[32]Booked Dec 2018 Rev'!$T$213</f>
        <v>0</v>
      </c>
      <c r="M213" s="1">
        <f t="shared" si="7"/>
        <v>0</v>
      </c>
    </row>
    <row r="214" spans="1:13">
      <c r="A214" s="136"/>
      <c r="B214" s="298"/>
      <c r="C214" s="15" t="s">
        <v>17</v>
      </c>
      <c r="D214" s="47"/>
      <c r="E214" s="47"/>
      <c r="F214" s="562">
        <f>'Booked June 2023 Rev'!$T$214</f>
        <v>0</v>
      </c>
      <c r="G214" s="323">
        <f>HLOOKUP($G$8,RevenueScenarios,K214,FALSE)</f>
        <v>0</v>
      </c>
      <c r="H214" s="140"/>
      <c r="I214" s="323">
        <f>G214-F214</f>
        <v>0</v>
      </c>
      <c r="J214" s="7"/>
      <c r="K214" s="3">
        <f t="shared" si="6"/>
        <v>207</v>
      </c>
      <c r="L214" s="323">
        <f>'[32]Booked Dec 2018 Rev'!$T$214</f>
        <v>0</v>
      </c>
      <c r="M214" s="1">
        <f t="shared" si="7"/>
        <v>0</v>
      </c>
    </row>
    <row r="215" spans="1:13">
      <c r="A215" s="136"/>
      <c r="B215" s="298"/>
      <c r="C215" s="15"/>
      <c r="D215" s="47"/>
      <c r="E215" s="47"/>
      <c r="F215" s="558"/>
      <c r="G215" s="301"/>
      <c r="H215" s="7"/>
      <c r="I215" s="301"/>
      <c r="J215" s="7"/>
      <c r="K215" s="3">
        <f t="shared" si="6"/>
        <v>208</v>
      </c>
      <c r="L215" s="301"/>
      <c r="M215" s="1">
        <f t="shared" si="7"/>
        <v>0</v>
      </c>
    </row>
    <row r="216" spans="1:13">
      <c r="A216" s="136"/>
      <c r="B216" s="298"/>
      <c r="C216" s="15" t="s">
        <v>18</v>
      </c>
      <c r="D216" s="47"/>
      <c r="E216" s="47"/>
      <c r="F216" s="558">
        <f>'Booked June 2023 Rev'!$T$216</f>
        <v>0</v>
      </c>
      <c r="G216" s="301">
        <f>HLOOKUP($G$8,RevenueScenarios,K216,FALSE)</f>
        <v>0</v>
      </c>
      <c r="H216" s="7"/>
      <c r="I216" s="301">
        <f>G216-F216</f>
        <v>0</v>
      </c>
      <c r="J216" s="7"/>
      <c r="K216" s="3">
        <f t="shared" si="6"/>
        <v>209</v>
      </c>
      <c r="L216" s="301">
        <f>'[32]Booked Dec 2018 Rev'!$T$216</f>
        <v>0</v>
      </c>
      <c r="M216" s="1">
        <f t="shared" si="7"/>
        <v>0</v>
      </c>
    </row>
    <row r="217" spans="1:13">
      <c r="A217" s="136"/>
      <c r="B217" s="298"/>
      <c r="C217" s="15"/>
      <c r="D217" s="47"/>
      <c r="E217" s="47"/>
      <c r="F217" s="558"/>
      <c r="G217" s="301"/>
      <c r="H217" s="7"/>
      <c r="I217" s="301"/>
      <c r="J217" s="7"/>
      <c r="K217" s="3">
        <f t="shared" si="6"/>
        <v>210</v>
      </c>
      <c r="L217" s="301"/>
      <c r="M217" s="1">
        <f t="shared" si="7"/>
        <v>0</v>
      </c>
    </row>
    <row r="218" spans="1:13">
      <c r="A218" s="136"/>
      <c r="B218" s="298" t="s">
        <v>78</v>
      </c>
      <c r="C218" s="15" t="s">
        <v>14</v>
      </c>
      <c r="D218" s="47"/>
      <c r="E218" s="47"/>
      <c r="F218" s="558">
        <f>'Booked June 2023 Rev'!$T$218</f>
        <v>0</v>
      </c>
      <c r="G218" s="301">
        <f>HLOOKUP($G$8,RevenueScenarios,K218,FALSE)</f>
        <v>0</v>
      </c>
      <c r="H218" s="7"/>
      <c r="I218" s="301">
        <f>G218-F218</f>
        <v>0</v>
      </c>
      <c r="J218" s="7"/>
      <c r="K218" s="3">
        <f t="shared" si="6"/>
        <v>211</v>
      </c>
      <c r="L218" s="301">
        <f>'[32]Booked Dec 2018 Rev'!$T$218</f>
        <v>0</v>
      </c>
      <c r="M218" s="1">
        <f t="shared" si="7"/>
        <v>0</v>
      </c>
    </row>
    <row r="219" spans="1:13">
      <c r="A219" s="136"/>
      <c r="B219" s="298"/>
      <c r="C219" s="15"/>
      <c r="D219" s="47"/>
      <c r="E219" s="47"/>
      <c r="F219" s="558"/>
      <c r="G219" s="301"/>
      <c r="H219" s="7"/>
      <c r="I219" s="301"/>
      <c r="J219" s="7"/>
      <c r="K219" s="3">
        <f t="shared" si="6"/>
        <v>212</v>
      </c>
      <c r="L219" s="301"/>
      <c r="M219" s="1">
        <f t="shared" si="7"/>
        <v>0</v>
      </c>
    </row>
    <row r="220" spans="1:13">
      <c r="A220" s="136"/>
      <c r="B220" s="298"/>
      <c r="C220" s="15" t="s">
        <v>15</v>
      </c>
      <c r="D220" s="47"/>
      <c r="E220" s="47"/>
      <c r="F220" s="558">
        <f>'Booked June 2023 Rev'!$T$220</f>
        <v>0</v>
      </c>
      <c r="G220" s="301">
        <f>HLOOKUP($G$8,RevenueScenarios,K220,FALSE)</f>
        <v>0</v>
      </c>
      <c r="H220" s="7"/>
      <c r="I220" s="301">
        <f>G220-F220</f>
        <v>0</v>
      </c>
      <c r="J220" s="7"/>
      <c r="K220" s="3">
        <f t="shared" si="6"/>
        <v>213</v>
      </c>
      <c r="L220" s="301">
        <f>'[32]Booked Dec 2018 Rev'!$T$220</f>
        <v>0</v>
      </c>
      <c r="M220" s="1">
        <f t="shared" si="7"/>
        <v>0</v>
      </c>
    </row>
    <row r="221" spans="1:13">
      <c r="A221" s="136"/>
      <c r="B221" s="298"/>
      <c r="C221" s="15"/>
      <c r="D221" s="47"/>
      <c r="E221" s="47"/>
      <c r="F221" s="558"/>
      <c r="G221" s="301"/>
      <c r="H221" s="7"/>
      <c r="I221" s="301"/>
      <c r="J221" s="7"/>
      <c r="K221" s="3">
        <f t="shared" si="6"/>
        <v>214</v>
      </c>
      <c r="L221" s="301"/>
      <c r="M221" s="1">
        <f t="shared" si="7"/>
        <v>0</v>
      </c>
    </row>
    <row r="222" spans="1:13">
      <c r="A222" s="136"/>
      <c r="B222" s="298"/>
      <c r="C222" s="15" t="s">
        <v>16</v>
      </c>
      <c r="D222" s="47"/>
      <c r="E222" s="47"/>
      <c r="F222" s="558">
        <f>'Booked June 2023 Rev'!$T$222</f>
        <v>0</v>
      </c>
      <c r="G222" s="301">
        <f>HLOOKUP($G$8,RevenueScenarios,K222,FALSE)</f>
        <v>0</v>
      </c>
      <c r="H222" s="7"/>
      <c r="I222" s="301">
        <f>G222-F222</f>
        <v>0</v>
      </c>
      <c r="J222" s="7"/>
      <c r="K222" s="3">
        <f t="shared" si="6"/>
        <v>215</v>
      </c>
      <c r="L222" s="301">
        <f>'[32]Booked Dec 2018 Rev'!$T$222</f>
        <v>0</v>
      </c>
      <c r="M222" s="1">
        <f t="shared" si="7"/>
        <v>0</v>
      </c>
    </row>
    <row r="223" spans="1:13">
      <c r="A223" s="136"/>
      <c r="B223" s="298"/>
      <c r="C223" s="15" t="s">
        <v>17</v>
      </c>
      <c r="D223" s="47"/>
      <c r="E223" s="47"/>
      <c r="F223" s="562">
        <f>'Booked June 2023 Rev'!$T$223</f>
        <v>0</v>
      </c>
      <c r="G223" s="323">
        <f>HLOOKUP($G$8,RevenueScenarios,K223,FALSE)</f>
        <v>0</v>
      </c>
      <c r="H223" s="140"/>
      <c r="I223" s="323">
        <f>G223-F223</f>
        <v>0</v>
      </c>
      <c r="J223" s="7"/>
      <c r="K223" s="3">
        <f t="shared" si="6"/>
        <v>216</v>
      </c>
      <c r="L223" s="323">
        <f>'[32]Booked Dec 2018 Rev'!$T$223</f>
        <v>0</v>
      </c>
      <c r="M223" s="1">
        <f t="shared" si="7"/>
        <v>0</v>
      </c>
    </row>
    <row r="224" spans="1:13">
      <c r="A224" s="136"/>
      <c r="B224" s="298"/>
      <c r="C224" s="15"/>
      <c r="D224" s="47"/>
      <c r="E224" s="47"/>
      <c r="F224" s="558"/>
      <c r="G224" s="301"/>
      <c r="H224" s="7"/>
      <c r="I224" s="301"/>
      <c r="J224" s="7"/>
      <c r="K224" s="3">
        <f t="shared" si="6"/>
        <v>217</v>
      </c>
      <c r="L224" s="301"/>
      <c r="M224" s="1">
        <f t="shared" si="7"/>
        <v>0</v>
      </c>
    </row>
    <row r="225" spans="1:18">
      <c r="A225" s="136"/>
      <c r="B225" s="298"/>
      <c r="C225" s="15" t="s">
        <v>18</v>
      </c>
      <c r="D225" s="47"/>
      <c r="E225" s="47"/>
      <c r="F225" s="558">
        <f>'Booked June 2023 Rev'!$T$225</f>
        <v>0</v>
      </c>
      <c r="G225" s="301">
        <f>HLOOKUP($G$8,RevenueScenarios,K225,FALSE)</f>
        <v>0</v>
      </c>
      <c r="H225" s="7"/>
      <c r="I225" s="301">
        <f>G225-F225</f>
        <v>0</v>
      </c>
      <c r="J225" s="7"/>
      <c r="K225" s="3">
        <f t="shared" si="6"/>
        <v>218</v>
      </c>
      <c r="L225" s="301">
        <f>'[32]Booked Dec 2018 Rev'!$T$225</f>
        <v>0</v>
      </c>
      <c r="M225" s="1">
        <f t="shared" si="7"/>
        <v>0</v>
      </c>
    </row>
    <row r="226" spans="1:18" ht="13.5" thickBot="1">
      <c r="A226" s="136"/>
      <c r="B226" s="298"/>
      <c r="C226" s="15"/>
      <c r="D226" s="47"/>
      <c r="E226" s="47"/>
      <c r="F226" s="563"/>
      <c r="G226" s="470"/>
      <c r="H226" s="24"/>
      <c r="I226" s="470"/>
      <c r="J226" s="7"/>
      <c r="K226" s="3">
        <f t="shared" si="6"/>
        <v>219</v>
      </c>
      <c r="L226" s="470"/>
      <c r="M226" s="1">
        <f t="shared" si="7"/>
        <v>0</v>
      </c>
    </row>
    <row r="227" spans="1:18" ht="13.5" thickTop="1">
      <c r="A227" s="136"/>
      <c r="B227" s="48" t="s">
        <v>494</v>
      </c>
      <c r="C227" s="15"/>
      <c r="D227" s="47"/>
      <c r="E227" s="47"/>
      <c r="F227" s="558">
        <f>'Booked June 2023 Rev'!$T$227</f>
        <v>0</v>
      </c>
      <c r="G227" s="301"/>
      <c r="H227" s="7"/>
      <c r="I227" s="301">
        <f>G227-F227</f>
        <v>0</v>
      </c>
      <c r="J227" s="7"/>
      <c r="K227" s="3">
        <f t="shared" si="6"/>
        <v>220</v>
      </c>
      <c r="L227" s="301">
        <f>'[32]Booked Dec 2018 Rev'!$T$227</f>
        <v>0</v>
      </c>
      <c r="M227" s="1">
        <f t="shared" si="7"/>
        <v>0</v>
      </c>
    </row>
    <row r="228" spans="1:18">
      <c r="A228" s="136"/>
      <c r="B228" s="48"/>
      <c r="C228" s="15" t="s">
        <v>14</v>
      </c>
      <c r="D228" s="47"/>
      <c r="E228" s="47"/>
      <c r="F228" s="558">
        <f>'Booked June 2023 Rev'!$T$228</f>
        <v>0</v>
      </c>
      <c r="G228" s="301">
        <f>HLOOKUP($G$8,RevenueScenarios,K228,FALSE)</f>
        <v>0</v>
      </c>
      <c r="H228" s="7"/>
      <c r="I228" s="301">
        <f>G228-F228</f>
        <v>0</v>
      </c>
      <c r="J228" s="7"/>
      <c r="K228" s="3">
        <f t="shared" si="6"/>
        <v>221</v>
      </c>
      <c r="L228" s="301">
        <f>'[32]Booked Dec 2018 Rev'!$T$228</f>
        <v>0</v>
      </c>
      <c r="M228" s="1">
        <f t="shared" si="7"/>
        <v>0</v>
      </c>
    </row>
    <row r="229" spans="1:18">
      <c r="A229" s="136"/>
      <c r="B229" s="48"/>
      <c r="C229" s="15" t="s">
        <v>15</v>
      </c>
      <c r="D229" s="47"/>
      <c r="E229" s="47"/>
      <c r="F229" s="558">
        <f>'Booked June 2023 Rev'!$T$229</f>
        <v>0</v>
      </c>
      <c r="G229" s="301">
        <f>HLOOKUP($G$8,RevenueScenarios,K229,FALSE)</f>
        <v>0</v>
      </c>
      <c r="H229" s="7"/>
      <c r="I229" s="301">
        <f>G229-F229</f>
        <v>0</v>
      </c>
      <c r="J229" s="7"/>
      <c r="K229" s="3">
        <f t="shared" si="6"/>
        <v>222</v>
      </c>
      <c r="L229" s="301">
        <f>'[32]Booked Dec 2018 Rev'!$T$229</f>
        <v>0</v>
      </c>
      <c r="M229" s="1">
        <f t="shared" si="7"/>
        <v>0</v>
      </c>
    </row>
    <row r="230" spans="1:18">
      <c r="A230" s="136"/>
      <c r="B230" s="48"/>
      <c r="C230" s="15" t="s">
        <v>16</v>
      </c>
      <c r="D230" s="47"/>
      <c r="E230" s="47"/>
      <c r="F230" s="558">
        <f>'Booked June 2023 Rev'!$T$230</f>
        <v>0</v>
      </c>
      <c r="G230" s="301">
        <f>HLOOKUP($G$8,RevenueScenarios,K230,FALSE)</f>
        <v>0</v>
      </c>
      <c r="H230" s="7"/>
      <c r="I230" s="301">
        <f>G230-F230</f>
        <v>0</v>
      </c>
      <c r="J230" s="7"/>
      <c r="K230" s="3">
        <f t="shared" si="6"/>
        <v>223</v>
      </c>
      <c r="L230" s="301">
        <f>'[32]Booked Dec 2018 Rev'!$T$230</f>
        <v>0</v>
      </c>
      <c r="M230" s="1">
        <f t="shared" si="7"/>
        <v>0</v>
      </c>
    </row>
    <row r="231" spans="1:18">
      <c r="A231" s="136"/>
      <c r="B231" s="298"/>
      <c r="C231" s="13" t="s">
        <v>415</v>
      </c>
      <c r="D231" s="47"/>
      <c r="E231" s="47"/>
      <c r="F231" s="562">
        <f>'Booked June 2023 Rev'!$T$231</f>
        <v>0</v>
      </c>
      <c r="G231" s="323">
        <f>HLOOKUP($G$8,RevenueScenarios,K231,FALSE)</f>
        <v>0</v>
      </c>
      <c r="H231" s="140"/>
      <c r="I231" s="323">
        <f>G231-F231</f>
        <v>0</v>
      </c>
      <c r="J231" s="7"/>
      <c r="K231" s="3">
        <f t="shared" si="6"/>
        <v>224</v>
      </c>
      <c r="L231" s="323">
        <f>'[32]Booked Dec 2018 Rev'!$T$231</f>
        <v>0</v>
      </c>
      <c r="M231" s="1">
        <f t="shared" si="7"/>
        <v>0</v>
      </c>
    </row>
    <row r="232" spans="1:18">
      <c r="A232" s="136"/>
      <c r="B232" s="298"/>
      <c r="C232" s="13"/>
      <c r="D232" s="47"/>
      <c r="E232" s="47"/>
      <c r="F232" s="558"/>
      <c r="G232" s="301"/>
      <c r="H232" s="7"/>
      <c r="I232" s="301"/>
      <c r="J232" s="7"/>
      <c r="K232" s="3">
        <f t="shared" si="6"/>
        <v>225</v>
      </c>
      <c r="L232" s="301"/>
      <c r="M232" s="1">
        <f t="shared" si="7"/>
        <v>0</v>
      </c>
    </row>
    <row r="233" spans="1:18">
      <c r="A233" s="136"/>
      <c r="B233" s="298"/>
      <c r="C233" s="25" t="s">
        <v>56</v>
      </c>
      <c r="D233" s="47"/>
      <c r="E233" s="47"/>
      <c r="F233" s="558">
        <f>'Booked June 2023 Rev'!$T$233</f>
        <v>0</v>
      </c>
      <c r="G233" s="301">
        <f>HLOOKUP($G$8,RevenueScenarios,K233,FALSE)</f>
        <v>0</v>
      </c>
      <c r="H233" s="7"/>
      <c r="I233" s="301">
        <f>G233-F233</f>
        <v>0</v>
      </c>
      <c r="J233" s="7"/>
      <c r="K233" s="3">
        <f t="shared" si="6"/>
        <v>226</v>
      </c>
      <c r="L233" s="301">
        <f>'[32]Booked Dec 2018 Rev'!$T$233</f>
        <v>0</v>
      </c>
      <c r="M233" s="1">
        <f t="shared" si="7"/>
        <v>0</v>
      </c>
    </row>
    <row r="234" spans="1:18">
      <c r="A234" s="136"/>
      <c r="B234" s="48"/>
      <c r="C234" s="15" t="s">
        <v>57</v>
      </c>
      <c r="D234" s="47"/>
      <c r="E234" s="47"/>
      <c r="F234" s="558">
        <f>'Booked June 2023 Rev'!$T$234</f>
        <v>0</v>
      </c>
      <c r="G234" s="301">
        <f>HLOOKUP($G$8,RevenueScenarios,K234,FALSE)</f>
        <v>0</v>
      </c>
      <c r="H234" s="7"/>
      <c r="I234" s="301">
        <f>G234-F234</f>
        <v>0</v>
      </c>
      <c r="J234" s="7"/>
      <c r="K234" s="3">
        <f t="shared" si="6"/>
        <v>227</v>
      </c>
      <c r="L234" s="301">
        <f>'[32]Booked Dec 2018 Rev'!$T$234</f>
        <v>0</v>
      </c>
      <c r="M234" s="1">
        <f t="shared" si="7"/>
        <v>0</v>
      </c>
    </row>
    <row r="235" spans="1:18">
      <c r="A235" s="136"/>
      <c r="B235" s="298"/>
      <c r="C235" s="13" t="s">
        <v>416</v>
      </c>
      <c r="D235" s="47"/>
      <c r="E235" s="47"/>
      <c r="F235" s="562">
        <f>'Booked June 2023 Rev'!$T$235</f>
        <v>0</v>
      </c>
      <c r="G235" s="323">
        <f>HLOOKUP($G$8,RevenueScenarios,K235,FALSE)</f>
        <v>0</v>
      </c>
      <c r="H235" s="140"/>
      <c r="I235" s="323">
        <f>G235-F235</f>
        <v>0</v>
      </c>
      <c r="J235" s="7"/>
      <c r="K235" s="3">
        <f t="shared" si="6"/>
        <v>228</v>
      </c>
      <c r="L235" s="323">
        <f>'[32]Booked Dec 2018 Rev'!$T$235</f>
        <v>0</v>
      </c>
      <c r="M235" s="1">
        <f t="shared" si="7"/>
        <v>0</v>
      </c>
    </row>
    <row r="236" spans="1:18">
      <c r="A236" s="136"/>
      <c r="B236" s="298"/>
      <c r="C236" s="15"/>
      <c r="D236" s="47"/>
      <c r="E236" s="47"/>
      <c r="F236" s="558"/>
      <c r="G236" s="301"/>
      <c r="H236" s="7"/>
      <c r="I236" s="301"/>
      <c r="J236" s="7"/>
      <c r="K236" s="3">
        <f t="shared" si="6"/>
        <v>229</v>
      </c>
      <c r="L236" s="301"/>
      <c r="M236" s="1">
        <f t="shared" si="7"/>
        <v>0</v>
      </c>
    </row>
    <row r="237" spans="1:18">
      <c r="A237" s="116" t="s">
        <v>23</v>
      </c>
      <c r="B237" s="298"/>
      <c r="C237" s="15"/>
      <c r="D237" s="47"/>
      <c r="E237" s="47"/>
      <c r="F237" s="558"/>
      <c r="G237" s="301"/>
      <c r="H237" s="7"/>
      <c r="I237" s="301"/>
      <c r="J237" s="7"/>
      <c r="K237" s="3">
        <f t="shared" si="6"/>
        <v>230</v>
      </c>
      <c r="L237" s="301"/>
      <c r="M237" s="1">
        <f t="shared" si="7"/>
        <v>0</v>
      </c>
    </row>
    <row r="238" spans="1:18">
      <c r="A238" s="136"/>
      <c r="B238" s="298" t="s">
        <v>13</v>
      </c>
      <c r="C238" s="15" t="s">
        <v>14</v>
      </c>
      <c r="D238" s="47"/>
      <c r="E238" s="47"/>
      <c r="F238" s="558">
        <f>'Booked June 2023 Rev'!$T$238</f>
        <v>13042442.240000002</v>
      </c>
      <c r="G238" s="301">
        <f>HLOOKUP($G$8,RevenueScenarios,K238,FALSE)</f>
        <v>13042442.240000002</v>
      </c>
      <c r="H238" s="7"/>
      <c r="I238" s="301">
        <f>G238-F238</f>
        <v>0</v>
      </c>
      <c r="J238" s="7"/>
      <c r="K238" s="3">
        <f t="shared" si="6"/>
        <v>231</v>
      </c>
      <c r="L238" s="301">
        <f>'[32]Booked Dec 2018 Rev'!$T$238</f>
        <v>12226128.390000001</v>
      </c>
      <c r="M238" s="1">
        <f t="shared" si="7"/>
        <v>-816313.85000000149</v>
      </c>
      <c r="P238" s="1">
        <v>13391517.43</v>
      </c>
      <c r="R238" s="1">
        <f>P238-G238</f>
        <v>349075.18999999762</v>
      </c>
    </row>
    <row r="239" spans="1:18">
      <c r="A239" s="136"/>
      <c r="B239" s="298"/>
      <c r="C239" s="15"/>
      <c r="D239" s="47"/>
      <c r="E239" s="47"/>
      <c r="F239" s="558"/>
      <c r="G239" s="301"/>
      <c r="H239" s="7"/>
      <c r="I239" s="301"/>
      <c r="J239" s="7"/>
      <c r="K239" s="3">
        <f t="shared" si="6"/>
        <v>232</v>
      </c>
      <c r="L239" s="301"/>
      <c r="M239" s="1">
        <f t="shared" si="7"/>
        <v>0</v>
      </c>
      <c r="P239" s="1"/>
    </row>
    <row r="240" spans="1:18">
      <c r="A240" s="136"/>
      <c r="B240" s="298"/>
      <c r="C240" s="15"/>
      <c r="D240" s="47"/>
      <c r="E240" s="47"/>
      <c r="F240" s="558"/>
      <c r="G240" s="301"/>
      <c r="H240" s="7"/>
      <c r="I240" s="301"/>
      <c r="J240" s="7"/>
      <c r="K240" s="3">
        <f t="shared" si="6"/>
        <v>233</v>
      </c>
      <c r="L240" s="301"/>
      <c r="M240" s="1">
        <f t="shared" si="7"/>
        <v>0</v>
      </c>
      <c r="P240" s="1"/>
    </row>
    <row r="241" spans="1:16">
      <c r="A241" s="136"/>
      <c r="B241" s="298"/>
      <c r="C241" s="15"/>
      <c r="D241" s="47"/>
      <c r="E241" s="47"/>
      <c r="F241" s="558"/>
      <c r="G241" s="301"/>
      <c r="H241" s="7"/>
      <c r="I241" s="301"/>
      <c r="J241" s="7"/>
      <c r="K241" s="3">
        <f t="shared" si="6"/>
        <v>234</v>
      </c>
      <c r="L241" s="301"/>
      <c r="M241" s="1">
        <f t="shared" si="7"/>
        <v>0</v>
      </c>
      <c r="P241" s="1"/>
    </row>
    <row r="242" spans="1:16">
      <c r="A242" s="136"/>
      <c r="B242" s="298"/>
      <c r="C242" s="15" t="s">
        <v>16</v>
      </c>
      <c r="D242" s="47"/>
      <c r="E242" s="47"/>
      <c r="F242" s="558">
        <f>'Booked June 2023 Rev'!$T$242</f>
        <v>30259333.300000004</v>
      </c>
      <c r="G242" s="301">
        <f>HLOOKUP($G$8,RevenueScenarios,K242,FALSE)</f>
        <v>30259333.300000004</v>
      </c>
      <c r="H242" s="7"/>
      <c r="I242" s="301">
        <f>G242-F242</f>
        <v>0</v>
      </c>
      <c r="J242" s="7"/>
      <c r="K242" s="3">
        <f t="shared" si="6"/>
        <v>235</v>
      </c>
      <c r="L242" s="301">
        <f>'[32]Booked Dec 2018 Rev'!$T$242</f>
        <v>16197832.290000001</v>
      </c>
      <c r="M242" s="1">
        <f t="shared" si="7"/>
        <v>-14061501.010000004</v>
      </c>
      <c r="P242" s="1">
        <v>20030834.599999998</v>
      </c>
    </row>
    <row r="243" spans="1:16">
      <c r="A243" s="136"/>
      <c r="B243" s="298"/>
      <c r="C243" s="15" t="s">
        <v>17</v>
      </c>
      <c r="D243" s="47"/>
      <c r="E243" s="47"/>
      <c r="F243" s="562">
        <f>'Booked June 2023 Rev'!$T$243</f>
        <v>43301775.540000007</v>
      </c>
      <c r="G243" s="323">
        <f>HLOOKUP($G$8,RevenueScenarios,K243,FALSE)</f>
        <v>43301775.540000007</v>
      </c>
      <c r="H243" s="140"/>
      <c r="I243" s="323">
        <f>G243-F243</f>
        <v>0</v>
      </c>
      <c r="J243" s="7"/>
      <c r="K243" s="3">
        <f t="shared" si="6"/>
        <v>236</v>
      </c>
      <c r="L243" s="323">
        <f>'[32]Booked Dec 2018 Rev'!$T$243</f>
        <v>28423960.680000007</v>
      </c>
      <c r="M243" s="1">
        <f t="shared" si="7"/>
        <v>-14877814.859999999</v>
      </c>
      <c r="P243" s="1">
        <v>33422352.030000005</v>
      </c>
    </row>
    <row r="244" spans="1:16">
      <c r="A244" s="136"/>
      <c r="B244" s="298"/>
      <c r="C244" s="15"/>
      <c r="D244" s="47"/>
      <c r="E244" s="47"/>
      <c r="F244" s="558"/>
      <c r="G244" s="301"/>
      <c r="H244" s="7"/>
      <c r="I244" s="301"/>
      <c r="J244" s="7"/>
      <c r="K244" s="3">
        <f t="shared" si="6"/>
        <v>237</v>
      </c>
      <c r="L244" s="301"/>
      <c r="M244" s="1">
        <f t="shared" si="7"/>
        <v>0</v>
      </c>
      <c r="P244" s="1"/>
    </row>
    <row r="245" spans="1:16">
      <c r="A245" s="136"/>
      <c r="B245" s="298"/>
      <c r="C245" s="15" t="s">
        <v>18</v>
      </c>
      <c r="D245" s="47"/>
      <c r="E245" s="47"/>
      <c r="F245" s="558">
        <f>'Booked June 2023 Rev'!$T$245</f>
        <v>3819211.71</v>
      </c>
      <c r="G245" s="301">
        <f>HLOOKUP($G$8,RevenueScenarios,K245,FALSE)</f>
        <v>3819211.71</v>
      </c>
      <c r="H245" s="7"/>
      <c r="I245" s="301">
        <f>G245-F245</f>
        <v>0</v>
      </c>
      <c r="J245" s="7"/>
      <c r="K245" s="3">
        <f t="shared" si="6"/>
        <v>238</v>
      </c>
      <c r="L245" s="301">
        <f>'[32]Booked Dec 2018 Rev'!$T$245</f>
        <v>3386303.0400000005</v>
      </c>
      <c r="M245" s="1">
        <f t="shared" si="7"/>
        <v>-432908.66999999946</v>
      </c>
      <c r="P245" s="1">
        <v>3409552.5839999998</v>
      </c>
    </row>
    <row r="246" spans="1:16">
      <c r="A246" s="136"/>
      <c r="B246" s="298"/>
      <c r="C246" s="15"/>
      <c r="D246" s="47"/>
      <c r="E246" s="47"/>
      <c r="F246" s="558"/>
      <c r="G246" s="301"/>
      <c r="H246" s="7"/>
      <c r="I246" s="301"/>
      <c r="J246" s="7"/>
      <c r="K246" s="3">
        <f t="shared" si="6"/>
        <v>239</v>
      </c>
      <c r="L246" s="301"/>
      <c r="M246" s="1">
        <f t="shared" si="7"/>
        <v>0</v>
      </c>
      <c r="P246" s="1"/>
    </row>
    <row r="247" spans="1:16">
      <c r="A247" s="136"/>
      <c r="B247" s="298" t="s">
        <v>745</v>
      </c>
      <c r="C247" s="15" t="s">
        <v>14</v>
      </c>
      <c r="D247" s="47"/>
      <c r="E247" s="47"/>
      <c r="F247" s="558">
        <f>'Booked June 2023 Rev'!$T$247</f>
        <v>289555.15999999997</v>
      </c>
      <c r="G247" s="301">
        <f>HLOOKUP($G$8,RevenueScenarios,K247,FALSE)</f>
        <v>289555.15999999997</v>
      </c>
      <c r="H247" s="7"/>
      <c r="I247" s="301">
        <f>G247-F247</f>
        <v>0</v>
      </c>
      <c r="J247" s="7"/>
      <c r="K247" s="3">
        <f t="shared" si="6"/>
        <v>240</v>
      </c>
      <c r="L247" s="301">
        <f>'[32]Booked Dec 2018 Rev'!$T$247</f>
        <v>162356.09999999998</v>
      </c>
      <c r="M247" s="1">
        <f t="shared" si="7"/>
        <v>-127199.06</v>
      </c>
      <c r="P247" s="1">
        <v>263138.3</v>
      </c>
    </row>
    <row r="248" spans="1:16">
      <c r="A248" s="136"/>
      <c r="B248" s="298"/>
      <c r="C248" s="15"/>
      <c r="D248" s="47"/>
      <c r="E248" s="47"/>
      <c r="F248" s="558"/>
      <c r="G248" s="301"/>
      <c r="H248" s="7"/>
      <c r="I248" s="301"/>
      <c r="J248" s="7"/>
      <c r="K248" s="3">
        <f t="shared" si="6"/>
        <v>241</v>
      </c>
      <c r="L248" s="301"/>
      <c r="M248" s="1">
        <f t="shared" si="7"/>
        <v>0</v>
      </c>
      <c r="P248" s="1"/>
    </row>
    <row r="249" spans="1:16">
      <c r="A249" s="136"/>
      <c r="B249" s="298"/>
      <c r="C249" s="15"/>
      <c r="D249" s="47"/>
      <c r="E249" s="47"/>
      <c r="F249" s="558"/>
      <c r="G249" s="301"/>
      <c r="H249" s="7"/>
      <c r="I249" s="301"/>
      <c r="J249" s="7"/>
      <c r="K249" s="3">
        <f t="shared" si="6"/>
        <v>242</v>
      </c>
      <c r="L249" s="301"/>
      <c r="M249" s="1">
        <f t="shared" si="7"/>
        <v>0</v>
      </c>
      <c r="P249" s="1"/>
    </row>
    <row r="250" spans="1:16">
      <c r="A250" s="136"/>
      <c r="B250" s="298"/>
      <c r="C250" s="15"/>
      <c r="D250" s="47"/>
      <c r="E250" s="47"/>
      <c r="F250" s="558"/>
      <c r="G250" s="301"/>
      <c r="H250" s="7"/>
      <c r="I250" s="301"/>
      <c r="J250" s="7"/>
      <c r="K250" s="3">
        <f t="shared" si="6"/>
        <v>243</v>
      </c>
      <c r="L250" s="301"/>
      <c r="M250" s="1">
        <f t="shared" si="7"/>
        <v>0</v>
      </c>
      <c r="P250" s="1"/>
    </row>
    <row r="251" spans="1:16">
      <c r="A251" s="136"/>
      <c r="B251" s="298"/>
      <c r="C251" s="15" t="s">
        <v>16</v>
      </c>
      <c r="D251" s="47"/>
      <c r="E251" s="47"/>
      <c r="F251" s="558">
        <f>'Booked June 2023 Rev'!$T$251</f>
        <v>1755859.54</v>
      </c>
      <c r="G251" s="301">
        <f>HLOOKUP($G$8,RevenueScenarios,K251,FALSE)</f>
        <v>1755859.54</v>
      </c>
      <c r="H251" s="7"/>
      <c r="I251" s="301">
        <f>G251-F251</f>
        <v>0</v>
      </c>
      <c r="J251" s="7"/>
      <c r="K251" s="3">
        <f t="shared" si="6"/>
        <v>244</v>
      </c>
      <c r="L251" s="301">
        <f>'[32]Booked Dec 2018 Rev'!$T$251</f>
        <v>783331.10999999987</v>
      </c>
      <c r="M251" s="1">
        <f t="shared" si="7"/>
        <v>-972528.43000000017</v>
      </c>
      <c r="P251" s="1">
        <v>1220763.97</v>
      </c>
    </row>
    <row r="252" spans="1:16">
      <c r="A252" s="136"/>
      <c r="B252" s="298"/>
      <c r="C252" s="15" t="s">
        <v>17</v>
      </c>
      <c r="D252" s="47"/>
      <c r="E252" s="47"/>
      <c r="F252" s="562">
        <f>'Booked June 2023 Rev'!$T$252</f>
        <v>2045414.6999999997</v>
      </c>
      <c r="G252" s="323">
        <f>HLOOKUP($G$8,RevenueScenarios,K252,FALSE)</f>
        <v>2045414.6999999997</v>
      </c>
      <c r="H252" s="140"/>
      <c r="I252" s="323">
        <f>G252-F252</f>
        <v>0</v>
      </c>
      <c r="J252" s="7"/>
      <c r="K252" s="3">
        <f t="shared" si="6"/>
        <v>245</v>
      </c>
      <c r="L252" s="323">
        <f>'[32]Booked Dec 2018 Rev'!$T$252</f>
        <v>945687.21</v>
      </c>
      <c r="M252" s="1">
        <f t="shared" si="7"/>
        <v>-1099727.4899999998</v>
      </c>
      <c r="P252" s="1">
        <v>1483902.27</v>
      </c>
    </row>
    <row r="253" spans="1:16">
      <c r="A253" s="136"/>
      <c r="B253" s="298"/>
      <c r="C253" s="15"/>
      <c r="D253" s="47"/>
      <c r="E253" s="47"/>
      <c r="F253" s="558"/>
      <c r="G253" s="301"/>
      <c r="H253" s="7"/>
      <c r="I253" s="301"/>
      <c r="J253" s="7"/>
      <c r="K253" s="3">
        <f t="shared" si="6"/>
        <v>246</v>
      </c>
      <c r="L253" s="301"/>
      <c r="M253" s="1">
        <f t="shared" si="7"/>
        <v>0</v>
      </c>
      <c r="P253" s="1"/>
    </row>
    <row r="254" spans="1:16">
      <c r="A254" s="136"/>
      <c r="B254" s="298"/>
      <c r="C254" s="15" t="s">
        <v>18</v>
      </c>
      <c r="D254" s="47"/>
      <c r="E254" s="47"/>
      <c r="F254" s="558">
        <f>'Booked June 2023 Rev'!$T$254</f>
        <v>224812.68399999998</v>
      </c>
      <c r="G254" s="301">
        <f>HLOOKUP($G$8,RevenueScenarios,K254,FALSE)</f>
        <v>224812.68399999998</v>
      </c>
      <c r="H254" s="7"/>
      <c r="I254" s="301">
        <f>G254-F254</f>
        <v>0</v>
      </c>
      <c r="J254" s="7"/>
      <c r="K254" s="3">
        <f t="shared" si="6"/>
        <v>247</v>
      </c>
      <c r="L254" s="301">
        <f>'[32]Booked Dec 2018 Rev'!$T$254</f>
        <v>165199.16999999998</v>
      </c>
      <c r="M254" s="1">
        <f t="shared" si="7"/>
        <v>-59613.513999999996</v>
      </c>
      <c r="P254" s="1">
        <v>203366.13600000006</v>
      </c>
    </row>
    <row r="255" spans="1:16">
      <c r="A255" s="136"/>
      <c r="B255" s="298"/>
      <c r="C255" s="15"/>
      <c r="D255" s="47"/>
      <c r="E255" s="47"/>
      <c r="F255" s="558"/>
      <c r="G255" s="301"/>
      <c r="H255" s="7"/>
      <c r="I255" s="301"/>
      <c r="J255" s="7"/>
      <c r="K255" s="3">
        <f t="shared" si="6"/>
        <v>248</v>
      </c>
      <c r="L255" s="301"/>
      <c r="M255" s="1">
        <f t="shared" si="7"/>
        <v>0</v>
      </c>
      <c r="P255" s="1"/>
    </row>
    <row r="256" spans="1:16">
      <c r="A256" s="136"/>
      <c r="B256" s="298" t="s">
        <v>746</v>
      </c>
      <c r="C256" s="15" t="s">
        <v>14</v>
      </c>
      <c r="D256" s="47"/>
      <c r="E256" s="47"/>
      <c r="F256" s="558">
        <f>'Booked June 2023 Rev'!$T$256</f>
        <v>25838.856622309999</v>
      </c>
      <c r="G256" s="301">
        <f>HLOOKUP($G$8,RevenueScenarios,K256,FALSE)</f>
        <v>25838.856622309999</v>
      </c>
      <c r="H256" s="7"/>
      <c r="I256" s="301">
        <f>G256-F256</f>
        <v>0</v>
      </c>
      <c r="J256" s="7"/>
      <c r="K256" s="3">
        <f t="shared" si="6"/>
        <v>249</v>
      </c>
      <c r="L256" s="301">
        <f>'[32]Booked Dec 2018 Rev'!$T$256</f>
        <v>47853.650181900004</v>
      </c>
      <c r="M256" s="1">
        <f t="shared" si="7"/>
        <v>22014.793559590005</v>
      </c>
      <c r="P256" s="1">
        <v>34217.827250696006</v>
      </c>
    </row>
    <row r="257" spans="1:16">
      <c r="A257" s="136"/>
      <c r="B257" s="298"/>
      <c r="C257" s="15"/>
      <c r="D257" s="47"/>
      <c r="E257" s="47"/>
      <c r="F257" s="558"/>
      <c r="G257" s="301"/>
      <c r="H257" s="7"/>
      <c r="I257" s="301"/>
      <c r="J257" s="7"/>
      <c r="K257" s="3">
        <f t="shared" si="6"/>
        <v>250</v>
      </c>
      <c r="L257" s="301"/>
      <c r="M257" s="1">
        <f t="shared" si="7"/>
        <v>0</v>
      </c>
      <c r="P257" s="1"/>
    </row>
    <row r="258" spans="1:16">
      <c r="A258" s="136"/>
      <c r="B258" s="298"/>
      <c r="C258" s="15"/>
      <c r="D258" s="47"/>
      <c r="E258" s="47"/>
      <c r="F258" s="558"/>
      <c r="G258" s="301"/>
      <c r="H258" s="7"/>
      <c r="I258" s="301"/>
      <c r="J258" s="7"/>
      <c r="K258" s="3">
        <f t="shared" si="6"/>
        <v>251</v>
      </c>
      <c r="L258" s="301"/>
      <c r="M258" s="1">
        <f t="shared" si="7"/>
        <v>0</v>
      </c>
      <c r="P258" s="1"/>
    </row>
    <row r="259" spans="1:16">
      <c r="A259" s="136"/>
      <c r="B259" s="298"/>
      <c r="C259" s="15"/>
      <c r="D259" s="47"/>
      <c r="E259" s="47"/>
      <c r="F259" s="558"/>
      <c r="G259" s="301"/>
      <c r="H259" s="7"/>
      <c r="I259" s="301"/>
      <c r="J259" s="7"/>
      <c r="K259" s="3">
        <f t="shared" si="6"/>
        <v>252</v>
      </c>
      <c r="L259" s="301"/>
      <c r="M259" s="1">
        <f t="shared" si="7"/>
        <v>0</v>
      </c>
      <c r="P259" s="1"/>
    </row>
    <row r="260" spans="1:16">
      <c r="A260" s="136"/>
      <c r="B260" s="298"/>
      <c r="C260" s="15" t="s">
        <v>16</v>
      </c>
      <c r="D260" s="47"/>
      <c r="E260" s="47"/>
      <c r="F260" s="558">
        <f>'Booked June 2023 Rev'!$T$260</f>
        <v>28529.2419763</v>
      </c>
      <c r="G260" s="301">
        <f>HLOOKUP($G$8,RevenueScenarios,K260,FALSE)</f>
        <v>28529.2419763</v>
      </c>
      <c r="H260" s="7"/>
      <c r="I260" s="301">
        <f>G260-F260</f>
        <v>0</v>
      </c>
      <c r="J260" s="7"/>
      <c r="K260" s="3">
        <f t="shared" si="6"/>
        <v>253</v>
      </c>
      <c r="L260" s="301">
        <f>'[32]Booked Dec 2018 Rev'!$T$260</f>
        <v>28295.749818099997</v>
      </c>
      <c r="M260" s="1">
        <f t="shared" si="7"/>
        <v>-233.49215820000245</v>
      </c>
      <c r="P260" s="1">
        <v>17604.442749303998</v>
      </c>
    </row>
    <row r="261" spans="1:16">
      <c r="A261" s="136"/>
      <c r="B261" s="298"/>
      <c r="C261" s="15" t="s">
        <v>17</v>
      </c>
      <c r="D261" s="47"/>
      <c r="E261" s="47"/>
      <c r="F261" s="562">
        <f>'Booked June 2023 Rev'!$T$261</f>
        <v>54368.098598610006</v>
      </c>
      <c r="G261" s="323">
        <f>HLOOKUP($G$8,RevenueScenarios,K261,FALSE)</f>
        <v>54368.098598610006</v>
      </c>
      <c r="H261" s="140"/>
      <c r="I261" s="323">
        <f>G261-F261</f>
        <v>0</v>
      </c>
      <c r="J261" s="7"/>
      <c r="K261" s="3">
        <f t="shared" si="6"/>
        <v>254</v>
      </c>
      <c r="L261" s="323">
        <f>'[32]Booked Dec 2018 Rev'!$T$261</f>
        <v>76149.399999999994</v>
      </c>
      <c r="M261" s="1">
        <f t="shared" si="7"/>
        <v>21781.301401389988</v>
      </c>
      <c r="P261" s="1">
        <v>51822.27</v>
      </c>
    </row>
    <row r="262" spans="1:16">
      <c r="A262" s="136"/>
      <c r="B262" s="298"/>
      <c r="C262" s="15"/>
      <c r="D262" s="47"/>
      <c r="E262" s="47"/>
      <c r="F262" s="558"/>
      <c r="G262" s="301"/>
      <c r="H262" s="7"/>
      <c r="I262" s="301"/>
      <c r="J262" s="7"/>
      <c r="K262" s="3">
        <f t="shared" si="6"/>
        <v>255</v>
      </c>
      <c r="L262" s="301"/>
      <c r="M262" s="1">
        <f t="shared" si="7"/>
        <v>0</v>
      </c>
      <c r="P262" s="1"/>
    </row>
    <row r="263" spans="1:16">
      <c r="A263" s="136"/>
      <c r="B263" s="298"/>
      <c r="C263" s="15" t="s">
        <v>18</v>
      </c>
      <c r="D263" s="47"/>
      <c r="E263" s="47"/>
      <c r="F263" s="558">
        <f>'Booked June 2023 Rev'!$T$263</f>
        <v>3791.5159999999996</v>
      </c>
      <c r="G263" s="301">
        <f>HLOOKUP($G$8,RevenueScenarios,K263,FALSE)</f>
        <v>3791.5159999999996</v>
      </c>
      <c r="H263" s="7"/>
      <c r="I263" s="301">
        <f>G263-F263</f>
        <v>0</v>
      </c>
      <c r="J263" s="7"/>
      <c r="K263" s="3">
        <f t="shared" si="6"/>
        <v>256</v>
      </c>
      <c r="L263" s="301">
        <f>'[32]Booked Dec 2018 Rev'!$T$263</f>
        <v>5917.28</v>
      </c>
      <c r="M263" s="1">
        <f t="shared" si="7"/>
        <v>2125.7640000000001</v>
      </c>
      <c r="P263" s="1">
        <v>3203.5779999999995</v>
      </c>
    </row>
    <row r="264" spans="1:16">
      <c r="A264" s="136"/>
      <c r="B264" s="298"/>
      <c r="C264" s="15"/>
      <c r="D264" s="47"/>
      <c r="E264" s="47"/>
      <c r="F264" s="558"/>
      <c r="G264" s="301"/>
      <c r="H264" s="7"/>
      <c r="I264" s="301"/>
      <c r="J264" s="7"/>
      <c r="K264" s="3">
        <f t="shared" si="6"/>
        <v>257</v>
      </c>
      <c r="L264" s="301"/>
      <c r="M264" s="1">
        <f t="shared" si="7"/>
        <v>0</v>
      </c>
      <c r="P264" s="1"/>
    </row>
    <row r="265" spans="1:16">
      <c r="A265" s="136"/>
      <c r="B265" s="298" t="s">
        <v>708</v>
      </c>
      <c r="C265" s="15" t="s">
        <v>14</v>
      </c>
      <c r="D265" s="47"/>
      <c r="E265" s="47"/>
      <c r="F265" s="558">
        <f>'Booked June 2023 Rev'!$T$265</f>
        <v>0</v>
      </c>
      <c r="G265" s="301">
        <f>HLOOKUP($G$8,RevenueScenarios,K265,FALSE)</f>
        <v>0</v>
      </c>
      <c r="H265" s="7"/>
      <c r="I265" s="301">
        <f>G265-F265</f>
        <v>0</v>
      </c>
      <c r="J265" s="7"/>
      <c r="K265" s="3">
        <f t="shared" si="6"/>
        <v>258</v>
      </c>
      <c r="L265" s="301">
        <f>'[32]Booked Dec 2018 Rev'!$T$265</f>
        <v>0</v>
      </c>
      <c r="M265" s="1">
        <f t="shared" si="7"/>
        <v>0</v>
      </c>
      <c r="P265" s="1">
        <v>0</v>
      </c>
    </row>
    <row r="266" spans="1:16" ht="12.75" customHeight="1">
      <c r="A266" s="136"/>
      <c r="B266" s="298"/>
      <c r="C266" s="15"/>
      <c r="D266" s="47"/>
      <c r="E266" s="47"/>
      <c r="F266" s="558"/>
      <c r="G266" s="301"/>
      <c r="H266" s="7"/>
      <c r="I266" s="301"/>
      <c r="J266" s="7"/>
      <c r="K266" s="3">
        <f t="shared" ref="K266:K280" si="8">+K265+1</f>
        <v>259</v>
      </c>
      <c r="L266" s="301"/>
      <c r="M266" s="1">
        <f t="shared" si="7"/>
        <v>0</v>
      </c>
      <c r="P266" s="1"/>
    </row>
    <row r="267" spans="1:16">
      <c r="A267" s="136"/>
      <c r="B267" s="298"/>
      <c r="C267" s="15"/>
      <c r="D267" s="47"/>
      <c r="E267" s="47"/>
      <c r="F267" s="558"/>
      <c r="G267" s="301"/>
      <c r="H267" s="7"/>
      <c r="I267" s="301"/>
      <c r="J267" s="7"/>
      <c r="K267" s="3">
        <f t="shared" si="8"/>
        <v>260</v>
      </c>
      <c r="L267" s="301"/>
      <c r="M267" s="1">
        <f t="shared" si="7"/>
        <v>0</v>
      </c>
      <c r="P267" s="1"/>
    </row>
    <row r="268" spans="1:16">
      <c r="A268" s="136"/>
      <c r="B268" s="298"/>
      <c r="C268" s="15"/>
      <c r="D268" s="47"/>
      <c r="E268" s="47"/>
      <c r="F268" s="558"/>
      <c r="G268" s="301"/>
      <c r="H268" s="7"/>
      <c r="I268" s="301"/>
      <c r="J268" s="7"/>
      <c r="K268" s="3">
        <f t="shared" si="8"/>
        <v>261</v>
      </c>
      <c r="L268" s="301"/>
      <c r="M268" s="1">
        <f t="shared" ref="M268:M331" si="9">L268-F268</f>
        <v>0</v>
      </c>
      <c r="P268" s="1"/>
    </row>
    <row r="269" spans="1:16">
      <c r="A269" s="136"/>
      <c r="B269" s="298"/>
      <c r="C269" s="15" t="s">
        <v>16</v>
      </c>
      <c r="D269" s="47"/>
      <c r="E269" s="47"/>
      <c r="F269" s="558">
        <f>'Booked June 2023 Rev'!$T$269</f>
        <v>0</v>
      </c>
      <c r="G269" s="301">
        <f>HLOOKUP($G$8,RevenueScenarios,K269,FALSE)</f>
        <v>0</v>
      </c>
      <c r="H269" s="7"/>
      <c r="I269" s="301">
        <f>G269-F269</f>
        <v>0</v>
      </c>
      <c r="J269" s="7"/>
      <c r="K269" s="3">
        <f t="shared" si="8"/>
        <v>262</v>
      </c>
      <c r="L269" s="301">
        <f>'[32]Booked Dec 2018 Rev'!$T$269</f>
        <v>0</v>
      </c>
      <c r="M269" s="1">
        <f t="shared" si="9"/>
        <v>0</v>
      </c>
      <c r="P269" s="1">
        <v>0</v>
      </c>
    </row>
    <row r="270" spans="1:16">
      <c r="A270" s="136"/>
      <c r="B270" s="298"/>
      <c r="C270" s="15" t="s">
        <v>17</v>
      </c>
      <c r="D270" s="47"/>
      <c r="E270" s="47"/>
      <c r="F270" s="562">
        <f>'Booked June 2023 Rev'!$T$270</f>
        <v>0</v>
      </c>
      <c r="G270" s="323">
        <f>HLOOKUP($G$8,RevenueScenarios,K270,FALSE)</f>
        <v>0</v>
      </c>
      <c r="H270" s="140"/>
      <c r="I270" s="323">
        <f>G270-F270</f>
        <v>0</v>
      </c>
      <c r="J270" s="7"/>
      <c r="K270" s="3">
        <f t="shared" si="8"/>
        <v>263</v>
      </c>
      <c r="L270" s="323">
        <f>'[32]Booked Dec 2018 Rev'!$T$270</f>
        <v>0</v>
      </c>
      <c r="M270" s="1">
        <f t="shared" si="9"/>
        <v>0</v>
      </c>
      <c r="P270" s="1">
        <v>0</v>
      </c>
    </row>
    <row r="271" spans="1:16">
      <c r="A271" s="136"/>
      <c r="B271" s="298"/>
      <c r="C271" s="15"/>
      <c r="D271" s="47"/>
      <c r="E271" s="47"/>
      <c r="F271" s="558"/>
      <c r="G271" s="301"/>
      <c r="H271" s="7"/>
      <c r="I271" s="301"/>
      <c r="J271" s="7"/>
      <c r="K271" s="3">
        <f t="shared" si="8"/>
        <v>264</v>
      </c>
      <c r="L271" s="301"/>
      <c r="M271" s="1">
        <f t="shared" si="9"/>
        <v>0</v>
      </c>
      <c r="P271" s="1"/>
    </row>
    <row r="272" spans="1:16">
      <c r="A272" s="136"/>
      <c r="B272" s="298"/>
      <c r="C272" s="15" t="s">
        <v>18</v>
      </c>
      <c r="D272" s="47"/>
      <c r="E272" s="47"/>
      <c r="F272" s="558">
        <f>'Booked June 2023 Rev'!$T$272</f>
        <v>0</v>
      </c>
      <c r="G272" s="301">
        <f>HLOOKUP($G$8,RevenueScenarios,K272,FALSE)</f>
        <v>0</v>
      </c>
      <c r="H272" s="7"/>
      <c r="I272" s="301">
        <f>G272-F272</f>
        <v>0</v>
      </c>
      <c r="J272" s="7"/>
      <c r="K272" s="3">
        <f t="shared" si="8"/>
        <v>265</v>
      </c>
      <c r="L272" s="301">
        <f>'[32]Booked Dec 2018 Rev'!$T$272</f>
        <v>0</v>
      </c>
      <c r="M272" s="1">
        <f t="shared" si="9"/>
        <v>0</v>
      </c>
      <c r="P272" s="1">
        <v>0</v>
      </c>
    </row>
    <row r="273" spans="1:16">
      <c r="A273" s="136"/>
      <c r="B273" s="298"/>
      <c r="C273" s="15"/>
      <c r="D273" s="47"/>
      <c r="E273" s="47"/>
      <c r="F273" s="558"/>
      <c r="G273" s="301"/>
      <c r="H273" s="7"/>
      <c r="I273" s="301"/>
      <c r="J273" s="7"/>
      <c r="K273" s="3">
        <f t="shared" si="8"/>
        <v>266</v>
      </c>
      <c r="L273" s="301"/>
      <c r="M273" s="1">
        <f t="shared" si="9"/>
        <v>0</v>
      </c>
      <c r="P273" s="1"/>
    </row>
    <row r="274" spans="1:16">
      <c r="A274" s="136"/>
      <c r="B274" s="298" t="s">
        <v>78</v>
      </c>
      <c r="C274" s="15" t="s">
        <v>14</v>
      </c>
      <c r="D274" s="47"/>
      <c r="E274" s="47"/>
      <c r="F274" s="558">
        <f>'Booked June 2023 Rev'!$T$274</f>
        <v>38776.410000000003</v>
      </c>
      <c r="G274" s="301">
        <f>HLOOKUP($G$8,RevenueScenarios,K274,FALSE)</f>
        <v>38776.410000000003</v>
      </c>
      <c r="H274" s="7"/>
      <c r="I274" s="301">
        <f t="shared" ref="I274:I317" si="10">G274-F274</f>
        <v>0</v>
      </c>
      <c r="J274" s="7"/>
      <c r="K274" s="3">
        <f t="shared" si="8"/>
        <v>267</v>
      </c>
      <c r="L274" s="301">
        <f>'[32]Booked Dec 2018 Rev'!$T$274</f>
        <v>51788.149999999994</v>
      </c>
      <c r="M274" s="1">
        <f t="shared" si="9"/>
        <v>13011.739999999991</v>
      </c>
      <c r="P274" s="1">
        <v>43107.979999999996</v>
      </c>
    </row>
    <row r="275" spans="1:16">
      <c r="A275" s="136"/>
      <c r="B275" s="298"/>
      <c r="C275" s="15"/>
      <c r="D275" s="101" t="s">
        <v>423</v>
      </c>
      <c r="E275" s="101"/>
      <c r="F275" s="558"/>
      <c r="G275" s="301"/>
      <c r="H275" s="7"/>
      <c r="I275" s="301">
        <f t="shared" si="10"/>
        <v>0</v>
      </c>
      <c r="J275" s="7"/>
      <c r="K275" s="3">
        <f t="shared" si="8"/>
        <v>268</v>
      </c>
      <c r="L275" s="301"/>
      <c r="M275" s="1">
        <f t="shared" si="9"/>
        <v>0</v>
      </c>
      <c r="P275" s="1"/>
    </row>
    <row r="276" spans="1:16">
      <c r="A276" s="136"/>
      <c r="B276" s="298"/>
      <c r="C276" s="15" t="s">
        <v>15</v>
      </c>
      <c r="D276" s="47"/>
      <c r="E276" s="47"/>
      <c r="F276" s="558">
        <f>'Booked June 2023 Rev'!$T$276</f>
        <v>-346.29999999999984</v>
      </c>
      <c r="G276" s="301">
        <f>HLOOKUP($G$8,RevenueScenarios,K276,FALSE)</f>
        <v>-346.29999999999984</v>
      </c>
      <c r="H276" s="7"/>
      <c r="I276" s="301">
        <f t="shared" si="10"/>
        <v>0</v>
      </c>
      <c r="J276" s="7"/>
      <c r="K276" s="3">
        <f t="shared" si="8"/>
        <v>269</v>
      </c>
      <c r="L276" s="301">
        <f>'[32]Booked Dec 2018 Rev'!$T$276</f>
        <v>-141.51</v>
      </c>
      <c r="M276" s="1">
        <f t="shared" si="9"/>
        <v>204.78999999999985</v>
      </c>
      <c r="P276" s="1">
        <v>-156.4699999999998</v>
      </c>
    </row>
    <row r="277" spans="1:16">
      <c r="A277" s="136"/>
      <c r="B277" s="298"/>
      <c r="C277" s="15"/>
      <c r="D277" s="47"/>
      <c r="E277" s="47"/>
      <c r="F277" s="558"/>
      <c r="G277" s="301"/>
      <c r="H277" s="7"/>
      <c r="I277" s="301">
        <f t="shared" si="10"/>
        <v>0</v>
      </c>
      <c r="J277" s="7"/>
      <c r="K277" s="3">
        <f t="shared" si="8"/>
        <v>270</v>
      </c>
      <c r="L277" s="301"/>
      <c r="M277" s="1">
        <f t="shared" si="9"/>
        <v>0</v>
      </c>
      <c r="P277" s="1"/>
    </row>
    <row r="278" spans="1:16">
      <c r="A278" s="136"/>
      <c r="B278" s="298"/>
      <c r="C278" s="15" t="s">
        <v>16</v>
      </c>
      <c r="D278" s="47"/>
      <c r="E278" s="47"/>
      <c r="F278" s="558">
        <f>'Booked June 2023 Rev'!$T$278</f>
        <v>723134.59000000008</v>
      </c>
      <c r="G278" s="301">
        <f>HLOOKUP($G$8,RevenueScenarios,K278,FALSE)</f>
        <v>723134.59000000008</v>
      </c>
      <c r="H278" s="7"/>
      <c r="I278" s="301">
        <f t="shared" si="10"/>
        <v>0</v>
      </c>
      <c r="J278" s="7"/>
      <c r="K278" s="3">
        <f t="shared" si="8"/>
        <v>271</v>
      </c>
      <c r="L278" s="301">
        <f>'[32]Booked Dec 2018 Rev'!$T$278</f>
        <v>743245.75</v>
      </c>
      <c r="M278" s="1">
        <f t="shared" si="9"/>
        <v>20111.159999999916</v>
      </c>
      <c r="P278" s="1">
        <v>634052.84</v>
      </c>
    </row>
    <row r="279" spans="1:16">
      <c r="A279" s="136"/>
      <c r="B279" s="298"/>
      <c r="C279" s="15" t="s">
        <v>17</v>
      </c>
      <c r="D279" s="47"/>
      <c r="E279" s="47"/>
      <c r="F279" s="562">
        <f>'Booked June 2023 Rev'!$T$279</f>
        <v>761564.70000000007</v>
      </c>
      <c r="G279" s="323">
        <f>HLOOKUP($G$8,RevenueScenarios,K279,FALSE)</f>
        <v>761564.70000000007</v>
      </c>
      <c r="H279" s="140"/>
      <c r="I279" s="323">
        <f t="shared" si="10"/>
        <v>0</v>
      </c>
      <c r="J279" s="7"/>
      <c r="K279" s="3">
        <f t="shared" si="8"/>
        <v>272</v>
      </c>
      <c r="L279" s="323">
        <f>'[32]Booked Dec 2018 Rev'!$T$279</f>
        <v>794892.39</v>
      </c>
      <c r="M279" s="1">
        <f t="shared" si="9"/>
        <v>33327.689999999944</v>
      </c>
      <c r="P279" s="1">
        <v>677004.35</v>
      </c>
    </row>
    <row r="280" spans="1:16">
      <c r="A280" s="136"/>
      <c r="B280" s="298"/>
      <c r="C280" s="15"/>
      <c r="D280" s="47"/>
      <c r="E280" s="47"/>
      <c r="F280" s="558"/>
      <c r="G280" s="301"/>
      <c r="H280" s="7"/>
      <c r="I280" s="301">
        <f t="shared" si="10"/>
        <v>0</v>
      </c>
      <c r="J280" s="7"/>
      <c r="K280" s="3">
        <f t="shared" si="8"/>
        <v>273</v>
      </c>
      <c r="L280" s="301"/>
      <c r="M280" s="1">
        <f t="shared" si="9"/>
        <v>0</v>
      </c>
      <c r="P280" s="1"/>
    </row>
    <row r="281" spans="1:16">
      <c r="A281" s="136"/>
      <c r="B281" s="298"/>
      <c r="C281" s="15" t="s">
        <v>18</v>
      </c>
      <c r="D281" s="47"/>
      <c r="E281" s="47"/>
      <c r="F281" s="558">
        <f>'Booked June 2023 Rev'!$T$281</f>
        <v>87551.849000000002</v>
      </c>
      <c r="G281" s="301">
        <f>HLOOKUP($G$8,RevenueScenarios,K281,FALSE)</f>
        <v>87551.849000000002</v>
      </c>
      <c r="H281" s="7"/>
      <c r="I281" s="301">
        <f t="shared" si="10"/>
        <v>0</v>
      </c>
      <c r="J281" s="7"/>
      <c r="K281" s="3">
        <f>+K280+1</f>
        <v>274</v>
      </c>
      <c r="L281" s="301">
        <f>'[32]Booked Dec 2018 Rev'!$T$281</f>
        <v>147470.78</v>
      </c>
      <c r="M281" s="1">
        <f t="shared" si="9"/>
        <v>59918.930999999997</v>
      </c>
      <c r="P281" s="1">
        <v>104382.62099999998</v>
      </c>
    </row>
    <row r="282" spans="1:16">
      <c r="A282" s="136"/>
      <c r="B282" s="298"/>
      <c r="C282" s="15"/>
      <c r="D282" s="47"/>
      <c r="E282" s="47"/>
      <c r="F282" s="558"/>
      <c r="G282" s="301"/>
      <c r="H282" s="7"/>
      <c r="I282" s="301">
        <f t="shared" si="10"/>
        <v>0</v>
      </c>
      <c r="J282" s="7"/>
      <c r="K282" s="3">
        <f t="shared" ref="K282:K347" si="11">+K281+1</f>
        <v>275</v>
      </c>
      <c r="L282" s="301"/>
      <c r="M282" s="1">
        <f t="shared" si="9"/>
        <v>0</v>
      </c>
      <c r="P282" s="1"/>
    </row>
    <row r="283" spans="1:16">
      <c r="A283" s="136"/>
      <c r="B283" s="298" t="s">
        <v>79</v>
      </c>
      <c r="C283" s="15" t="s">
        <v>14</v>
      </c>
      <c r="D283" s="47"/>
      <c r="E283" s="47"/>
      <c r="F283" s="558">
        <f>'Booked June 2023 Rev'!$T$283</f>
        <v>0</v>
      </c>
      <c r="G283" s="301">
        <f>HLOOKUP($G$8,RevenueScenarios,K283,FALSE)</f>
        <v>0</v>
      </c>
      <c r="H283" s="7"/>
      <c r="I283" s="301">
        <f t="shared" si="10"/>
        <v>0</v>
      </c>
      <c r="J283" s="7"/>
      <c r="K283" s="3">
        <f t="shared" si="11"/>
        <v>276</v>
      </c>
      <c r="L283" s="301">
        <f>'[32]Booked Dec 2018 Rev'!$T$283</f>
        <v>0</v>
      </c>
      <c r="M283" s="1">
        <f t="shared" si="9"/>
        <v>0</v>
      </c>
      <c r="P283" s="1">
        <v>0</v>
      </c>
    </row>
    <row r="284" spans="1:16">
      <c r="A284" s="136"/>
      <c r="B284" s="298"/>
      <c r="C284" s="15"/>
      <c r="D284" s="101" t="s">
        <v>423</v>
      </c>
      <c r="E284" s="101"/>
      <c r="F284" s="558"/>
      <c r="G284" s="301"/>
      <c r="H284" s="7"/>
      <c r="I284" s="301">
        <f t="shared" si="10"/>
        <v>0</v>
      </c>
      <c r="J284" s="7"/>
      <c r="K284" s="3">
        <f t="shared" si="11"/>
        <v>277</v>
      </c>
      <c r="L284" s="301"/>
      <c r="M284" s="1">
        <f t="shared" si="9"/>
        <v>0</v>
      </c>
      <c r="P284" s="1"/>
    </row>
    <row r="285" spans="1:16">
      <c r="A285" s="136"/>
      <c r="B285" s="298"/>
      <c r="C285" s="15" t="s">
        <v>15</v>
      </c>
      <c r="D285" s="47"/>
      <c r="E285" s="47"/>
      <c r="F285" s="558">
        <f>'Booked June 2023 Rev'!$T$285</f>
        <v>0</v>
      </c>
      <c r="G285" s="301">
        <f>HLOOKUP($G$8,RevenueScenarios,K285,FALSE)</f>
        <v>0</v>
      </c>
      <c r="H285" s="7"/>
      <c r="I285" s="301">
        <f t="shared" si="10"/>
        <v>0</v>
      </c>
      <c r="J285" s="7"/>
      <c r="K285" s="3">
        <f t="shared" si="11"/>
        <v>278</v>
      </c>
      <c r="L285" s="301">
        <f>'[32]Booked Dec 2018 Rev'!$T$285</f>
        <v>0</v>
      </c>
      <c r="M285" s="1">
        <f t="shared" si="9"/>
        <v>0</v>
      </c>
      <c r="P285" s="1">
        <v>0</v>
      </c>
    </row>
    <row r="286" spans="1:16">
      <c r="A286" s="136"/>
      <c r="B286" s="298"/>
      <c r="C286" s="15"/>
      <c r="D286" s="47"/>
      <c r="E286" s="47"/>
      <c r="F286" s="558"/>
      <c r="G286" s="301"/>
      <c r="H286" s="7"/>
      <c r="I286" s="301">
        <f t="shared" si="10"/>
        <v>0</v>
      </c>
      <c r="J286" s="7"/>
      <c r="K286" s="3">
        <f t="shared" si="11"/>
        <v>279</v>
      </c>
      <c r="L286" s="301"/>
      <c r="M286" s="1">
        <f t="shared" si="9"/>
        <v>0</v>
      </c>
      <c r="P286" s="1"/>
    </row>
    <row r="287" spans="1:16">
      <c r="A287" s="136"/>
      <c r="B287" s="298"/>
      <c r="C287" s="15" t="s">
        <v>16</v>
      </c>
      <c r="D287" s="47"/>
      <c r="E287" s="47"/>
      <c r="F287" s="558">
        <f>'Booked June 2023 Rev'!$T$287</f>
        <v>0</v>
      </c>
      <c r="G287" s="301">
        <f>HLOOKUP($G$8,RevenueScenarios,K287,FALSE)</f>
        <v>0</v>
      </c>
      <c r="H287" s="7"/>
      <c r="I287" s="301">
        <f t="shared" si="10"/>
        <v>0</v>
      </c>
      <c r="J287" s="7"/>
      <c r="K287" s="3">
        <f t="shared" si="11"/>
        <v>280</v>
      </c>
      <c r="L287" s="301">
        <f>'[32]Booked Dec 2018 Rev'!$T$287</f>
        <v>0</v>
      </c>
      <c r="M287" s="1">
        <f t="shared" si="9"/>
        <v>0</v>
      </c>
      <c r="P287" s="1">
        <v>0</v>
      </c>
    </row>
    <row r="288" spans="1:16">
      <c r="A288" s="136"/>
      <c r="B288" s="298"/>
      <c r="C288" s="15" t="s">
        <v>17</v>
      </c>
      <c r="D288" s="47"/>
      <c r="E288" s="47"/>
      <c r="F288" s="562">
        <f>'Booked June 2023 Rev'!$T$288</f>
        <v>0</v>
      </c>
      <c r="G288" s="323">
        <f>HLOOKUP($G$8,RevenueScenarios,K288,FALSE)</f>
        <v>0</v>
      </c>
      <c r="H288" s="140"/>
      <c r="I288" s="323">
        <f t="shared" si="10"/>
        <v>0</v>
      </c>
      <c r="J288" s="7"/>
      <c r="K288" s="3">
        <f t="shared" si="11"/>
        <v>281</v>
      </c>
      <c r="L288" s="323">
        <f>'[32]Booked Dec 2018 Rev'!$T$288</f>
        <v>0</v>
      </c>
      <c r="M288" s="1">
        <f t="shared" si="9"/>
        <v>0</v>
      </c>
      <c r="P288" s="1">
        <v>0</v>
      </c>
    </row>
    <row r="289" spans="1:16">
      <c r="A289" s="136"/>
      <c r="B289" s="298"/>
      <c r="C289" s="15"/>
      <c r="D289" s="47"/>
      <c r="E289" s="47"/>
      <c r="F289" s="558"/>
      <c r="G289" s="301"/>
      <c r="H289" s="7"/>
      <c r="I289" s="301">
        <f t="shared" si="10"/>
        <v>0</v>
      </c>
      <c r="J289" s="7"/>
      <c r="K289" s="3">
        <f t="shared" si="11"/>
        <v>282</v>
      </c>
      <c r="L289" s="301"/>
      <c r="M289" s="1">
        <f t="shared" si="9"/>
        <v>0</v>
      </c>
      <c r="P289" s="1"/>
    </row>
    <row r="290" spans="1:16">
      <c r="A290" s="136"/>
      <c r="B290" s="298"/>
      <c r="C290" s="15" t="s">
        <v>18</v>
      </c>
      <c r="D290" s="47"/>
      <c r="E290" s="47"/>
      <c r="F290" s="558">
        <f>'Booked June 2023 Rev'!$T$290</f>
        <v>0</v>
      </c>
      <c r="G290" s="301">
        <f>HLOOKUP($G$8,RevenueScenarios,K290,FALSE)</f>
        <v>0</v>
      </c>
      <c r="H290" s="7"/>
      <c r="I290" s="301">
        <f t="shared" si="10"/>
        <v>0</v>
      </c>
      <c r="J290" s="7"/>
      <c r="K290" s="3">
        <f t="shared" si="11"/>
        <v>283</v>
      </c>
      <c r="L290" s="301">
        <f>'[32]Booked Dec 2018 Rev'!$T$290</f>
        <v>0</v>
      </c>
      <c r="M290" s="1">
        <f t="shared" si="9"/>
        <v>0</v>
      </c>
      <c r="P290" s="1">
        <v>0</v>
      </c>
    </row>
    <row r="291" spans="1:16">
      <c r="A291" s="136"/>
      <c r="B291" s="298"/>
      <c r="C291" s="15"/>
      <c r="D291" s="47"/>
      <c r="E291" s="47"/>
      <c r="F291" s="558"/>
      <c r="G291" s="301"/>
      <c r="H291" s="7"/>
      <c r="I291" s="301">
        <f t="shared" si="10"/>
        <v>0</v>
      </c>
      <c r="J291" s="7"/>
      <c r="K291" s="3">
        <f t="shared" si="11"/>
        <v>284</v>
      </c>
      <c r="L291" s="301"/>
      <c r="M291" s="1">
        <f t="shared" si="9"/>
        <v>0</v>
      </c>
      <c r="P291" s="1"/>
    </row>
    <row r="292" spans="1:16">
      <c r="A292" s="136"/>
      <c r="B292" s="298" t="s">
        <v>24</v>
      </c>
      <c r="C292" s="15" t="s">
        <v>14</v>
      </c>
      <c r="D292" s="47"/>
      <c r="E292" s="47"/>
      <c r="F292" s="558">
        <f>'Booked June 2023 Rev'!$T$292</f>
        <v>0</v>
      </c>
      <c r="G292" s="301">
        <f>HLOOKUP($G$8,RevenueScenarios,K292,FALSE)</f>
        <v>0</v>
      </c>
      <c r="H292" s="7"/>
      <c r="I292" s="301">
        <f t="shared" si="10"/>
        <v>0</v>
      </c>
      <c r="J292" s="7"/>
      <c r="K292" s="3">
        <f t="shared" si="11"/>
        <v>285</v>
      </c>
      <c r="L292" s="301">
        <f>'[32]Booked Dec 2018 Rev'!$T$292</f>
        <v>0</v>
      </c>
      <c r="M292" s="1">
        <f t="shared" si="9"/>
        <v>0</v>
      </c>
      <c r="P292" s="1">
        <v>0</v>
      </c>
    </row>
    <row r="293" spans="1:16">
      <c r="A293" s="136"/>
      <c r="B293" s="299" t="s">
        <v>637</v>
      </c>
      <c r="C293" s="15"/>
      <c r="D293" s="101" t="s">
        <v>423</v>
      </c>
      <c r="E293" s="101"/>
      <c r="F293" s="558"/>
      <c r="G293" s="301"/>
      <c r="H293" s="7"/>
      <c r="I293" s="301">
        <f t="shared" si="10"/>
        <v>0</v>
      </c>
      <c r="J293" s="7"/>
      <c r="K293" s="3">
        <f t="shared" si="11"/>
        <v>286</v>
      </c>
      <c r="L293" s="301"/>
      <c r="M293" s="1">
        <f t="shared" si="9"/>
        <v>0</v>
      </c>
      <c r="P293" s="1"/>
    </row>
    <row r="294" spans="1:16">
      <c r="A294" s="136"/>
      <c r="B294" s="298"/>
      <c r="C294" s="15"/>
      <c r="D294" s="47"/>
      <c r="E294" s="47"/>
      <c r="F294" s="558"/>
      <c r="G294" s="301"/>
      <c r="H294" s="7"/>
      <c r="I294" s="301">
        <f t="shared" si="10"/>
        <v>0</v>
      </c>
      <c r="J294" s="7"/>
      <c r="K294" s="3">
        <f t="shared" si="11"/>
        <v>287</v>
      </c>
      <c r="L294" s="301"/>
      <c r="M294" s="1">
        <f t="shared" si="9"/>
        <v>0</v>
      </c>
      <c r="P294" s="1"/>
    </row>
    <row r="295" spans="1:16">
      <c r="A295" s="136"/>
      <c r="B295" s="298"/>
      <c r="C295" s="15"/>
      <c r="D295" s="47"/>
      <c r="E295" s="47"/>
      <c r="F295" s="558"/>
      <c r="G295" s="301"/>
      <c r="H295" s="7"/>
      <c r="I295" s="301">
        <f t="shared" si="10"/>
        <v>0</v>
      </c>
      <c r="J295" s="7"/>
      <c r="K295" s="3">
        <f t="shared" si="11"/>
        <v>288</v>
      </c>
      <c r="L295" s="301"/>
      <c r="M295" s="1">
        <f t="shared" si="9"/>
        <v>0</v>
      </c>
      <c r="P295" s="1"/>
    </row>
    <row r="296" spans="1:16">
      <c r="A296" s="136"/>
      <c r="B296" s="298"/>
      <c r="C296" s="15" t="s">
        <v>16</v>
      </c>
      <c r="D296" s="47"/>
      <c r="E296" s="47"/>
      <c r="F296" s="558">
        <f>'Booked June 2023 Rev'!$T$296</f>
        <v>0</v>
      </c>
      <c r="G296" s="301">
        <f>HLOOKUP($G$8,RevenueScenarios,K296,FALSE)</f>
        <v>0</v>
      </c>
      <c r="H296" s="7"/>
      <c r="I296" s="301">
        <f t="shared" si="10"/>
        <v>0</v>
      </c>
      <c r="J296" s="7"/>
      <c r="K296" s="3">
        <f t="shared" si="11"/>
        <v>289</v>
      </c>
      <c r="L296" s="301">
        <f>'[32]Booked Dec 2018 Rev'!$T$296</f>
        <v>0</v>
      </c>
      <c r="M296" s="1">
        <f t="shared" si="9"/>
        <v>0</v>
      </c>
      <c r="P296" s="1">
        <v>0</v>
      </c>
    </row>
    <row r="297" spans="1:16">
      <c r="A297" s="136"/>
      <c r="B297" s="298"/>
      <c r="C297" s="15" t="s">
        <v>17</v>
      </c>
      <c r="D297" s="47"/>
      <c r="E297" s="47"/>
      <c r="F297" s="562">
        <f>'Booked June 2023 Rev'!$T$297</f>
        <v>0</v>
      </c>
      <c r="G297" s="323">
        <f>HLOOKUP($G$8,RevenueScenarios,K297,FALSE)</f>
        <v>0</v>
      </c>
      <c r="H297" s="140"/>
      <c r="I297" s="323">
        <f t="shared" si="10"/>
        <v>0</v>
      </c>
      <c r="J297" s="7"/>
      <c r="K297" s="3">
        <f t="shared" si="11"/>
        <v>290</v>
      </c>
      <c r="L297" s="323">
        <f>'[32]Booked Dec 2018 Rev'!$T$297</f>
        <v>0</v>
      </c>
      <c r="M297" s="1">
        <f t="shared" si="9"/>
        <v>0</v>
      </c>
      <c r="P297" s="1">
        <v>0</v>
      </c>
    </row>
    <row r="298" spans="1:16">
      <c r="A298" s="136"/>
      <c r="B298" s="298"/>
      <c r="C298" s="15"/>
      <c r="D298" s="47"/>
      <c r="E298" s="47"/>
      <c r="F298" s="558"/>
      <c r="G298" s="301"/>
      <c r="H298" s="7"/>
      <c r="I298" s="301">
        <f t="shared" si="10"/>
        <v>0</v>
      </c>
      <c r="J298" s="7"/>
      <c r="K298" s="3">
        <f t="shared" si="11"/>
        <v>291</v>
      </c>
      <c r="L298" s="301"/>
      <c r="M298" s="1">
        <f t="shared" si="9"/>
        <v>0</v>
      </c>
      <c r="P298" s="1"/>
    </row>
    <row r="299" spans="1:16">
      <c r="A299" s="136"/>
      <c r="B299" s="298"/>
      <c r="C299" s="15" t="s">
        <v>18</v>
      </c>
      <c r="D299" s="47"/>
      <c r="E299" s="47"/>
      <c r="F299" s="558"/>
      <c r="G299" s="301">
        <f>HLOOKUP($G$8,RevenueScenarios,K299,FALSE)</f>
        <v>0</v>
      </c>
      <c r="H299" s="7"/>
      <c r="I299" s="301">
        <f t="shared" si="10"/>
        <v>0</v>
      </c>
      <c r="J299" s="7"/>
      <c r="K299" s="3">
        <f t="shared" si="11"/>
        <v>292</v>
      </c>
      <c r="L299" s="301"/>
      <c r="M299" s="1">
        <f t="shared" si="9"/>
        <v>0</v>
      </c>
      <c r="P299" s="1">
        <v>0</v>
      </c>
    </row>
    <row r="300" spans="1:16">
      <c r="A300" s="136"/>
      <c r="B300" s="298"/>
      <c r="C300" s="15"/>
      <c r="D300" s="47"/>
      <c r="E300" s="47"/>
      <c r="F300" s="558"/>
      <c r="G300" s="301"/>
      <c r="H300" s="7"/>
      <c r="I300" s="301">
        <f t="shared" si="10"/>
        <v>0</v>
      </c>
      <c r="J300" s="7"/>
      <c r="K300" s="3">
        <f t="shared" si="11"/>
        <v>293</v>
      </c>
      <c r="L300" s="301"/>
      <c r="M300" s="1">
        <f t="shared" si="9"/>
        <v>0</v>
      </c>
      <c r="P300" s="1"/>
    </row>
    <row r="301" spans="1:16">
      <c r="A301" s="136"/>
      <c r="B301" s="298" t="s">
        <v>25</v>
      </c>
      <c r="C301" s="15" t="s">
        <v>14</v>
      </c>
      <c r="D301" s="47"/>
      <c r="E301" s="47"/>
      <c r="F301" s="558">
        <f>'Booked June 2023 Rev'!$T$301</f>
        <v>75685.260000000009</v>
      </c>
      <c r="G301" s="301">
        <f>HLOOKUP($G$8,RevenueScenarios,K301,FALSE)</f>
        <v>75685.260000000009</v>
      </c>
      <c r="H301" s="7"/>
      <c r="I301" s="301">
        <f t="shared" si="10"/>
        <v>0</v>
      </c>
      <c r="J301" s="7"/>
      <c r="K301" s="3">
        <f t="shared" si="11"/>
        <v>294</v>
      </c>
      <c r="L301" s="301">
        <f>'[32]Booked Dec 2018 Rev'!$T$301</f>
        <v>79533.09</v>
      </c>
      <c r="M301" s="1">
        <f t="shared" si="9"/>
        <v>3847.8299999999872</v>
      </c>
      <c r="P301" s="1">
        <v>73523.099999999991</v>
      </c>
    </row>
    <row r="302" spans="1:16">
      <c r="A302" s="136"/>
      <c r="B302" s="298"/>
      <c r="C302" s="15"/>
      <c r="D302" s="101" t="s">
        <v>423</v>
      </c>
      <c r="E302" s="101"/>
      <c r="F302" s="558"/>
      <c r="G302" s="301"/>
      <c r="H302" s="7"/>
      <c r="I302" s="301">
        <f t="shared" si="10"/>
        <v>0</v>
      </c>
      <c r="J302" s="7"/>
      <c r="K302" s="3">
        <f t="shared" si="11"/>
        <v>295</v>
      </c>
      <c r="L302" s="301"/>
      <c r="M302" s="1">
        <f t="shared" si="9"/>
        <v>0</v>
      </c>
      <c r="P302" s="1"/>
    </row>
    <row r="303" spans="1:16">
      <c r="A303" s="136"/>
      <c r="B303" s="298"/>
      <c r="C303" s="15"/>
      <c r="D303" s="47"/>
      <c r="E303" s="47"/>
      <c r="F303" s="558"/>
      <c r="G303" s="301"/>
      <c r="H303" s="7"/>
      <c r="I303" s="301">
        <f t="shared" si="10"/>
        <v>0</v>
      </c>
      <c r="J303" s="7"/>
      <c r="K303" s="3">
        <f t="shared" si="11"/>
        <v>296</v>
      </c>
      <c r="L303" s="301"/>
      <c r="M303" s="1">
        <f t="shared" si="9"/>
        <v>0</v>
      </c>
      <c r="P303" s="1"/>
    </row>
    <row r="304" spans="1:16">
      <c r="A304" s="136"/>
      <c r="B304" s="298"/>
      <c r="C304" s="15"/>
      <c r="D304" s="47"/>
      <c r="E304" s="47"/>
      <c r="F304" s="558"/>
      <c r="G304" s="301"/>
      <c r="H304" s="7"/>
      <c r="I304" s="301">
        <f t="shared" si="10"/>
        <v>0</v>
      </c>
      <c r="J304" s="7"/>
      <c r="K304" s="3">
        <f t="shared" si="11"/>
        <v>297</v>
      </c>
      <c r="L304" s="301"/>
      <c r="M304" s="1">
        <f t="shared" si="9"/>
        <v>0</v>
      </c>
      <c r="P304" s="1"/>
    </row>
    <row r="305" spans="1:16">
      <c r="A305" s="136"/>
      <c r="B305" s="298"/>
      <c r="C305" s="15" t="s">
        <v>16</v>
      </c>
      <c r="D305" s="47"/>
      <c r="E305" s="47"/>
      <c r="F305" s="558">
        <f>'Booked June 2023 Rev'!$T$305</f>
        <v>0</v>
      </c>
      <c r="G305" s="301">
        <f>HLOOKUP($G$8,RevenueScenarios,K305,FALSE)</f>
        <v>0</v>
      </c>
      <c r="H305" s="7"/>
      <c r="I305" s="301">
        <f t="shared" si="10"/>
        <v>0</v>
      </c>
      <c r="J305" s="7"/>
      <c r="K305" s="3">
        <f t="shared" si="11"/>
        <v>298</v>
      </c>
      <c r="L305" s="301">
        <f>'[32]Booked Dec 2018 Rev'!$T$305</f>
        <v>0</v>
      </c>
      <c r="M305" s="1">
        <f t="shared" si="9"/>
        <v>0</v>
      </c>
      <c r="P305" s="1">
        <v>0</v>
      </c>
    </row>
    <row r="306" spans="1:16">
      <c r="A306" s="136"/>
      <c r="B306" s="298"/>
      <c r="C306" s="15" t="s">
        <v>17</v>
      </c>
      <c r="D306" s="47"/>
      <c r="E306" s="47"/>
      <c r="F306" s="562">
        <f>'Booked June 2023 Rev'!$T$306</f>
        <v>75685.260000000009</v>
      </c>
      <c r="G306" s="323">
        <f>HLOOKUP($G$8,RevenueScenarios,K306,FALSE)</f>
        <v>75685.260000000009</v>
      </c>
      <c r="H306" s="140"/>
      <c r="I306" s="323">
        <f t="shared" si="10"/>
        <v>0</v>
      </c>
      <c r="J306" s="7"/>
      <c r="K306" s="3">
        <f t="shared" si="11"/>
        <v>299</v>
      </c>
      <c r="L306" s="323">
        <f>'[32]Booked Dec 2018 Rev'!$T$306</f>
        <v>79533.09</v>
      </c>
      <c r="M306" s="1">
        <f t="shared" si="9"/>
        <v>3847.8299999999872</v>
      </c>
      <c r="P306" s="1">
        <v>73523.099999999991</v>
      </c>
    </row>
    <row r="307" spans="1:16">
      <c r="A307" s="136"/>
      <c r="B307" s="298"/>
      <c r="C307" s="15"/>
      <c r="D307" s="47"/>
      <c r="E307" s="47"/>
      <c r="F307" s="558"/>
      <c r="G307" s="301"/>
      <c r="H307" s="7"/>
      <c r="I307" s="301">
        <f t="shared" si="10"/>
        <v>0</v>
      </c>
      <c r="J307" s="7"/>
      <c r="K307" s="3">
        <f t="shared" si="11"/>
        <v>300</v>
      </c>
      <c r="L307" s="301"/>
      <c r="M307" s="1">
        <f t="shared" si="9"/>
        <v>0</v>
      </c>
      <c r="P307" s="1"/>
    </row>
    <row r="308" spans="1:16">
      <c r="A308" s="136"/>
      <c r="B308" s="298"/>
      <c r="C308" s="15" t="s">
        <v>18</v>
      </c>
      <c r="D308" s="47"/>
      <c r="E308" s="47"/>
      <c r="F308" s="558">
        <f>'Booked June 2023 Rev'!$T$308</f>
        <v>184143</v>
      </c>
      <c r="G308" s="301">
        <f>HLOOKUP($G$8,RevenueScenarios,K308,FALSE)</f>
        <v>184143</v>
      </c>
      <c r="H308" s="7"/>
      <c r="I308" s="301">
        <f t="shared" si="10"/>
        <v>0</v>
      </c>
      <c r="J308" s="7"/>
      <c r="K308" s="3">
        <f t="shared" si="11"/>
        <v>301</v>
      </c>
      <c r="L308" s="301">
        <f>'[32]Booked Dec 2018 Rev'!$T$308</f>
        <v>138651</v>
      </c>
      <c r="M308" s="1">
        <f t="shared" si="9"/>
        <v>-45492</v>
      </c>
      <c r="P308" s="1">
        <v>171307</v>
      </c>
    </row>
    <row r="309" spans="1:16">
      <c r="A309" s="136"/>
      <c r="B309" s="298"/>
      <c r="C309" s="15"/>
      <c r="D309" s="47"/>
      <c r="E309" s="47"/>
      <c r="F309" s="558"/>
      <c r="G309" s="301"/>
      <c r="H309" s="7"/>
      <c r="I309" s="301">
        <f t="shared" si="10"/>
        <v>0</v>
      </c>
      <c r="J309" s="7"/>
      <c r="K309" s="3">
        <f t="shared" si="11"/>
        <v>302</v>
      </c>
      <c r="L309" s="301"/>
      <c r="M309" s="1">
        <f t="shared" si="9"/>
        <v>0</v>
      </c>
      <c r="P309" s="1"/>
    </row>
    <row r="310" spans="1:16">
      <c r="A310" s="136"/>
      <c r="B310" s="298" t="s">
        <v>24</v>
      </c>
      <c r="C310" s="15" t="s">
        <v>14</v>
      </c>
      <c r="D310" s="47"/>
      <c r="E310" s="47"/>
      <c r="F310" s="558">
        <f>'Booked June 2023 Rev'!$T$310</f>
        <v>23862.760000000002</v>
      </c>
      <c r="G310" s="301">
        <f>HLOOKUP($G$8,RevenueScenarios,K310,FALSE)</f>
        <v>23862.760000000002</v>
      </c>
      <c r="H310" s="7"/>
      <c r="I310" s="301">
        <f t="shared" si="10"/>
        <v>0</v>
      </c>
      <c r="J310" s="7"/>
      <c r="K310" s="3">
        <f t="shared" si="11"/>
        <v>303</v>
      </c>
      <c r="L310" s="301">
        <f>'[32]Booked Dec 2018 Rev'!$T$310</f>
        <v>23863.39</v>
      </c>
      <c r="M310" s="1">
        <f t="shared" si="9"/>
        <v>0.62999999999738066</v>
      </c>
      <c r="P310" s="1">
        <v>25120.3</v>
      </c>
    </row>
    <row r="311" spans="1:16">
      <c r="A311" s="136"/>
      <c r="B311" s="299" t="s">
        <v>638</v>
      </c>
      <c r="C311" s="15"/>
      <c r="D311" s="101" t="s">
        <v>423</v>
      </c>
      <c r="E311" s="101"/>
      <c r="F311" s="558"/>
      <c r="G311" s="301"/>
      <c r="H311" s="7"/>
      <c r="I311" s="301">
        <f t="shared" si="10"/>
        <v>0</v>
      </c>
      <c r="J311" s="7"/>
      <c r="K311" s="3">
        <f t="shared" si="11"/>
        <v>304</v>
      </c>
      <c r="L311" s="301"/>
      <c r="M311" s="1">
        <f t="shared" si="9"/>
        <v>0</v>
      </c>
      <c r="P311" s="1"/>
    </row>
    <row r="312" spans="1:16">
      <c r="A312" s="136"/>
      <c r="B312" s="298"/>
      <c r="C312" s="15"/>
      <c r="D312" s="47"/>
      <c r="E312" s="47"/>
      <c r="F312" s="558"/>
      <c r="G312" s="301"/>
      <c r="H312" s="7"/>
      <c r="I312" s="301">
        <f t="shared" si="10"/>
        <v>0</v>
      </c>
      <c r="J312" s="7"/>
      <c r="K312" s="3">
        <f t="shared" si="11"/>
        <v>305</v>
      </c>
      <c r="L312" s="301"/>
      <c r="M312" s="1">
        <f t="shared" si="9"/>
        <v>0</v>
      </c>
      <c r="P312" s="1"/>
    </row>
    <row r="313" spans="1:16">
      <c r="A313" s="136"/>
      <c r="B313" s="298"/>
      <c r="C313" s="15"/>
      <c r="D313" s="47"/>
      <c r="E313" s="47"/>
      <c r="F313" s="558"/>
      <c r="G313" s="301"/>
      <c r="H313" s="7"/>
      <c r="I313" s="301">
        <f t="shared" si="10"/>
        <v>0</v>
      </c>
      <c r="J313" s="7"/>
      <c r="K313" s="3">
        <f t="shared" si="11"/>
        <v>306</v>
      </c>
      <c r="L313" s="301"/>
      <c r="M313" s="1">
        <f t="shared" si="9"/>
        <v>0</v>
      </c>
      <c r="P313" s="1"/>
    </row>
    <row r="314" spans="1:16">
      <c r="A314" s="136"/>
      <c r="B314" s="298"/>
      <c r="C314" s="15" t="s">
        <v>16</v>
      </c>
      <c r="D314" s="47"/>
      <c r="E314" s="47"/>
      <c r="F314" s="558">
        <f>'Booked June 2023 Rev'!$T$314</f>
        <v>0</v>
      </c>
      <c r="G314" s="301">
        <f>HLOOKUP($G$8,RevenueScenarios,K314,FALSE)</f>
        <v>0</v>
      </c>
      <c r="H314" s="7"/>
      <c r="I314" s="301">
        <f t="shared" si="10"/>
        <v>0</v>
      </c>
      <c r="J314" s="7"/>
      <c r="K314" s="3">
        <f t="shared" si="11"/>
        <v>307</v>
      </c>
      <c r="L314" s="301">
        <f>'[32]Booked Dec 2018 Rev'!$T$314</f>
        <v>0</v>
      </c>
      <c r="M314" s="1">
        <f t="shared" si="9"/>
        <v>0</v>
      </c>
      <c r="P314" s="1">
        <v>0</v>
      </c>
    </row>
    <row r="315" spans="1:16">
      <c r="A315" s="136"/>
      <c r="B315" s="298"/>
      <c r="C315" s="15" t="s">
        <v>17</v>
      </c>
      <c r="D315" s="47"/>
      <c r="E315" s="47"/>
      <c r="F315" s="562">
        <f>'Booked June 2023 Rev'!$T$315</f>
        <v>23862.760000000002</v>
      </c>
      <c r="G315" s="323">
        <f>HLOOKUP($G$8,RevenueScenarios,K315,FALSE)</f>
        <v>23862.760000000002</v>
      </c>
      <c r="H315" s="140"/>
      <c r="I315" s="323">
        <f t="shared" si="10"/>
        <v>0</v>
      </c>
      <c r="J315" s="7"/>
      <c r="K315" s="3">
        <f t="shared" si="11"/>
        <v>308</v>
      </c>
      <c r="L315" s="323">
        <f>'[32]Booked Dec 2018 Rev'!$T$315</f>
        <v>23863.39</v>
      </c>
      <c r="M315" s="1">
        <f t="shared" si="9"/>
        <v>0.62999999999738066</v>
      </c>
      <c r="P315" s="1">
        <v>25120.3</v>
      </c>
    </row>
    <row r="316" spans="1:16">
      <c r="A316" s="136"/>
      <c r="B316" s="298"/>
      <c r="C316" s="15"/>
      <c r="D316" s="47"/>
      <c r="E316" s="47"/>
      <c r="F316" s="558"/>
      <c r="G316" s="301"/>
      <c r="H316" s="7"/>
      <c r="I316" s="301">
        <f t="shared" si="10"/>
        <v>0</v>
      </c>
      <c r="J316" s="7"/>
      <c r="K316" s="3">
        <f t="shared" si="11"/>
        <v>309</v>
      </c>
      <c r="L316" s="301"/>
      <c r="M316" s="1">
        <f t="shared" si="9"/>
        <v>0</v>
      </c>
      <c r="P316" s="1"/>
    </row>
    <row r="317" spans="1:16">
      <c r="A317" s="136"/>
      <c r="B317" s="298"/>
      <c r="C317" s="15" t="s">
        <v>18</v>
      </c>
      <c r="D317" s="47"/>
      <c r="E317" s="47"/>
      <c r="F317" s="558">
        <f>'Booked June 2023 Rev'!$T$317</f>
        <v>286300</v>
      </c>
      <c r="G317" s="301">
        <f>HLOOKUP($G$8,RevenueScenarios,K317,FALSE)</f>
        <v>286300</v>
      </c>
      <c r="H317" s="7"/>
      <c r="I317" s="301">
        <f t="shared" si="10"/>
        <v>0</v>
      </c>
      <c r="J317" s="7"/>
      <c r="K317" s="3">
        <f t="shared" si="11"/>
        <v>310</v>
      </c>
      <c r="L317" s="301">
        <f>'[32]Booked Dec 2018 Rev'!$T$317</f>
        <v>270712</v>
      </c>
      <c r="M317" s="1">
        <f t="shared" si="9"/>
        <v>-15588</v>
      </c>
      <c r="P317" s="1">
        <v>292843</v>
      </c>
    </row>
    <row r="318" spans="1:16">
      <c r="A318" s="136"/>
      <c r="B318" s="298"/>
      <c r="C318" s="15"/>
      <c r="D318" s="47"/>
      <c r="E318" s="47"/>
      <c r="F318" s="558"/>
      <c r="G318" s="301"/>
      <c r="H318" s="7"/>
      <c r="I318" s="301"/>
      <c r="J318" s="7"/>
      <c r="K318" s="3">
        <f t="shared" si="11"/>
        <v>311</v>
      </c>
      <c r="L318" s="301"/>
      <c r="M318" s="1">
        <f t="shared" si="9"/>
        <v>0</v>
      </c>
      <c r="P318" s="1"/>
    </row>
    <row r="319" spans="1:16" s="610" customFormat="1">
      <c r="A319" s="620"/>
      <c r="B319" s="613" t="s">
        <v>634</v>
      </c>
      <c r="C319" s="622" t="s">
        <v>14</v>
      </c>
      <c r="D319" s="621"/>
      <c r="E319" s="621"/>
      <c r="F319" s="558">
        <f>'Booked June 2023 Rev'!$T$319</f>
        <v>17708.80999999991</v>
      </c>
      <c r="G319" s="623">
        <f>HLOOKUP($G$8,RevenueScenarios,K319,FALSE)</f>
        <v>17708.80999999991</v>
      </c>
      <c r="H319" s="623"/>
      <c r="I319" s="623">
        <f t="shared" ref="I319:I350" si="12">G319-F319</f>
        <v>0</v>
      </c>
      <c r="J319" s="619"/>
      <c r="K319" s="3">
        <f t="shared" si="11"/>
        <v>312</v>
      </c>
      <c r="L319" s="301">
        <f>'[32]Booked Dec 2018 Rev'!$T$319</f>
        <v>257097.17999999996</v>
      </c>
      <c r="M319" s="1">
        <f t="shared" si="9"/>
        <v>239388.37000000005</v>
      </c>
      <c r="P319" s="1096">
        <v>-354323.77</v>
      </c>
    </row>
    <row r="320" spans="1:16" s="610" customFormat="1" ht="13.5" thickBot="1">
      <c r="A320" s="620"/>
      <c r="B320" s="613" t="s">
        <v>103</v>
      </c>
      <c r="C320" s="622" t="s">
        <v>14</v>
      </c>
      <c r="D320" s="621"/>
      <c r="E320" s="621"/>
      <c r="F320" s="563">
        <f>'Booked June 2023 Rev'!$T$320</f>
        <v>107131.26999999999</v>
      </c>
      <c r="G320" s="624">
        <f>HLOOKUP($G$8,RevenueScenarios,K320,FALSE)</f>
        <v>107131.26999999999</v>
      </c>
      <c r="H320" s="624"/>
      <c r="I320" s="624">
        <f t="shared" si="12"/>
        <v>0</v>
      </c>
      <c r="J320" s="619"/>
      <c r="K320" s="3">
        <f t="shared" si="11"/>
        <v>313</v>
      </c>
      <c r="L320" s="470">
        <f>'[32]Booked Dec 2018 Rev'!$T$320</f>
        <v>189969.21999999997</v>
      </c>
      <c r="M320" s="1">
        <f t="shared" si="9"/>
        <v>82837.949999999983</v>
      </c>
      <c r="P320" s="1096">
        <v>146526.57999999996</v>
      </c>
    </row>
    <row r="321" spans="1:18" ht="13.5" thickTop="1">
      <c r="A321" s="136"/>
      <c r="B321" s="48" t="s">
        <v>495</v>
      </c>
      <c r="C321" s="15"/>
      <c r="D321" s="47"/>
      <c r="E321" s="47"/>
      <c r="F321" s="558"/>
      <c r="G321" s="623"/>
      <c r="H321" s="623"/>
      <c r="I321" s="623">
        <f t="shared" si="12"/>
        <v>0</v>
      </c>
      <c r="J321" s="7"/>
      <c r="K321" s="3">
        <f t="shared" si="11"/>
        <v>314</v>
      </c>
      <c r="L321" s="301"/>
      <c r="M321" s="1">
        <f t="shared" si="9"/>
        <v>0</v>
      </c>
      <c r="P321" s="1"/>
    </row>
    <row r="322" spans="1:18">
      <c r="A322" s="136"/>
      <c r="B322" s="48"/>
      <c r="C322" s="15" t="s">
        <v>14</v>
      </c>
      <c r="D322" s="47"/>
      <c r="E322" s="47"/>
      <c r="F322" s="567">
        <f>F238+F247+F256+F265+F274+F319+F320</f>
        <v>13521452.746622313</v>
      </c>
      <c r="G322" s="625">
        <f>HLOOKUP($G$8,RevenueScenarios,K322,FALSE)</f>
        <v>13521452.746622313</v>
      </c>
      <c r="H322" s="625"/>
      <c r="I322" s="625">
        <f t="shared" si="12"/>
        <v>0</v>
      </c>
      <c r="J322" s="9"/>
      <c r="K322" s="3">
        <f t="shared" si="11"/>
        <v>315</v>
      </c>
      <c r="L322" s="325">
        <f>L238+L247+L256+L265+L274+L319+L320</f>
        <v>12935192.690181902</v>
      </c>
      <c r="M322" s="1">
        <f t="shared" si="9"/>
        <v>-586260.05644041114</v>
      </c>
      <c r="P322" s="1">
        <v>13524184.347250698</v>
      </c>
    </row>
    <row r="323" spans="1:18">
      <c r="A323" s="136"/>
      <c r="B323" s="48"/>
      <c r="C323" s="15" t="s">
        <v>15</v>
      </c>
      <c r="D323" s="47"/>
      <c r="E323" s="47"/>
      <c r="F323" s="567">
        <f>F276+F285</f>
        <v>-346.29999999999984</v>
      </c>
      <c r="G323" s="325">
        <f>HLOOKUP($G$8,RevenueScenarios,K323,FALSE)</f>
        <v>-346.29999999999984</v>
      </c>
      <c r="H323" s="9"/>
      <c r="I323" s="325">
        <f t="shared" si="12"/>
        <v>0</v>
      </c>
      <c r="J323" s="9"/>
      <c r="K323" s="3">
        <f t="shared" si="11"/>
        <v>316</v>
      </c>
      <c r="L323" s="325">
        <f>L276+L285</f>
        <v>-141.51</v>
      </c>
      <c r="M323" s="1">
        <f t="shared" si="9"/>
        <v>204.78999999999985</v>
      </c>
      <c r="P323" s="1">
        <v>-156.4699999999998</v>
      </c>
    </row>
    <row r="324" spans="1:18">
      <c r="A324" s="136"/>
      <c r="B324" s="48"/>
      <c r="C324" s="15" t="s">
        <v>498</v>
      </c>
      <c r="D324" s="47"/>
      <c r="E324" s="47"/>
      <c r="F324" s="567">
        <f>F283+F292+F301+F310</f>
        <v>99548.020000000019</v>
      </c>
      <c r="G324" s="325">
        <f>HLOOKUP($G$8,RevenueScenarios,K324,FALSE)</f>
        <v>99548.020000000019</v>
      </c>
      <c r="H324" s="9"/>
      <c r="I324" s="325">
        <f t="shared" si="12"/>
        <v>0</v>
      </c>
      <c r="J324" s="9"/>
      <c r="K324" s="3">
        <f t="shared" si="11"/>
        <v>317</v>
      </c>
      <c r="L324" s="325">
        <f>L283+L292+L301+L310</f>
        <v>103396.48</v>
      </c>
      <c r="M324" s="1">
        <f t="shared" si="9"/>
        <v>3848.4599999999773</v>
      </c>
      <c r="P324" s="1">
        <v>98643.4</v>
      </c>
    </row>
    <row r="325" spans="1:18">
      <c r="A325" s="136"/>
      <c r="B325" s="48"/>
      <c r="C325" s="15" t="s">
        <v>16</v>
      </c>
      <c r="D325" s="47"/>
      <c r="E325" s="47"/>
      <c r="F325" s="567">
        <f>F242+F251+F260+F269+F278+F287+F296+F305+F314</f>
        <v>32766856.671976302</v>
      </c>
      <c r="G325" s="325">
        <f>HLOOKUP($G$8,RevenueScenarios,K325,FALSE)</f>
        <v>32766856.671976302</v>
      </c>
      <c r="H325" s="9"/>
      <c r="I325" s="325">
        <f t="shared" si="12"/>
        <v>0</v>
      </c>
      <c r="J325" s="9"/>
      <c r="K325" s="3">
        <f t="shared" si="11"/>
        <v>318</v>
      </c>
      <c r="L325" s="325">
        <f>L242+L251+L260+L269+L278+L287+L296+L305+L314</f>
        <v>17752704.899818104</v>
      </c>
      <c r="M325" s="1">
        <f t="shared" si="9"/>
        <v>-15014151.772158198</v>
      </c>
      <c r="P325" s="1">
        <v>21903255.852749299</v>
      </c>
    </row>
    <row r="326" spans="1:18">
      <c r="A326" s="136"/>
      <c r="B326" s="298"/>
      <c r="C326" s="13" t="s">
        <v>26</v>
      </c>
      <c r="D326" s="47"/>
      <c r="E326" s="47"/>
      <c r="F326" s="568">
        <f>F243+F252+F261+F270+F279+F288+F297+F306+F315+F319+F320</f>
        <v>46387511.138598621</v>
      </c>
      <c r="G326" s="476">
        <f>HLOOKUP($G$8,RevenueScenarios,K326,FALSE)</f>
        <v>46387511.138598621</v>
      </c>
      <c r="H326" s="172"/>
      <c r="I326" s="476">
        <f t="shared" si="12"/>
        <v>0</v>
      </c>
      <c r="J326" s="9"/>
      <c r="K326" s="3">
        <f t="shared" si="11"/>
        <v>319</v>
      </c>
      <c r="L326" s="476">
        <f>L243+L252+L261+L270+L279+L288+L297+L306+L315</f>
        <v>30344086.160000008</v>
      </c>
      <c r="M326" s="1">
        <f t="shared" si="9"/>
        <v>-16043424.978598613</v>
      </c>
      <c r="P326" s="1">
        <v>35733724.320000008</v>
      </c>
    </row>
    <row r="327" spans="1:18">
      <c r="A327" s="136"/>
      <c r="B327" s="298"/>
      <c r="C327" s="13"/>
      <c r="D327" s="47"/>
      <c r="E327" s="47"/>
      <c r="F327" s="567"/>
      <c r="G327" s="325"/>
      <c r="H327" s="9"/>
      <c r="I327" s="325">
        <f t="shared" si="12"/>
        <v>0</v>
      </c>
      <c r="J327" s="9"/>
      <c r="K327" s="3">
        <f t="shared" si="11"/>
        <v>320</v>
      </c>
      <c r="L327" s="325"/>
      <c r="M327" s="1">
        <f t="shared" si="9"/>
        <v>0</v>
      </c>
      <c r="P327" s="1"/>
    </row>
    <row r="328" spans="1:18">
      <c r="A328" s="136"/>
      <c r="B328" s="298"/>
      <c r="C328" s="25" t="s">
        <v>56</v>
      </c>
      <c r="D328" s="47"/>
      <c r="E328" s="47"/>
      <c r="F328" s="567">
        <f>F245+F254+F263+F272+F281+F290</f>
        <v>4135367.7589999996</v>
      </c>
      <c r="G328" s="325">
        <f>HLOOKUP($G$8,RevenueScenarios,K328,FALSE)</f>
        <v>4135367.7589999996</v>
      </c>
      <c r="H328" s="9"/>
      <c r="I328" s="325">
        <f t="shared" si="12"/>
        <v>0</v>
      </c>
      <c r="J328" s="9"/>
      <c r="K328" s="3">
        <f t="shared" si="11"/>
        <v>321</v>
      </c>
      <c r="L328" s="325">
        <f>L245+L254+L263+L272+L281+L290</f>
        <v>3704890.27</v>
      </c>
      <c r="M328" s="1">
        <f t="shared" si="9"/>
        <v>-430477.48899999959</v>
      </c>
      <c r="P328" s="1">
        <v>3720504.9189999998</v>
      </c>
    </row>
    <row r="329" spans="1:18">
      <c r="A329" s="136"/>
      <c r="B329" s="48"/>
      <c r="C329" s="15" t="s">
        <v>57</v>
      </c>
      <c r="D329" s="47"/>
      <c r="E329" s="47"/>
      <c r="F329" s="567">
        <f>F308+F317+F299</f>
        <v>470443</v>
      </c>
      <c r="G329" s="325">
        <f>HLOOKUP($G$8,RevenueScenarios,K329,FALSE)</f>
        <v>470443</v>
      </c>
      <c r="H329" s="9"/>
      <c r="I329" s="325">
        <f t="shared" si="12"/>
        <v>0</v>
      </c>
      <c r="J329" s="9"/>
      <c r="K329" s="3">
        <f t="shared" si="11"/>
        <v>322</v>
      </c>
      <c r="L329" s="325">
        <f>L308+L317+L299</f>
        <v>409363</v>
      </c>
      <c r="M329" s="1">
        <f t="shared" si="9"/>
        <v>-61080</v>
      </c>
      <c r="P329" s="1">
        <v>464150</v>
      </c>
    </row>
    <row r="330" spans="1:18">
      <c r="A330" s="136"/>
      <c r="B330" s="298"/>
      <c r="C330" s="13" t="s">
        <v>27</v>
      </c>
      <c r="D330" s="47"/>
      <c r="E330" s="47"/>
      <c r="F330" s="568">
        <f>F245+F254+F263+F272+F281+F290+F299+F308+F317</f>
        <v>4605810.7589999996</v>
      </c>
      <c r="G330" s="476">
        <f>HLOOKUP($G$8,RevenueScenarios,K330,FALSE)</f>
        <v>4605810.7589999996</v>
      </c>
      <c r="H330" s="172"/>
      <c r="I330" s="476">
        <f t="shared" si="12"/>
        <v>0</v>
      </c>
      <c r="J330" s="9"/>
      <c r="K330" s="3">
        <f t="shared" si="11"/>
        <v>323</v>
      </c>
      <c r="L330" s="476">
        <f>L245+L254+L263+L272+L281+L290+L299+L308+L317</f>
        <v>4114253.27</v>
      </c>
      <c r="M330" s="1">
        <f t="shared" si="9"/>
        <v>-491557.48899999959</v>
      </c>
      <c r="P330" s="1">
        <v>4184654.9189999998</v>
      </c>
      <c r="R330" s="1">
        <f>F330-P330</f>
        <v>421155.83999999985</v>
      </c>
    </row>
    <row r="331" spans="1:18">
      <c r="A331" s="136"/>
      <c r="B331" s="298"/>
      <c r="C331" s="13"/>
      <c r="D331" s="47"/>
      <c r="E331" s="47"/>
      <c r="F331" s="558"/>
      <c r="G331" s="301"/>
      <c r="H331" s="7"/>
      <c r="I331" s="301">
        <f t="shared" si="12"/>
        <v>0</v>
      </c>
      <c r="J331" s="7"/>
      <c r="K331" s="3">
        <f t="shared" si="11"/>
        <v>324</v>
      </c>
      <c r="L331" s="301"/>
      <c r="M331" s="1">
        <f t="shared" si="9"/>
        <v>0</v>
      </c>
    </row>
    <row r="332" spans="1:18">
      <c r="A332" s="116" t="s">
        <v>28</v>
      </c>
      <c r="B332" s="298"/>
      <c r="C332" s="15"/>
      <c r="D332" s="47"/>
      <c r="E332" s="47"/>
      <c r="F332" s="558"/>
      <c r="G332" s="301"/>
      <c r="H332" s="7"/>
      <c r="I332" s="301">
        <f t="shared" si="12"/>
        <v>0</v>
      </c>
      <c r="J332" s="7"/>
      <c r="K332" s="3">
        <f t="shared" si="11"/>
        <v>325</v>
      </c>
      <c r="L332" s="301"/>
      <c r="M332" s="1">
        <f t="shared" ref="M332:M371" si="13">L332-F332</f>
        <v>0</v>
      </c>
    </row>
    <row r="333" spans="1:18">
      <c r="A333" s="136"/>
      <c r="B333" s="298" t="s">
        <v>79</v>
      </c>
      <c r="C333" s="15" t="s">
        <v>14</v>
      </c>
      <c r="D333" s="47"/>
      <c r="E333" s="47"/>
      <c r="F333" s="558">
        <f>'Booked June 2023 Rev'!$T$335</f>
        <v>0</v>
      </c>
      <c r="G333" s="301">
        <f>HLOOKUP($G$8,RevenueScenarios,K333,FALSE)</f>
        <v>0</v>
      </c>
      <c r="H333" s="7"/>
      <c r="I333" s="301">
        <f t="shared" si="12"/>
        <v>0</v>
      </c>
      <c r="J333" s="7"/>
      <c r="K333" s="3">
        <f t="shared" si="11"/>
        <v>326</v>
      </c>
      <c r="L333" s="301">
        <f>'[32]Booked Dec 2018 Rev'!$T$335</f>
        <v>0</v>
      </c>
      <c r="M333" s="1">
        <f t="shared" si="13"/>
        <v>0</v>
      </c>
    </row>
    <row r="334" spans="1:18">
      <c r="A334" s="136"/>
      <c r="B334" s="298"/>
      <c r="C334" s="15"/>
      <c r="D334" s="47"/>
      <c r="E334" s="47"/>
      <c r="F334" s="558"/>
      <c r="G334" s="301"/>
      <c r="H334" s="7"/>
      <c r="I334" s="301">
        <f t="shared" si="12"/>
        <v>0</v>
      </c>
      <c r="J334" s="7"/>
      <c r="K334" s="3">
        <f t="shared" si="11"/>
        <v>327</v>
      </c>
      <c r="L334" s="301"/>
      <c r="M334" s="1">
        <f t="shared" si="13"/>
        <v>0</v>
      </c>
    </row>
    <row r="335" spans="1:18">
      <c r="A335" s="136"/>
      <c r="B335" s="298"/>
      <c r="C335" s="15"/>
      <c r="D335" s="47"/>
      <c r="E335" s="47"/>
      <c r="F335" s="558"/>
      <c r="G335" s="301"/>
      <c r="H335" s="7"/>
      <c r="I335" s="301">
        <f t="shared" si="12"/>
        <v>0</v>
      </c>
      <c r="J335" s="7"/>
      <c r="K335" s="3">
        <f t="shared" si="11"/>
        <v>328</v>
      </c>
      <c r="L335" s="301"/>
      <c r="M335" s="1">
        <f t="shared" si="13"/>
        <v>0</v>
      </c>
    </row>
    <row r="336" spans="1:18">
      <c r="A336" s="136"/>
      <c r="B336" s="298"/>
      <c r="C336" s="15"/>
      <c r="D336" s="47"/>
      <c r="E336" s="47"/>
      <c r="F336" s="558"/>
      <c r="G336" s="301"/>
      <c r="H336" s="7"/>
      <c r="I336" s="301">
        <f t="shared" si="12"/>
        <v>0</v>
      </c>
      <c r="J336" s="7"/>
      <c r="K336" s="3">
        <f t="shared" si="11"/>
        <v>329</v>
      </c>
      <c r="L336" s="301"/>
      <c r="M336" s="1">
        <f t="shared" si="13"/>
        <v>0</v>
      </c>
    </row>
    <row r="337" spans="1:13">
      <c r="A337" s="136"/>
      <c r="B337" s="298"/>
      <c r="C337" s="15" t="s">
        <v>16</v>
      </c>
      <c r="D337" s="47"/>
      <c r="E337" s="47"/>
      <c r="F337" s="558">
        <f>'Booked June 2023 Rev'!$T$339</f>
        <v>0</v>
      </c>
      <c r="G337" s="301">
        <f>HLOOKUP($G$8,RevenueScenarios,K337,FALSE)</f>
        <v>0</v>
      </c>
      <c r="H337" s="7"/>
      <c r="I337" s="301">
        <f t="shared" si="12"/>
        <v>0</v>
      </c>
      <c r="J337" s="7"/>
      <c r="K337" s="3">
        <f t="shared" si="11"/>
        <v>330</v>
      </c>
      <c r="L337" s="301">
        <f>'[32]Booked Dec 2018 Rev'!$T$339</f>
        <v>0</v>
      </c>
      <c r="M337" s="1">
        <f t="shared" si="13"/>
        <v>0</v>
      </c>
    </row>
    <row r="338" spans="1:13">
      <c r="A338" s="136"/>
      <c r="B338" s="298"/>
      <c r="C338" s="15" t="s">
        <v>17</v>
      </c>
      <c r="D338" s="47"/>
      <c r="E338" s="47"/>
      <c r="F338" s="562">
        <f>SUM(F333:F337)</f>
        <v>0</v>
      </c>
      <c r="G338" s="323">
        <f>HLOOKUP($G$8,RevenueScenarios,K338,FALSE)</f>
        <v>0</v>
      </c>
      <c r="H338" s="140"/>
      <c r="I338" s="323">
        <f t="shared" si="12"/>
        <v>0</v>
      </c>
      <c r="J338" s="7"/>
      <c r="K338" s="3">
        <f t="shared" si="11"/>
        <v>331</v>
      </c>
      <c r="L338" s="323">
        <f>SUM(L333:L337)</f>
        <v>0</v>
      </c>
      <c r="M338" s="1">
        <f t="shared" si="13"/>
        <v>0</v>
      </c>
    </row>
    <row r="339" spans="1:13">
      <c r="A339" s="136"/>
      <c r="B339" s="298"/>
      <c r="C339" s="15"/>
      <c r="D339" s="47"/>
      <c r="E339" s="47"/>
      <c r="F339" s="558"/>
      <c r="G339" s="301"/>
      <c r="H339" s="7"/>
      <c r="I339" s="301">
        <f t="shared" si="12"/>
        <v>0</v>
      </c>
      <c r="J339" s="7"/>
      <c r="K339" s="3">
        <f t="shared" si="11"/>
        <v>332</v>
      </c>
      <c r="L339" s="301"/>
      <c r="M339" s="1">
        <f t="shared" si="13"/>
        <v>0</v>
      </c>
    </row>
    <row r="340" spans="1:13">
      <c r="A340" s="136"/>
      <c r="B340" s="298"/>
      <c r="C340" s="15" t="s">
        <v>18</v>
      </c>
      <c r="D340" s="47"/>
      <c r="E340" s="47"/>
      <c r="F340" s="558">
        <f>'Booked June 2023 Rev'!$T$342</f>
        <v>0</v>
      </c>
      <c r="G340" s="301">
        <f>HLOOKUP($G$8,RevenueScenarios,K340,FALSE)</f>
        <v>0</v>
      </c>
      <c r="H340" s="7"/>
      <c r="I340" s="301">
        <f t="shared" si="12"/>
        <v>0</v>
      </c>
      <c r="J340" s="7"/>
      <c r="K340" s="3">
        <f t="shared" si="11"/>
        <v>333</v>
      </c>
      <c r="L340" s="301">
        <f>'[32]Booked Dec 2018 Rev'!$T$342</f>
        <v>0</v>
      </c>
      <c r="M340" s="1">
        <f t="shared" si="13"/>
        <v>0</v>
      </c>
    </row>
    <row r="341" spans="1:13">
      <c r="A341" s="136"/>
      <c r="B341" s="298"/>
      <c r="C341" s="15"/>
      <c r="D341" s="47"/>
      <c r="E341" s="47"/>
      <c r="F341" s="558"/>
      <c r="G341" s="301"/>
      <c r="H341" s="7"/>
      <c r="I341" s="301">
        <f t="shared" si="12"/>
        <v>0</v>
      </c>
      <c r="J341" s="7"/>
      <c r="K341" s="3">
        <f t="shared" si="11"/>
        <v>334</v>
      </c>
      <c r="L341" s="301"/>
      <c r="M341" s="1">
        <f t="shared" si="13"/>
        <v>0</v>
      </c>
    </row>
    <row r="342" spans="1:13">
      <c r="A342" s="136"/>
      <c r="B342" s="298" t="s">
        <v>24</v>
      </c>
      <c r="C342" s="15" t="s">
        <v>14</v>
      </c>
      <c r="D342" s="47"/>
      <c r="E342" s="47"/>
      <c r="F342" s="558">
        <f>'Booked June 2023 Rev'!$T$344</f>
        <v>0</v>
      </c>
      <c r="G342" s="301">
        <f>HLOOKUP($G$8,RevenueScenarios,K342,FALSE)</f>
        <v>0</v>
      </c>
      <c r="H342" s="7"/>
      <c r="I342" s="301">
        <f t="shared" si="12"/>
        <v>0</v>
      </c>
      <c r="J342" s="7"/>
      <c r="K342" s="3">
        <f t="shared" si="11"/>
        <v>335</v>
      </c>
      <c r="L342" s="301">
        <f>'[32]Booked Dec 2018 Rev'!$T$344</f>
        <v>0</v>
      </c>
      <c r="M342" s="1">
        <f t="shared" si="13"/>
        <v>0</v>
      </c>
    </row>
    <row r="343" spans="1:13">
      <c r="A343" s="136"/>
      <c r="B343" s="298"/>
      <c r="C343" s="15"/>
      <c r="D343" s="47"/>
      <c r="E343" s="47"/>
      <c r="F343" s="558"/>
      <c r="G343" s="301"/>
      <c r="H343" s="7"/>
      <c r="I343" s="301">
        <f t="shared" si="12"/>
        <v>0</v>
      </c>
      <c r="J343" s="7"/>
      <c r="K343" s="3">
        <f t="shared" si="11"/>
        <v>336</v>
      </c>
      <c r="L343" s="301"/>
      <c r="M343" s="1">
        <f t="shared" si="13"/>
        <v>0</v>
      </c>
    </row>
    <row r="344" spans="1:13">
      <c r="A344" s="136"/>
      <c r="B344" s="298"/>
      <c r="C344" s="15"/>
      <c r="D344" s="47"/>
      <c r="E344" s="47"/>
      <c r="F344" s="558"/>
      <c r="G344" s="301"/>
      <c r="H344" s="7"/>
      <c r="I344" s="301">
        <f t="shared" si="12"/>
        <v>0</v>
      </c>
      <c r="J344" s="7"/>
      <c r="K344" s="3">
        <f t="shared" si="11"/>
        <v>337</v>
      </c>
      <c r="L344" s="301"/>
      <c r="M344" s="1">
        <f t="shared" si="13"/>
        <v>0</v>
      </c>
    </row>
    <row r="345" spans="1:13">
      <c r="A345" s="136"/>
      <c r="B345" s="298"/>
      <c r="C345" s="15"/>
      <c r="D345" s="47"/>
      <c r="E345" s="47"/>
      <c r="F345" s="558"/>
      <c r="G345" s="301"/>
      <c r="H345" s="7"/>
      <c r="I345" s="301">
        <f t="shared" si="12"/>
        <v>0</v>
      </c>
      <c r="J345" s="7"/>
      <c r="K345" s="3">
        <f t="shared" si="11"/>
        <v>338</v>
      </c>
      <c r="L345" s="301"/>
      <c r="M345" s="1">
        <f t="shared" si="13"/>
        <v>0</v>
      </c>
    </row>
    <row r="346" spans="1:13">
      <c r="A346" s="136"/>
      <c r="B346" s="298"/>
      <c r="C346" s="15" t="s">
        <v>16</v>
      </c>
      <c r="D346" s="47"/>
      <c r="E346" s="47"/>
      <c r="F346" s="558">
        <f>'Booked June 2023 Rev'!$T$348</f>
        <v>0</v>
      </c>
      <c r="G346" s="301">
        <f>HLOOKUP($G$8,RevenueScenarios,K346,FALSE)</f>
        <v>0</v>
      </c>
      <c r="H346" s="7"/>
      <c r="I346" s="301">
        <f t="shared" si="12"/>
        <v>0</v>
      </c>
      <c r="J346" s="7"/>
      <c r="K346" s="3">
        <f t="shared" si="11"/>
        <v>339</v>
      </c>
      <c r="L346" s="301">
        <f>'[32]Booked Dec 2018 Rev'!$T$348</f>
        <v>0</v>
      </c>
      <c r="M346" s="1">
        <f t="shared" si="13"/>
        <v>0</v>
      </c>
    </row>
    <row r="347" spans="1:13">
      <c r="A347" s="136"/>
      <c r="B347" s="298"/>
      <c r="C347" s="15" t="s">
        <v>17</v>
      </c>
      <c r="D347" s="47"/>
      <c r="E347" s="47"/>
      <c r="F347" s="562">
        <f>SUM(F342:F346)</f>
        <v>0</v>
      </c>
      <c r="G347" s="323">
        <f>HLOOKUP($G$8,RevenueScenarios,K347,FALSE)</f>
        <v>0</v>
      </c>
      <c r="H347" s="140"/>
      <c r="I347" s="323">
        <f t="shared" si="12"/>
        <v>0</v>
      </c>
      <c r="J347" s="7"/>
      <c r="K347" s="3">
        <f t="shared" si="11"/>
        <v>340</v>
      </c>
      <c r="L347" s="323">
        <f>SUM(L342:L346)</f>
        <v>0</v>
      </c>
      <c r="M347" s="1">
        <f t="shared" si="13"/>
        <v>0</v>
      </c>
    </row>
    <row r="348" spans="1:13">
      <c r="A348" s="136"/>
      <c r="B348" s="298"/>
      <c r="C348" s="15"/>
      <c r="D348" s="47"/>
      <c r="E348" s="47"/>
      <c r="F348" s="558"/>
      <c r="G348" s="301"/>
      <c r="H348" s="7"/>
      <c r="I348" s="301">
        <f t="shared" si="12"/>
        <v>0</v>
      </c>
      <c r="J348" s="7"/>
      <c r="K348" s="3">
        <f t="shared" ref="K348:K411" si="14">+K347+1</f>
        <v>341</v>
      </c>
      <c r="L348" s="301"/>
      <c r="M348" s="1">
        <f t="shared" si="13"/>
        <v>0</v>
      </c>
    </row>
    <row r="349" spans="1:13">
      <c r="A349" s="136"/>
      <c r="B349" s="298"/>
      <c r="C349" s="15" t="s">
        <v>18</v>
      </c>
      <c r="D349" s="47"/>
      <c r="E349" s="47"/>
      <c r="F349" s="558">
        <f>'Booked June 2023 Rev'!$T$351</f>
        <v>0</v>
      </c>
      <c r="G349" s="301">
        <f>HLOOKUP($G$8,RevenueScenarios,K349,FALSE)</f>
        <v>0</v>
      </c>
      <c r="H349" s="7"/>
      <c r="I349" s="301">
        <f t="shared" si="12"/>
        <v>0</v>
      </c>
      <c r="J349" s="7"/>
      <c r="K349" s="3">
        <f t="shared" si="14"/>
        <v>342</v>
      </c>
      <c r="L349" s="301">
        <f>'[32]Booked Dec 2018 Rev'!$T$351</f>
        <v>0</v>
      </c>
      <c r="M349" s="1">
        <f t="shared" si="13"/>
        <v>0</v>
      </c>
    </row>
    <row r="350" spans="1:13" ht="13.5" thickBot="1">
      <c r="A350" s="136"/>
      <c r="B350" s="298"/>
      <c r="C350" s="15"/>
      <c r="D350" s="47"/>
      <c r="E350" s="47"/>
      <c r="F350" s="563">
        <f>'Booked June 2023 Rev'!$T$350</f>
        <v>0</v>
      </c>
      <c r="G350" s="470"/>
      <c r="H350" s="24"/>
      <c r="I350" s="470">
        <f t="shared" si="12"/>
        <v>0</v>
      </c>
      <c r="J350" s="7"/>
      <c r="K350" s="3">
        <f t="shared" si="14"/>
        <v>343</v>
      </c>
      <c r="L350" s="470">
        <f>'[32]Booked Dec 2018 Rev'!$T$350</f>
        <v>0</v>
      </c>
      <c r="M350" s="1">
        <f t="shared" si="13"/>
        <v>0</v>
      </c>
    </row>
    <row r="351" spans="1:13" ht="13.5" thickTop="1">
      <c r="A351" s="136"/>
      <c r="B351" s="48" t="s">
        <v>497</v>
      </c>
      <c r="C351" s="15"/>
      <c r="D351" s="47"/>
      <c r="E351" s="47"/>
      <c r="F351" s="558"/>
      <c r="G351" s="301"/>
      <c r="H351" s="7"/>
      <c r="I351" s="301">
        <f t="shared" ref="I351:I371" si="15">G351-F351</f>
        <v>0</v>
      </c>
      <c r="J351" s="7"/>
      <c r="K351" s="3">
        <f t="shared" si="14"/>
        <v>344</v>
      </c>
      <c r="L351" s="301"/>
      <c r="M351" s="1">
        <f t="shared" si="13"/>
        <v>0</v>
      </c>
    </row>
    <row r="352" spans="1:13">
      <c r="A352" s="136"/>
      <c r="B352" s="298"/>
      <c r="C352" s="15" t="s">
        <v>14</v>
      </c>
      <c r="D352" s="47"/>
      <c r="E352" s="47"/>
      <c r="F352" s="558">
        <f>F333+F342</f>
        <v>0</v>
      </c>
      <c r="G352" s="301">
        <f>HLOOKUP($G$8,RevenueScenarios,K352,FALSE)</f>
        <v>0</v>
      </c>
      <c r="H352" s="7"/>
      <c r="I352" s="301">
        <f t="shared" si="15"/>
        <v>0</v>
      </c>
      <c r="J352" s="7"/>
      <c r="K352" s="3">
        <f t="shared" si="14"/>
        <v>345</v>
      </c>
      <c r="L352" s="301">
        <f>L333+L342</f>
        <v>0</v>
      </c>
      <c r="M352" s="1">
        <f t="shared" si="13"/>
        <v>0</v>
      </c>
    </row>
    <row r="353" spans="1:13">
      <c r="A353" s="136"/>
      <c r="B353" s="298"/>
      <c r="C353" s="15" t="s">
        <v>16</v>
      </c>
      <c r="D353" s="47"/>
      <c r="E353" s="47"/>
      <c r="F353" s="558">
        <f>F336+F345</f>
        <v>0</v>
      </c>
      <c r="G353" s="301">
        <f>HLOOKUP($G$8,RevenueScenarios,K353,FALSE)</f>
        <v>0</v>
      </c>
      <c r="H353" s="7"/>
      <c r="I353" s="301">
        <f t="shared" si="15"/>
        <v>0</v>
      </c>
      <c r="J353" s="7"/>
      <c r="K353" s="3">
        <f t="shared" si="14"/>
        <v>346</v>
      </c>
      <c r="L353" s="301">
        <f>L336+L345</f>
        <v>0</v>
      </c>
      <c r="M353" s="1">
        <f t="shared" si="13"/>
        <v>0</v>
      </c>
    </row>
    <row r="354" spans="1:13">
      <c r="A354" s="136"/>
      <c r="B354" s="298"/>
      <c r="C354" s="13" t="s">
        <v>29</v>
      </c>
      <c r="D354" s="47"/>
      <c r="E354" s="47"/>
      <c r="F354" s="562">
        <f>F338+F347</f>
        <v>0</v>
      </c>
      <c r="G354" s="323">
        <f>HLOOKUP($G$8,RevenueScenarios,K354,FALSE)</f>
        <v>0</v>
      </c>
      <c r="H354" s="140"/>
      <c r="I354" s="323">
        <f t="shared" si="15"/>
        <v>0</v>
      </c>
      <c r="J354" s="7"/>
      <c r="K354" s="3">
        <f t="shared" si="14"/>
        <v>347</v>
      </c>
      <c r="L354" s="323">
        <f>L338+L347</f>
        <v>0</v>
      </c>
      <c r="M354" s="1">
        <f t="shared" si="13"/>
        <v>0</v>
      </c>
    </row>
    <row r="355" spans="1:13">
      <c r="A355" s="136"/>
      <c r="B355" s="298"/>
      <c r="C355" s="13"/>
      <c r="D355" s="47"/>
      <c r="E355" s="47"/>
      <c r="F355" s="558"/>
      <c r="G355" s="301"/>
      <c r="H355" s="7"/>
      <c r="I355" s="301">
        <f t="shared" si="15"/>
        <v>0</v>
      </c>
      <c r="J355" s="7"/>
      <c r="K355" s="3">
        <f t="shared" si="14"/>
        <v>348</v>
      </c>
      <c r="L355" s="301"/>
      <c r="M355" s="1">
        <f t="shared" si="13"/>
        <v>0</v>
      </c>
    </row>
    <row r="356" spans="1:13">
      <c r="A356" s="136"/>
      <c r="B356" s="298"/>
      <c r="C356" s="25" t="s">
        <v>56</v>
      </c>
      <c r="D356" s="47"/>
      <c r="E356" s="47"/>
      <c r="F356" s="558">
        <f>F340</f>
        <v>0</v>
      </c>
      <c r="G356" s="301">
        <f>HLOOKUP($G$8,RevenueScenarios,K356,FALSE)</f>
        <v>0</v>
      </c>
      <c r="H356" s="7"/>
      <c r="I356" s="301">
        <f t="shared" si="15"/>
        <v>0</v>
      </c>
      <c r="J356" s="7"/>
      <c r="K356" s="3">
        <f t="shared" si="14"/>
        <v>349</v>
      </c>
      <c r="L356" s="301">
        <f>L340</f>
        <v>0</v>
      </c>
      <c r="M356" s="1">
        <f t="shared" si="13"/>
        <v>0</v>
      </c>
    </row>
    <row r="357" spans="1:13">
      <c r="A357" s="136"/>
      <c r="B357" s="298"/>
      <c r="C357" s="15" t="s">
        <v>57</v>
      </c>
      <c r="D357" s="47"/>
      <c r="E357" s="47"/>
      <c r="F357" s="558">
        <f>F349</f>
        <v>0</v>
      </c>
      <c r="G357" s="301">
        <f>HLOOKUP($G$8,RevenueScenarios,K357,FALSE)</f>
        <v>0</v>
      </c>
      <c r="H357" s="7"/>
      <c r="I357" s="301">
        <f t="shared" si="15"/>
        <v>0</v>
      </c>
      <c r="J357" s="7"/>
      <c r="K357" s="3">
        <f t="shared" si="14"/>
        <v>350</v>
      </c>
      <c r="L357" s="301">
        <f>L349</f>
        <v>0</v>
      </c>
      <c r="M357" s="1">
        <f t="shared" si="13"/>
        <v>0</v>
      </c>
    </row>
    <row r="358" spans="1:13">
      <c r="A358" s="136"/>
      <c r="B358" s="298"/>
      <c r="C358" s="13" t="s">
        <v>30</v>
      </c>
      <c r="D358" s="47"/>
      <c r="E358" s="47"/>
      <c r="F358" s="562">
        <f>F340+F349</f>
        <v>0</v>
      </c>
      <c r="G358" s="323">
        <f>HLOOKUP($G$8,RevenueScenarios,K358,FALSE)</f>
        <v>0</v>
      </c>
      <c r="H358" s="140"/>
      <c r="I358" s="323">
        <f t="shared" si="15"/>
        <v>0</v>
      </c>
      <c r="J358" s="7"/>
      <c r="K358" s="3">
        <f t="shared" si="14"/>
        <v>351</v>
      </c>
      <c r="L358" s="323">
        <f>L340+L349</f>
        <v>0</v>
      </c>
      <c r="M358" s="1">
        <f t="shared" si="13"/>
        <v>0</v>
      </c>
    </row>
    <row r="359" spans="1:13" ht="13.5" thickBot="1">
      <c r="A359" s="136"/>
      <c r="B359" s="298"/>
      <c r="C359" s="15"/>
      <c r="D359" s="47"/>
      <c r="E359" s="47"/>
      <c r="F359" s="563"/>
      <c r="G359" s="470"/>
      <c r="H359" s="24"/>
      <c r="I359" s="470">
        <f t="shared" si="15"/>
        <v>0</v>
      </c>
      <c r="J359" s="7"/>
      <c r="K359" s="3">
        <f t="shared" si="14"/>
        <v>352</v>
      </c>
      <c r="L359" s="470"/>
      <c r="M359" s="1">
        <f t="shared" si="13"/>
        <v>0</v>
      </c>
    </row>
    <row r="360" spans="1:13" ht="13.5" thickTop="1">
      <c r="A360" s="116" t="s">
        <v>31</v>
      </c>
      <c r="B360" s="298"/>
      <c r="C360" s="15"/>
      <c r="D360" s="47"/>
      <c r="E360" s="47"/>
      <c r="F360" s="558"/>
      <c r="G360" s="301"/>
      <c r="H360" s="7"/>
      <c r="I360" s="301">
        <f t="shared" si="15"/>
        <v>0</v>
      </c>
      <c r="J360" s="7"/>
      <c r="K360" s="3">
        <f t="shared" si="14"/>
        <v>353</v>
      </c>
      <c r="L360" s="301"/>
      <c r="M360" s="1">
        <f t="shared" si="13"/>
        <v>0</v>
      </c>
    </row>
    <row r="361" spans="1:13">
      <c r="A361" s="136"/>
      <c r="B361" s="48" t="s">
        <v>605</v>
      </c>
      <c r="C361" s="15"/>
      <c r="D361" s="47"/>
      <c r="E361" s="47"/>
      <c r="F361" s="264"/>
      <c r="G361" s="301"/>
      <c r="H361" s="264"/>
      <c r="I361" s="301">
        <f t="shared" si="15"/>
        <v>0</v>
      </c>
      <c r="J361" s="7"/>
      <c r="K361" s="3">
        <f t="shared" si="14"/>
        <v>354</v>
      </c>
      <c r="L361" s="264"/>
      <c r="M361" s="1">
        <f t="shared" si="13"/>
        <v>0</v>
      </c>
    </row>
    <row r="362" spans="1:13">
      <c r="A362" s="136"/>
      <c r="B362" s="298"/>
      <c r="C362" s="15" t="s">
        <v>14</v>
      </c>
      <c r="D362" s="47"/>
      <c r="E362" s="47"/>
      <c r="F362" s="558">
        <f>F199+F228+F322+F352</f>
        <v>497545437.07241476</v>
      </c>
      <c r="G362" s="301">
        <f>HLOOKUP($G$8,RevenueScenarios,K362,FALSE)</f>
        <v>497545437.07241476</v>
      </c>
      <c r="H362" s="7"/>
      <c r="I362" s="301">
        <f t="shared" si="15"/>
        <v>0</v>
      </c>
      <c r="J362" s="7"/>
      <c r="K362" s="3">
        <f t="shared" si="14"/>
        <v>355</v>
      </c>
      <c r="L362" s="301">
        <f>L199+L228+L322+L352</f>
        <v>386102291.23074639</v>
      </c>
      <c r="M362" s="1">
        <f t="shared" si="13"/>
        <v>-111443145.84166837</v>
      </c>
    </row>
    <row r="363" spans="1:13">
      <c r="A363" s="136"/>
      <c r="B363" s="298"/>
      <c r="C363" s="15" t="s">
        <v>15</v>
      </c>
      <c r="D363" s="47"/>
      <c r="E363" s="47"/>
      <c r="F363" s="558">
        <f>F200+F229+F323</f>
        <v>101739274.50806464</v>
      </c>
      <c r="G363" s="301">
        <f>HLOOKUP($G$8,RevenueScenarios,K363,FALSE)</f>
        <v>101739274.50806464</v>
      </c>
      <c r="H363" s="7"/>
      <c r="I363" s="301">
        <f t="shared" si="15"/>
        <v>0</v>
      </c>
      <c r="J363" s="7"/>
      <c r="K363" s="3">
        <f t="shared" si="14"/>
        <v>356</v>
      </c>
      <c r="L363" s="301">
        <f>L200+L229+L323</f>
        <v>109038701.6440312</v>
      </c>
      <c r="M363" s="1">
        <f t="shared" si="13"/>
        <v>7299427.1359665543</v>
      </c>
    </row>
    <row r="364" spans="1:13">
      <c r="A364" s="136"/>
      <c r="B364" s="298"/>
      <c r="C364" s="15" t="s">
        <v>711</v>
      </c>
      <c r="D364" s="47"/>
      <c r="E364" s="47"/>
      <c r="F364" s="558">
        <f>F324</f>
        <v>99548.020000000019</v>
      </c>
      <c r="G364" s="301">
        <f>HLOOKUP($G$8,RevenueScenarios,K364,FALSE)</f>
        <v>99548.020000000019</v>
      </c>
      <c r="H364" s="7"/>
      <c r="I364" s="301">
        <f t="shared" si="15"/>
        <v>0</v>
      </c>
      <c r="J364" s="7"/>
      <c r="K364" s="3">
        <f t="shared" si="14"/>
        <v>357</v>
      </c>
      <c r="L364" s="301">
        <f>L324</f>
        <v>103396.48</v>
      </c>
      <c r="M364" s="1">
        <f t="shared" si="13"/>
        <v>3848.4599999999773</v>
      </c>
    </row>
    <row r="365" spans="1:13">
      <c r="A365" s="136"/>
      <c r="B365" s="298"/>
      <c r="C365" s="15" t="s">
        <v>16</v>
      </c>
      <c r="D365" s="47"/>
      <c r="E365" s="47"/>
      <c r="F365" s="558">
        <f>F201+F230+F325+F353</f>
        <v>951004456.01811922</v>
      </c>
      <c r="G365" s="301">
        <f>HLOOKUP($G$8,RevenueScenarios,K365,FALSE)</f>
        <v>951004456.01811922</v>
      </c>
      <c r="H365" s="7"/>
      <c r="I365" s="301">
        <f t="shared" si="15"/>
        <v>0</v>
      </c>
      <c r="J365" s="7"/>
      <c r="K365" s="3">
        <f t="shared" si="14"/>
        <v>358</v>
      </c>
      <c r="L365" s="301">
        <f>L201+L230+L325+L353</f>
        <v>401864779.10522246</v>
      </c>
      <c r="M365" s="1">
        <f t="shared" si="13"/>
        <v>-549139676.91289675</v>
      </c>
    </row>
    <row r="366" spans="1:13" ht="13.5" thickBot="1">
      <c r="A366" s="136"/>
      <c r="B366" s="298"/>
      <c r="C366" s="15"/>
      <c r="D366" s="47">
        <f>+AW362+AW364</f>
        <v>0</v>
      </c>
      <c r="E366" s="47"/>
      <c r="F366" s="569"/>
      <c r="G366" s="471"/>
      <c r="H366" s="154"/>
      <c r="I366" s="471">
        <f t="shared" si="15"/>
        <v>0</v>
      </c>
      <c r="J366" s="7"/>
      <c r="K366" s="3">
        <f t="shared" si="14"/>
        <v>359</v>
      </c>
      <c r="L366" s="471"/>
      <c r="M366" s="1">
        <f t="shared" si="13"/>
        <v>0</v>
      </c>
    </row>
    <row r="367" spans="1:13">
      <c r="A367" s="136"/>
      <c r="B367" s="298"/>
      <c r="C367" s="13" t="s">
        <v>605</v>
      </c>
      <c r="D367" s="47"/>
      <c r="E367" s="47"/>
      <c r="F367" s="558">
        <f>SUM(F362:F366)</f>
        <v>1550388715.6185985</v>
      </c>
      <c r="G367" s="301">
        <f>HLOOKUP($G$8,RevenueScenarios,K367,FALSE)</f>
        <v>1550388715.6185985</v>
      </c>
      <c r="H367" s="7"/>
      <c r="I367" s="301">
        <f t="shared" si="15"/>
        <v>0</v>
      </c>
      <c r="J367" s="7"/>
      <c r="K367" s="3">
        <f t="shared" si="14"/>
        <v>360</v>
      </c>
      <c r="L367" s="301">
        <f>SUM(L362:L366)</f>
        <v>897109168.46000004</v>
      </c>
      <c r="M367" s="1">
        <f t="shared" si="13"/>
        <v>-653279547.15859842</v>
      </c>
    </row>
    <row r="368" spans="1:13">
      <c r="A368" s="136"/>
      <c r="B368" s="48" t="s">
        <v>130</v>
      </c>
      <c r="C368" s="13"/>
      <c r="D368" s="47"/>
      <c r="E368" s="47"/>
      <c r="F368" s="558"/>
      <c r="G368" s="301"/>
      <c r="H368" s="7"/>
      <c r="I368" s="301">
        <f t="shared" si="15"/>
        <v>0</v>
      </c>
      <c r="J368" s="7"/>
      <c r="K368" s="3">
        <f t="shared" si="14"/>
        <v>361</v>
      </c>
      <c r="L368" s="301"/>
      <c r="M368" s="1">
        <f t="shared" si="13"/>
        <v>0</v>
      </c>
    </row>
    <row r="369" spans="1:13">
      <c r="A369" s="136"/>
      <c r="B369" s="298"/>
      <c r="C369" s="25" t="s">
        <v>56</v>
      </c>
      <c r="D369" s="47"/>
      <c r="E369" s="47"/>
      <c r="F369" s="558">
        <f t="shared" ref="F369:F371" si="16">F204+F233+F328+F356</f>
        <v>128695535.31500001</v>
      </c>
      <c r="G369" s="301">
        <f>HLOOKUP($G$8,RevenueScenarios,K369,FALSE)</f>
        <v>128695535.31500001</v>
      </c>
      <c r="H369" s="7"/>
      <c r="I369" s="301">
        <f t="shared" si="15"/>
        <v>0</v>
      </c>
      <c r="J369" s="7"/>
      <c r="K369" s="3">
        <f t="shared" si="14"/>
        <v>362</v>
      </c>
      <c r="L369" s="301">
        <f t="shared" ref="L369:L371" si="17">L204+L233+L328+L356</f>
        <v>105459628.15999998</v>
      </c>
      <c r="M369" s="1">
        <f t="shared" si="13"/>
        <v>-23235907.155000031</v>
      </c>
    </row>
    <row r="370" spans="1:13">
      <c r="A370" s="136"/>
      <c r="B370" s="298"/>
      <c r="C370" s="15" t="s">
        <v>57</v>
      </c>
      <c r="D370" s="47"/>
      <c r="E370" s="47"/>
      <c r="F370" s="558">
        <f t="shared" si="16"/>
        <v>105333018</v>
      </c>
      <c r="G370" s="301">
        <f>HLOOKUP($G$8,RevenueScenarios,K370,FALSE)</f>
        <v>105333018</v>
      </c>
      <c r="H370" s="7"/>
      <c r="I370" s="301">
        <f t="shared" si="15"/>
        <v>0</v>
      </c>
      <c r="J370" s="7"/>
      <c r="K370" s="3">
        <f t="shared" si="14"/>
        <v>363</v>
      </c>
      <c r="L370" s="301">
        <f t="shared" si="17"/>
        <v>89238502.909999996</v>
      </c>
      <c r="M370" s="1">
        <f t="shared" si="13"/>
        <v>-16094515.090000004</v>
      </c>
    </row>
    <row r="371" spans="1:13">
      <c r="A371" s="136"/>
      <c r="B371" s="44"/>
      <c r="C371" s="13"/>
      <c r="D371" s="47"/>
      <c r="E371" s="47"/>
      <c r="F371" s="562">
        <f t="shared" si="16"/>
        <v>234028553.315</v>
      </c>
      <c r="G371" s="323">
        <f>HLOOKUP($G$8,RevenueScenarios,K371,FALSE)</f>
        <v>234028553.315</v>
      </c>
      <c r="H371" s="140"/>
      <c r="I371" s="323">
        <f t="shared" si="15"/>
        <v>0</v>
      </c>
      <c r="J371" s="7"/>
      <c r="K371" s="3">
        <f t="shared" si="14"/>
        <v>364</v>
      </c>
      <c r="L371" s="323">
        <f t="shared" si="17"/>
        <v>194698131.06999999</v>
      </c>
      <c r="M371" s="1">
        <f t="shared" si="13"/>
        <v>-39330422.245000005</v>
      </c>
    </row>
    <row r="372" spans="1:13">
      <c r="K372" s="3">
        <f t="shared" si="14"/>
        <v>365</v>
      </c>
    </row>
    <row r="373" spans="1:13">
      <c r="B373" t="s">
        <v>127</v>
      </c>
      <c r="C373" t="s">
        <v>13</v>
      </c>
      <c r="D373" t="s">
        <v>481</v>
      </c>
      <c r="G373" s="301">
        <f t="shared" ref="G373:G405" si="18">HLOOKUP($G$8,RevenueScenarios,K373,FALSE)</f>
        <v>0</v>
      </c>
      <c r="H373" s="7"/>
      <c r="I373" s="301">
        <f t="shared" ref="I373:I405" si="19">G373-F373</f>
        <v>0</v>
      </c>
      <c r="K373" s="3">
        <f t="shared" si="14"/>
        <v>366</v>
      </c>
    </row>
    <row r="374" spans="1:13">
      <c r="B374" t="s">
        <v>127</v>
      </c>
      <c r="C374" t="s">
        <v>744</v>
      </c>
      <c r="D374" t="s">
        <v>481</v>
      </c>
      <c r="G374" s="301">
        <f t="shared" si="18"/>
        <v>0</v>
      </c>
      <c r="H374" s="7"/>
      <c r="I374" s="301">
        <f t="shared" si="19"/>
        <v>0</v>
      </c>
      <c r="K374" s="3">
        <f t="shared" si="14"/>
        <v>367</v>
      </c>
    </row>
    <row r="375" spans="1:13">
      <c r="B375" t="s">
        <v>127</v>
      </c>
      <c r="C375" t="s">
        <v>811</v>
      </c>
      <c r="D375" t="s">
        <v>481</v>
      </c>
      <c r="G375" s="301">
        <f t="shared" si="18"/>
        <v>0</v>
      </c>
      <c r="H375" s="7"/>
      <c r="I375" s="301">
        <f t="shared" si="19"/>
        <v>0</v>
      </c>
      <c r="K375" s="3">
        <f t="shared" si="14"/>
        <v>368</v>
      </c>
    </row>
    <row r="376" spans="1:13">
      <c r="B376" t="s">
        <v>127</v>
      </c>
      <c r="C376" t="s">
        <v>624</v>
      </c>
      <c r="D376" t="s">
        <v>481</v>
      </c>
      <c r="G376" s="301">
        <f t="shared" si="18"/>
        <v>0</v>
      </c>
      <c r="H376" s="7"/>
      <c r="I376" s="301">
        <f t="shared" si="19"/>
        <v>0</v>
      </c>
      <c r="K376" s="3">
        <f t="shared" si="14"/>
        <v>369</v>
      </c>
    </row>
    <row r="377" spans="1:13">
      <c r="B377" t="s">
        <v>127</v>
      </c>
      <c r="C377" t="s">
        <v>746</v>
      </c>
      <c r="D377" t="s">
        <v>481</v>
      </c>
      <c r="G377" s="301">
        <f t="shared" si="18"/>
        <v>0</v>
      </c>
      <c r="H377" s="7"/>
      <c r="I377" s="301">
        <f t="shared" si="19"/>
        <v>0</v>
      </c>
      <c r="K377" s="3">
        <f t="shared" si="14"/>
        <v>370</v>
      </c>
    </row>
    <row r="378" spans="1:13">
      <c r="B378" t="s">
        <v>127</v>
      </c>
      <c r="C378" t="s">
        <v>4</v>
      </c>
      <c r="D378" t="s">
        <v>481</v>
      </c>
      <c r="G378" s="301">
        <f t="shared" si="18"/>
        <v>0</v>
      </c>
      <c r="H378" s="7"/>
      <c r="I378" s="301">
        <f t="shared" si="19"/>
        <v>0</v>
      </c>
      <c r="K378" s="3">
        <f t="shared" si="14"/>
        <v>371</v>
      </c>
    </row>
    <row r="379" spans="1:13">
      <c r="B379" t="s">
        <v>127</v>
      </c>
      <c r="C379" t="s">
        <v>78</v>
      </c>
      <c r="D379" t="s">
        <v>481</v>
      </c>
      <c r="G379" s="301">
        <f t="shared" si="18"/>
        <v>0</v>
      </c>
      <c r="H379" s="7"/>
      <c r="I379" s="301">
        <f t="shared" si="19"/>
        <v>0</v>
      </c>
      <c r="K379" s="3">
        <f t="shared" si="14"/>
        <v>372</v>
      </c>
    </row>
    <row r="380" spans="1:13">
      <c r="B380" t="s">
        <v>127</v>
      </c>
      <c r="C380" t="s">
        <v>82</v>
      </c>
      <c r="D380" t="s">
        <v>481</v>
      </c>
      <c r="G380" s="301">
        <f t="shared" si="18"/>
        <v>0</v>
      </c>
      <c r="H380" s="7"/>
      <c r="I380" s="301">
        <f t="shared" si="19"/>
        <v>0</v>
      </c>
      <c r="K380" s="3">
        <f t="shared" si="14"/>
        <v>373</v>
      </c>
    </row>
    <row r="381" spans="1:13">
      <c r="B381" t="s">
        <v>127</v>
      </c>
      <c r="C381" t="s">
        <v>517</v>
      </c>
      <c r="D381" t="s">
        <v>481</v>
      </c>
      <c r="G381" s="301">
        <f t="shared" si="18"/>
        <v>0</v>
      </c>
      <c r="H381" s="7"/>
      <c r="I381" s="301">
        <f t="shared" si="19"/>
        <v>0</v>
      </c>
      <c r="K381" s="3">
        <f t="shared" si="14"/>
        <v>374</v>
      </c>
    </row>
    <row r="382" spans="1:13">
      <c r="B382" t="s">
        <v>127</v>
      </c>
      <c r="C382" t="s">
        <v>636</v>
      </c>
      <c r="D382" t="s">
        <v>481</v>
      </c>
      <c r="G382" s="301">
        <f t="shared" si="18"/>
        <v>0</v>
      </c>
      <c r="H382" s="7"/>
      <c r="I382" s="301">
        <f t="shared" si="19"/>
        <v>0</v>
      </c>
      <c r="K382" s="3">
        <f t="shared" si="14"/>
        <v>375</v>
      </c>
    </row>
    <row r="383" spans="1:13">
      <c r="B383" t="s">
        <v>127</v>
      </c>
      <c r="C383" t="s">
        <v>9</v>
      </c>
      <c r="D383" t="s">
        <v>481</v>
      </c>
      <c r="G383" s="301">
        <f t="shared" si="18"/>
        <v>0</v>
      </c>
      <c r="H383" s="7"/>
      <c r="I383" s="301">
        <f t="shared" si="19"/>
        <v>0</v>
      </c>
      <c r="K383" s="3">
        <f t="shared" si="14"/>
        <v>376</v>
      </c>
    </row>
    <row r="384" spans="1:13">
      <c r="B384" t="s">
        <v>127</v>
      </c>
      <c r="C384" t="s">
        <v>625</v>
      </c>
      <c r="D384" t="s">
        <v>481</v>
      </c>
      <c r="G384" s="301">
        <f t="shared" si="18"/>
        <v>0</v>
      </c>
      <c r="H384" s="7"/>
      <c r="I384" s="301">
        <f t="shared" si="19"/>
        <v>0</v>
      </c>
      <c r="K384" s="3">
        <f t="shared" si="14"/>
        <v>377</v>
      </c>
    </row>
    <row r="385" spans="2:11">
      <c r="B385" t="s">
        <v>127</v>
      </c>
      <c r="C385" t="s">
        <v>81</v>
      </c>
      <c r="D385" t="s">
        <v>481</v>
      </c>
      <c r="G385" s="301">
        <f t="shared" si="18"/>
        <v>0</v>
      </c>
      <c r="H385" s="7"/>
      <c r="I385" s="301">
        <f t="shared" si="19"/>
        <v>0</v>
      </c>
      <c r="K385" s="3">
        <f t="shared" si="14"/>
        <v>378</v>
      </c>
    </row>
    <row r="386" spans="2:11">
      <c r="B386" t="s">
        <v>127</v>
      </c>
      <c r="C386" t="s">
        <v>112</v>
      </c>
      <c r="D386" t="s">
        <v>481</v>
      </c>
      <c r="G386" s="301">
        <f t="shared" si="18"/>
        <v>0</v>
      </c>
      <c r="H386" s="7"/>
      <c r="I386" s="301">
        <f t="shared" si="19"/>
        <v>0</v>
      </c>
      <c r="K386" s="3">
        <f t="shared" si="14"/>
        <v>379</v>
      </c>
    </row>
    <row r="387" spans="2:11">
      <c r="B387" t="s">
        <v>127</v>
      </c>
      <c r="C387" t="s">
        <v>74</v>
      </c>
      <c r="D387" t="s">
        <v>481</v>
      </c>
      <c r="G387" s="301">
        <f t="shared" si="18"/>
        <v>0</v>
      </c>
      <c r="H387" s="7"/>
      <c r="I387" s="301">
        <f t="shared" si="19"/>
        <v>0</v>
      </c>
      <c r="K387" s="3">
        <f t="shared" si="14"/>
        <v>380</v>
      </c>
    </row>
    <row r="388" spans="2:11">
      <c r="B388" t="s">
        <v>127</v>
      </c>
      <c r="C388" t="s">
        <v>75</v>
      </c>
      <c r="D388" t="s">
        <v>481</v>
      </c>
      <c r="G388" s="301">
        <f t="shared" si="18"/>
        <v>0</v>
      </c>
      <c r="H388" s="7"/>
      <c r="I388" s="301">
        <f t="shared" si="19"/>
        <v>0</v>
      </c>
      <c r="K388" s="3">
        <f t="shared" si="14"/>
        <v>381</v>
      </c>
    </row>
    <row r="389" spans="2:11">
      <c r="B389" t="s">
        <v>817</v>
      </c>
      <c r="G389" s="301">
        <f t="shared" si="18"/>
        <v>0</v>
      </c>
      <c r="H389" s="7"/>
      <c r="I389" s="301">
        <f t="shared" si="19"/>
        <v>0</v>
      </c>
      <c r="K389" s="3">
        <f t="shared" si="14"/>
        <v>382</v>
      </c>
    </row>
    <row r="390" spans="2:11">
      <c r="B390" t="s">
        <v>818</v>
      </c>
      <c r="C390" t="s">
        <v>12</v>
      </c>
      <c r="D390" t="s">
        <v>481</v>
      </c>
      <c r="G390" s="301">
        <f t="shared" si="18"/>
        <v>0</v>
      </c>
      <c r="H390" s="7"/>
      <c r="I390" s="301">
        <f t="shared" si="19"/>
        <v>0</v>
      </c>
      <c r="K390" s="3">
        <f t="shared" si="14"/>
        <v>383</v>
      </c>
    </row>
    <row r="391" spans="2:11">
      <c r="B391" t="s">
        <v>819</v>
      </c>
      <c r="G391" s="301">
        <f t="shared" si="18"/>
        <v>0</v>
      </c>
      <c r="H391" s="7"/>
      <c r="I391" s="301">
        <f t="shared" si="19"/>
        <v>0</v>
      </c>
      <c r="K391" s="3">
        <f t="shared" si="14"/>
        <v>384</v>
      </c>
    </row>
    <row r="392" spans="2:11">
      <c r="G392" s="301">
        <f t="shared" si="18"/>
        <v>0</v>
      </c>
      <c r="H392" s="7"/>
      <c r="I392" s="301">
        <f t="shared" si="19"/>
        <v>0</v>
      </c>
      <c r="K392" s="3">
        <f t="shared" si="14"/>
        <v>385</v>
      </c>
    </row>
    <row r="393" spans="2:11">
      <c r="B393" t="s">
        <v>820</v>
      </c>
      <c r="C393" t="s">
        <v>13</v>
      </c>
      <c r="D393" t="s">
        <v>481</v>
      </c>
      <c r="G393" s="301">
        <f t="shared" si="18"/>
        <v>0</v>
      </c>
      <c r="H393" s="7"/>
      <c r="I393" s="301">
        <f t="shared" si="19"/>
        <v>0</v>
      </c>
      <c r="K393" s="3">
        <f t="shared" si="14"/>
        <v>386</v>
      </c>
    </row>
    <row r="394" spans="2:11">
      <c r="B394" t="s">
        <v>820</v>
      </c>
      <c r="C394" t="s">
        <v>746</v>
      </c>
      <c r="D394" t="s">
        <v>481</v>
      </c>
      <c r="G394" s="301">
        <f t="shared" si="18"/>
        <v>0</v>
      </c>
      <c r="H394" s="7"/>
      <c r="I394" s="301">
        <f t="shared" si="19"/>
        <v>0</v>
      </c>
      <c r="K394" s="3">
        <f t="shared" si="14"/>
        <v>387</v>
      </c>
    </row>
    <row r="395" spans="2:11">
      <c r="B395" t="s">
        <v>820</v>
      </c>
      <c r="C395" t="s">
        <v>708</v>
      </c>
      <c r="D395" t="s">
        <v>481</v>
      </c>
      <c r="G395" s="301">
        <f t="shared" si="18"/>
        <v>0</v>
      </c>
      <c r="H395" s="7"/>
      <c r="I395" s="301">
        <f t="shared" si="19"/>
        <v>0</v>
      </c>
      <c r="K395" s="3">
        <f t="shared" si="14"/>
        <v>388</v>
      </c>
    </row>
    <row r="396" spans="2:11">
      <c r="B396" t="s">
        <v>820</v>
      </c>
      <c r="C396" t="s">
        <v>78</v>
      </c>
      <c r="D396" t="s">
        <v>481</v>
      </c>
      <c r="G396" s="301">
        <f t="shared" si="18"/>
        <v>0</v>
      </c>
      <c r="H396" s="7"/>
      <c r="I396" s="301">
        <f t="shared" si="19"/>
        <v>0</v>
      </c>
      <c r="K396" s="3">
        <f t="shared" si="14"/>
        <v>389</v>
      </c>
    </row>
    <row r="397" spans="2:11">
      <c r="B397" t="s">
        <v>820</v>
      </c>
      <c r="C397" t="s">
        <v>79</v>
      </c>
      <c r="D397" t="s">
        <v>481</v>
      </c>
      <c r="G397" s="301">
        <f t="shared" si="18"/>
        <v>0</v>
      </c>
      <c r="H397" s="7"/>
      <c r="I397" s="301">
        <f t="shared" si="19"/>
        <v>0</v>
      </c>
      <c r="K397" s="3">
        <f t="shared" si="14"/>
        <v>390</v>
      </c>
    </row>
    <row r="398" spans="2:11">
      <c r="B398" t="s">
        <v>820</v>
      </c>
      <c r="C398" t="s">
        <v>24</v>
      </c>
      <c r="D398" t="s">
        <v>481</v>
      </c>
      <c r="G398" s="301">
        <f t="shared" si="18"/>
        <v>0</v>
      </c>
      <c r="H398" s="7"/>
      <c r="I398" s="301">
        <f t="shared" si="19"/>
        <v>0</v>
      </c>
      <c r="K398" s="3">
        <f t="shared" si="14"/>
        <v>391</v>
      </c>
    </row>
    <row r="399" spans="2:11">
      <c r="B399" t="s">
        <v>820</v>
      </c>
      <c r="C399" t="s">
        <v>25</v>
      </c>
      <c r="D399" t="s">
        <v>481</v>
      </c>
      <c r="G399" s="301">
        <f t="shared" si="18"/>
        <v>0</v>
      </c>
      <c r="H399" s="7"/>
      <c r="I399" s="301">
        <f t="shared" si="19"/>
        <v>0</v>
      </c>
      <c r="K399" s="3">
        <f t="shared" si="14"/>
        <v>392</v>
      </c>
    </row>
    <row r="400" spans="2:11">
      <c r="B400" t="s">
        <v>820</v>
      </c>
      <c r="C400" t="s">
        <v>495</v>
      </c>
      <c r="D400" t="s">
        <v>481</v>
      </c>
      <c r="G400" s="301">
        <f t="shared" si="18"/>
        <v>0</v>
      </c>
      <c r="H400" s="7"/>
      <c r="I400" s="301">
        <f t="shared" si="19"/>
        <v>0</v>
      </c>
      <c r="K400" s="3">
        <f t="shared" si="14"/>
        <v>393</v>
      </c>
    </row>
    <row r="401" spans="2:11">
      <c r="G401" s="301">
        <f t="shared" si="18"/>
        <v>0</v>
      </c>
      <c r="H401" s="7"/>
      <c r="I401" s="301">
        <f t="shared" si="19"/>
        <v>0</v>
      </c>
      <c r="K401" s="3">
        <f t="shared" si="14"/>
        <v>394</v>
      </c>
    </row>
    <row r="402" spans="2:11">
      <c r="B402" t="s">
        <v>420</v>
      </c>
      <c r="C402" t="s">
        <v>79</v>
      </c>
      <c r="D402" t="s">
        <v>481</v>
      </c>
      <c r="G402" s="301">
        <f t="shared" si="18"/>
        <v>0</v>
      </c>
      <c r="H402" s="7"/>
      <c r="I402" s="301">
        <f t="shared" si="19"/>
        <v>0</v>
      </c>
      <c r="K402" s="3">
        <f t="shared" si="14"/>
        <v>395</v>
      </c>
    </row>
    <row r="403" spans="2:11">
      <c r="B403" t="s">
        <v>420</v>
      </c>
      <c r="C403" t="s">
        <v>24</v>
      </c>
      <c r="D403" t="s">
        <v>481</v>
      </c>
      <c r="G403" s="301">
        <f t="shared" si="18"/>
        <v>0</v>
      </c>
      <c r="H403" s="7"/>
      <c r="I403" s="301">
        <f t="shared" si="19"/>
        <v>0</v>
      </c>
      <c r="K403" s="3">
        <f t="shared" si="14"/>
        <v>396</v>
      </c>
    </row>
    <row r="404" spans="2:11">
      <c r="B404" t="s">
        <v>420</v>
      </c>
      <c r="C404" t="s">
        <v>497</v>
      </c>
      <c r="D404" t="s">
        <v>481</v>
      </c>
      <c r="G404" s="301">
        <f t="shared" si="18"/>
        <v>0</v>
      </c>
      <c r="H404" s="7"/>
      <c r="I404" s="301">
        <f t="shared" si="19"/>
        <v>0</v>
      </c>
      <c r="K404" s="3">
        <f t="shared" si="14"/>
        <v>397</v>
      </c>
    </row>
    <row r="405" spans="2:11">
      <c r="C405" t="s">
        <v>497</v>
      </c>
      <c r="D405" t="s">
        <v>481</v>
      </c>
      <c r="G405" s="301">
        <f t="shared" si="18"/>
        <v>0</v>
      </c>
      <c r="H405" s="7"/>
      <c r="I405" s="301">
        <f t="shared" si="19"/>
        <v>0</v>
      </c>
      <c r="K405" s="3">
        <f t="shared" si="14"/>
        <v>398</v>
      </c>
    </row>
    <row r="406" spans="2:11">
      <c r="K406" s="3">
        <f t="shared" si="14"/>
        <v>399</v>
      </c>
    </row>
    <row r="407" spans="2:11">
      <c r="K407" s="3">
        <f t="shared" si="14"/>
        <v>400</v>
      </c>
    </row>
    <row r="408" spans="2:11">
      <c r="K408" s="3">
        <f t="shared" si="14"/>
        <v>401</v>
      </c>
    </row>
    <row r="409" spans="2:11" ht="13.5" thickBot="1">
      <c r="K409" s="3">
        <f t="shared" si="14"/>
        <v>402</v>
      </c>
    </row>
    <row r="410" spans="2:11">
      <c r="C410" s="238"/>
      <c r="D410" s="239"/>
      <c r="E410" s="239"/>
      <c r="F410" s="239"/>
      <c r="G410" s="239"/>
      <c r="H410" s="239"/>
      <c r="I410" s="114"/>
      <c r="K410" s="3">
        <f t="shared" si="14"/>
        <v>403</v>
      </c>
    </row>
    <row r="411" spans="2:11">
      <c r="C411" s="451" t="s">
        <v>14</v>
      </c>
      <c r="D411" s="452"/>
      <c r="F411" s="1">
        <f>+F362</f>
        <v>497545437.07241476</v>
      </c>
      <c r="G411" s="1">
        <f>+G362</f>
        <v>497545437.07241476</v>
      </c>
      <c r="H411" s="1"/>
      <c r="I411" s="235">
        <f>G411-F411</f>
        <v>0</v>
      </c>
      <c r="J411" s="1"/>
      <c r="K411" s="3">
        <f t="shared" si="14"/>
        <v>404</v>
      </c>
    </row>
    <row r="412" spans="2:11">
      <c r="C412" s="451" t="s">
        <v>711</v>
      </c>
      <c r="D412" s="452"/>
      <c r="F412" s="1">
        <f>+F364</f>
        <v>99548.020000000019</v>
      </c>
      <c r="G412" s="1">
        <f>+G364</f>
        <v>99548.020000000019</v>
      </c>
      <c r="H412" s="1"/>
      <c r="I412" s="235">
        <f>G412-F412</f>
        <v>0</v>
      </c>
      <c r="J412" s="1"/>
      <c r="K412" s="3">
        <f t="shared" ref="K412:K421" si="20">+K411+1</f>
        <v>405</v>
      </c>
    </row>
    <row r="413" spans="2:11">
      <c r="C413" s="453" t="s">
        <v>793</v>
      </c>
      <c r="D413" s="452"/>
      <c r="F413" s="1">
        <f>SUM(F411:F412)</f>
        <v>497644985.09241474</v>
      </c>
      <c r="G413" s="1">
        <f>SUM(G411:G412)</f>
        <v>497644985.09241474</v>
      </c>
      <c r="H413" s="1"/>
      <c r="I413" s="235">
        <f>G413-F413</f>
        <v>0</v>
      </c>
      <c r="J413" s="1"/>
      <c r="K413" s="3">
        <f t="shared" si="20"/>
        <v>406</v>
      </c>
    </row>
    <row r="414" spans="2:11">
      <c r="C414" s="453"/>
      <c r="D414" s="452"/>
      <c r="F414" s="1"/>
      <c r="G414" s="1"/>
      <c r="H414" s="1"/>
      <c r="I414" s="235"/>
      <c r="J414" s="1"/>
      <c r="K414" s="3">
        <f t="shared" si="20"/>
        <v>407</v>
      </c>
    </row>
    <row r="415" spans="2:11">
      <c r="C415" s="451" t="s">
        <v>15</v>
      </c>
      <c r="F415" s="1">
        <f>+F363</f>
        <v>101739274.50806464</v>
      </c>
      <c r="G415" s="1">
        <f>+G363</f>
        <v>101739274.50806464</v>
      </c>
      <c r="I415" s="235">
        <f>G415-F415</f>
        <v>0</v>
      </c>
      <c r="K415" s="3">
        <f t="shared" si="20"/>
        <v>408</v>
      </c>
    </row>
    <row r="416" spans="2:11">
      <c r="C416" s="451"/>
      <c r="F416" s="1"/>
      <c r="G416" s="1"/>
      <c r="I416" s="235"/>
      <c r="K416" s="3">
        <f t="shared" si="20"/>
        <v>409</v>
      </c>
    </row>
    <row r="417" spans="3:11">
      <c r="C417" s="451" t="s">
        <v>16</v>
      </c>
      <c r="F417" s="1">
        <f>+F365</f>
        <v>951004456.01811922</v>
      </c>
      <c r="G417" s="1">
        <f>+G365</f>
        <v>951004456.01811922</v>
      </c>
      <c r="I417" s="235">
        <f>G417-F417</f>
        <v>0</v>
      </c>
      <c r="K417" s="3">
        <f t="shared" si="20"/>
        <v>410</v>
      </c>
    </row>
    <row r="418" spans="3:11">
      <c r="C418" s="110"/>
      <c r="F418" s="1">
        <f>+F415-F417</f>
        <v>-849265181.51005459</v>
      </c>
      <c r="G418" s="1">
        <f>+G415-G417</f>
        <v>-849265181.51005459</v>
      </c>
      <c r="I418" s="235">
        <f>G418-F418</f>
        <v>0</v>
      </c>
      <c r="K418" s="3">
        <f t="shared" si="20"/>
        <v>411</v>
      </c>
    </row>
    <row r="419" spans="3:11">
      <c r="C419" s="453" t="s">
        <v>794</v>
      </c>
      <c r="F419" s="1">
        <f>SUM(F417:F418)</f>
        <v>101739274.50806463</v>
      </c>
      <c r="G419" s="1">
        <f>SUM(G417:G418)</f>
        <v>101739274.50806463</v>
      </c>
      <c r="I419" s="235">
        <f>G419-F419</f>
        <v>0</v>
      </c>
      <c r="K419" s="3">
        <f t="shared" si="20"/>
        <v>412</v>
      </c>
    </row>
    <row r="420" spans="3:11" ht="13.5" thickBot="1">
      <c r="C420" s="113"/>
      <c r="D420" s="75"/>
      <c r="E420" s="75"/>
      <c r="F420" s="75"/>
      <c r="G420" s="75"/>
      <c r="H420" s="75"/>
      <c r="I420" s="237"/>
      <c r="K420" s="3">
        <f t="shared" si="20"/>
        <v>413</v>
      </c>
    </row>
    <row r="421" spans="3:11">
      <c r="K421" s="3">
        <f t="shared" si="20"/>
        <v>414</v>
      </c>
    </row>
    <row r="422" spans="3:11">
      <c r="K422" s="3"/>
    </row>
    <row r="621" ht="62.25" customHeight="1"/>
  </sheetData>
  <mergeCells count="3">
    <mergeCell ref="C9:D9"/>
    <mergeCell ref="A11:D11"/>
    <mergeCell ref="A12:D12"/>
  </mergeCells>
  <phoneticPr fontId="0" type="noConversion"/>
  <dataValidations count="1">
    <dataValidation type="list" showInputMessage="1" showErrorMessage="1" sqref="F6" xr:uid="{00000000-0002-0000-1400-000000000000}">
      <formula1>"Rev booked JUNE 2010,BOOKED REV LESS DSM JUNE 2010,Energy Efficiency Services Adjustment"</formula1>
    </dataValidation>
  </dataValidations>
  <pageMargins left="0.2" right="0.2" top="0.28000000000000003" bottom="0.37" header="0.21" footer="0.24"/>
  <pageSetup scale="48" fitToWidth="0" fitToHeight="0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tabColor rgb="FFFFFF00"/>
  </sheetPr>
  <dimension ref="A1:AD522"/>
  <sheetViews>
    <sheetView topLeftCell="C326" zoomScale="60" zoomScaleNormal="60" zoomScaleSheetLayoutView="30" workbookViewId="0">
      <selection activeCell="H376" sqref="H376"/>
    </sheetView>
  </sheetViews>
  <sheetFormatPr defaultColWidth="16.42578125" defaultRowHeight="12.75"/>
  <cols>
    <col min="1" max="1" width="48.7109375" bestFit="1" customWidth="1"/>
    <col min="2" max="2" width="28.7109375" customWidth="1"/>
    <col min="3" max="3" width="42.7109375" bestFit="1" customWidth="1"/>
    <col min="4" max="4" width="12.140625" customWidth="1"/>
    <col min="5" max="6" width="3.5703125" customWidth="1"/>
    <col min="7" max="7" width="3.5703125" hidden="1" customWidth="1"/>
    <col min="8" max="10" width="19.140625" bestFit="1" customWidth="1"/>
    <col min="11" max="11" width="17.42578125" bestFit="1" customWidth="1"/>
    <col min="12" max="18" width="19.85546875" bestFit="1" customWidth="1"/>
    <col min="19" max="19" width="19.85546875" customWidth="1"/>
    <col min="20" max="20" width="19.85546875" bestFit="1" customWidth="1"/>
    <col min="21" max="21" width="19.7109375" bestFit="1" customWidth="1"/>
    <col min="22" max="22" width="15.42578125" customWidth="1"/>
    <col min="23" max="23" width="47" bestFit="1" customWidth="1"/>
    <col min="24" max="24" width="17.5703125" customWidth="1"/>
    <col min="25" max="28" width="21" bestFit="1" customWidth="1"/>
    <col min="29" max="29" width="21.5703125" bestFit="1" customWidth="1"/>
    <col min="30" max="30" width="22.140625" bestFit="1" customWidth="1"/>
    <col min="31" max="31" width="13.85546875" customWidth="1"/>
    <col min="33" max="33" width="12.7109375" bestFit="1" customWidth="1"/>
    <col min="43" max="74" width="16.42578125" customWidth="1"/>
    <col min="257" max="257" width="29.7109375" customWidth="1"/>
    <col min="258" max="258" width="23" customWidth="1"/>
    <col min="259" max="259" width="42.7109375" bestFit="1" customWidth="1"/>
    <col min="260" max="260" width="12.140625" customWidth="1"/>
    <col min="261" max="263" width="3.5703125" customWidth="1"/>
    <col min="264" max="276" width="19.85546875" bestFit="1" customWidth="1"/>
    <col min="277" max="277" width="18.28515625" customWidth="1"/>
    <col min="278" max="278" width="13.7109375" customWidth="1"/>
    <col min="279" max="279" width="47" bestFit="1" customWidth="1"/>
    <col min="280" max="280" width="17.5703125" customWidth="1"/>
    <col min="281" max="284" width="21" bestFit="1" customWidth="1"/>
    <col min="285" max="285" width="21.5703125" bestFit="1" customWidth="1"/>
    <col min="286" max="286" width="22.140625" bestFit="1" customWidth="1"/>
    <col min="287" max="287" width="13.85546875" customWidth="1"/>
    <col min="289" max="289" width="12.7109375" bestFit="1" customWidth="1"/>
    <col min="299" max="330" width="16.42578125" customWidth="1"/>
    <col min="513" max="513" width="29.7109375" customWidth="1"/>
    <col min="514" max="514" width="23" customWidth="1"/>
    <col min="515" max="515" width="42.7109375" bestFit="1" customWidth="1"/>
    <col min="516" max="516" width="12.140625" customWidth="1"/>
    <col min="517" max="519" width="3.5703125" customWidth="1"/>
    <col min="520" max="532" width="19.85546875" bestFit="1" customWidth="1"/>
    <col min="533" max="533" width="18.28515625" customWidth="1"/>
    <col min="534" max="534" width="13.7109375" customWidth="1"/>
    <col min="535" max="535" width="47" bestFit="1" customWidth="1"/>
    <col min="536" max="536" width="17.5703125" customWidth="1"/>
    <col min="537" max="540" width="21" bestFit="1" customWidth="1"/>
    <col min="541" max="541" width="21.5703125" bestFit="1" customWidth="1"/>
    <col min="542" max="542" width="22.140625" bestFit="1" customWidth="1"/>
    <col min="543" max="543" width="13.85546875" customWidth="1"/>
    <col min="545" max="545" width="12.7109375" bestFit="1" customWidth="1"/>
    <col min="555" max="586" width="16.42578125" customWidth="1"/>
    <col min="769" max="769" width="29.7109375" customWidth="1"/>
    <col min="770" max="770" width="23" customWidth="1"/>
    <col min="771" max="771" width="42.7109375" bestFit="1" customWidth="1"/>
    <col min="772" max="772" width="12.140625" customWidth="1"/>
    <col min="773" max="775" width="3.5703125" customWidth="1"/>
    <col min="776" max="788" width="19.85546875" bestFit="1" customWidth="1"/>
    <col min="789" max="789" width="18.28515625" customWidth="1"/>
    <col min="790" max="790" width="13.7109375" customWidth="1"/>
    <col min="791" max="791" width="47" bestFit="1" customWidth="1"/>
    <col min="792" max="792" width="17.5703125" customWidth="1"/>
    <col min="793" max="796" width="21" bestFit="1" customWidth="1"/>
    <col min="797" max="797" width="21.5703125" bestFit="1" customWidth="1"/>
    <col min="798" max="798" width="22.140625" bestFit="1" customWidth="1"/>
    <col min="799" max="799" width="13.85546875" customWidth="1"/>
    <col min="801" max="801" width="12.7109375" bestFit="1" customWidth="1"/>
    <col min="811" max="842" width="16.42578125" customWidth="1"/>
    <col min="1025" max="1025" width="29.7109375" customWidth="1"/>
    <col min="1026" max="1026" width="23" customWidth="1"/>
    <col min="1027" max="1027" width="42.7109375" bestFit="1" customWidth="1"/>
    <col min="1028" max="1028" width="12.140625" customWidth="1"/>
    <col min="1029" max="1031" width="3.5703125" customWidth="1"/>
    <col min="1032" max="1044" width="19.85546875" bestFit="1" customWidth="1"/>
    <col min="1045" max="1045" width="18.28515625" customWidth="1"/>
    <col min="1046" max="1046" width="13.7109375" customWidth="1"/>
    <col min="1047" max="1047" width="47" bestFit="1" customWidth="1"/>
    <col min="1048" max="1048" width="17.5703125" customWidth="1"/>
    <col min="1049" max="1052" width="21" bestFit="1" customWidth="1"/>
    <col min="1053" max="1053" width="21.5703125" bestFit="1" customWidth="1"/>
    <col min="1054" max="1054" width="22.140625" bestFit="1" customWidth="1"/>
    <col min="1055" max="1055" width="13.85546875" customWidth="1"/>
    <col min="1057" max="1057" width="12.7109375" bestFit="1" customWidth="1"/>
    <col min="1067" max="1098" width="16.42578125" customWidth="1"/>
    <col min="1281" max="1281" width="29.7109375" customWidth="1"/>
    <col min="1282" max="1282" width="23" customWidth="1"/>
    <col min="1283" max="1283" width="42.7109375" bestFit="1" customWidth="1"/>
    <col min="1284" max="1284" width="12.140625" customWidth="1"/>
    <col min="1285" max="1287" width="3.5703125" customWidth="1"/>
    <col min="1288" max="1300" width="19.85546875" bestFit="1" customWidth="1"/>
    <col min="1301" max="1301" width="18.28515625" customWidth="1"/>
    <col min="1302" max="1302" width="13.7109375" customWidth="1"/>
    <col min="1303" max="1303" width="47" bestFit="1" customWidth="1"/>
    <col min="1304" max="1304" width="17.5703125" customWidth="1"/>
    <col min="1305" max="1308" width="21" bestFit="1" customWidth="1"/>
    <col min="1309" max="1309" width="21.5703125" bestFit="1" customWidth="1"/>
    <col min="1310" max="1310" width="22.140625" bestFit="1" customWidth="1"/>
    <col min="1311" max="1311" width="13.85546875" customWidth="1"/>
    <col min="1313" max="1313" width="12.7109375" bestFit="1" customWidth="1"/>
    <col min="1323" max="1354" width="16.42578125" customWidth="1"/>
    <col min="1537" max="1537" width="29.7109375" customWidth="1"/>
    <col min="1538" max="1538" width="23" customWidth="1"/>
    <col min="1539" max="1539" width="42.7109375" bestFit="1" customWidth="1"/>
    <col min="1540" max="1540" width="12.140625" customWidth="1"/>
    <col min="1541" max="1543" width="3.5703125" customWidth="1"/>
    <col min="1544" max="1556" width="19.85546875" bestFit="1" customWidth="1"/>
    <col min="1557" max="1557" width="18.28515625" customWidth="1"/>
    <col min="1558" max="1558" width="13.7109375" customWidth="1"/>
    <col min="1559" max="1559" width="47" bestFit="1" customWidth="1"/>
    <col min="1560" max="1560" width="17.5703125" customWidth="1"/>
    <col min="1561" max="1564" width="21" bestFit="1" customWidth="1"/>
    <col min="1565" max="1565" width="21.5703125" bestFit="1" customWidth="1"/>
    <col min="1566" max="1566" width="22.140625" bestFit="1" customWidth="1"/>
    <col min="1567" max="1567" width="13.85546875" customWidth="1"/>
    <col min="1569" max="1569" width="12.7109375" bestFit="1" customWidth="1"/>
    <col min="1579" max="1610" width="16.42578125" customWidth="1"/>
    <col min="1793" max="1793" width="29.7109375" customWidth="1"/>
    <col min="1794" max="1794" width="23" customWidth="1"/>
    <col min="1795" max="1795" width="42.7109375" bestFit="1" customWidth="1"/>
    <col min="1796" max="1796" width="12.140625" customWidth="1"/>
    <col min="1797" max="1799" width="3.5703125" customWidth="1"/>
    <col min="1800" max="1812" width="19.85546875" bestFit="1" customWidth="1"/>
    <col min="1813" max="1813" width="18.28515625" customWidth="1"/>
    <col min="1814" max="1814" width="13.7109375" customWidth="1"/>
    <col min="1815" max="1815" width="47" bestFit="1" customWidth="1"/>
    <col min="1816" max="1816" width="17.5703125" customWidth="1"/>
    <col min="1817" max="1820" width="21" bestFit="1" customWidth="1"/>
    <col min="1821" max="1821" width="21.5703125" bestFit="1" customWidth="1"/>
    <col min="1822" max="1822" width="22.140625" bestFit="1" customWidth="1"/>
    <col min="1823" max="1823" width="13.85546875" customWidth="1"/>
    <col min="1825" max="1825" width="12.7109375" bestFit="1" customWidth="1"/>
    <col min="1835" max="1866" width="16.42578125" customWidth="1"/>
    <col min="2049" max="2049" width="29.7109375" customWidth="1"/>
    <col min="2050" max="2050" width="23" customWidth="1"/>
    <col min="2051" max="2051" width="42.7109375" bestFit="1" customWidth="1"/>
    <col min="2052" max="2052" width="12.140625" customWidth="1"/>
    <col min="2053" max="2055" width="3.5703125" customWidth="1"/>
    <col min="2056" max="2068" width="19.85546875" bestFit="1" customWidth="1"/>
    <col min="2069" max="2069" width="18.28515625" customWidth="1"/>
    <col min="2070" max="2070" width="13.7109375" customWidth="1"/>
    <col min="2071" max="2071" width="47" bestFit="1" customWidth="1"/>
    <col min="2072" max="2072" width="17.5703125" customWidth="1"/>
    <col min="2073" max="2076" width="21" bestFit="1" customWidth="1"/>
    <col min="2077" max="2077" width="21.5703125" bestFit="1" customWidth="1"/>
    <col min="2078" max="2078" width="22.140625" bestFit="1" customWidth="1"/>
    <col min="2079" max="2079" width="13.85546875" customWidth="1"/>
    <col min="2081" max="2081" width="12.7109375" bestFit="1" customWidth="1"/>
    <col min="2091" max="2122" width="16.42578125" customWidth="1"/>
    <col min="2305" max="2305" width="29.7109375" customWidth="1"/>
    <col min="2306" max="2306" width="23" customWidth="1"/>
    <col min="2307" max="2307" width="42.7109375" bestFit="1" customWidth="1"/>
    <col min="2308" max="2308" width="12.140625" customWidth="1"/>
    <col min="2309" max="2311" width="3.5703125" customWidth="1"/>
    <col min="2312" max="2324" width="19.85546875" bestFit="1" customWidth="1"/>
    <col min="2325" max="2325" width="18.28515625" customWidth="1"/>
    <col min="2326" max="2326" width="13.7109375" customWidth="1"/>
    <col min="2327" max="2327" width="47" bestFit="1" customWidth="1"/>
    <col min="2328" max="2328" width="17.5703125" customWidth="1"/>
    <col min="2329" max="2332" width="21" bestFit="1" customWidth="1"/>
    <col min="2333" max="2333" width="21.5703125" bestFit="1" customWidth="1"/>
    <col min="2334" max="2334" width="22.140625" bestFit="1" customWidth="1"/>
    <col min="2335" max="2335" width="13.85546875" customWidth="1"/>
    <col min="2337" max="2337" width="12.7109375" bestFit="1" customWidth="1"/>
    <col min="2347" max="2378" width="16.42578125" customWidth="1"/>
    <col min="2561" max="2561" width="29.7109375" customWidth="1"/>
    <col min="2562" max="2562" width="23" customWidth="1"/>
    <col min="2563" max="2563" width="42.7109375" bestFit="1" customWidth="1"/>
    <col min="2564" max="2564" width="12.140625" customWidth="1"/>
    <col min="2565" max="2567" width="3.5703125" customWidth="1"/>
    <col min="2568" max="2580" width="19.85546875" bestFit="1" customWidth="1"/>
    <col min="2581" max="2581" width="18.28515625" customWidth="1"/>
    <col min="2582" max="2582" width="13.7109375" customWidth="1"/>
    <col min="2583" max="2583" width="47" bestFit="1" customWidth="1"/>
    <col min="2584" max="2584" width="17.5703125" customWidth="1"/>
    <col min="2585" max="2588" width="21" bestFit="1" customWidth="1"/>
    <col min="2589" max="2589" width="21.5703125" bestFit="1" customWidth="1"/>
    <col min="2590" max="2590" width="22.140625" bestFit="1" customWidth="1"/>
    <col min="2591" max="2591" width="13.85546875" customWidth="1"/>
    <col min="2593" max="2593" width="12.7109375" bestFit="1" customWidth="1"/>
    <col min="2603" max="2634" width="16.42578125" customWidth="1"/>
    <col min="2817" max="2817" width="29.7109375" customWidth="1"/>
    <col min="2818" max="2818" width="23" customWidth="1"/>
    <col min="2819" max="2819" width="42.7109375" bestFit="1" customWidth="1"/>
    <col min="2820" max="2820" width="12.140625" customWidth="1"/>
    <col min="2821" max="2823" width="3.5703125" customWidth="1"/>
    <col min="2824" max="2836" width="19.85546875" bestFit="1" customWidth="1"/>
    <col min="2837" max="2837" width="18.28515625" customWidth="1"/>
    <col min="2838" max="2838" width="13.7109375" customWidth="1"/>
    <col min="2839" max="2839" width="47" bestFit="1" customWidth="1"/>
    <col min="2840" max="2840" width="17.5703125" customWidth="1"/>
    <col min="2841" max="2844" width="21" bestFit="1" customWidth="1"/>
    <col min="2845" max="2845" width="21.5703125" bestFit="1" customWidth="1"/>
    <col min="2846" max="2846" width="22.140625" bestFit="1" customWidth="1"/>
    <col min="2847" max="2847" width="13.85546875" customWidth="1"/>
    <col min="2849" max="2849" width="12.7109375" bestFit="1" customWidth="1"/>
    <col min="2859" max="2890" width="16.42578125" customWidth="1"/>
    <col min="3073" max="3073" width="29.7109375" customWidth="1"/>
    <col min="3074" max="3074" width="23" customWidth="1"/>
    <col min="3075" max="3075" width="42.7109375" bestFit="1" customWidth="1"/>
    <col min="3076" max="3076" width="12.140625" customWidth="1"/>
    <col min="3077" max="3079" width="3.5703125" customWidth="1"/>
    <col min="3080" max="3092" width="19.85546875" bestFit="1" customWidth="1"/>
    <col min="3093" max="3093" width="18.28515625" customWidth="1"/>
    <col min="3094" max="3094" width="13.7109375" customWidth="1"/>
    <col min="3095" max="3095" width="47" bestFit="1" customWidth="1"/>
    <col min="3096" max="3096" width="17.5703125" customWidth="1"/>
    <col min="3097" max="3100" width="21" bestFit="1" customWidth="1"/>
    <col min="3101" max="3101" width="21.5703125" bestFit="1" customWidth="1"/>
    <col min="3102" max="3102" width="22.140625" bestFit="1" customWidth="1"/>
    <col min="3103" max="3103" width="13.85546875" customWidth="1"/>
    <col min="3105" max="3105" width="12.7109375" bestFit="1" customWidth="1"/>
    <col min="3115" max="3146" width="16.42578125" customWidth="1"/>
    <col min="3329" max="3329" width="29.7109375" customWidth="1"/>
    <col min="3330" max="3330" width="23" customWidth="1"/>
    <col min="3331" max="3331" width="42.7109375" bestFit="1" customWidth="1"/>
    <col min="3332" max="3332" width="12.140625" customWidth="1"/>
    <col min="3333" max="3335" width="3.5703125" customWidth="1"/>
    <col min="3336" max="3348" width="19.85546875" bestFit="1" customWidth="1"/>
    <col min="3349" max="3349" width="18.28515625" customWidth="1"/>
    <col min="3350" max="3350" width="13.7109375" customWidth="1"/>
    <col min="3351" max="3351" width="47" bestFit="1" customWidth="1"/>
    <col min="3352" max="3352" width="17.5703125" customWidth="1"/>
    <col min="3353" max="3356" width="21" bestFit="1" customWidth="1"/>
    <col min="3357" max="3357" width="21.5703125" bestFit="1" customWidth="1"/>
    <col min="3358" max="3358" width="22.140625" bestFit="1" customWidth="1"/>
    <col min="3359" max="3359" width="13.85546875" customWidth="1"/>
    <col min="3361" max="3361" width="12.7109375" bestFit="1" customWidth="1"/>
    <col min="3371" max="3402" width="16.42578125" customWidth="1"/>
    <col min="3585" max="3585" width="29.7109375" customWidth="1"/>
    <col min="3586" max="3586" width="23" customWidth="1"/>
    <col min="3587" max="3587" width="42.7109375" bestFit="1" customWidth="1"/>
    <col min="3588" max="3588" width="12.140625" customWidth="1"/>
    <col min="3589" max="3591" width="3.5703125" customWidth="1"/>
    <col min="3592" max="3604" width="19.85546875" bestFit="1" customWidth="1"/>
    <col min="3605" max="3605" width="18.28515625" customWidth="1"/>
    <col min="3606" max="3606" width="13.7109375" customWidth="1"/>
    <col min="3607" max="3607" width="47" bestFit="1" customWidth="1"/>
    <col min="3608" max="3608" width="17.5703125" customWidth="1"/>
    <col min="3609" max="3612" width="21" bestFit="1" customWidth="1"/>
    <col min="3613" max="3613" width="21.5703125" bestFit="1" customWidth="1"/>
    <col min="3614" max="3614" width="22.140625" bestFit="1" customWidth="1"/>
    <col min="3615" max="3615" width="13.85546875" customWidth="1"/>
    <col min="3617" max="3617" width="12.7109375" bestFit="1" customWidth="1"/>
    <col min="3627" max="3658" width="16.42578125" customWidth="1"/>
    <col min="3841" max="3841" width="29.7109375" customWidth="1"/>
    <col min="3842" max="3842" width="23" customWidth="1"/>
    <col min="3843" max="3843" width="42.7109375" bestFit="1" customWidth="1"/>
    <col min="3844" max="3844" width="12.140625" customWidth="1"/>
    <col min="3845" max="3847" width="3.5703125" customWidth="1"/>
    <col min="3848" max="3860" width="19.85546875" bestFit="1" customWidth="1"/>
    <col min="3861" max="3861" width="18.28515625" customWidth="1"/>
    <col min="3862" max="3862" width="13.7109375" customWidth="1"/>
    <col min="3863" max="3863" width="47" bestFit="1" customWidth="1"/>
    <col min="3864" max="3864" width="17.5703125" customWidth="1"/>
    <col min="3865" max="3868" width="21" bestFit="1" customWidth="1"/>
    <col min="3869" max="3869" width="21.5703125" bestFit="1" customWidth="1"/>
    <col min="3870" max="3870" width="22.140625" bestFit="1" customWidth="1"/>
    <col min="3871" max="3871" width="13.85546875" customWidth="1"/>
    <col min="3873" max="3873" width="12.7109375" bestFit="1" customWidth="1"/>
    <col min="3883" max="3914" width="16.42578125" customWidth="1"/>
    <col min="4097" max="4097" width="29.7109375" customWidth="1"/>
    <col min="4098" max="4098" width="23" customWidth="1"/>
    <col min="4099" max="4099" width="42.7109375" bestFit="1" customWidth="1"/>
    <col min="4100" max="4100" width="12.140625" customWidth="1"/>
    <col min="4101" max="4103" width="3.5703125" customWidth="1"/>
    <col min="4104" max="4116" width="19.85546875" bestFit="1" customWidth="1"/>
    <col min="4117" max="4117" width="18.28515625" customWidth="1"/>
    <col min="4118" max="4118" width="13.7109375" customWidth="1"/>
    <col min="4119" max="4119" width="47" bestFit="1" customWidth="1"/>
    <col min="4120" max="4120" width="17.5703125" customWidth="1"/>
    <col min="4121" max="4124" width="21" bestFit="1" customWidth="1"/>
    <col min="4125" max="4125" width="21.5703125" bestFit="1" customWidth="1"/>
    <col min="4126" max="4126" width="22.140625" bestFit="1" customWidth="1"/>
    <col min="4127" max="4127" width="13.85546875" customWidth="1"/>
    <col min="4129" max="4129" width="12.7109375" bestFit="1" customWidth="1"/>
    <col min="4139" max="4170" width="16.42578125" customWidth="1"/>
    <col min="4353" max="4353" width="29.7109375" customWidth="1"/>
    <col min="4354" max="4354" width="23" customWidth="1"/>
    <col min="4355" max="4355" width="42.7109375" bestFit="1" customWidth="1"/>
    <col min="4356" max="4356" width="12.140625" customWidth="1"/>
    <col min="4357" max="4359" width="3.5703125" customWidth="1"/>
    <col min="4360" max="4372" width="19.85546875" bestFit="1" customWidth="1"/>
    <col min="4373" max="4373" width="18.28515625" customWidth="1"/>
    <col min="4374" max="4374" width="13.7109375" customWidth="1"/>
    <col min="4375" max="4375" width="47" bestFit="1" customWidth="1"/>
    <col min="4376" max="4376" width="17.5703125" customWidth="1"/>
    <col min="4377" max="4380" width="21" bestFit="1" customWidth="1"/>
    <col min="4381" max="4381" width="21.5703125" bestFit="1" customWidth="1"/>
    <col min="4382" max="4382" width="22.140625" bestFit="1" customWidth="1"/>
    <col min="4383" max="4383" width="13.85546875" customWidth="1"/>
    <col min="4385" max="4385" width="12.7109375" bestFit="1" customWidth="1"/>
    <col min="4395" max="4426" width="16.42578125" customWidth="1"/>
    <col min="4609" max="4609" width="29.7109375" customWidth="1"/>
    <col min="4610" max="4610" width="23" customWidth="1"/>
    <col min="4611" max="4611" width="42.7109375" bestFit="1" customWidth="1"/>
    <col min="4612" max="4612" width="12.140625" customWidth="1"/>
    <col min="4613" max="4615" width="3.5703125" customWidth="1"/>
    <col min="4616" max="4628" width="19.85546875" bestFit="1" customWidth="1"/>
    <col min="4629" max="4629" width="18.28515625" customWidth="1"/>
    <col min="4630" max="4630" width="13.7109375" customWidth="1"/>
    <col min="4631" max="4631" width="47" bestFit="1" customWidth="1"/>
    <col min="4632" max="4632" width="17.5703125" customWidth="1"/>
    <col min="4633" max="4636" width="21" bestFit="1" customWidth="1"/>
    <col min="4637" max="4637" width="21.5703125" bestFit="1" customWidth="1"/>
    <col min="4638" max="4638" width="22.140625" bestFit="1" customWidth="1"/>
    <col min="4639" max="4639" width="13.85546875" customWidth="1"/>
    <col min="4641" max="4641" width="12.7109375" bestFit="1" customWidth="1"/>
    <col min="4651" max="4682" width="16.42578125" customWidth="1"/>
    <col min="4865" max="4865" width="29.7109375" customWidth="1"/>
    <col min="4866" max="4866" width="23" customWidth="1"/>
    <col min="4867" max="4867" width="42.7109375" bestFit="1" customWidth="1"/>
    <col min="4868" max="4868" width="12.140625" customWidth="1"/>
    <col min="4869" max="4871" width="3.5703125" customWidth="1"/>
    <col min="4872" max="4884" width="19.85546875" bestFit="1" customWidth="1"/>
    <col min="4885" max="4885" width="18.28515625" customWidth="1"/>
    <col min="4886" max="4886" width="13.7109375" customWidth="1"/>
    <col min="4887" max="4887" width="47" bestFit="1" customWidth="1"/>
    <col min="4888" max="4888" width="17.5703125" customWidth="1"/>
    <col min="4889" max="4892" width="21" bestFit="1" customWidth="1"/>
    <col min="4893" max="4893" width="21.5703125" bestFit="1" customWidth="1"/>
    <col min="4894" max="4894" width="22.140625" bestFit="1" customWidth="1"/>
    <col min="4895" max="4895" width="13.85546875" customWidth="1"/>
    <col min="4897" max="4897" width="12.7109375" bestFit="1" customWidth="1"/>
    <col min="4907" max="4938" width="16.42578125" customWidth="1"/>
    <col min="5121" max="5121" width="29.7109375" customWidth="1"/>
    <col min="5122" max="5122" width="23" customWidth="1"/>
    <col min="5123" max="5123" width="42.7109375" bestFit="1" customWidth="1"/>
    <col min="5124" max="5124" width="12.140625" customWidth="1"/>
    <col min="5125" max="5127" width="3.5703125" customWidth="1"/>
    <col min="5128" max="5140" width="19.85546875" bestFit="1" customWidth="1"/>
    <col min="5141" max="5141" width="18.28515625" customWidth="1"/>
    <col min="5142" max="5142" width="13.7109375" customWidth="1"/>
    <col min="5143" max="5143" width="47" bestFit="1" customWidth="1"/>
    <col min="5144" max="5144" width="17.5703125" customWidth="1"/>
    <col min="5145" max="5148" width="21" bestFit="1" customWidth="1"/>
    <col min="5149" max="5149" width="21.5703125" bestFit="1" customWidth="1"/>
    <col min="5150" max="5150" width="22.140625" bestFit="1" customWidth="1"/>
    <col min="5151" max="5151" width="13.85546875" customWidth="1"/>
    <col min="5153" max="5153" width="12.7109375" bestFit="1" customWidth="1"/>
    <col min="5163" max="5194" width="16.42578125" customWidth="1"/>
    <col min="5377" max="5377" width="29.7109375" customWidth="1"/>
    <col min="5378" max="5378" width="23" customWidth="1"/>
    <col min="5379" max="5379" width="42.7109375" bestFit="1" customWidth="1"/>
    <col min="5380" max="5380" width="12.140625" customWidth="1"/>
    <col min="5381" max="5383" width="3.5703125" customWidth="1"/>
    <col min="5384" max="5396" width="19.85546875" bestFit="1" customWidth="1"/>
    <col min="5397" max="5397" width="18.28515625" customWidth="1"/>
    <col min="5398" max="5398" width="13.7109375" customWidth="1"/>
    <col min="5399" max="5399" width="47" bestFit="1" customWidth="1"/>
    <col min="5400" max="5400" width="17.5703125" customWidth="1"/>
    <col min="5401" max="5404" width="21" bestFit="1" customWidth="1"/>
    <col min="5405" max="5405" width="21.5703125" bestFit="1" customWidth="1"/>
    <col min="5406" max="5406" width="22.140625" bestFit="1" customWidth="1"/>
    <col min="5407" max="5407" width="13.85546875" customWidth="1"/>
    <col min="5409" max="5409" width="12.7109375" bestFit="1" customWidth="1"/>
    <col min="5419" max="5450" width="16.42578125" customWidth="1"/>
    <col min="5633" max="5633" width="29.7109375" customWidth="1"/>
    <col min="5634" max="5634" width="23" customWidth="1"/>
    <col min="5635" max="5635" width="42.7109375" bestFit="1" customWidth="1"/>
    <col min="5636" max="5636" width="12.140625" customWidth="1"/>
    <col min="5637" max="5639" width="3.5703125" customWidth="1"/>
    <col min="5640" max="5652" width="19.85546875" bestFit="1" customWidth="1"/>
    <col min="5653" max="5653" width="18.28515625" customWidth="1"/>
    <col min="5654" max="5654" width="13.7109375" customWidth="1"/>
    <col min="5655" max="5655" width="47" bestFit="1" customWidth="1"/>
    <col min="5656" max="5656" width="17.5703125" customWidth="1"/>
    <col min="5657" max="5660" width="21" bestFit="1" customWidth="1"/>
    <col min="5661" max="5661" width="21.5703125" bestFit="1" customWidth="1"/>
    <col min="5662" max="5662" width="22.140625" bestFit="1" customWidth="1"/>
    <col min="5663" max="5663" width="13.85546875" customWidth="1"/>
    <col min="5665" max="5665" width="12.7109375" bestFit="1" customWidth="1"/>
    <col min="5675" max="5706" width="16.42578125" customWidth="1"/>
    <col min="5889" max="5889" width="29.7109375" customWidth="1"/>
    <col min="5890" max="5890" width="23" customWidth="1"/>
    <col min="5891" max="5891" width="42.7109375" bestFit="1" customWidth="1"/>
    <col min="5892" max="5892" width="12.140625" customWidth="1"/>
    <col min="5893" max="5895" width="3.5703125" customWidth="1"/>
    <col min="5896" max="5908" width="19.85546875" bestFit="1" customWidth="1"/>
    <col min="5909" max="5909" width="18.28515625" customWidth="1"/>
    <col min="5910" max="5910" width="13.7109375" customWidth="1"/>
    <col min="5911" max="5911" width="47" bestFit="1" customWidth="1"/>
    <col min="5912" max="5912" width="17.5703125" customWidth="1"/>
    <col min="5913" max="5916" width="21" bestFit="1" customWidth="1"/>
    <col min="5917" max="5917" width="21.5703125" bestFit="1" customWidth="1"/>
    <col min="5918" max="5918" width="22.140625" bestFit="1" customWidth="1"/>
    <col min="5919" max="5919" width="13.85546875" customWidth="1"/>
    <col min="5921" max="5921" width="12.7109375" bestFit="1" customWidth="1"/>
    <col min="5931" max="5962" width="16.42578125" customWidth="1"/>
    <col min="6145" max="6145" width="29.7109375" customWidth="1"/>
    <col min="6146" max="6146" width="23" customWidth="1"/>
    <col min="6147" max="6147" width="42.7109375" bestFit="1" customWidth="1"/>
    <col min="6148" max="6148" width="12.140625" customWidth="1"/>
    <col min="6149" max="6151" width="3.5703125" customWidth="1"/>
    <col min="6152" max="6164" width="19.85546875" bestFit="1" customWidth="1"/>
    <col min="6165" max="6165" width="18.28515625" customWidth="1"/>
    <col min="6166" max="6166" width="13.7109375" customWidth="1"/>
    <col min="6167" max="6167" width="47" bestFit="1" customWidth="1"/>
    <col min="6168" max="6168" width="17.5703125" customWidth="1"/>
    <col min="6169" max="6172" width="21" bestFit="1" customWidth="1"/>
    <col min="6173" max="6173" width="21.5703125" bestFit="1" customWidth="1"/>
    <col min="6174" max="6174" width="22.140625" bestFit="1" customWidth="1"/>
    <col min="6175" max="6175" width="13.85546875" customWidth="1"/>
    <col min="6177" max="6177" width="12.7109375" bestFit="1" customWidth="1"/>
    <col min="6187" max="6218" width="16.42578125" customWidth="1"/>
    <col min="6401" max="6401" width="29.7109375" customWidth="1"/>
    <col min="6402" max="6402" width="23" customWidth="1"/>
    <col min="6403" max="6403" width="42.7109375" bestFit="1" customWidth="1"/>
    <col min="6404" max="6404" width="12.140625" customWidth="1"/>
    <col min="6405" max="6407" width="3.5703125" customWidth="1"/>
    <col min="6408" max="6420" width="19.85546875" bestFit="1" customWidth="1"/>
    <col min="6421" max="6421" width="18.28515625" customWidth="1"/>
    <col min="6422" max="6422" width="13.7109375" customWidth="1"/>
    <col min="6423" max="6423" width="47" bestFit="1" customWidth="1"/>
    <col min="6424" max="6424" width="17.5703125" customWidth="1"/>
    <col min="6425" max="6428" width="21" bestFit="1" customWidth="1"/>
    <col min="6429" max="6429" width="21.5703125" bestFit="1" customWidth="1"/>
    <col min="6430" max="6430" width="22.140625" bestFit="1" customWidth="1"/>
    <col min="6431" max="6431" width="13.85546875" customWidth="1"/>
    <col min="6433" max="6433" width="12.7109375" bestFit="1" customWidth="1"/>
    <col min="6443" max="6474" width="16.42578125" customWidth="1"/>
    <col min="6657" max="6657" width="29.7109375" customWidth="1"/>
    <col min="6658" max="6658" width="23" customWidth="1"/>
    <col min="6659" max="6659" width="42.7109375" bestFit="1" customWidth="1"/>
    <col min="6660" max="6660" width="12.140625" customWidth="1"/>
    <col min="6661" max="6663" width="3.5703125" customWidth="1"/>
    <col min="6664" max="6676" width="19.85546875" bestFit="1" customWidth="1"/>
    <col min="6677" max="6677" width="18.28515625" customWidth="1"/>
    <col min="6678" max="6678" width="13.7109375" customWidth="1"/>
    <col min="6679" max="6679" width="47" bestFit="1" customWidth="1"/>
    <col min="6680" max="6680" width="17.5703125" customWidth="1"/>
    <col min="6681" max="6684" width="21" bestFit="1" customWidth="1"/>
    <col min="6685" max="6685" width="21.5703125" bestFit="1" customWidth="1"/>
    <col min="6686" max="6686" width="22.140625" bestFit="1" customWidth="1"/>
    <col min="6687" max="6687" width="13.85546875" customWidth="1"/>
    <col min="6689" max="6689" width="12.7109375" bestFit="1" customWidth="1"/>
    <col min="6699" max="6730" width="16.42578125" customWidth="1"/>
    <col min="6913" max="6913" width="29.7109375" customWidth="1"/>
    <col min="6914" max="6914" width="23" customWidth="1"/>
    <col min="6915" max="6915" width="42.7109375" bestFit="1" customWidth="1"/>
    <col min="6916" max="6916" width="12.140625" customWidth="1"/>
    <col min="6917" max="6919" width="3.5703125" customWidth="1"/>
    <col min="6920" max="6932" width="19.85546875" bestFit="1" customWidth="1"/>
    <col min="6933" max="6933" width="18.28515625" customWidth="1"/>
    <col min="6934" max="6934" width="13.7109375" customWidth="1"/>
    <col min="6935" max="6935" width="47" bestFit="1" customWidth="1"/>
    <col min="6936" max="6936" width="17.5703125" customWidth="1"/>
    <col min="6937" max="6940" width="21" bestFit="1" customWidth="1"/>
    <col min="6941" max="6941" width="21.5703125" bestFit="1" customWidth="1"/>
    <col min="6942" max="6942" width="22.140625" bestFit="1" customWidth="1"/>
    <col min="6943" max="6943" width="13.85546875" customWidth="1"/>
    <col min="6945" max="6945" width="12.7109375" bestFit="1" customWidth="1"/>
    <col min="6955" max="6986" width="16.42578125" customWidth="1"/>
    <col min="7169" max="7169" width="29.7109375" customWidth="1"/>
    <col min="7170" max="7170" width="23" customWidth="1"/>
    <col min="7171" max="7171" width="42.7109375" bestFit="1" customWidth="1"/>
    <col min="7172" max="7172" width="12.140625" customWidth="1"/>
    <col min="7173" max="7175" width="3.5703125" customWidth="1"/>
    <col min="7176" max="7188" width="19.85546875" bestFit="1" customWidth="1"/>
    <col min="7189" max="7189" width="18.28515625" customWidth="1"/>
    <col min="7190" max="7190" width="13.7109375" customWidth="1"/>
    <col min="7191" max="7191" width="47" bestFit="1" customWidth="1"/>
    <col min="7192" max="7192" width="17.5703125" customWidth="1"/>
    <col min="7193" max="7196" width="21" bestFit="1" customWidth="1"/>
    <col min="7197" max="7197" width="21.5703125" bestFit="1" customWidth="1"/>
    <col min="7198" max="7198" width="22.140625" bestFit="1" customWidth="1"/>
    <col min="7199" max="7199" width="13.85546875" customWidth="1"/>
    <col min="7201" max="7201" width="12.7109375" bestFit="1" customWidth="1"/>
    <col min="7211" max="7242" width="16.42578125" customWidth="1"/>
    <col min="7425" max="7425" width="29.7109375" customWidth="1"/>
    <col min="7426" max="7426" width="23" customWidth="1"/>
    <col min="7427" max="7427" width="42.7109375" bestFit="1" customWidth="1"/>
    <col min="7428" max="7428" width="12.140625" customWidth="1"/>
    <col min="7429" max="7431" width="3.5703125" customWidth="1"/>
    <col min="7432" max="7444" width="19.85546875" bestFit="1" customWidth="1"/>
    <col min="7445" max="7445" width="18.28515625" customWidth="1"/>
    <col min="7446" max="7446" width="13.7109375" customWidth="1"/>
    <col min="7447" max="7447" width="47" bestFit="1" customWidth="1"/>
    <col min="7448" max="7448" width="17.5703125" customWidth="1"/>
    <col min="7449" max="7452" width="21" bestFit="1" customWidth="1"/>
    <col min="7453" max="7453" width="21.5703125" bestFit="1" customWidth="1"/>
    <col min="7454" max="7454" width="22.140625" bestFit="1" customWidth="1"/>
    <col min="7455" max="7455" width="13.85546875" customWidth="1"/>
    <col min="7457" max="7457" width="12.7109375" bestFit="1" customWidth="1"/>
    <col min="7467" max="7498" width="16.42578125" customWidth="1"/>
    <col min="7681" max="7681" width="29.7109375" customWidth="1"/>
    <col min="7682" max="7682" width="23" customWidth="1"/>
    <col min="7683" max="7683" width="42.7109375" bestFit="1" customWidth="1"/>
    <col min="7684" max="7684" width="12.140625" customWidth="1"/>
    <col min="7685" max="7687" width="3.5703125" customWidth="1"/>
    <col min="7688" max="7700" width="19.85546875" bestFit="1" customWidth="1"/>
    <col min="7701" max="7701" width="18.28515625" customWidth="1"/>
    <col min="7702" max="7702" width="13.7109375" customWidth="1"/>
    <col min="7703" max="7703" width="47" bestFit="1" customWidth="1"/>
    <col min="7704" max="7704" width="17.5703125" customWidth="1"/>
    <col min="7705" max="7708" width="21" bestFit="1" customWidth="1"/>
    <col min="7709" max="7709" width="21.5703125" bestFit="1" customWidth="1"/>
    <col min="7710" max="7710" width="22.140625" bestFit="1" customWidth="1"/>
    <col min="7711" max="7711" width="13.85546875" customWidth="1"/>
    <col min="7713" max="7713" width="12.7109375" bestFit="1" customWidth="1"/>
    <col min="7723" max="7754" width="16.42578125" customWidth="1"/>
    <col min="7937" max="7937" width="29.7109375" customWidth="1"/>
    <col min="7938" max="7938" width="23" customWidth="1"/>
    <col min="7939" max="7939" width="42.7109375" bestFit="1" customWidth="1"/>
    <col min="7940" max="7940" width="12.140625" customWidth="1"/>
    <col min="7941" max="7943" width="3.5703125" customWidth="1"/>
    <col min="7944" max="7956" width="19.85546875" bestFit="1" customWidth="1"/>
    <col min="7957" max="7957" width="18.28515625" customWidth="1"/>
    <col min="7958" max="7958" width="13.7109375" customWidth="1"/>
    <col min="7959" max="7959" width="47" bestFit="1" customWidth="1"/>
    <col min="7960" max="7960" width="17.5703125" customWidth="1"/>
    <col min="7961" max="7964" width="21" bestFit="1" customWidth="1"/>
    <col min="7965" max="7965" width="21.5703125" bestFit="1" customWidth="1"/>
    <col min="7966" max="7966" width="22.140625" bestFit="1" customWidth="1"/>
    <col min="7967" max="7967" width="13.85546875" customWidth="1"/>
    <col min="7969" max="7969" width="12.7109375" bestFit="1" customWidth="1"/>
    <col min="7979" max="8010" width="16.42578125" customWidth="1"/>
    <col min="8193" max="8193" width="29.7109375" customWidth="1"/>
    <col min="8194" max="8194" width="23" customWidth="1"/>
    <col min="8195" max="8195" width="42.7109375" bestFit="1" customWidth="1"/>
    <col min="8196" max="8196" width="12.140625" customWidth="1"/>
    <col min="8197" max="8199" width="3.5703125" customWidth="1"/>
    <col min="8200" max="8212" width="19.85546875" bestFit="1" customWidth="1"/>
    <col min="8213" max="8213" width="18.28515625" customWidth="1"/>
    <col min="8214" max="8214" width="13.7109375" customWidth="1"/>
    <col min="8215" max="8215" width="47" bestFit="1" customWidth="1"/>
    <col min="8216" max="8216" width="17.5703125" customWidth="1"/>
    <col min="8217" max="8220" width="21" bestFit="1" customWidth="1"/>
    <col min="8221" max="8221" width="21.5703125" bestFit="1" customWidth="1"/>
    <col min="8222" max="8222" width="22.140625" bestFit="1" customWidth="1"/>
    <col min="8223" max="8223" width="13.85546875" customWidth="1"/>
    <col min="8225" max="8225" width="12.7109375" bestFit="1" customWidth="1"/>
    <col min="8235" max="8266" width="16.42578125" customWidth="1"/>
    <col min="8449" max="8449" width="29.7109375" customWidth="1"/>
    <col min="8450" max="8450" width="23" customWidth="1"/>
    <col min="8451" max="8451" width="42.7109375" bestFit="1" customWidth="1"/>
    <col min="8452" max="8452" width="12.140625" customWidth="1"/>
    <col min="8453" max="8455" width="3.5703125" customWidth="1"/>
    <col min="8456" max="8468" width="19.85546875" bestFit="1" customWidth="1"/>
    <col min="8469" max="8469" width="18.28515625" customWidth="1"/>
    <col min="8470" max="8470" width="13.7109375" customWidth="1"/>
    <col min="8471" max="8471" width="47" bestFit="1" customWidth="1"/>
    <col min="8472" max="8472" width="17.5703125" customWidth="1"/>
    <col min="8473" max="8476" width="21" bestFit="1" customWidth="1"/>
    <col min="8477" max="8477" width="21.5703125" bestFit="1" customWidth="1"/>
    <col min="8478" max="8478" width="22.140625" bestFit="1" customWidth="1"/>
    <col min="8479" max="8479" width="13.85546875" customWidth="1"/>
    <col min="8481" max="8481" width="12.7109375" bestFit="1" customWidth="1"/>
    <col min="8491" max="8522" width="16.42578125" customWidth="1"/>
    <col min="8705" max="8705" width="29.7109375" customWidth="1"/>
    <col min="8706" max="8706" width="23" customWidth="1"/>
    <col min="8707" max="8707" width="42.7109375" bestFit="1" customWidth="1"/>
    <col min="8708" max="8708" width="12.140625" customWidth="1"/>
    <col min="8709" max="8711" width="3.5703125" customWidth="1"/>
    <col min="8712" max="8724" width="19.85546875" bestFit="1" customWidth="1"/>
    <col min="8725" max="8725" width="18.28515625" customWidth="1"/>
    <col min="8726" max="8726" width="13.7109375" customWidth="1"/>
    <col min="8727" max="8727" width="47" bestFit="1" customWidth="1"/>
    <col min="8728" max="8728" width="17.5703125" customWidth="1"/>
    <col min="8729" max="8732" width="21" bestFit="1" customWidth="1"/>
    <col min="8733" max="8733" width="21.5703125" bestFit="1" customWidth="1"/>
    <col min="8734" max="8734" width="22.140625" bestFit="1" customWidth="1"/>
    <col min="8735" max="8735" width="13.85546875" customWidth="1"/>
    <col min="8737" max="8737" width="12.7109375" bestFit="1" customWidth="1"/>
    <col min="8747" max="8778" width="16.42578125" customWidth="1"/>
    <col min="8961" max="8961" width="29.7109375" customWidth="1"/>
    <col min="8962" max="8962" width="23" customWidth="1"/>
    <col min="8963" max="8963" width="42.7109375" bestFit="1" customWidth="1"/>
    <col min="8964" max="8964" width="12.140625" customWidth="1"/>
    <col min="8965" max="8967" width="3.5703125" customWidth="1"/>
    <col min="8968" max="8980" width="19.85546875" bestFit="1" customWidth="1"/>
    <col min="8981" max="8981" width="18.28515625" customWidth="1"/>
    <col min="8982" max="8982" width="13.7109375" customWidth="1"/>
    <col min="8983" max="8983" width="47" bestFit="1" customWidth="1"/>
    <col min="8984" max="8984" width="17.5703125" customWidth="1"/>
    <col min="8985" max="8988" width="21" bestFit="1" customWidth="1"/>
    <col min="8989" max="8989" width="21.5703125" bestFit="1" customWidth="1"/>
    <col min="8990" max="8990" width="22.140625" bestFit="1" customWidth="1"/>
    <col min="8991" max="8991" width="13.85546875" customWidth="1"/>
    <col min="8993" max="8993" width="12.7109375" bestFit="1" customWidth="1"/>
    <col min="9003" max="9034" width="16.42578125" customWidth="1"/>
    <col min="9217" max="9217" width="29.7109375" customWidth="1"/>
    <col min="9218" max="9218" width="23" customWidth="1"/>
    <col min="9219" max="9219" width="42.7109375" bestFit="1" customWidth="1"/>
    <col min="9220" max="9220" width="12.140625" customWidth="1"/>
    <col min="9221" max="9223" width="3.5703125" customWidth="1"/>
    <col min="9224" max="9236" width="19.85546875" bestFit="1" customWidth="1"/>
    <col min="9237" max="9237" width="18.28515625" customWidth="1"/>
    <col min="9238" max="9238" width="13.7109375" customWidth="1"/>
    <col min="9239" max="9239" width="47" bestFit="1" customWidth="1"/>
    <col min="9240" max="9240" width="17.5703125" customWidth="1"/>
    <col min="9241" max="9244" width="21" bestFit="1" customWidth="1"/>
    <col min="9245" max="9245" width="21.5703125" bestFit="1" customWidth="1"/>
    <col min="9246" max="9246" width="22.140625" bestFit="1" customWidth="1"/>
    <col min="9247" max="9247" width="13.85546875" customWidth="1"/>
    <col min="9249" max="9249" width="12.7109375" bestFit="1" customWidth="1"/>
    <col min="9259" max="9290" width="16.42578125" customWidth="1"/>
    <col min="9473" max="9473" width="29.7109375" customWidth="1"/>
    <col min="9474" max="9474" width="23" customWidth="1"/>
    <col min="9475" max="9475" width="42.7109375" bestFit="1" customWidth="1"/>
    <col min="9476" max="9476" width="12.140625" customWidth="1"/>
    <col min="9477" max="9479" width="3.5703125" customWidth="1"/>
    <col min="9480" max="9492" width="19.85546875" bestFit="1" customWidth="1"/>
    <col min="9493" max="9493" width="18.28515625" customWidth="1"/>
    <col min="9494" max="9494" width="13.7109375" customWidth="1"/>
    <col min="9495" max="9495" width="47" bestFit="1" customWidth="1"/>
    <col min="9496" max="9496" width="17.5703125" customWidth="1"/>
    <col min="9497" max="9500" width="21" bestFit="1" customWidth="1"/>
    <col min="9501" max="9501" width="21.5703125" bestFit="1" customWidth="1"/>
    <col min="9502" max="9502" width="22.140625" bestFit="1" customWidth="1"/>
    <col min="9503" max="9503" width="13.85546875" customWidth="1"/>
    <col min="9505" max="9505" width="12.7109375" bestFit="1" customWidth="1"/>
    <col min="9515" max="9546" width="16.42578125" customWidth="1"/>
    <col min="9729" max="9729" width="29.7109375" customWidth="1"/>
    <col min="9730" max="9730" width="23" customWidth="1"/>
    <col min="9731" max="9731" width="42.7109375" bestFit="1" customWidth="1"/>
    <col min="9732" max="9732" width="12.140625" customWidth="1"/>
    <col min="9733" max="9735" width="3.5703125" customWidth="1"/>
    <col min="9736" max="9748" width="19.85546875" bestFit="1" customWidth="1"/>
    <col min="9749" max="9749" width="18.28515625" customWidth="1"/>
    <col min="9750" max="9750" width="13.7109375" customWidth="1"/>
    <col min="9751" max="9751" width="47" bestFit="1" customWidth="1"/>
    <col min="9752" max="9752" width="17.5703125" customWidth="1"/>
    <col min="9753" max="9756" width="21" bestFit="1" customWidth="1"/>
    <col min="9757" max="9757" width="21.5703125" bestFit="1" customWidth="1"/>
    <col min="9758" max="9758" width="22.140625" bestFit="1" customWidth="1"/>
    <col min="9759" max="9759" width="13.85546875" customWidth="1"/>
    <col min="9761" max="9761" width="12.7109375" bestFit="1" customWidth="1"/>
    <col min="9771" max="9802" width="16.42578125" customWidth="1"/>
    <col min="9985" max="9985" width="29.7109375" customWidth="1"/>
    <col min="9986" max="9986" width="23" customWidth="1"/>
    <col min="9987" max="9987" width="42.7109375" bestFit="1" customWidth="1"/>
    <col min="9988" max="9988" width="12.140625" customWidth="1"/>
    <col min="9989" max="9991" width="3.5703125" customWidth="1"/>
    <col min="9992" max="10004" width="19.85546875" bestFit="1" customWidth="1"/>
    <col min="10005" max="10005" width="18.28515625" customWidth="1"/>
    <col min="10006" max="10006" width="13.7109375" customWidth="1"/>
    <col min="10007" max="10007" width="47" bestFit="1" customWidth="1"/>
    <col min="10008" max="10008" width="17.5703125" customWidth="1"/>
    <col min="10009" max="10012" width="21" bestFit="1" customWidth="1"/>
    <col min="10013" max="10013" width="21.5703125" bestFit="1" customWidth="1"/>
    <col min="10014" max="10014" width="22.140625" bestFit="1" customWidth="1"/>
    <col min="10015" max="10015" width="13.85546875" customWidth="1"/>
    <col min="10017" max="10017" width="12.7109375" bestFit="1" customWidth="1"/>
    <col min="10027" max="10058" width="16.42578125" customWidth="1"/>
    <col min="10241" max="10241" width="29.7109375" customWidth="1"/>
    <col min="10242" max="10242" width="23" customWidth="1"/>
    <col min="10243" max="10243" width="42.7109375" bestFit="1" customWidth="1"/>
    <col min="10244" max="10244" width="12.140625" customWidth="1"/>
    <col min="10245" max="10247" width="3.5703125" customWidth="1"/>
    <col min="10248" max="10260" width="19.85546875" bestFit="1" customWidth="1"/>
    <col min="10261" max="10261" width="18.28515625" customWidth="1"/>
    <col min="10262" max="10262" width="13.7109375" customWidth="1"/>
    <col min="10263" max="10263" width="47" bestFit="1" customWidth="1"/>
    <col min="10264" max="10264" width="17.5703125" customWidth="1"/>
    <col min="10265" max="10268" width="21" bestFit="1" customWidth="1"/>
    <col min="10269" max="10269" width="21.5703125" bestFit="1" customWidth="1"/>
    <col min="10270" max="10270" width="22.140625" bestFit="1" customWidth="1"/>
    <col min="10271" max="10271" width="13.85546875" customWidth="1"/>
    <col min="10273" max="10273" width="12.7109375" bestFit="1" customWidth="1"/>
    <col min="10283" max="10314" width="16.42578125" customWidth="1"/>
    <col min="10497" max="10497" width="29.7109375" customWidth="1"/>
    <col min="10498" max="10498" width="23" customWidth="1"/>
    <col min="10499" max="10499" width="42.7109375" bestFit="1" customWidth="1"/>
    <col min="10500" max="10500" width="12.140625" customWidth="1"/>
    <col min="10501" max="10503" width="3.5703125" customWidth="1"/>
    <col min="10504" max="10516" width="19.85546875" bestFit="1" customWidth="1"/>
    <col min="10517" max="10517" width="18.28515625" customWidth="1"/>
    <col min="10518" max="10518" width="13.7109375" customWidth="1"/>
    <col min="10519" max="10519" width="47" bestFit="1" customWidth="1"/>
    <col min="10520" max="10520" width="17.5703125" customWidth="1"/>
    <col min="10521" max="10524" width="21" bestFit="1" customWidth="1"/>
    <col min="10525" max="10525" width="21.5703125" bestFit="1" customWidth="1"/>
    <col min="10526" max="10526" width="22.140625" bestFit="1" customWidth="1"/>
    <col min="10527" max="10527" width="13.85546875" customWidth="1"/>
    <col min="10529" max="10529" width="12.7109375" bestFit="1" customWidth="1"/>
    <col min="10539" max="10570" width="16.42578125" customWidth="1"/>
    <col min="10753" max="10753" width="29.7109375" customWidth="1"/>
    <col min="10754" max="10754" width="23" customWidth="1"/>
    <col min="10755" max="10755" width="42.7109375" bestFit="1" customWidth="1"/>
    <col min="10756" max="10756" width="12.140625" customWidth="1"/>
    <col min="10757" max="10759" width="3.5703125" customWidth="1"/>
    <col min="10760" max="10772" width="19.85546875" bestFit="1" customWidth="1"/>
    <col min="10773" max="10773" width="18.28515625" customWidth="1"/>
    <col min="10774" max="10774" width="13.7109375" customWidth="1"/>
    <col min="10775" max="10775" width="47" bestFit="1" customWidth="1"/>
    <col min="10776" max="10776" width="17.5703125" customWidth="1"/>
    <col min="10777" max="10780" width="21" bestFit="1" customWidth="1"/>
    <col min="10781" max="10781" width="21.5703125" bestFit="1" customWidth="1"/>
    <col min="10782" max="10782" width="22.140625" bestFit="1" customWidth="1"/>
    <col min="10783" max="10783" width="13.85546875" customWidth="1"/>
    <col min="10785" max="10785" width="12.7109375" bestFit="1" customWidth="1"/>
    <col min="10795" max="10826" width="16.42578125" customWidth="1"/>
    <col min="11009" max="11009" width="29.7109375" customWidth="1"/>
    <col min="11010" max="11010" width="23" customWidth="1"/>
    <col min="11011" max="11011" width="42.7109375" bestFit="1" customWidth="1"/>
    <col min="11012" max="11012" width="12.140625" customWidth="1"/>
    <col min="11013" max="11015" width="3.5703125" customWidth="1"/>
    <col min="11016" max="11028" width="19.85546875" bestFit="1" customWidth="1"/>
    <col min="11029" max="11029" width="18.28515625" customWidth="1"/>
    <col min="11030" max="11030" width="13.7109375" customWidth="1"/>
    <col min="11031" max="11031" width="47" bestFit="1" customWidth="1"/>
    <col min="11032" max="11032" width="17.5703125" customWidth="1"/>
    <col min="11033" max="11036" width="21" bestFit="1" customWidth="1"/>
    <col min="11037" max="11037" width="21.5703125" bestFit="1" customWidth="1"/>
    <col min="11038" max="11038" width="22.140625" bestFit="1" customWidth="1"/>
    <col min="11039" max="11039" width="13.85546875" customWidth="1"/>
    <col min="11041" max="11041" width="12.7109375" bestFit="1" customWidth="1"/>
    <col min="11051" max="11082" width="16.42578125" customWidth="1"/>
    <col min="11265" max="11265" width="29.7109375" customWidth="1"/>
    <col min="11266" max="11266" width="23" customWidth="1"/>
    <col min="11267" max="11267" width="42.7109375" bestFit="1" customWidth="1"/>
    <col min="11268" max="11268" width="12.140625" customWidth="1"/>
    <col min="11269" max="11271" width="3.5703125" customWidth="1"/>
    <col min="11272" max="11284" width="19.85546875" bestFit="1" customWidth="1"/>
    <col min="11285" max="11285" width="18.28515625" customWidth="1"/>
    <col min="11286" max="11286" width="13.7109375" customWidth="1"/>
    <col min="11287" max="11287" width="47" bestFit="1" customWidth="1"/>
    <col min="11288" max="11288" width="17.5703125" customWidth="1"/>
    <col min="11289" max="11292" width="21" bestFit="1" customWidth="1"/>
    <col min="11293" max="11293" width="21.5703125" bestFit="1" customWidth="1"/>
    <col min="11294" max="11294" width="22.140625" bestFit="1" customWidth="1"/>
    <col min="11295" max="11295" width="13.85546875" customWidth="1"/>
    <col min="11297" max="11297" width="12.7109375" bestFit="1" customWidth="1"/>
    <col min="11307" max="11338" width="16.42578125" customWidth="1"/>
    <col min="11521" max="11521" width="29.7109375" customWidth="1"/>
    <col min="11522" max="11522" width="23" customWidth="1"/>
    <col min="11523" max="11523" width="42.7109375" bestFit="1" customWidth="1"/>
    <col min="11524" max="11524" width="12.140625" customWidth="1"/>
    <col min="11525" max="11527" width="3.5703125" customWidth="1"/>
    <col min="11528" max="11540" width="19.85546875" bestFit="1" customWidth="1"/>
    <col min="11541" max="11541" width="18.28515625" customWidth="1"/>
    <col min="11542" max="11542" width="13.7109375" customWidth="1"/>
    <col min="11543" max="11543" width="47" bestFit="1" customWidth="1"/>
    <col min="11544" max="11544" width="17.5703125" customWidth="1"/>
    <col min="11545" max="11548" width="21" bestFit="1" customWidth="1"/>
    <col min="11549" max="11549" width="21.5703125" bestFit="1" customWidth="1"/>
    <col min="11550" max="11550" width="22.140625" bestFit="1" customWidth="1"/>
    <col min="11551" max="11551" width="13.85546875" customWidth="1"/>
    <col min="11553" max="11553" width="12.7109375" bestFit="1" customWidth="1"/>
    <col min="11563" max="11594" width="16.42578125" customWidth="1"/>
    <col min="11777" max="11777" width="29.7109375" customWidth="1"/>
    <col min="11778" max="11778" width="23" customWidth="1"/>
    <col min="11779" max="11779" width="42.7109375" bestFit="1" customWidth="1"/>
    <col min="11780" max="11780" width="12.140625" customWidth="1"/>
    <col min="11781" max="11783" width="3.5703125" customWidth="1"/>
    <col min="11784" max="11796" width="19.85546875" bestFit="1" customWidth="1"/>
    <col min="11797" max="11797" width="18.28515625" customWidth="1"/>
    <col min="11798" max="11798" width="13.7109375" customWidth="1"/>
    <col min="11799" max="11799" width="47" bestFit="1" customWidth="1"/>
    <col min="11800" max="11800" width="17.5703125" customWidth="1"/>
    <col min="11801" max="11804" width="21" bestFit="1" customWidth="1"/>
    <col min="11805" max="11805" width="21.5703125" bestFit="1" customWidth="1"/>
    <col min="11806" max="11806" width="22.140625" bestFit="1" customWidth="1"/>
    <col min="11807" max="11807" width="13.85546875" customWidth="1"/>
    <col min="11809" max="11809" width="12.7109375" bestFit="1" customWidth="1"/>
    <col min="11819" max="11850" width="16.42578125" customWidth="1"/>
    <col min="12033" max="12033" width="29.7109375" customWidth="1"/>
    <col min="12034" max="12034" width="23" customWidth="1"/>
    <col min="12035" max="12035" width="42.7109375" bestFit="1" customWidth="1"/>
    <col min="12036" max="12036" width="12.140625" customWidth="1"/>
    <col min="12037" max="12039" width="3.5703125" customWidth="1"/>
    <col min="12040" max="12052" width="19.85546875" bestFit="1" customWidth="1"/>
    <col min="12053" max="12053" width="18.28515625" customWidth="1"/>
    <col min="12054" max="12054" width="13.7109375" customWidth="1"/>
    <col min="12055" max="12055" width="47" bestFit="1" customWidth="1"/>
    <col min="12056" max="12056" width="17.5703125" customWidth="1"/>
    <col min="12057" max="12060" width="21" bestFit="1" customWidth="1"/>
    <col min="12061" max="12061" width="21.5703125" bestFit="1" customWidth="1"/>
    <col min="12062" max="12062" width="22.140625" bestFit="1" customWidth="1"/>
    <col min="12063" max="12063" width="13.85546875" customWidth="1"/>
    <col min="12065" max="12065" width="12.7109375" bestFit="1" customWidth="1"/>
    <col min="12075" max="12106" width="16.42578125" customWidth="1"/>
    <col min="12289" max="12289" width="29.7109375" customWidth="1"/>
    <col min="12290" max="12290" width="23" customWidth="1"/>
    <col min="12291" max="12291" width="42.7109375" bestFit="1" customWidth="1"/>
    <col min="12292" max="12292" width="12.140625" customWidth="1"/>
    <col min="12293" max="12295" width="3.5703125" customWidth="1"/>
    <col min="12296" max="12308" width="19.85546875" bestFit="1" customWidth="1"/>
    <col min="12309" max="12309" width="18.28515625" customWidth="1"/>
    <col min="12310" max="12310" width="13.7109375" customWidth="1"/>
    <col min="12311" max="12311" width="47" bestFit="1" customWidth="1"/>
    <col min="12312" max="12312" width="17.5703125" customWidth="1"/>
    <col min="12313" max="12316" width="21" bestFit="1" customWidth="1"/>
    <col min="12317" max="12317" width="21.5703125" bestFit="1" customWidth="1"/>
    <col min="12318" max="12318" width="22.140625" bestFit="1" customWidth="1"/>
    <col min="12319" max="12319" width="13.85546875" customWidth="1"/>
    <col min="12321" max="12321" width="12.7109375" bestFit="1" customWidth="1"/>
    <col min="12331" max="12362" width="16.42578125" customWidth="1"/>
    <col min="12545" max="12545" width="29.7109375" customWidth="1"/>
    <col min="12546" max="12546" width="23" customWidth="1"/>
    <col min="12547" max="12547" width="42.7109375" bestFit="1" customWidth="1"/>
    <col min="12548" max="12548" width="12.140625" customWidth="1"/>
    <col min="12549" max="12551" width="3.5703125" customWidth="1"/>
    <col min="12552" max="12564" width="19.85546875" bestFit="1" customWidth="1"/>
    <col min="12565" max="12565" width="18.28515625" customWidth="1"/>
    <col min="12566" max="12566" width="13.7109375" customWidth="1"/>
    <col min="12567" max="12567" width="47" bestFit="1" customWidth="1"/>
    <col min="12568" max="12568" width="17.5703125" customWidth="1"/>
    <col min="12569" max="12572" width="21" bestFit="1" customWidth="1"/>
    <col min="12573" max="12573" width="21.5703125" bestFit="1" customWidth="1"/>
    <col min="12574" max="12574" width="22.140625" bestFit="1" customWidth="1"/>
    <col min="12575" max="12575" width="13.85546875" customWidth="1"/>
    <col min="12577" max="12577" width="12.7109375" bestFit="1" customWidth="1"/>
    <col min="12587" max="12618" width="16.42578125" customWidth="1"/>
    <col min="12801" max="12801" width="29.7109375" customWidth="1"/>
    <col min="12802" max="12802" width="23" customWidth="1"/>
    <col min="12803" max="12803" width="42.7109375" bestFit="1" customWidth="1"/>
    <col min="12804" max="12804" width="12.140625" customWidth="1"/>
    <col min="12805" max="12807" width="3.5703125" customWidth="1"/>
    <col min="12808" max="12820" width="19.85546875" bestFit="1" customWidth="1"/>
    <col min="12821" max="12821" width="18.28515625" customWidth="1"/>
    <col min="12822" max="12822" width="13.7109375" customWidth="1"/>
    <col min="12823" max="12823" width="47" bestFit="1" customWidth="1"/>
    <col min="12824" max="12824" width="17.5703125" customWidth="1"/>
    <col min="12825" max="12828" width="21" bestFit="1" customWidth="1"/>
    <col min="12829" max="12829" width="21.5703125" bestFit="1" customWidth="1"/>
    <col min="12830" max="12830" width="22.140625" bestFit="1" customWidth="1"/>
    <col min="12831" max="12831" width="13.85546875" customWidth="1"/>
    <col min="12833" max="12833" width="12.7109375" bestFit="1" customWidth="1"/>
    <col min="12843" max="12874" width="16.42578125" customWidth="1"/>
    <col min="13057" max="13057" width="29.7109375" customWidth="1"/>
    <col min="13058" max="13058" width="23" customWidth="1"/>
    <col min="13059" max="13059" width="42.7109375" bestFit="1" customWidth="1"/>
    <col min="13060" max="13060" width="12.140625" customWidth="1"/>
    <col min="13061" max="13063" width="3.5703125" customWidth="1"/>
    <col min="13064" max="13076" width="19.85546875" bestFit="1" customWidth="1"/>
    <col min="13077" max="13077" width="18.28515625" customWidth="1"/>
    <col min="13078" max="13078" width="13.7109375" customWidth="1"/>
    <col min="13079" max="13079" width="47" bestFit="1" customWidth="1"/>
    <col min="13080" max="13080" width="17.5703125" customWidth="1"/>
    <col min="13081" max="13084" width="21" bestFit="1" customWidth="1"/>
    <col min="13085" max="13085" width="21.5703125" bestFit="1" customWidth="1"/>
    <col min="13086" max="13086" width="22.140625" bestFit="1" customWidth="1"/>
    <col min="13087" max="13087" width="13.85546875" customWidth="1"/>
    <col min="13089" max="13089" width="12.7109375" bestFit="1" customWidth="1"/>
    <col min="13099" max="13130" width="16.42578125" customWidth="1"/>
    <col min="13313" max="13313" width="29.7109375" customWidth="1"/>
    <col min="13314" max="13314" width="23" customWidth="1"/>
    <col min="13315" max="13315" width="42.7109375" bestFit="1" customWidth="1"/>
    <col min="13316" max="13316" width="12.140625" customWidth="1"/>
    <col min="13317" max="13319" width="3.5703125" customWidth="1"/>
    <col min="13320" max="13332" width="19.85546875" bestFit="1" customWidth="1"/>
    <col min="13333" max="13333" width="18.28515625" customWidth="1"/>
    <col min="13334" max="13334" width="13.7109375" customWidth="1"/>
    <col min="13335" max="13335" width="47" bestFit="1" customWidth="1"/>
    <col min="13336" max="13336" width="17.5703125" customWidth="1"/>
    <col min="13337" max="13340" width="21" bestFit="1" customWidth="1"/>
    <col min="13341" max="13341" width="21.5703125" bestFit="1" customWidth="1"/>
    <col min="13342" max="13342" width="22.140625" bestFit="1" customWidth="1"/>
    <col min="13343" max="13343" width="13.85546875" customWidth="1"/>
    <col min="13345" max="13345" width="12.7109375" bestFit="1" customWidth="1"/>
    <col min="13355" max="13386" width="16.42578125" customWidth="1"/>
    <col min="13569" max="13569" width="29.7109375" customWidth="1"/>
    <col min="13570" max="13570" width="23" customWidth="1"/>
    <col min="13571" max="13571" width="42.7109375" bestFit="1" customWidth="1"/>
    <col min="13572" max="13572" width="12.140625" customWidth="1"/>
    <col min="13573" max="13575" width="3.5703125" customWidth="1"/>
    <col min="13576" max="13588" width="19.85546875" bestFit="1" customWidth="1"/>
    <col min="13589" max="13589" width="18.28515625" customWidth="1"/>
    <col min="13590" max="13590" width="13.7109375" customWidth="1"/>
    <col min="13591" max="13591" width="47" bestFit="1" customWidth="1"/>
    <col min="13592" max="13592" width="17.5703125" customWidth="1"/>
    <col min="13593" max="13596" width="21" bestFit="1" customWidth="1"/>
    <col min="13597" max="13597" width="21.5703125" bestFit="1" customWidth="1"/>
    <col min="13598" max="13598" width="22.140625" bestFit="1" customWidth="1"/>
    <col min="13599" max="13599" width="13.85546875" customWidth="1"/>
    <col min="13601" max="13601" width="12.7109375" bestFit="1" customWidth="1"/>
    <col min="13611" max="13642" width="16.42578125" customWidth="1"/>
    <col min="13825" max="13825" width="29.7109375" customWidth="1"/>
    <col min="13826" max="13826" width="23" customWidth="1"/>
    <col min="13827" max="13827" width="42.7109375" bestFit="1" customWidth="1"/>
    <col min="13828" max="13828" width="12.140625" customWidth="1"/>
    <col min="13829" max="13831" width="3.5703125" customWidth="1"/>
    <col min="13832" max="13844" width="19.85546875" bestFit="1" customWidth="1"/>
    <col min="13845" max="13845" width="18.28515625" customWidth="1"/>
    <col min="13846" max="13846" width="13.7109375" customWidth="1"/>
    <col min="13847" max="13847" width="47" bestFit="1" customWidth="1"/>
    <col min="13848" max="13848" width="17.5703125" customWidth="1"/>
    <col min="13849" max="13852" width="21" bestFit="1" customWidth="1"/>
    <col min="13853" max="13853" width="21.5703125" bestFit="1" customWidth="1"/>
    <col min="13854" max="13854" width="22.140625" bestFit="1" customWidth="1"/>
    <col min="13855" max="13855" width="13.85546875" customWidth="1"/>
    <col min="13857" max="13857" width="12.7109375" bestFit="1" customWidth="1"/>
    <col min="13867" max="13898" width="16.42578125" customWidth="1"/>
    <col min="14081" max="14081" width="29.7109375" customWidth="1"/>
    <col min="14082" max="14082" width="23" customWidth="1"/>
    <col min="14083" max="14083" width="42.7109375" bestFit="1" customWidth="1"/>
    <col min="14084" max="14084" width="12.140625" customWidth="1"/>
    <col min="14085" max="14087" width="3.5703125" customWidth="1"/>
    <col min="14088" max="14100" width="19.85546875" bestFit="1" customWidth="1"/>
    <col min="14101" max="14101" width="18.28515625" customWidth="1"/>
    <col min="14102" max="14102" width="13.7109375" customWidth="1"/>
    <col min="14103" max="14103" width="47" bestFit="1" customWidth="1"/>
    <col min="14104" max="14104" width="17.5703125" customWidth="1"/>
    <col min="14105" max="14108" width="21" bestFit="1" customWidth="1"/>
    <col min="14109" max="14109" width="21.5703125" bestFit="1" customWidth="1"/>
    <col min="14110" max="14110" width="22.140625" bestFit="1" customWidth="1"/>
    <col min="14111" max="14111" width="13.85546875" customWidth="1"/>
    <col min="14113" max="14113" width="12.7109375" bestFit="1" customWidth="1"/>
    <col min="14123" max="14154" width="16.42578125" customWidth="1"/>
    <col min="14337" max="14337" width="29.7109375" customWidth="1"/>
    <col min="14338" max="14338" width="23" customWidth="1"/>
    <col min="14339" max="14339" width="42.7109375" bestFit="1" customWidth="1"/>
    <col min="14340" max="14340" width="12.140625" customWidth="1"/>
    <col min="14341" max="14343" width="3.5703125" customWidth="1"/>
    <col min="14344" max="14356" width="19.85546875" bestFit="1" customWidth="1"/>
    <col min="14357" max="14357" width="18.28515625" customWidth="1"/>
    <col min="14358" max="14358" width="13.7109375" customWidth="1"/>
    <col min="14359" max="14359" width="47" bestFit="1" customWidth="1"/>
    <col min="14360" max="14360" width="17.5703125" customWidth="1"/>
    <col min="14361" max="14364" width="21" bestFit="1" customWidth="1"/>
    <col min="14365" max="14365" width="21.5703125" bestFit="1" customWidth="1"/>
    <col min="14366" max="14366" width="22.140625" bestFit="1" customWidth="1"/>
    <col min="14367" max="14367" width="13.85546875" customWidth="1"/>
    <col min="14369" max="14369" width="12.7109375" bestFit="1" customWidth="1"/>
    <col min="14379" max="14410" width="16.42578125" customWidth="1"/>
    <col min="14593" max="14593" width="29.7109375" customWidth="1"/>
    <col min="14594" max="14594" width="23" customWidth="1"/>
    <col min="14595" max="14595" width="42.7109375" bestFit="1" customWidth="1"/>
    <col min="14596" max="14596" width="12.140625" customWidth="1"/>
    <col min="14597" max="14599" width="3.5703125" customWidth="1"/>
    <col min="14600" max="14612" width="19.85546875" bestFit="1" customWidth="1"/>
    <col min="14613" max="14613" width="18.28515625" customWidth="1"/>
    <col min="14614" max="14614" width="13.7109375" customWidth="1"/>
    <col min="14615" max="14615" width="47" bestFit="1" customWidth="1"/>
    <col min="14616" max="14616" width="17.5703125" customWidth="1"/>
    <col min="14617" max="14620" width="21" bestFit="1" customWidth="1"/>
    <col min="14621" max="14621" width="21.5703125" bestFit="1" customWidth="1"/>
    <col min="14622" max="14622" width="22.140625" bestFit="1" customWidth="1"/>
    <col min="14623" max="14623" width="13.85546875" customWidth="1"/>
    <col min="14625" max="14625" width="12.7109375" bestFit="1" customWidth="1"/>
    <col min="14635" max="14666" width="16.42578125" customWidth="1"/>
    <col min="14849" max="14849" width="29.7109375" customWidth="1"/>
    <col min="14850" max="14850" width="23" customWidth="1"/>
    <col min="14851" max="14851" width="42.7109375" bestFit="1" customWidth="1"/>
    <col min="14852" max="14852" width="12.140625" customWidth="1"/>
    <col min="14853" max="14855" width="3.5703125" customWidth="1"/>
    <col min="14856" max="14868" width="19.85546875" bestFit="1" customWidth="1"/>
    <col min="14869" max="14869" width="18.28515625" customWidth="1"/>
    <col min="14870" max="14870" width="13.7109375" customWidth="1"/>
    <col min="14871" max="14871" width="47" bestFit="1" customWidth="1"/>
    <col min="14872" max="14872" width="17.5703125" customWidth="1"/>
    <col min="14873" max="14876" width="21" bestFit="1" customWidth="1"/>
    <col min="14877" max="14877" width="21.5703125" bestFit="1" customWidth="1"/>
    <col min="14878" max="14878" width="22.140625" bestFit="1" customWidth="1"/>
    <col min="14879" max="14879" width="13.85546875" customWidth="1"/>
    <col min="14881" max="14881" width="12.7109375" bestFit="1" customWidth="1"/>
    <col min="14891" max="14922" width="16.42578125" customWidth="1"/>
    <col min="15105" max="15105" width="29.7109375" customWidth="1"/>
    <col min="15106" max="15106" width="23" customWidth="1"/>
    <col min="15107" max="15107" width="42.7109375" bestFit="1" customWidth="1"/>
    <col min="15108" max="15108" width="12.140625" customWidth="1"/>
    <col min="15109" max="15111" width="3.5703125" customWidth="1"/>
    <col min="15112" max="15124" width="19.85546875" bestFit="1" customWidth="1"/>
    <col min="15125" max="15125" width="18.28515625" customWidth="1"/>
    <col min="15126" max="15126" width="13.7109375" customWidth="1"/>
    <col min="15127" max="15127" width="47" bestFit="1" customWidth="1"/>
    <col min="15128" max="15128" width="17.5703125" customWidth="1"/>
    <col min="15129" max="15132" width="21" bestFit="1" customWidth="1"/>
    <col min="15133" max="15133" width="21.5703125" bestFit="1" customWidth="1"/>
    <col min="15134" max="15134" width="22.140625" bestFit="1" customWidth="1"/>
    <col min="15135" max="15135" width="13.85546875" customWidth="1"/>
    <col min="15137" max="15137" width="12.7109375" bestFit="1" customWidth="1"/>
    <col min="15147" max="15178" width="16.42578125" customWidth="1"/>
    <col min="15361" max="15361" width="29.7109375" customWidth="1"/>
    <col min="15362" max="15362" width="23" customWidth="1"/>
    <col min="15363" max="15363" width="42.7109375" bestFit="1" customWidth="1"/>
    <col min="15364" max="15364" width="12.140625" customWidth="1"/>
    <col min="15365" max="15367" width="3.5703125" customWidth="1"/>
    <col min="15368" max="15380" width="19.85546875" bestFit="1" customWidth="1"/>
    <col min="15381" max="15381" width="18.28515625" customWidth="1"/>
    <col min="15382" max="15382" width="13.7109375" customWidth="1"/>
    <col min="15383" max="15383" width="47" bestFit="1" customWidth="1"/>
    <col min="15384" max="15384" width="17.5703125" customWidth="1"/>
    <col min="15385" max="15388" width="21" bestFit="1" customWidth="1"/>
    <col min="15389" max="15389" width="21.5703125" bestFit="1" customWidth="1"/>
    <col min="15390" max="15390" width="22.140625" bestFit="1" customWidth="1"/>
    <col min="15391" max="15391" width="13.85546875" customWidth="1"/>
    <col min="15393" max="15393" width="12.7109375" bestFit="1" customWidth="1"/>
    <col min="15403" max="15434" width="16.42578125" customWidth="1"/>
    <col min="15617" max="15617" width="29.7109375" customWidth="1"/>
    <col min="15618" max="15618" width="23" customWidth="1"/>
    <col min="15619" max="15619" width="42.7109375" bestFit="1" customWidth="1"/>
    <col min="15620" max="15620" width="12.140625" customWidth="1"/>
    <col min="15621" max="15623" width="3.5703125" customWidth="1"/>
    <col min="15624" max="15636" width="19.85546875" bestFit="1" customWidth="1"/>
    <col min="15637" max="15637" width="18.28515625" customWidth="1"/>
    <col min="15638" max="15638" width="13.7109375" customWidth="1"/>
    <col min="15639" max="15639" width="47" bestFit="1" customWidth="1"/>
    <col min="15640" max="15640" width="17.5703125" customWidth="1"/>
    <col min="15641" max="15644" width="21" bestFit="1" customWidth="1"/>
    <col min="15645" max="15645" width="21.5703125" bestFit="1" customWidth="1"/>
    <col min="15646" max="15646" width="22.140625" bestFit="1" customWidth="1"/>
    <col min="15647" max="15647" width="13.85546875" customWidth="1"/>
    <col min="15649" max="15649" width="12.7109375" bestFit="1" customWidth="1"/>
    <col min="15659" max="15690" width="16.42578125" customWidth="1"/>
    <col min="15873" max="15873" width="29.7109375" customWidth="1"/>
    <col min="15874" max="15874" width="23" customWidth="1"/>
    <col min="15875" max="15875" width="42.7109375" bestFit="1" customWidth="1"/>
    <col min="15876" max="15876" width="12.140625" customWidth="1"/>
    <col min="15877" max="15879" width="3.5703125" customWidth="1"/>
    <col min="15880" max="15892" width="19.85546875" bestFit="1" customWidth="1"/>
    <col min="15893" max="15893" width="18.28515625" customWidth="1"/>
    <col min="15894" max="15894" width="13.7109375" customWidth="1"/>
    <col min="15895" max="15895" width="47" bestFit="1" customWidth="1"/>
    <col min="15896" max="15896" width="17.5703125" customWidth="1"/>
    <col min="15897" max="15900" width="21" bestFit="1" customWidth="1"/>
    <col min="15901" max="15901" width="21.5703125" bestFit="1" customWidth="1"/>
    <col min="15902" max="15902" width="22.140625" bestFit="1" customWidth="1"/>
    <col min="15903" max="15903" width="13.85546875" customWidth="1"/>
    <col min="15905" max="15905" width="12.7109375" bestFit="1" customWidth="1"/>
    <col min="15915" max="15946" width="16.42578125" customWidth="1"/>
    <col min="16129" max="16129" width="29.7109375" customWidth="1"/>
    <col min="16130" max="16130" width="23" customWidth="1"/>
    <col min="16131" max="16131" width="42.7109375" bestFit="1" customWidth="1"/>
    <col min="16132" max="16132" width="12.140625" customWidth="1"/>
    <col min="16133" max="16135" width="3.5703125" customWidth="1"/>
    <col min="16136" max="16148" width="19.85546875" bestFit="1" customWidth="1"/>
    <col min="16149" max="16149" width="18.28515625" customWidth="1"/>
    <col min="16150" max="16150" width="13.7109375" customWidth="1"/>
    <col min="16151" max="16151" width="47" bestFit="1" customWidth="1"/>
    <col min="16152" max="16152" width="17.5703125" customWidth="1"/>
    <col min="16153" max="16156" width="21" bestFit="1" customWidth="1"/>
    <col min="16157" max="16157" width="21.5703125" bestFit="1" customWidth="1"/>
    <col min="16158" max="16158" width="22.140625" bestFit="1" customWidth="1"/>
    <col min="16159" max="16159" width="13.85546875" customWidth="1"/>
    <col min="16161" max="16161" width="12.7109375" bestFit="1" customWidth="1"/>
    <col min="16171" max="16202" width="16.42578125" customWidth="1"/>
  </cols>
  <sheetData>
    <row r="1" spans="1:30" ht="18">
      <c r="A1" s="810"/>
      <c r="B1" s="811"/>
      <c r="C1" s="812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810"/>
      <c r="S1" s="810"/>
      <c r="T1" s="810"/>
    </row>
    <row r="2" spans="1:30" ht="18">
      <c r="A2" s="810"/>
      <c r="B2" s="811"/>
      <c r="C2" s="812"/>
      <c r="D2" s="810"/>
      <c r="E2" s="810"/>
      <c r="F2" s="810"/>
      <c r="G2" s="810"/>
      <c r="H2" s="813"/>
      <c r="I2" s="813"/>
      <c r="J2" s="813"/>
      <c r="K2" s="813"/>
      <c r="L2" s="813"/>
      <c r="M2" s="813"/>
      <c r="N2" s="813"/>
      <c r="O2" s="813"/>
      <c r="P2" s="813"/>
      <c r="Q2" s="813"/>
      <c r="R2" s="813"/>
      <c r="S2" s="813"/>
      <c r="T2" s="813"/>
    </row>
    <row r="3" spans="1:30" ht="18">
      <c r="A3" s="810"/>
      <c r="B3" s="814"/>
      <c r="C3" s="815"/>
      <c r="D3" s="816"/>
      <c r="E3" s="810"/>
      <c r="F3" s="810"/>
      <c r="G3" s="810"/>
      <c r="H3" s="813"/>
      <c r="I3" s="813"/>
      <c r="J3" s="813"/>
      <c r="K3" s="813"/>
      <c r="L3" s="813"/>
      <c r="M3" s="813"/>
      <c r="N3" s="813"/>
      <c r="O3" s="813"/>
      <c r="P3" s="813"/>
      <c r="Q3" s="813"/>
      <c r="R3" s="813"/>
      <c r="S3" s="813"/>
      <c r="T3" s="813"/>
    </row>
    <row r="4" spans="1:30" ht="18">
      <c r="A4" s="817"/>
      <c r="B4" s="814"/>
      <c r="C4" s="818"/>
      <c r="D4" s="816"/>
      <c r="E4" s="810"/>
      <c r="F4" s="810"/>
      <c r="G4" s="810"/>
      <c r="H4" s="813"/>
      <c r="I4" s="813"/>
      <c r="J4" s="813"/>
      <c r="K4" s="813"/>
      <c r="L4" s="813"/>
      <c r="M4" s="813"/>
      <c r="N4" s="813"/>
      <c r="O4" s="813"/>
      <c r="P4" s="813"/>
      <c r="Q4" s="813"/>
      <c r="R4" s="813"/>
      <c r="S4" s="813"/>
      <c r="T4" s="813"/>
      <c r="V4" s="744"/>
    </row>
    <row r="5" spans="1:30" ht="18">
      <c r="A5" s="817"/>
      <c r="B5" s="818"/>
      <c r="C5" s="818"/>
      <c r="D5" s="819"/>
      <c r="E5" s="810"/>
      <c r="F5" s="810"/>
      <c r="G5" s="810"/>
      <c r="H5" s="813"/>
      <c r="I5" s="813"/>
      <c r="J5" s="813"/>
      <c r="K5" s="813"/>
      <c r="L5" s="813"/>
      <c r="M5" s="813"/>
      <c r="N5" s="813"/>
      <c r="O5" s="813"/>
      <c r="P5" s="813"/>
      <c r="Q5" s="813"/>
      <c r="R5" s="813"/>
      <c r="S5" s="813"/>
      <c r="T5" s="813"/>
      <c r="V5" s="744"/>
    </row>
    <row r="6" spans="1:30" ht="18">
      <c r="A6" s="820"/>
      <c r="B6" s="821"/>
      <c r="C6" s="821"/>
      <c r="D6" s="810"/>
      <c r="E6" s="810"/>
      <c r="F6" s="810"/>
      <c r="G6" s="810"/>
      <c r="H6" s="813"/>
      <c r="I6" s="813"/>
      <c r="J6" s="813"/>
      <c r="K6" s="813"/>
      <c r="L6" s="813"/>
      <c r="M6" s="813"/>
      <c r="N6" s="813"/>
      <c r="O6" s="813"/>
      <c r="P6" s="813"/>
      <c r="Q6" s="813"/>
      <c r="R6" s="813"/>
      <c r="S6" s="813"/>
      <c r="T6" s="813"/>
      <c r="V6" s="745"/>
    </row>
    <row r="7" spans="1:30" ht="18">
      <c r="A7" s="822"/>
      <c r="B7" s="823"/>
      <c r="C7" s="823"/>
      <c r="D7" s="824"/>
      <c r="E7" s="810"/>
      <c r="F7" s="810"/>
      <c r="G7" s="810"/>
      <c r="H7" s="825"/>
      <c r="I7" s="825"/>
      <c r="J7" s="825"/>
      <c r="K7" s="825"/>
      <c r="L7" s="825"/>
      <c r="M7" s="825"/>
      <c r="N7" s="825"/>
      <c r="O7" s="825"/>
      <c r="P7" s="825"/>
      <c r="Q7" s="825"/>
      <c r="R7" s="825"/>
      <c r="S7" s="825"/>
      <c r="T7" s="813" t="s">
        <v>920</v>
      </c>
      <c r="U7" s="588"/>
    </row>
    <row r="8" spans="1:30" ht="18">
      <c r="A8" s="826"/>
      <c r="B8" s="827"/>
      <c r="C8" s="827"/>
      <c r="D8" s="810"/>
      <c r="E8" s="810"/>
      <c r="F8" s="810"/>
      <c r="G8" s="810"/>
      <c r="H8" s="825"/>
      <c r="I8" s="825"/>
      <c r="J8" s="825"/>
      <c r="K8" s="825"/>
      <c r="L8" s="825"/>
      <c r="M8" s="825"/>
      <c r="N8" s="825"/>
      <c r="O8" s="825"/>
      <c r="P8" s="825"/>
      <c r="Q8" s="825"/>
      <c r="R8" s="825"/>
      <c r="S8" s="825"/>
      <c r="T8" s="825" t="s">
        <v>921</v>
      </c>
    </row>
    <row r="9" spans="1:30" ht="18.75" thickBot="1">
      <c r="A9" s="828" t="s">
        <v>770</v>
      </c>
      <c r="B9" s="829"/>
      <c r="C9" s="828" t="s">
        <v>776</v>
      </c>
      <c r="D9" s="828"/>
      <c r="E9" s="828"/>
      <c r="F9" s="830"/>
      <c r="G9" s="831">
        <v>40543</v>
      </c>
      <c r="H9" s="831">
        <v>44773</v>
      </c>
      <c r="I9" s="831">
        <v>44804</v>
      </c>
      <c r="J9" s="831">
        <v>44834</v>
      </c>
      <c r="K9" s="831">
        <v>44865</v>
      </c>
      <c r="L9" s="831">
        <v>44895</v>
      </c>
      <c r="M9" s="831">
        <v>44926</v>
      </c>
      <c r="N9" s="831">
        <v>44957</v>
      </c>
      <c r="O9" s="831">
        <v>44985</v>
      </c>
      <c r="P9" s="831">
        <v>45016</v>
      </c>
      <c r="Q9" s="831">
        <v>45046</v>
      </c>
      <c r="R9" s="831">
        <v>45077</v>
      </c>
      <c r="S9" s="831">
        <v>45107</v>
      </c>
      <c r="T9" s="831">
        <v>45107</v>
      </c>
      <c r="Y9" s="10"/>
      <c r="Z9" s="10"/>
      <c r="AA9" s="10"/>
    </row>
    <row r="10" spans="1:30" ht="18.75" thickBot="1">
      <c r="A10" s="819" t="s">
        <v>777</v>
      </c>
      <c r="B10" s="821"/>
      <c r="C10" s="821"/>
      <c r="D10" s="819"/>
      <c r="E10" s="810"/>
      <c r="F10" s="810"/>
      <c r="G10" s="810"/>
      <c r="H10" s="832"/>
      <c r="I10" s="832"/>
      <c r="J10" s="832"/>
      <c r="K10" s="832"/>
      <c r="L10" s="832"/>
      <c r="M10" s="832"/>
      <c r="N10" s="832"/>
      <c r="O10" s="832"/>
      <c r="P10" s="832"/>
      <c r="Q10" s="832"/>
      <c r="R10" s="832"/>
      <c r="S10" s="832"/>
      <c r="T10" s="832"/>
      <c r="V10" s="238"/>
      <c r="W10" s="239"/>
      <c r="X10" s="761" t="s">
        <v>903</v>
      </c>
      <c r="Y10" s="761" t="s">
        <v>919</v>
      </c>
      <c r="Z10" s="761" t="s">
        <v>99</v>
      </c>
      <c r="AA10" s="761" t="s">
        <v>90</v>
      </c>
      <c r="AB10" s="761" t="s">
        <v>91</v>
      </c>
      <c r="AC10" s="761" t="s">
        <v>807</v>
      </c>
      <c r="AD10" s="762" t="s">
        <v>922</v>
      </c>
    </row>
    <row r="11" spans="1:30" ht="18.75" thickBot="1">
      <c r="A11" s="833" t="s">
        <v>11</v>
      </c>
      <c r="B11" s="819"/>
      <c r="C11" s="819"/>
      <c r="D11" s="834"/>
      <c r="E11" s="810"/>
      <c r="F11" s="810"/>
      <c r="G11" s="810"/>
      <c r="H11" s="835"/>
      <c r="I11" s="835"/>
      <c r="J11" s="835"/>
      <c r="K11" s="835"/>
      <c r="L11" s="835"/>
      <c r="M11" s="835"/>
      <c r="N11" s="835"/>
      <c r="O11" s="835"/>
      <c r="P11" s="835"/>
      <c r="Q11" s="835"/>
      <c r="R11" s="835"/>
      <c r="S11" s="835"/>
      <c r="T11" s="835"/>
      <c r="V11" s="746" t="s">
        <v>127</v>
      </c>
      <c r="W11" s="763"/>
      <c r="X11" s="239"/>
      <c r="Y11" s="239"/>
      <c r="Z11" s="239"/>
      <c r="AA11" s="239"/>
      <c r="AB11" s="239"/>
      <c r="AC11" s="239"/>
      <c r="AD11" s="114"/>
    </row>
    <row r="12" spans="1:30" ht="18">
      <c r="A12" s="833"/>
      <c r="B12" s="834"/>
      <c r="C12" s="834"/>
      <c r="D12" s="834"/>
      <c r="E12" s="810"/>
      <c r="F12" s="810"/>
      <c r="G12" s="810"/>
      <c r="H12" s="835"/>
      <c r="I12" s="835"/>
      <c r="J12" s="835"/>
      <c r="K12" s="835"/>
      <c r="L12" s="835"/>
      <c r="M12" s="835"/>
      <c r="N12" s="835"/>
      <c r="O12" s="835"/>
      <c r="P12" s="835"/>
      <c r="Q12" s="835"/>
      <c r="R12" s="835"/>
      <c r="S12" s="835"/>
      <c r="T12" s="835"/>
      <c r="V12" s="748" t="s">
        <v>884</v>
      </c>
      <c r="W12" s="764"/>
      <c r="AD12" s="111"/>
    </row>
    <row r="13" spans="1:30" ht="18">
      <c r="A13" s="836"/>
      <c r="B13" s="821"/>
      <c r="C13" s="821"/>
      <c r="D13" s="834"/>
      <c r="E13" s="834"/>
      <c r="F13" s="834"/>
      <c r="G13" s="834"/>
      <c r="H13" s="835"/>
      <c r="I13" s="835"/>
      <c r="J13" s="835"/>
      <c r="K13" s="835"/>
      <c r="L13" s="835"/>
      <c r="M13" s="835"/>
      <c r="N13" s="835"/>
      <c r="O13" s="835"/>
      <c r="P13" s="835"/>
      <c r="Q13" s="835"/>
      <c r="R13" s="835"/>
      <c r="S13" s="835"/>
      <c r="T13" s="835"/>
      <c r="V13" s="750"/>
      <c r="W13" s="635" t="s">
        <v>287</v>
      </c>
      <c r="X13" s="10">
        <f>+$S$21+$S$30+$S$39</f>
        <v>1124145</v>
      </c>
      <c r="Y13" s="10">
        <f>+$T$21+$T$30+$T$39</f>
        <v>1128382.8333333333</v>
      </c>
      <c r="Z13" s="10">
        <f>+$T$22</f>
        <v>121459397.234</v>
      </c>
      <c r="AA13" s="10">
        <f>+$T$15</f>
        <v>417385871.17000008</v>
      </c>
      <c r="AB13" s="10">
        <f>+$T$17</f>
        <v>97822065.770000011</v>
      </c>
      <c r="AC13" s="10">
        <f>+$T$19</f>
        <v>896100630.36999989</v>
      </c>
      <c r="AD13" s="765">
        <f>SUM(AA13:AC13)</f>
        <v>1411308567.3099999</v>
      </c>
    </row>
    <row r="14" spans="1:30" ht="18">
      <c r="A14" s="833" t="s">
        <v>12</v>
      </c>
      <c r="B14" s="810"/>
      <c r="C14" s="810"/>
      <c r="D14" s="810"/>
      <c r="E14" s="810"/>
      <c r="F14" s="810"/>
      <c r="G14" s="810"/>
      <c r="H14" s="835"/>
      <c r="I14" s="835"/>
      <c r="J14" s="835"/>
      <c r="K14" s="835"/>
      <c r="L14" s="835"/>
      <c r="M14" s="835"/>
      <c r="N14" s="835"/>
      <c r="O14" s="835"/>
      <c r="P14" s="835"/>
      <c r="Q14" s="835"/>
      <c r="R14" s="835"/>
      <c r="S14" s="835"/>
      <c r="T14" s="835"/>
      <c r="V14" s="750"/>
      <c r="W14" s="635" t="s">
        <v>465</v>
      </c>
      <c r="X14" s="10">
        <f>+$S$48</f>
        <v>486</v>
      </c>
      <c r="Y14" s="10">
        <f>+$T$48</f>
        <v>484.41666666666669</v>
      </c>
      <c r="Z14" s="10">
        <f>+$T$49</f>
        <v>2550541.0180000002</v>
      </c>
      <c r="AA14" s="10">
        <f>+$T$42</f>
        <v>3509385.9699999997</v>
      </c>
      <c r="AB14" s="10">
        <f>+$T$44</f>
        <v>2195889.2800000003</v>
      </c>
      <c r="AC14" s="10">
        <f>+$T$46</f>
        <v>18427219.41</v>
      </c>
      <c r="AD14" s="765">
        <f>SUM(AA14:AC14)</f>
        <v>24132494.66</v>
      </c>
    </row>
    <row r="15" spans="1:30" ht="18.75" thickBot="1">
      <c r="A15" s="819" t="s">
        <v>884</v>
      </c>
      <c r="B15" s="819" t="s">
        <v>13</v>
      </c>
      <c r="C15" s="819" t="s">
        <v>14</v>
      </c>
      <c r="D15" s="819" t="s">
        <v>885</v>
      </c>
      <c r="E15" s="810"/>
      <c r="F15" s="810"/>
      <c r="G15" s="810"/>
      <c r="H15" s="835">
        <v>12600187.999999998</v>
      </c>
      <c r="I15" s="835">
        <v>12558792.280000001</v>
      </c>
      <c r="J15" s="835">
        <v>13345170.850000005</v>
      </c>
      <c r="K15" s="835">
        <v>20424610.070000008</v>
      </c>
      <c r="L15" s="835">
        <v>43001709.960000001</v>
      </c>
      <c r="M15" s="835">
        <v>59923759.780000009</v>
      </c>
      <c r="N15" s="835">
        <v>78380317.870000005</v>
      </c>
      <c r="O15" s="835">
        <v>56287825.539999992</v>
      </c>
      <c r="P15" s="835">
        <v>50885761.99000001</v>
      </c>
      <c r="Q15" s="835">
        <v>30080160.359999999</v>
      </c>
      <c r="R15" s="835">
        <v>23520138.560000002</v>
      </c>
      <c r="S15" s="835">
        <v>16377435.909999996</v>
      </c>
      <c r="T15" s="835">
        <v>417385871.17000008</v>
      </c>
      <c r="V15" s="752"/>
      <c r="W15" s="766" t="s">
        <v>746</v>
      </c>
      <c r="X15" s="767">
        <f>+$S$66</f>
        <v>1</v>
      </c>
      <c r="Y15" s="767">
        <f>+$T$66</f>
        <v>1</v>
      </c>
      <c r="Z15" s="767">
        <f>+$T$67</f>
        <v>245045.76099999997</v>
      </c>
      <c r="AA15" s="767">
        <f>+$T$60</f>
        <v>2373319.4157923507</v>
      </c>
      <c r="AB15" s="767">
        <f>+$T$62</f>
        <v>209862.77806461003</v>
      </c>
      <c r="AC15" s="767">
        <f>+$T$64</f>
        <v>1500273.5161430398</v>
      </c>
      <c r="AD15" s="768">
        <f>SUM(AA15:AC15)</f>
        <v>4083455.7100000004</v>
      </c>
    </row>
    <row r="16" spans="1:30" ht="18">
      <c r="A16" s="819" t="s">
        <v>884</v>
      </c>
      <c r="B16" s="819"/>
      <c r="C16" s="819"/>
      <c r="D16" s="819" t="s">
        <v>885</v>
      </c>
      <c r="E16" s="810"/>
      <c r="F16" s="810"/>
      <c r="G16" s="810"/>
      <c r="H16" s="835"/>
      <c r="I16" s="835"/>
      <c r="J16" s="835"/>
      <c r="K16" s="835"/>
      <c r="L16" s="835"/>
      <c r="M16" s="835"/>
      <c r="N16" s="835"/>
      <c r="O16" s="835"/>
      <c r="P16" s="835"/>
      <c r="Q16" s="835"/>
      <c r="R16" s="835"/>
      <c r="S16" s="835"/>
      <c r="T16" s="835"/>
      <c r="V16" s="750"/>
      <c r="W16" s="635" t="s">
        <v>92</v>
      </c>
      <c r="X16" s="10">
        <f t="shared" ref="X16:AD16" si="0">SUM(X13:X15)</f>
        <v>1124632</v>
      </c>
      <c r="Y16" s="10">
        <f>SUM(Y13:Y15)</f>
        <v>1128868.25</v>
      </c>
      <c r="Z16" s="10">
        <f>SUM(Z13:Z15)</f>
        <v>124254984.01300001</v>
      </c>
      <c r="AA16" s="10">
        <f>SUM(AA13:AA15)</f>
        <v>423268576.55579245</v>
      </c>
      <c r="AB16" s="10">
        <f t="shared" si="0"/>
        <v>100227817.82806462</v>
      </c>
      <c r="AC16" s="10">
        <f t="shared" si="0"/>
        <v>916028123.29614294</v>
      </c>
      <c r="AD16" s="765">
        <f t="shared" si="0"/>
        <v>1439524517.6800001</v>
      </c>
    </row>
    <row r="17" spans="1:30" ht="18">
      <c r="A17" s="819" t="s">
        <v>884</v>
      </c>
      <c r="B17" s="819"/>
      <c r="C17" s="819" t="s">
        <v>15</v>
      </c>
      <c r="D17" s="819" t="s">
        <v>885</v>
      </c>
      <c r="E17" s="810"/>
      <c r="F17" s="810"/>
      <c r="G17" s="810"/>
      <c r="H17" s="835">
        <v>941220.19000000018</v>
      </c>
      <c r="I17" s="835">
        <v>898198.85</v>
      </c>
      <c r="J17" s="835">
        <v>970458.75000000023</v>
      </c>
      <c r="K17" s="835">
        <v>2011338.8900000004</v>
      </c>
      <c r="L17" s="835">
        <v>13999332.239999996</v>
      </c>
      <c r="M17" s="835">
        <v>18778778.710000001</v>
      </c>
      <c r="N17" s="835">
        <v>19969800.300000001</v>
      </c>
      <c r="O17" s="835">
        <v>17650624.630000006</v>
      </c>
      <c r="P17" s="835">
        <v>16209531.280000018</v>
      </c>
      <c r="Q17" s="835">
        <v>3712292.6899999981</v>
      </c>
      <c r="R17" s="835">
        <v>1466406.3199999994</v>
      </c>
      <c r="S17" s="835">
        <v>1214082.9200000006</v>
      </c>
      <c r="T17" s="835">
        <v>97822065.770000011</v>
      </c>
      <c r="V17" s="750"/>
      <c r="W17" s="635"/>
      <c r="X17" s="10"/>
      <c r="Y17" s="10"/>
      <c r="Z17" s="10"/>
      <c r="AA17" s="10"/>
      <c r="AB17" s="10"/>
      <c r="AC17" s="10"/>
      <c r="AD17" s="765"/>
    </row>
    <row r="18" spans="1:30" ht="18">
      <c r="A18" s="819" t="s">
        <v>884</v>
      </c>
      <c r="B18" s="819"/>
      <c r="C18" s="819"/>
      <c r="D18" s="819" t="s">
        <v>885</v>
      </c>
      <c r="E18" s="810"/>
      <c r="F18" s="810"/>
      <c r="G18" s="810"/>
      <c r="H18" s="835"/>
      <c r="I18" s="835"/>
      <c r="J18" s="835"/>
      <c r="K18" s="835"/>
      <c r="L18" s="835"/>
      <c r="M18" s="835"/>
      <c r="N18" s="835"/>
      <c r="O18" s="835"/>
      <c r="P18" s="835"/>
      <c r="Q18" s="835"/>
      <c r="R18" s="835"/>
      <c r="S18" s="835"/>
      <c r="T18" s="835"/>
      <c r="V18" s="748" t="s">
        <v>888</v>
      </c>
      <c r="W18" s="764"/>
      <c r="AD18" s="111"/>
    </row>
    <row r="19" spans="1:30" ht="18.75" thickBot="1">
      <c r="A19" s="819" t="s">
        <v>884</v>
      </c>
      <c r="B19" s="819"/>
      <c r="C19" s="819" t="s">
        <v>16</v>
      </c>
      <c r="D19" s="819" t="s">
        <v>885</v>
      </c>
      <c r="E19" s="810"/>
      <c r="F19" s="810"/>
      <c r="G19" s="810"/>
      <c r="H19" s="837">
        <v>12270445.340000002</v>
      </c>
      <c r="I19" s="837">
        <v>13487695.359999999</v>
      </c>
      <c r="J19" s="837">
        <v>14693701.540000003</v>
      </c>
      <c r="K19" s="837">
        <v>30479775.75999999</v>
      </c>
      <c r="L19" s="837">
        <v>109979203.67999998</v>
      </c>
      <c r="M19" s="837">
        <v>141401788.14000002</v>
      </c>
      <c r="N19" s="837">
        <v>150214454.62</v>
      </c>
      <c r="O19" s="837">
        <v>132764592.37</v>
      </c>
      <c r="P19" s="837">
        <v>146423107.92999998</v>
      </c>
      <c r="Q19" s="837">
        <v>87779028.590000018</v>
      </c>
      <c r="R19" s="837">
        <v>30510762.290000007</v>
      </c>
      <c r="S19" s="837">
        <v>26096074.749999985</v>
      </c>
      <c r="T19" s="837">
        <v>896100630.36999989</v>
      </c>
      <c r="V19" s="752"/>
      <c r="W19" s="766" t="s">
        <v>624</v>
      </c>
      <c r="X19" s="767">
        <f>+$S$102</f>
        <v>18</v>
      </c>
      <c r="Y19" s="767">
        <f>+$T$102</f>
        <v>18</v>
      </c>
      <c r="Z19" s="767">
        <f>+$T$103</f>
        <v>305183.54300000001</v>
      </c>
      <c r="AA19" s="767">
        <f>+$T$96</f>
        <v>255321.66</v>
      </c>
      <c r="AB19" s="767">
        <f>+$T$98</f>
        <v>54307.23000000001</v>
      </c>
      <c r="AC19" s="767">
        <f>+$T$100</f>
        <v>2209476.0500000003</v>
      </c>
      <c r="AD19" s="768">
        <f>SUM(AA19:AC19)</f>
        <v>2519104.9400000004</v>
      </c>
    </row>
    <row r="20" spans="1:30" ht="18">
      <c r="A20" s="819" t="s">
        <v>884</v>
      </c>
      <c r="B20" s="819"/>
      <c r="C20" s="819" t="s">
        <v>17</v>
      </c>
      <c r="D20" s="819" t="s">
        <v>885</v>
      </c>
      <c r="E20" s="810"/>
      <c r="F20" s="810"/>
      <c r="G20" s="810"/>
      <c r="H20" s="835">
        <v>25811853.530000001</v>
      </c>
      <c r="I20" s="835">
        <v>26944686.490000002</v>
      </c>
      <c r="J20" s="835">
        <v>29009331.140000008</v>
      </c>
      <c r="K20" s="835">
        <v>52915724.719999999</v>
      </c>
      <c r="L20" s="835">
        <v>166980245.87999997</v>
      </c>
      <c r="M20" s="835">
        <v>220104326.63000003</v>
      </c>
      <c r="N20" s="835">
        <v>248564572.79000002</v>
      </c>
      <c r="O20" s="835">
        <v>206703042.54000002</v>
      </c>
      <c r="P20" s="835">
        <v>213518401.19999999</v>
      </c>
      <c r="Q20" s="835">
        <v>121571481.64000002</v>
      </c>
      <c r="R20" s="835">
        <v>55497307.170000009</v>
      </c>
      <c r="S20" s="835">
        <v>43687593.579999983</v>
      </c>
      <c r="T20" s="835">
        <v>1411308567.3099999</v>
      </c>
      <c r="U20" t="s">
        <v>1175</v>
      </c>
      <c r="V20" s="750"/>
      <c r="W20" s="635" t="s">
        <v>93</v>
      </c>
      <c r="X20" s="10">
        <f t="shared" ref="X20:AD20" si="1">SUM(X19:X19)</f>
        <v>18</v>
      </c>
      <c r="Y20" s="10">
        <f>SUM(Y19:Y19)</f>
        <v>18</v>
      </c>
      <c r="Z20" s="10">
        <f>SUM(Z19:Z19)</f>
        <v>305183.54300000001</v>
      </c>
      <c r="AA20" s="10">
        <f t="shared" si="1"/>
        <v>255321.66</v>
      </c>
      <c r="AB20" s="10">
        <f t="shared" si="1"/>
        <v>54307.23000000001</v>
      </c>
      <c r="AC20" s="10">
        <f t="shared" si="1"/>
        <v>2209476.0500000003</v>
      </c>
      <c r="AD20" s="765">
        <f t="shared" si="1"/>
        <v>2519104.9400000004</v>
      </c>
    </row>
    <row r="21" spans="1:30" ht="18">
      <c r="A21" s="819" t="s">
        <v>884</v>
      </c>
      <c r="B21" s="819"/>
      <c r="C21" s="819" t="s">
        <v>886</v>
      </c>
      <c r="D21" s="819" t="s">
        <v>885</v>
      </c>
      <c r="E21" s="810"/>
      <c r="F21" s="810"/>
      <c r="G21" s="810"/>
      <c r="H21" s="835">
        <v>1128182</v>
      </c>
      <c r="I21" s="835">
        <v>1128765</v>
      </c>
      <c r="J21" s="835">
        <v>1132519</v>
      </c>
      <c r="K21" s="835">
        <v>1131749</v>
      </c>
      <c r="L21" s="835">
        <v>1134584</v>
      </c>
      <c r="M21" s="835">
        <v>1139925</v>
      </c>
      <c r="N21" s="835">
        <v>1124145</v>
      </c>
      <c r="O21" s="835">
        <v>1124145</v>
      </c>
      <c r="P21" s="835">
        <v>1124145</v>
      </c>
      <c r="Q21" s="835">
        <v>1124145</v>
      </c>
      <c r="R21" s="835">
        <v>1124145</v>
      </c>
      <c r="S21" s="835">
        <v>1124145</v>
      </c>
      <c r="T21" s="835">
        <v>1128382.8333333333</v>
      </c>
      <c r="V21" s="750"/>
      <c r="W21" s="635"/>
      <c r="X21" s="10"/>
      <c r="Y21" s="10"/>
      <c r="Z21" s="10"/>
      <c r="AA21" s="10"/>
      <c r="AB21" s="10"/>
      <c r="AC21" s="10"/>
      <c r="AD21" s="765"/>
    </row>
    <row r="22" spans="1:30" ht="18">
      <c r="A22" s="819" t="s">
        <v>884</v>
      </c>
      <c r="B22" s="819"/>
      <c r="C22" s="819" t="s">
        <v>18</v>
      </c>
      <c r="D22" s="819" t="s">
        <v>885</v>
      </c>
      <c r="E22" s="810"/>
      <c r="F22" s="810"/>
      <c r="G22" s="810"/>
      <c r="H22" s="835">
        <v>2364330.503</v>
      </c>
      <c r="I22" s="835">
        <v>2264418.4350000001</v>
      </c>
      <c r="J22" s="835">
        <v>2446804.9720000001</v>
      </c>
      <c r="K22" s="835">
        <v>5074189.5050000027</v>
      </c>
      <c r="L22" s="835">
        <v>15685397.181</v>
      </c>
      <c r="M22" s="835">
        <v>19863131.123999991</v>
      </c>
      <c r="N22" s="835">
        <v>21092357.012000002</v>
      </c>
      <c r="O22" s="835">
        <v>18642325.305</v>
      </c>
      <c r="P22" s="835">
        <v>17121588.019999996</v>
      </c>
      <c r="Q22" s="835">
        <v>10281424.114999998</v>
      </c>
      <c r="R22" s="835">
        <v>3570056.2170000006</v>
      </c>
      <c r="S22" s="835">
        <v>3053374.8449999988</v>
      </c>
      <c r="T22" s="835">
        <v>121459397.234</v>
      </c>
      <c r="V22" s="748"/>
      <c r="W22" s="635" t="s">
        <v>634</v>
      </c>
      <c r="X22" s="10"/>
      <c r="Y22" s="10"/>
      <c r="Z22" s="10"/>
      <c r="AA22" s="10">
        <f>+$T$195</f>
        <v>-19322392.549999997</v>
      </c>
      <c r="AB22" s="10"/>
      <c r="AC22" s="10"/>
      <c r="AD22" s="765">
        <f>SUM(AA22:AC22)</f>
        <v>-19322392.549999997</v>
      </c>
    </row>
    <row r="23" spans="1:30" ht="18.75" thickBot="1">
      <c r="A23" s="819" t="s">
        <v>884</v>
      </c>
      <c r="B23" s="838"/>
      <c r="C23" s="819"/>
      <c r="D23" s="819"/>
      <c r="E23" s="810"/>
      <c r="F23" s="810"/>
      <c r="G23" s="810"/>
      <c r="H23" s="835"/>
      <c r="I23" s="835"/>
      <c r="J23" s="835"/>
      <c r="K23" s="835"/>
      <c r="L23" s="835"/>
      <c r="M23" s="835"/>
      <c r="N23" s="835"/>
      <c r="O23" s="835"/>
      <c r="P23" s="835"/>
      <c r="Q23" s="835"/>
      <c r="R23" s="835"/>
      <c r="S23" s="835"/>
      <c r="T23" s="835"/>
      <c r="V23" s="748"/>
      <c r="W23" s="766" t="s">
        <v>103</v>
      </c>
      <c r="X23" s="767"/>
      <c r="Y23" s="767"/>
      <c r="Z23" s="767"/>
      <c r="AA23" s="767">
        <f>+$T$196</f>
        <v>25512561.919999998</v>
      </c>
      <c r="AB23" s="767"/>
      <c r="AC23" s="767"/>
      <c r="AD23" s="768">
        <f>SUM(AA23:AC23)</f>
        <v>25512561.919999998</v>
      </c>
    </row>
    <row r="24" spans="1:30" ht="18">
      <c r="A24" s="819" t="s">
        <v>884</v>
      </c>
      <c r="B24" s="819" t="s">
        <v>216</v>
      </c>
      <c r="C24" s="819" t="s">
        <v>14</v>
      </c>
      <c r="D24" s="819" t="s">
        <v>885</v>
      </c>
      <c r="E24" s="810"/>
      <c r="F24" s="810"/>
      <c r="G24" s="810"/>
      <c r="H24" s="835"/>
      <c r="I24" s="835"/>
      <c r="J24" s="835"/>
      <c r="K24" s="835"/>
      <c r="L24" s="835"/>
      <c r="M24" s="835"/>
      <c r="N24" s="835"/>
      <c r="O24" s="835"/>
      <c r="P24" s="835"/>
      <c r="Q24" s="835"/>
      <c r="R24" s="835"/>
      <c r="S24" s="835"/>
      <c r="T24" s="835">
        <v>0</v>
      </c>
      <c r="V24" s="754"/>
      <c r="W24" s="635" t="s">
        <v>904</v>
      </c>
      <c r="X24" s="10"/>
      <c r="Y24" s="10"/>
      <c r="Z24" s="10"/>
      <c r="AA24" s="10">
        <f>SUM(AA22:AA23)</f>
        <v>6190169.370000001</v>
      </c>
      <c r="AB24" s="10"/>
      <c r="AC24" s="10"/>
      <c r="AD24" s="765">
        <f>SUM(AD22:AD23)</f>
        <v>6190169.370000001</v>
      </c>
    </row>
    <row r="25" spans="1:30" ht="18">
      <c r="A25" s="819" t="s">
        <v>884</v>
      </c>
      <c r="B25" s="819"/>
      <c r="C25" s="819"/>
      <c r="D25" s="819" t="s">
        <v>885</v>
      </c>
      <c r="E25" s="810"/>
      <c r="F25" s="810"/>
      <c r="G25" s="810"/>
      <c r="H25" s="835"/>
      <c r="I25" s="835"/>
      <c r="J25" s="835"/>
      <c r="K25" s="835"/>
      <c r="L25" s="835"/>
      <c r="M25" s="835"/>
      <c r="N25" s="835"/>
      <c r="O25" s="835"/>
      <c r="P25" s="835"/>
      <c r="Q25" s="835"/>
      <c r="R25" s="835"/>
      <c r="S25" s="835"/>
      <c r="T25" s="835"/>
      <c r="V25" s="748"/>
      <c r="W25" s="764"/>
      <c r="AD25" s="111"/>
    </row>
    <row r="26" spans="1:30" ht="18">
      <c r="A26" s="819" t="s">
        <v>884</v>
      </c>
      <c r="B26" s="819"/>
      <c r="C26" s="819" t="s">
        <v>15</v>
      </c>
      <c r="D26" s="819" t="s">
        <v>885</v>
      </c>
      <c r="E26" s="810"/>
      <c r="F26" s="810"/>
      <c r="G26" s="810"/>
      <c r="H26" s="835"/>
      <c r="I26" s="835"/>
      <c r="J26" s="835"/>
      <c r="K26" s="835"/>
      <c r="L26" s="835"/>
      <c r="M26" s="835"/>
      <c r="N26" s="835"/>
      <c r="O26" s="835"/>
      <c r="P26" s="835"/>
      <c r="Q26" s="835"/>
      <c r="R26" s="835"/>
      <c r="S26" s="835"/>
      <c r="T26" s="835">
        <v>0</v>
      </c>
      <c r="V26" s="748" t="s">
        <v>892</v>
      </c>
      <c r="W26" s="764"/>
      <c r="AD26" s="111"/>
    </row>
    <row r="27" spans="1:30" ht="18">
      <c r="A27" s="819" t="s">
        <v>884</v>
      </c>
      <c r="B27" s="819"/>
      <c r="C27" s="819"/>
      <c r="D27" s="819" t="s">
        <v>885</v>
      </c>
      <c r="E27" s="810"/>
      <c r="F27" s="810"/>
      <c r="G27" s="810"/>
      <c r="H27" s="835"/>
      <c r="I27" s="835"/>
      <c r="J27" s="835"/>
      <c r="K27" s="835"/>
      <c r="L27" s="835"/>
      <c r="M27" s="835"/>
      <c r="N27" s="835"/>
      <c r="O27" s="835"/>
      <c r="P27" s="835"/>
      <c r="Q27" s="835"/>
      <c r="R27" s="835"/>
      <c r="S27" s="835"/>
      <c r="T27" s="835"/>
      <c r="V27" s="748"/>
      <c r="W27" s="764" t="s">
        <v>821</v>
      </c>
      <c r="X27" s="10">
        <f>+$S$129</f>
        <v>8</v>
      </c>
      <c r="Y27" s="10">
        <f>+$T$129</f>
        <v>8</v>
      </c>
      <c r="Z27" s="10">
        <f>+$T$130</f>
        <v>53788751</v>
      </c>
      <c r="AA27" s="10">
        <f>+$T$123</f>
        <v>9333726.3400000017</v>
      </c>
      <c r="AB27" s="10">
        <f>+$T$125</f>
        <v>220850.51</v>
      </c>
      <c r="AC27" s="10">
        <f>+$T$127</f>
        <v>0</v>
      </c>
      <c r="AD27" s="765">
        <f t="shared" ref="AD27:AD33" si="2">SUM(AA27:AC27)</f>
        <v>9554576.8500000015</v>
      </c>
    </row>
    <row r="28" spans="1:30" ht="18">
      <c r="A28" s="819" t="s">
        <v>884</v>
      </c>
      <c r="B28" s="819"/>
      <c r="C28" s="819" t="s">
        <v>16</v>
      </c>
      <c r="D28" s="819" t="s">
        <v>885</v>
      </c>
      <c r="E28" s="810"/>
      <c r="F28" s="810"/>
      <c r="G28" s="810"/>
      <c r="H28" s="837"/>
      <c r="I28" s="837"/>
      <c r="J28" s="837"/>
      <c r="K28" s="837"/>
      <c r="L28" s="837"/>
      <c r="M28" s="837"/>
      <c r="N28" s="837"/>
      <c r="O28" s="837"/>
      <c r="P28" s="837"/>
      <c r="Q28" s="837"/>
      <c r="R28" s="837"/>
      <c r="S28" s="837"/>
      <c r="T28" s="837">
        <v>0</v>
      </c>
      <c r="V28" s="748"/>
      <c r="W28" s="764" t="s">
        <v>895</v>
      </c>
      <c r="X28" s="10">
        <f>+$S$138</f>
        <v>0</v>
      </c>
      <c r="Y28" s="10">
        <f>+$T$138</f>
        <v>0</v>
      </c>
      <c r="Z28" s="10">
        <f>+$T$139</f>
        <v>0</v>
      </c>
      <c r="AA28" s="10">
        <f>+$T$132</f>
        <v>0</v>
      </c>
      <c r="AB28" s="10">
        <f>+$T$134</f>
        <v>0</v>
      </c>
      <c r="AC28" s="10">
        <f>+$T$136</f>
        <v>0</v>
      </c>
      <c r="AD28" s="765">
        <f t="shared" si="2"/>
        <v>0</v>
      </c>
    </row>
    <row r="29" spans="1:30" ht="18">
      <c r="A29" s="819" t="s">
        <v>884</v>
      </c>
      <c r="B29" s="819"/>
      <c r="C29" s="819" t="s">
        <v>17</v>
      </c>
      <c r="D29" s="819" t="s">
        <v>885</v>
      </c>
      <c r="E29" s="810"/>
      <c r="F29" s="810"/>
      <c r="G29" s="810"/>
      <c r="H29" s="835"/>
      <c r="I29" s="835"/>
      <c r="J29" s="835"/>
      <c r="K29" s="835"/>
      <c r="L29" s="835"/>
      <c r="M29" s="835"/>
      <c r="N29" s="835"/>
      <c r="O29" s="835"/>
      <c r="P29" s="835"/>
      <c r="Q29" s="835"/>
      <c r="R29" s="835"/>
      <c r="S29" s="835"/>
      <c r="T29" s="835">
        <v>0</v>
      </c>
      <c r="V29" s="748"/>
      <c r="W29" s="764" t="s">
        <v>517</v>
      </c>
      <c r="X29" s="10">
        <f>+$S$156</f>
        <v>0</v>
      </c>
      <c r="Y29" s="10">
        <f>+$T$156</f>
        <v>0</v>
      </c>
      <c r="Z29" s="10">
        <f>+$T$157</f>
        <v>0</v>
      </c>
      <c r="AA29" s="10">
        <f>+$T$150</f>
        <v>0</v>
      </c>
      <c r="AB29" s="10">
        <f>+$T$152</f>
        <v>0</v>
      </c>
      <c r="AC29" s="10">
        <f>+$T$154</f>
        <v>0</v>
      </c>
      <c r="AD29" s="765">
        <f t="shared" si="2"/>
        <v>0</v>
      </c>
    </row>
    <row r="30" spans="1:30" ht="18">
      <c r="A30" s="819" t="s">
        <v>884</v>
      </c>
      <c r="B30" s="819"/>
      <c r="C30" s="819" t="s">
        <v>886</v>
      </c>
      <c r="D30" s="819" t="s">
        <v>885</v>
      </c>
      <c r="E30" s="810"/>
      <c r="F30" s="810"/>
      <c r="G30" s="810"/>
      <c r="H30" s="835"/>
      <c r="I30" s="835"/>
      <c r="J30" s="835"/>
      <c r="K30" s="835"/>
      <c r="L30" s="835"/>
      <c r="M30" s="835"/>
      <c r="N30" s="835"/>
      <c r="O30" s="835"/>
      <c r="P30" s="835"/>
      <c r="Q30" s="835"/>
      <c r="R30" s="835"/>
      <c r="S30" s="835"/>
      <c r="T30" s="835"/>
      <c r="V30" s="748"/>
      <c r="W30" s="764" t="s">
        <v>516</v>
      </c>
      <c r="X30" s="10">
        <f>+$S$183</f>
        <v>0</v>
      </c>
      <c r="Y30" s="10">
        <f>+$T$183</f>
        <v>0</v>
      </c>
      <c r="Z30" s="10">
        <f>+$T$184</f>
        <v>0</v>
      </c>
      <c r="AA30" s="10">
        <f>+$T$177</f>
        <v>0</v>
      </c>
      <c r="AB30" s="10">
        <f>+$T$179</f>
        <v>0</v>
      </c>
      <c r="AC30" s="10">
        <f>+$T$181</f>
        <v>0</v>
      </c>
      <c r="AD30" s="765">
        <f t="shared" si="2"/>
        <v>0</v>
      </c>
    </row>
    <row r="31" spans="1:30" ht="18">
      <c r="A31" s="819" t="s">
        <v>884</v>
      </c>
      <c r="B31" s="819"/>
      <c r="C31" s="819" t="s">
        <v>18</v>
      </c>
      <c r="D31" s="819" t="s">
        <v>885</v>
      </c>
      <c r="E31" s="810"/>
      <c r="F31" s="810"/>
      <c r="G31" s="810"/>
      <c r="H31" s="835"/>
      <c r="I31" s="835"/>
      <c r="J31" s="835"/>
      <c r="K31" s="835"/>
      <c r="L31" s="835"/>
      <c r="M31" s="835"/>
      <c r="N31" s="835"/>
      <c r="O31" s="835"/>
      <c r="P31" s="835"/>
      <c r="Q31" s="835"/>
      <c r="R31" s="835"/>
      <c r="S31" s="835"/>
      <c r="T31" s="835">
        <v>0</v>
      </c>
      <c r="V31" s="748"/>
      <c r="W31" s="764" t="s">
        <v>636</v>
      </c>
      <c r="X31" s="10">
        <f>+$S$147</f>
        <v>1</v>
      </c>
      <c r="Y31" s="10">
        <f>+$T$147</f>
        <v>1</v>
      </c>
      <c r="Z31" s="10">
        <f>+$T$148</f>
        <v>30101</v>
      </c>
      <c r="AA31" s="10">
        <f>+$T$141</f>
        <v>30202.34</v>
      </c>
      <c r="AB31" s="10">
        <f>+$T$143</f>
        <v>1389.26</v>
      </c>
      <c r="AC31" s="10">
        <f>+$T$145</f>
        <v>0</v>
      </c>
      <c r="AD31" s="765">
        <f t="shared" si="2"/>
        <v>31591.599999999999</v>
      </c>
    </row>
    <row r="32" spans="1:30" ht="18">
      <c r="A32" s="819" t="s">
        <v>884</v>
      </c>
      <c r="B32" s="838"/>
      <c r="C32" s="838"/>
      <c r="D32" s="838"/>
      <c r="E32" s="810"/>
      <c r="F32" s="810"/>
      <c r="G32" s="810"/>
      <c r="H32" s="835"/>
      <c r="I32" s="835"/>
      <c r="J32" s="835"/>
      <c r="K32" s="835"/>
      <c r="L32" s="835"/>
      <c r="M32" s="835"/>
      <c r="N32" s="835"/>
      <c r="O32" s="835"/>
      <c r="P32" s="835"/>
      <c r="Q32" s="835"/>
      <c r="R32" s="835"/>
      <c r="S32" s="835"/>
      <c r="T32" s="835"/>
      <c r="V32" s="748"/>
      <c r="W32" s="764" t="s">
        <v>625</v>
      </c>
      <c r="X32" s="10">
        <f>+$S$165</f>
        <v>1139</v>
      </c>
      <c r="Y32" s="10">
        <f>+$T$165</f>
        <v>1148.5</v>
      </c>
      <c r="Z32" s="10">
        <f>+$T$166</f>
        <v>51043723</v>
      </c>
      <c r="AA32" s="10">
        <f>+$T$159</f>
        <v>44945988.06000001</v>
      </c>
      <c r="AB32" s="10">
        <f>+$T$161</f>
        <v>1235255.9799999997</v>
      </c>
      <c r="AC32" s="10">
        <f>+$T$163</f>
        <v>0</v>
      </c>
      <c r="AD32" s="765">
        <f t="shared" si="2"/>
        <v>46181244.040000007</v>
      </c>
    </row>
    <row r="33" spans="1:30" ht="18.75" thickBot="1">
      <c r="A33" s="819" t="s">
        <v>884</v>
      </c>
      <c r="B33" s="819" t="s">
        <v>744</v>
      </c>
      <c r="C33" s="819" t="s">
        <v>14</v>
      </c>
      <c r="D33" s="819" t="s">
        <v>885</v>
      </c>
      <c r="E33" s="810"/>
      <c r="F33" s="810"/>
      <c r="G33" s="810"/>
      <c r="H33" s="835">
        <v>0</v>
      </c>
      <c r="I33" s="835">
        <v>0</v>
      </c>
      <c r="J33" s="835">
        <v>0</v>
      </c>
      <c r="K33" s="835">
        <v>0</v>
      </c>
      <c r="L33" s="835">
        <v>0</v>
      </c>
      <c r="M33" s="835">
        <v>0</v>
      </c>
      <c r="N33" s="835">
        <v>0</v>
      </c>
      <c r="O33" s="835">
        <v>0</v>
      </c>
      <c r="P33" s="835">
        <v>0</v>
      </c>
      <c r="Q33" s="835">
        <v>0</v>
      </c>
      <c r="R33" s="835">
        <v>0</v>
      </c>
      <c r="S33" s="835">
        <v>0</v>
      </c>
      <c r="T33" s="835">
        <v>0</v>
      </c>
      <c r="V33" s="755"/>
      <c r="W33" s="769" t="s">
        <v>829</v>
      </c>
      <c r="X33" s="767">
        <f>+$S$174</f>
        <v>0</v>
      </c>
      <c r="Y33" s="767">
        <f>+$T$174</f>
        <v>0</v>
      </c>
      <c r="Z33" s="767">
        <f>+$T$175</f>
        <v>0</v>
      </c>
      <c r="AA33" s="767">
        <f>+$T$168</f>
        <v>0</v>
      </c>
      <c r="AB33" s="767">
        <f>+$T$170</f>
        <v>0</v>
      </c>
      <c r="AC33" s="767">
        <f>+$T$172</f>
        <v>0</v>
      </c>
      <c r="AD33" s="768">
        <f t="shared" si="2"/>
        <v>0</v>
      </c>
    </row>
    <row r="34" spans="1:30" ht="18">
      <c r="A34" s="819" t="s">
        <v>884</v>
      </c>
      <c r="B34" s="819"/>
      <c r="C34" s="819"/>
      <c r="D34" s="819" t="s">
        <v>885</v>
      </c>
      <c r="E34" s="810"/>
      <c r="F34" s="810"/>
      <c r="G34" s="810"/>
      <c r="H34" s="835">
        <v>0</v>
      </c>
      <c r="I34" s="835">
        <v>0</v>
      </c>
      <c r="J34" s="835">
        <v>0</v>
      </c>
      <c r="K34" s="835">
        <v>0</v>
      </c>
      <c r="L34" s="835">
        <v>0</v>
      </c>
      <c r="M34" s="835">
        <v>0</v>
      </c>
      <c r="N34" s="835">
        <v>0</v>
      </c>
      <c r="O34" s="835">
        <v>0</v>
      </c>
      <c r="P34" s="835">
        <v>0</v>
      </c>
      <c r="Q34" s="835">
        <v>0</v>
      </c>
      <c r="R34" s="835">
        <v>0</v>
      </c>
      <c r="S34" s="835">
        <v>0</v>
      </c>
      <c r="T34" s="835"/>
      <c r="V34" s="750"/>
      <c r="W34" s="635" t="s">
        <v>94</v>
      </c>
      <c r="X34" s="10">
        <f t="shared" ref="X34:AD34" si="3">SUM(X27:X33)</f>
        <v>1148</v>
      </c>
      <c r="Y34" s="10">
        <f>SUM(Y27:Y33)</f>
        <v>1157.5</v>
      </c>
      <c r="Z34" s="10">
        <f t="shared" si="3"/>
        <v>104862575</v>
      </c>
      <c r="AA34" s="10">
        <f t="shared" si="3"/>
        <v>54309916.74000001</v>
      </c>
      <c r="AB34" s="10">
        <f t="shared" si="3"/>
        <v>1457495.7499999998</v>
      </c>
      <c r="AC34" s="10">
        <f t="shared" si="3"/>
        <v>0</v>
      </c>
      <c r="AD34" s="765">
        <f t="shared" si="3"/>
        <v>55767412.49000001</v>
      </c>
    </row>
    <row r="35" spans="1:30" ht="18">
      <c r="A35" s="819" t="s">
        <v>884</v>
      </c>
      <c r="B35" s="819"/>
      <c r="C35" s="819" t="s">
        <v>15</v>
      </c>
      <c r="D35" s="819" t="s">
        <v>885</v>
      </c>
      <c r="E35" s="810"/>
      <c r="F35" s="810"/>
      <c r="G35" s="810"/>
      <c r="H35" s="835">
        <v>0</v>
      </c>
      <c r="I35" s="835">
        <v>0</v>
      </c>
      <c r="J35" s="835">
        <v>0</v>
      </c>
      <c r="K35" s="835">
        <v>0</v>
      </c>
      <c r="L35" s="835">
        <v>0</v>
      </c>
      <c r="M35" s="835">
        <v>0</v>
      </c>
      <c r="N35" s="835">
        <v>0</v>
      </c>
      <c r="O35" s="835">
        <v>0</v>
      </c>
      <c r="P35" s="835">
        <v>0</v>
      </c>
      <c r="Q35" s="835">
        <v>0</v>
      </c>
      <c r="R35" s="835">
        <v>0</v>
      </c>
      <c r="S35" s="835">
        <v>0</v>
      </c>
      <c r="T35" s="835">
        <v>0</v>
      </c>
      <c r="V35" s="748"/>
      <c r="W35" s="764"/>
      <c r="AD35" s="111"/>
    </row>
    <row r="36" spans="1:30" ht="18">
      <c r="A36" s="819" t="s">
        <v>884</v>
      </c>
      <c r="B36" s="819"/>
      <c r="C36" s="819"/>
      <c r="D36" s="819" t="s">
        <v>885</v>
      </c>
      <c r="E36" s="810"/>
      <c r="F36" s="810"/>
      <c r="G36" s="810"/>
      <c r="H36" s="835">
        <v>0</v>
      </c>
      <c r="I36" s="835">
        <v>0</v>
      </c>
      <c r="J36" s="835">
        <v>0</v>
      </c>
      <c r="K36" s="835">
        <v>0</v>
      </c>
      <c r="L36" s="835">
        <v>0</v>
      </c>
      <c r="M36" s="835">
        <v>0</v>
      </c>
      <c r="N36" s="835">
        <v>0</v>
      </c>
      <c r="O36" s="835">
        <v>0</v>
      </c>
      <c r="P36" s="835">
        <v>0</v>
      </c>
      <c r="Q36" s="835">
        <v>0</v>
      </c>
      <c r="R36" s="835">
        <v>0</v>
      </c>
      <c r="S36" s="835">
        <v>0</v>
      </c>
      <c r="T36" s="835"/>
      <c r="V36" s="750"/>
      <c r="W36" s="635" t="s">
        <v>905</v>
      </c>
      <c r="X36" s="770">
        <f t="shared" ref="X36:AD36" si="4">+X34+X24+X16+X20</f>
        <v>1125798</v>
      </c>
      <c r="Y36" s="770">
        <f>+Y34+Y24+Y16+Y20</f>
        <v>1130043.75</v>
      </c>
      <c r="Z36" s="770">
        <f t="shared" si="4"/>
        <v>229422742.55600002</v>
      </c>
      <c r="AA36" s="770">
        <f t="shared" si="4"/>
        <v>484023984.32579249</v>
      </c>
      <c r="AB36" s="770">
        <f>+AB34+AB24+AB16+AB20</f>
        <v>101739620.80806462</v>
      </c>
      <c r="AC36" s="770">
        <f t="shared" si="4"/>
        <v>918237599.34614289</v>
      </c>
      <c r="AD36" s="771">
        <f t="shared" si="4"/>
        <v>1504001204.48</v>
      </c>
    </row>
    <row r="37" spans="1:30" ht="18.75" thickBot="1">
      <c r="A37" s="819" t="s">
        <v>884</v>
      </c>
      <c r="B37" s="819"/>
      <c r="C37" s="819" t="s">
        <v>16</v>
      </c>
      <c r="D37" s="819" t="s">
        <v>885</v>
      </c>
      <c r="E37" s="810"/>
      <c r="F37" s="810"/>
      <c r="G37" s="810"/>
      <c r="H37" s="837">
        <v>0</v>
      </c>
      <c r="I37" s="837">
        <v>0</v>
      </c>
      <c r="J37" s="837">
        <v>0</v>
      </c>
      <c r="K37" s="837">
        <v>0</v>
      </c>
      <c r="L37" s="837">
        <v>0</v>
      </c>
      <c r="M37" s="837">
        <v>0</v>
      </c>
      <c r="N37" s="837">
        <v>0</v>
      </c>
      <c r="O37" s="837">
        <v>0</v>
      </c>
      <c r="P37" s="837">
        <v>0</v>
      </c>
      <c r="Q37" s="837">
        <v>0</v>
      </c>
      <c r="R37" s="837">
        <v>0</v>
      </c>
      <c r="S37" s="837">
        <v>0</v>
      </c>
      <c r="T37" s="837">
        <v>0</v>
      </c>
      <c r="V37" s="755"/>
      <c r="W37" s="769"/>
      <c r="X37" s="75"/>
      <c r="Y37" s="75"/>
      <c r="Z37" s="75"/>
      <c r="AA37" s="75"/>
      <c r="AB37" s="75"/>
      <c r="AC37" s="75"/>
      <c r="AD37" s="237"/>
    </row>
    <row r="38" spans="1:30" ht="18.75" thickBot="1">
      <c r="A38" s="819" t="s">
        <v>884</v>
      </c>
      <c r="B38" s="819"/>
      <c r="C38" s="819" t="s">
        <v>17</v>
      </c>
      <c r="D38" s="819" t="s">
        <v>885</v>
      </c>
      <c r="E38" s="810"/>
      <c r="F38" s="810"/>
      <c r="G38" s="810"/>
      <c r="H38" s="835">
        <v>0</v>
      </c>
      <c r="I38" s="835">
        <v>0</v>
      </c>
      <c r="J38" s="835">
        <v>0</v>
      </c>
      <c r="K38" s="835">
        <v>0</v>
      </c>
      <c r="L38" s="835">
        <v>0</v>
      </c>
      <c r="M38" s="835">
        <v>0</v>
      </c>
      <c r="N38" s="835">
        <v>0</v>
      </c>
      <c r="O38" s="835">
        <v>0</v>
      </c>
      <c r="P38" s="835">
        <v>0</v>
      </c>
      <c r="Q38" s="835">
        <v>0</v>
      </c>
      <c r="R38" s="835">
        <v>0</v>
      </c>
      <c r="S38" s="835">
        <v>0</v>
      </c>
      <c r="T38" s="835">
        <v>0</v>
      </c>
      <c r="V38" s="750"/>
      <c r="W38" s="635"/>
      <c r="X38" s="770"/>
      <c r="Y38" s="770"/>
      <c r="Z38" s="770"/>
      <c r="AA38" s="770"/>
      <c r="AB38" s="770"/>
      <c r="AC38" s="770"/>
      <c r="AD38" s="771"/>
    </row>
    <row r="39" spans="1:30" ht="18">
      <c r="A39" s="819" t="s">
        <v>884</v>
      </c>
      <c r="B39" s="819"/>
      <c r="C39" s="819" t="s">
        <v>886</v>
      </c>
      <c r="D39" s="819" t="s">
        <v>885</v>
      </c>
      <c r="E39" s="810"/>
      <c r="F39" s="810"/>
      <c r="G39" s="810"/>
      <c r="H39" s="835">
        <v>0</v>
      </c>
      <c r="I39" s="835">
        <v>0</v>
      </c>
      <c r="J39" s="835">
        <v>0</v>
      </c>
      <c r="K39" s="835">
        <v>0</v>
      </c>
      <c r="L39" s="835">
        <v>0</v>
      </c>
      <c r="M39" s="835">
        <v>0</v>
      </c>
      <c r="N39" s="835">
        <v>0</v>
      </c>
      <c r="O39" s="835">
        <v>0</v>
      </c>
      <c r="P39" s="835">
        <v>0</v>
      </c>
      <c r="Q39" s="835">
        <v>0</v>
      </c>
      <c r="R39" s="835">
        <v>0</v>
      </c>
      <c r="S39" s="835">
        <v>0</v>
      </c>
      <c r="T39" s="835">
        <v>0</v>
      </c>
      <c r="V39" s="757" t="s">
        <v>906</v>
      </c>
      <c r="W39" s="772"/>
      <c r="X39" s="239"/>
      <c r="Y39" s="239"/>
      <c r="Z39" s="239"/>
      <c r="AA39" s="239"/>
      <c r="AB39" s="239"/>
      <c r="AC39" s="239"/>
      <c r="AD39" s="114"/>
    </row>
    <row r="40" spans="1:30" ht="18.75" thickBot="1">
      <c r="A40" s="819" t="s">
        <v>884</v>
      </c>
      <c r="B40" s="819"/>
      <c r="C40" s="819" t="s">
        <v>18</v>
      </c>
      <c r="D40" s="819" t="s">
        <v>885</v>
      </c>
      <c r="E40" s="810"/>
      <c r="F40" s="810"/>
      <c r="G40" s="810"/>
      <c r="H40" s="835">
        <v>0</v>
      </c>
      <c r="I40" s="835">
        <v>0</v>
      </c>
      <c r="J40" s="835">
        <v>0</v>
      </c>
      <c r="K40" s="835">
        <v>0</v>
      </c>
      <c r="L40" s="835">
        <v>0</v>
      </c>
      <c r="M40" s="835">
        <v>0</v>
      </c>
      <c r="N40" s="835">
        <v>0</v>
      </c>
      <c r="O40" s="835">
        <v>0</v>
      </c>
      <c r="P40" s="835">
        <v>0</v>
      </c>
      <c r="Q40" s="835">
        <v>0</v>
      </c>
      <c r="R40" s="835">
        <v>0</v>
      </c>
      <c r="S40" s="835">
        <v>0</v>
      </c>
      <c r="T40" s="835">
        <v>0</v>
      </c>
      <c r="V40" s="759" t="s">
        <v>884</v>
      </c>
      <c r="W40" s="773"/>
      <c r="AD40" s="111"/>
    </row>
    <row r="41" spans="1:30" ht="18">
      <c r="A41" s="819" t="s">
        <v>884</v>
      </c>
      <c r="B41" s="838"/>
      <c r="C41" s="838"/>
      <c r="D41" s="819"/>
      <c r="E41" s="810"/>
      <c r="F41" s="810"/>
      <c r="G41" s="810"/>
      <c r="H41" s="835"/>
      <c r="I41" s="835"/>
      <c r="J41" s="835"/>
      <c r="K41" s="835"/>
      <c r="L41" s="835"/>
      <c r="M41" s="835"/>
      <c r="N41" s="835"/>
      <c r="O41" s="835"/>
      <c r="P41" s="835"/>
      <c r="Q41" s="835"/>
      <c r="R41" s="835"/>
      <c r="S41" s="835"/>
      <c r="T41" s="835"/>
      <c r="V41" s="750"/>
      <c r="W41" s="635" t="s">
        <v>907</v>
      </c>
      <c r="X41" s="10">
        <f>+$S$244</f>
        <v>28089</v>
      </c>
      <c r="Y41" s="10">
        <f>+$T$244</f>
        <v>28084.416666666668</v>
      </c>
      <c r="Z41" s="10">
        <f>+$T$245</f>
        <v>3819211.71</v>
      </c>
      <c r="AA41" s="10">
        <f>+$T$238</f>
        <v>13042442.240000002</v>
      </c>
      <c r="AB41" s="10">
        <v>0</v>
      </c>
      <c r="AC41" s="10">
        <f>+$T$242</f>
        <v>30259333.300000004</v>
      </c>
      <c r="AD41" s="765">
        <f>SUM(AA41:AC41)</f>
        <v>43301775.540000007</v>
      </c>
    </row>
    <row r="42" spans="1:30" ht="18">
      <c r="A42" s="819" t="s">
        <v>884</v>
      </c>
      <c r="B42" s="819" t="s">
        <v>887</v>
      </c>
      <c r="C42" s="819" t="s">
        <v>14</v>
      </c>
      <c r="D42" s="819" t="s">
        <v>885</v>
      </c>
      <c r="E42" s="810"/>
      <c r="F42" s="810"/>
      <c r="G42" s="810"/>
      <c r="H42" s="835">
        <v>151835.00999999998</v>
      </c>
      <c r="I42" s="835">
        <v>156030.11000000002</v>
      </c>
      <c r="J42" s="835">
        <v>154558.32</v>
      </c>
      <c r="K42" s="835">
        <v>196051.02999999997</v>
      </c>
      <c r="L42" s="835">
        <v>350760.43</v>
      </c>
      <c r="M42" s="835">
        <v>351418.25000000012</v>
      </c>
      <c r="N42" s="835">
        <v>476264.72000000009</v>
      </c>
      <c r="O42" s="835">
        <v>450693.02999999991</v>
      </c>
      <c r="P42" s="835">
        <v>462600.98999999987</v>
      </c>
      <c r="Q42" s="835">
        <v>253466.84999999998</v>
      </c>
      <c r="R42" s="835">
        <v>255559.24999999991</v>
      </c>
      <c r="S42" s="835">
        <v>250147.98000000004</v>
      </c>
      <c r="T42" s="835">
        <v>3509385.9699999997</v>
      </c>
      <c r="V42" s="750"/>
      <c r="W42" s="635" t="s">
        <v>465</v>
      </c>
      <c r="X42" s="10">
        <f>+$S$253</f>
        <v>28</v>
      </c>
      <c r="Y42" s="10">
        <f>+$T$253</f>
        <v>27.833333333333332</v>
      </c>
      <c r="Z42" s="10">
        <f>+$T$254</f>
        <v>224812.68399999998</v>
      </c>
      <c r="AA42" s="10">
        <f>+$T$247</f>
        <v>289555.15999999997</v>
      </c>
      <c r="AB42" s="10">
        <v>0</v>
      </c>
      <c r="AC42" s="10">
        <f>+$T$251</f>
        <v>1755859.54</v>
      </c>
      <c r="AD42" s="765">
        <f>SUM(AA42:AC42)</f>
        <v>2045414.7</v>
      </c>
    </row>
    <row r="43" spans="1:30" ht="18.75" thickBot="1">
      <c r="A43" s="819" t="s">
        <v>884</v>
      </c>
      <c r="B43" s="819"/>
      <c r="C43" s="819"/>
      <c r="D43" s="819" t="s">
        <v>885</v>
      </c>
      <c r="E43" s="810"/>
      <c r="F43" s="810"/>
      <c r="G43" s="810"/>
      <c r="H43" s="835"/>
      <c r="I43" s="835"/>
      <c r="J43" s="835"/>
      <c r="K43" s="835"/>
      <c r="L43" s="835"/>
      <c r="M43" s="835"/>
      <c r="N43" s="835"/>
      <c r="O43" s="835"/>
      <c r="P43" s="835"/>
      <c r="Q43" s="835"/>
      <c r="R43" s="835"/>
      <c r="S43" s="835"/>
      <c r="T43" s="835"/>
      <c r="V43" s="752"/>
      <c r="W43" s="766" t="s">
        <v>746</v>
      </c>
      <c r="X43" s="767">
        <f>+$S$262</f>
        <v>1</v>
      </c>
      <c r="Y43" s="767">
        <f>+$T$262</f>
        <v>1</v>
      </c>
      <c r="Z43" s="767">
        <f>+$T$263</f>
        <v>3791.5159999999996</v>
      </c>
      <c r="AA43" s="767">
        <f>+$T$256</f>
        <v>25838.856622309999</v>
      </c>
      <c r="AB43" s="767">
        <v>0</v>
      </c>
      <c r="AC43" s="767">
        <f>+$T$260</f>
        <v>28529.2419763</v>
      </c>
      <c r="AD43" s="768">
        <f>SUM(AA43:AC43)</f>
        <v>54368.098598609999</v>
      </c>
    </row>
    <row r="44" spans="1:30" ht="18">
      <c r="A44" s="819" t="s">
        <v>884</v>
      </c>
      <c r="B44" s="838"/>
      <c r="C44" s="819" t="s">
        <v>15</v>
      </c>
      <c r="D44" s="819" t="s">
        <v>885</v>
      </c>
      <c r="E44" s="810"/>
      <c r="F44" s="810"/>
      <c r="G44" s="810"/>
      <c r="H44" s="835">
        <v>131991.14000000001</v>
      </c>
      <c r="I44" s="835">
        <v>128328</v>
      </c>
      <c r="J44" s="835">
        <v>131927.12000000002</v>
      </c>
      <c r="K44" s="835">
        <v>183710.24000000005</v>
      </c>
      <c r="L44" s="835">
        <v>211915.3</v>
      </c>
      <c r="M44" s="835">
        <v>242286.41</v>
      </c>
      <c r="N44" s="835">
        <v>255852.50000000006</v>
      </c>
      <c r="O44" s="835">
        <v>239246.90000000005</v>
      </c>
      <c r="P44" s="835">
        <v>243364.88000000003</v>
      </c>
      <c r="Q44" s="835">
        <v>149742.47999999998</v>
      </c>
      <c r="R44" s="835">
        <v>141134.88999999996</v>
      </c>
      <c r="S44" s="835">
        <v>136389.41999999998</v>
      </c>
      <c r="T44" s="835">
        <v>2195889.2800000003</v>
      </c>
      <c r="V44" s="750"/>
      <c r="W44" s="635" t="s">
        <v>95</v>
      </c>
      <c r="X44" s="10">
        <f t="shared" ref="X44:AD44" si="5">SUM(X41:X43)</f>
        <v>28118</v>
      </c>
      <c r="Y44" s="10">
        <f>SUM(Y41:Y43)</f>
        <v>28113.25</v>
      </c>
      <c r="Z44" s="10">
        <f t="shared" si="5"/>
        <v>4047815.9099999997</v>
      </c>
      <c r="AA44" s="10">
        <f t="shared" si="5"/>
        <v>13357836.256622313</v>
      </c>
      <c r="AB44" s="10">
        <f t="shared" si="5"/>
        <v>0</v>
      </c>
      <c r="AC44" s="10">
        <f t="shared" si="5"/>
        <v>32043722.081976302</v>
      </c>
      <c r="AD44" s="765">
        <f t="shared" si="5"/>
        <v>45401558.338598616</v>
      </c>
    </row>
    <row r="45" spans="1:30" ht="18">
      <c r="A45" s="819" t="s">
        <v>884</v>
      </c>
      <c r="B45" s="819"/>
      <c r="C45" s="819"/>
      <c r="D45" s="819" t="s">
        <v>885</v>
      </c>
      <c r="E45" s="810"/>
      <c r="F45" s="810"/>
      <c r="G45" s="810"/>
      <c r="H45" s="835"/>
      <c r="I45" s="835"/>
      <c r="J45" s="835"/>
      <c r="K45" s="835"/>
      <c r="L45" s="835"/>
      <c r="M45" s="835"/>
      <c r="N45" s="835"/>
      <c r="O45" s="835"/>
      <c r="P45" s="835"/>
      <c r="Q45" s="835"/>
      <c r="R45" s="835"/>
      <c r="S45" s="835"/>
      <c r="T45" s="835"/>
      <c r="V45" s="750"/>
      <c r="W45" s="635"/>
      <c r="X45" s="10"/>
      <c r="Y45" s="10"/>
      <c r="Z45" s="10"/>
      <c r="AA45" s="10"/>
      <c r="AB45" s="10"/>
      <c r="AC45" s="10"/>
      <c r="AD45" s="765"/>
    </row>
    <row r="46" spans="1:30" ht="18">
      <c r="A46" s="819" t="s">
        <v>884</v>
      </c>
      <c r="B46" s="838"/>
      <c r="C46" s="838" t="s">
        <v>16</v>
      </c>
      <c r="D46" s="819" t="s">
        <v>885</v>
      </c>
      <c r="E46" s="810"/>
      <c r="F46" s="810"/>
      <c r="G46" s="810"/>
      <c r="H46" s="837">
        <v>832139.69000000018</v>
      </c>
      <c r="I46" s="837">
        <v>963579.91000000027</v>
      </c>
      <c r="J46" s="837">
        <v>1024901.9900000001</v>
      </c>
      <c r="K46" s="837">
        <v>1413683.7700000003</v>
      </c>
      <c r="L46" s="837">
        <v>1615492.0399999998</v>
      </c>
      <c r="M46" s="837">
        <v>1849406.1800000002</v>
      </c>
      <c r="N46" s="837">
        <v>1952962.7</v>
      </c>
      <c r="O46" s="837">
        <v>1826208.6699999995</v>
      </c>
      <c r="P46" s="837">
        <v>2234512.9000000008</v>
      </c>
      <c r="Q46" s="837">
        <v>1672859.25</v>
      </c>
      <c r="R46" s="837">
        <v>1543984.0699999996</v>
      </c>
      <c r="S46" s="837">
        <v>1497488.2399999998</v>
      </c>
      <c r="T46" s="837">
        <v>18427219.41</v>
      </c>
      <c r="V46" s="748"/>
      <c r="W46" s="635" t="s">
        <v>634</v>
      </c>
      <c r="X46" s="10"/>
      <c r="Y46" s="10"/>
      <c r="Z46" s="10"/>
      <c r="AA46" s="10">
        <f>+$T$319</f>
        <v>17708.80999999991</v>
      </c>
      <c r="AB46" s="10"/>
      <c r="AC46" s="10"/>
      <c r="AD46" s="765">
        <f>SUM(AA46:AC46)</f>
        <v>17708.80999999991</v>
      </c>
    </row>
    <row r="47" spans="1:30" ht="18.75" thickBot="1">
      <c r="A47" s="819" t="s">
        <v>884</v>
      </c>
      <c r="B47" s="838"/>
      <c r="C47" s="819" t="s">
        <v>17</v>
      </c>
      <c r="D47" s="819" t="s">
        <v>885</v>
      </c>
      <c r="E47" s="810"/>
      <c r="F47" s="810"/>
      <c r="G47" s="810"/>
      <c r="H47" s="835">
        <v>1115965.8400000003</v>
      </c>
      <c r="I47" s="835">
        <v>1247938.0200000003</v>
      </c>
      <c r="J47" s="835">
        <v>1311387.4300000002</v>
      </c>
      <c r="K47" s="835">
        <v>1793445.0400000003</v>
      </c>
      <c r="L47" s="835">
        <v>2178167.7699999996</v>
      </c>
      <c r="M47" s="835">
        <v>2443110.8400000003</v>
      </c>
      <c r="N47" s="835">
        <v>2685079.92</v>
      </c>
      <c r="O47" s="835">
        <v>2516148.5999999996</v>
      </c>
      <c r="P47" s="835">
        <v>2940478.7700000005</v>
      </c>
      <c r="Q47" s="835">
        <v>2076068.58</v>
      </c>
      <c r="R47" s="835">
        <v>1940678.2099999995</v>
      </c>
      <c r="S47" s="835">
        <v>1884025.6399999997</v>
      </c>
      <c r="T47" s="835">
        <v>24132494.66</v>
      </c>
      <c r="U47" t="s">
        <v>1175</v>
      </c>
      <c r="V47" s="748"/>
      <c r="W47" s="766" t="s">
        <v>103</v>
      </c>
      <c r="X47" s="767"/>
      <c r="Y47" s="767"/>
      <c r="Z47" s="767"/>
      <c r="AA47" s="767">
        <f>+$T$320</f>
        <v>107131.26999999999</v>
      </c>
      <c r="AB47" s="767"/>
      <c r="AC47" s="767"/>
      <c r="AD47" s="768">
        <f>SUM(AA47:AC47)</f>
        <v>107131.26999999999</v>
      </c>
    </row>
    <row r="48" spans="1:30" ht="18">
      <c r="A48" s="819" t="s">
        <v>884</v>
      </c>
      <c r="B48" s="838"/>
      <c r="C48" s="819" t="s">
        <v>886</v>
      </c>
      <c r="D48" s="819" t="s">
        <v>885</v>
      </c>
      <c r="E48" s="810"/>
      <c r="F48" s="810"/>
      <c r="G48" s="810"/>
      <c r="H48" s="835">
        <v>488</v>
      </c>
      <c r="I48" s="835">
        <v>484</v>
      </c>
      <c r="J48" s="835">
        <v>483</v>
      </c>
      <c r="K48" s="835">
        <v>481</v>
      </c>
      <c r="L48" s="835">
        <v>481</v>
      </c>
      <c r="M48" s="835">
        <v>480</v>
      </c>
      <c r="N48" s="835">
        <v>486</v>
      </c>
      <c r="O48" s="835">
        <v>486</v>
      </c>
      <c r="P48" s="835">
        <v>486</v>
      </c>
      <c r="Q48" s="835">
        <v>486</v>
      </c>
      <c r="R48" s="835">
        <v>486</v>
      </c>
      <c r="S48" s="835">
        <v>486</v>
      </c>
      <c r="T48" s="835">
        <v>484.41666666666669</v>
      </c>
      <c r="V48" s="754"/>
      <c r="W48" s="635" t="s">
        <v>904</v>
      </c>
      <c r="X48" s="10"/>
      <c r="Y48" s="10"/>
      <c r="Z48" s="10"/>
      <c r="AA48" s="10">
        <f>SUM(AA46:AA47)</f>
        <v>124840.0799999999</v>
      </c>
      <c r="AB48" s="10"/>
      <c r="AC48" s="10"/>
      <c r="AD48" s="765">
        <f>SUM(AD46:AD47)</f>
        <v>124840.0799999999</v>
      </c>
    </row>
    <row r="49" spans="1:30" ht="18">
      <c r="A49" s="819" t="s">
        <v>884</v>
      </c>
      <c r="B49" s="838"/>
      <c r="C49" s="838" t="s">
        <v>18</v>
      </c>
      <c r="D49" s="819" t="s">
        <v>885</v>
      </c>
      <c r="E49" s="810"/>
      <c r="F49" s="810"/>
      <c r="G49" s="810"/>
      <c r="H49" s="835">
        <v>160341.32799999998</v>
      </c>
      <c r="I49" s="835">
        <v>163272.96800000002</v>
      </c>
      <c r="J49" s="835">
        <v>169490.07699999999</v>
      </c>
      <c r="K49" s="835">
        <v>235371.90900000004</v>
      </c>
      <c r="L49" s="835">
        <v>220095.05200000003</v>
      </c>
      <c r="M49" s="835">
        <v>259687.84399999995</v>
      </c>
      <c r="N49" s="835">
        <v>274228.99900000001</v>
      </c>
      <c r="O49" s="835">
        <v>256436.26499999998</v>
      </c>
      <c r="P49" s="835">
        <v>260843.96099999995</v>
      </c>
      <c r="Q49" s="835">
        <v>194996.20600000001</v>
      </c>
      <c r="R49" s="835">
        <v>180607.61399999997</v>
      </c>
      <c r="S49" s="835">
        <v>175168.79500000004</v>
      </c>
      <c r="T49" s="835">
        <v>2550541.0180000002</v>
      </c>
      <c r="V49" s="748"/>
      <c r="W49" s="764"/>
      <c r="AD49" s="111"/>
    </row>
    <row r="50" spans="1:30" ht="18">
      <c r="A50" s="819" t="s">
        <v>884</v>
      </c>
      <c r="B50" s="838"/>
      <c r="C50" s="838"/>
      <c r="D50" s="838"/>
      <c r="E50" s="810"/>
      <c r="F50" s="810"/>
      <c r="G50" s="810"/>
      <c r="H50" s="835"/>
      <c r="I50" s="835"/>
      <c r="J50" s="835"/>
      <c r="K50" s="835"/>
      <c r="L50" s="835"/>
      <c r="M50" s="835"/>
      <c r="N50" s="835"/>
      <c r="O50" s="835"/>
      <c r="P50" s="835"/>
      <c r="Q50" s="835"/>
      <c r="R50" s="835"/>
      <c r="S50" s="835"/>
      <c r="T50" s="835"/>
      <c r="V50" s="748"/>
      <c r="W50" s="764"/>
      <c r="AD50" s="111"/>
    </row>
    <row r="51" spans="1:30" ht="18">
      <c r="A51" s="819" t="s">
        <v>884</v>
      </c>
      <c r="B51" s="819" t="s">
        <v>747</v>
      </c>
      <c r="C51" s="819" t="s">
        <v>14</v>
      </c>
      <c r="D51" s="819" t="s">
        <v>885</v>
      </c>
      <c r="E51" s="810"/>
      <c r="F51" s="810"/>
      <c r="G51" s="810"/>
      <c r="H51" s="835">
        <v>0</v>
      </c>
      <c r="I51" s="835">
        <v>0</v>
      </c>
      <c r="J51" s="835">
        <v>0</v>
      </c>
      <c r="K51" s="835">
        <v>0</v>
      </c>
      <c r="L51" s="835">
        <v>0</v>
      </c>
      <c r="M51" s="835">
        <v>0</v>
      </c>
      <c r="N51" s="835">
        <v>0</v>
      </c>
      <c r="O51" s="835">
        <v>0</v>
      </c>
      <c r="P51" s="835">
        <v>0</v>
      </c>
      <c r="Q51" s="835">
        <v>0</v>
      </c>
      <c r="R51" s="835">
        <v>0</v>
      </c>
      <c r="S51" s="835">
        <v>0</v>
      </c>
      <c r="T51" s="835">
        <v>0</v>
      </c>
      <c r="V51" s="748" t="s">
        <v>888</v>
      </c>
      <c r="W51" s="764"/>
      <c r="AD51" s="111"/>
    </row>
    <row r="52" spans="1:30" ht="18">
      <c r="A52" s="819" t="s">
        <v>884</v>
      </c>
      <c r="B52" s="819"/>
      <c r="C52" s="819" t="s">
        <v>15</v>
      </c>
      <c r="D52" s="819" t="s">
        <v>885</v>
      </c>
      <c r="E52" s="810"/>
      <c r="F52" s="810"/>
      <c r="G52" s="810"/>
      <c r="H52" s="835"/>
      <c r="I52" s="835"/>
      <c r="J52" s="835"/>
      <c r="K52" s="835"/>
      <c r="L52" s="835"/>
      <c r="M52" s="835"/>
      <c r="N52" s="835"/>
      <c r="O52" s="835"/>
      <c r="P52" s="835"/>
      <c r="Q52" s="835"/>
      <c r="R52" s="835"/>
      <c r="S52" s="835"/>
      <c r="T52" s="835"/>
      <c r="V52" s="748"/>
      <c r="W52" s="635" t="s">
        <v>908</v>
      </c>
      <c r="X52" s="10">
        <f>+$S$289</f>
        <v>0</v>
      </c>
      <c r="Y52" s="10">
        <f>+$T$289</f>
        <v>0</v>
      </c>
      <c r="Z52" s="10">
        <f>+$T$290</f>
        <v>0</v>
      </c>
      <c r="AA52" s="10">
        <f>+$T$283</f>
        <v>0</v>
      </c>
      <c r="AB52" s="10">
        <f>+$T$285</f>
        <v>0</v>
      </c>
      <c r="AC52" s="10">
        <f>+$T$287</f>
        <v>0</v>
      </c>
      <c r="AD52" s="765">
        <f>SUM(AA52:AC52)</f>
        <v>0</v>
      </c>
    </row>
    <row r="53" spans="1:30" ht="18.75" thickBot="1">
      <c r="A53" s="819" t="s">
        <v>884</v>
      </c>
      <c r="B53" s="819"/>
      <c r="C53" s="819" t="s">
        <v>748</v>
      </c>
      <c r="D53" s="819" t="s">
        <v>885</v>
      </c>
      <c r="E53" s="810"/>
      <c r="F53" s="810"/>
      <c r="G53" s="810"/>
      <c r="H53" s="835">
        <v>0</v>
      </c>
      <c r="I53" s="835">
        <v>0</v>
      </c>
      <c r="J53" s="835">
        <v>0</v>
      </c>
      <c r="K53" s="835">
        <v>0</v>
      </c>
      <c r="L53" s="835">
        <v>0</v>
      </c>
      <c r="M53" s="835">
        <v>0</v>
      </c>
      <c r="N53" s="835">
        <v>0</v>
      </c>
      <c r="O53" s="835">
        <v>0</v>
      </c>
      <c r="P53" s="835">
        <v>0</v>
      </c>
      <c r="Q53" s="835">
        <v>0</v>
      </c>
      <c r="R53" s="835">
        <v>0</v>
      </c>
      <c r="S53" s="835">
        <v>0</v>
      </c>
      <c r="T53" s="835">
        <v>0</v>
      </c>
      <c r="V53" s="752"/>
      <c r="W53" s="766" t="s">
        <v>624</v>
      </c>
      <c r="X53" s="767">
        <f>+$S$280</f>
        <v>4</v>
      </c>
      <c r="Y53" s="767">
        <f>+$T$280</f>
        <v>4</v>
      </c>
      <c r="Z53" s="767">
        <f>+$T$281</f>
        <v>87551.849000000002</v>
      </c>
      <c r="AA53" s="767">
        <f>+$T$274</f>
        <v>38776.410000000003</v>
      </c>
      <c r="AB53" s="767">
        <f>+$T$276</f>
        <v>-346.29999999999984</v>
      </c>
      <c r="AC53" s="767">
        <f>+$T$278</f>
        <v>723134.59000000008</v>
      </c>
      <c r="AD53" s="768">
        <f>SUM(AA53:AC53)</f>
        <v>761564.70000000007</v>
      </c>
    </row>
    <row r="54" spans="1:30" ht="18">
      <c r="A54" s="819" t="s">
        <v>884</v>
      </c>
      <c r="B54" s="819"/>
      <c r="C54" s="819" t="s">
        <v>749</v>
      </c>
      <c r="D54" s="819" t="s">
        <v>885</v>
      </c>
      <c r="E54" s="810"/>
      <c r="F54" s="810"/>
      <c r="G54" s="810"/>
      <c r="H54" s="835"/>
      <c r="I54" s="835"/>
      <c r="J54" s="835"/>
      <c r="K54" s="835"/>
      <c r="L54" s="835"/>
      <c r="M54" s="835"/>
      <c r="N54" s="835"/>
      <c r="O54" s="835"/>
      <c r="P54" s="835"/>
      <c r="Q54" s="835"/>
      <c r="R54" s="835"/>
      <c r="S54" s="835"/>
      <c r="T54" s="835"/>
      <c r="V54" s="750"/>
      <c r="W54" s="635" t="s">
        <v>96</v>
      </c>
      <c r="X54" s="10">
        <f t="shared" ref="X54:AD54" si="6">SUM(X52:X53)</f>
        <v>4</v>
      </c>
      <c r="Y54" s="10">
        <f>SUM(Y52:Y53)</f>
        <v>4</v>
      </c>
      <c r="Z54" s="10">
        <f t="shared" si="6"/>
        <v>87551.849000000002</v>
      </c>
      <c r="AA54" s="10">
        <f t="shared" si="6"/>
        <v>38776.410000000003</v>
      </c>
      <c r="AB54" s="10">
        <f t="shared" si="6"/>
        <v>-346.29999999999984</v>
      </c>
      <c r="AC54" s="10">
        <f t="shared" si="6"/>
        <v>723134.59000000008</v>
      </c>
      <c r="AD54" s="765">
        <f t="shared" si="6"/>
        <v>761564.70000000007</v>
      </c>
    </row>
    <row r="55" spans="1:30" ht="18">
      <c r="A55" s="819" t="s">
        <v>884</v>
      </c>
      <c r="B55" s="819"/>
      <c r="C55" s="819" t="s">
        <v>750</v>
      </c>
      <c r="D55" s="819" t="s">
        <v>885</v>
      </c>
      <c r="E55" s="810"/>
      <c r="F55" s="810"/>
      <c r="G55" s="810"/>
      <c r="H55" s="837">
        <v>0</v>
      </c>
      <c r="I55" s="837">
        <v>0</v>
      </c>
      <c r="J55" s="837">
        <v>0</v>
      </c>
      <c r="K55" s="837">
        <v>0</v>
      </c>
      <c r="L55" s="837">
        <v>0</v>
      </c>
      <c r="M55" s="837">
        <v>0</v>
      </c>
      <c r="N55" s="837">
        <v>0</v>
      </c>
      <c r="O55" s="837">
        <v>0</v>
      </c>
      <c r="P55" s="837">
        <v>0</v>
      </c>
      <c r="Q55" s="837">
        <v>0</v>
      </c>
      <c r="R55" s="837">
        <v>0</v>
      </c>
      <c r="S55" s="837">
        <v>0</v>
      </c>
      <c r="T55" s="837">
        <v>0</v>
      </c>
      <c r="V55" s="750"/>
      <c r="W55" s="635"/>
      <c r="X55" s="10"/>
      <c r="Y55" s="10"/>
      <c r="Z55" s="10"/>
      <c r="AA55" s="10"/>
      <c r="AB55" s="10"/>
      <c r="AC55" s="10"/>
      <c r="AD55" s="765"/>
    </row>
    <row r="56" spans="1:30" ht="18">
      <c r="A56" s="819" t="s">
        <v>884</v>
      </c>
      <c r="B56" s="819"/>
      <c r="C56" s="819" t="s">
        <v>17</v>
      </c>
      <c r="D56" s="819" t="s">
        <v>885</v>
      </c>
      <c r="E56" s="810"/>
      <c r="F56" s="810"/>
      <c r="G56" s="810"/>
      <c r="H56" s="835">
        <v>0</v>
      </c>
      <c r="I56" s="835">
        <v>0</v>
      </c>
      <c r="J56" s="835">
        <v>0</v>
      </c>
      <c r="K56" s="835">
        <v>0</v>
      </c>
      <c r="L56" s="835">
        <v>0</v>
      </c>
      <c r="M56" s="835">
        <v>0</v>
      </c>
      <c r="N56" s="835">
        <v>0</v>
      </c>
      <c r="O56" s="835">
        <v>0</v>
      </c>
      <c r="P56" s="835">
        <v>0</v>
      </c>
      <c r="Q56" s="835">
        <v>0</v>
      </c>
      <c r="R56" s="835">
        <v>0</v>
      </c>
      <c r="S56" s="835">
        <v>0</v>
      </c>
      <c r="T56" s="835">
        <v>0</v>
      </c>
      <c r="V56" s="748" t="s">
        <v>892</v>
      </c>
      <c r="W56" s="764"/>
      <c r="AD56" s="111"/>
    </row>
    <row r="57" spans="1:30" ht="18">
      <c r="A57" s="819" t="s">
        <v>884</v>
      </c>
      <c r="B57" s="819"/>
      <c r="C57" s="819" t="s">
        <v>886</v>
      </c>
      <c r="D57" s="819" t="s">
        <v>885</v>
      </c>
      <c r="E57" s="810"/>
      <c r="F57" s="810"/>
      <c r="G57" s="810"/>
      <c r="H57" s="835">
        <v>0</v>
      </c>
      <c r="I57" s="835">
        <v>0</v>
      </c>
      <c r="J57" s="835">
        <v>0</v>
      </c>
      <c r="K57" s="835">
        <v>0</v>
      </c>
      <c r="L57" s="835">
        <v>0</v>
      </c>
      <c r="M57" s="835">
        <v>0</v>
      </c>
      <c r="N57" s="835">
        <v>0</v>
      </c>
      <c r="O57" s="835">
        <v>0</v>
      </c>
      <c r="P57" s="835">
        <v>0</v>
      </c>
      <c r="Q57" s="835">
        <v>0</v>
      </c>
      <c r="R57" s="835">
        <v>0</v>
      </c>
      <c r="S57" s="835">
        <v>0</v>
      </c>
      <c r="T57" s="835">
        <v>0</v>
      </c>
      <c r="V57" s="748"/>
      <c r="W57" s="764" t="s">
        <v>909</v>
      </c>
      <c r="X57" s="10">
        <f>+$S$316</f>
        <v>2</v>
      </c>
      <c r="Y57" s="10">
        <f>+$T$316</f>
        <v>2</v>
      </c>
      <c r="Z57" s="10">
        <f>+$T$317</f>
        <v>286300</v>
      </c>
      <c r="AA57" s="10">
        <f>+$T$310</f>
        <v>23862.760000000002</v>
      </c>
      <c r="AB57" s="10">
        <v>0</v>
      </c>
      <c r="AC57" s="10">
        <f>+$T$314</f>
        <v>0</v>
      </c>
      <c r="AD57" s="765">
        <f>SUM(AA57:AC57)</f>
        <v>23862.760000000002</v>
      </c>
    </row>
    <row r="58" spans="1:30" ht="18.75" thickBot="1">
      <c r="A58" s="819" t="s">
        <v>884</v>
      </c>
      <c r="B58" s="819"/>
      <c r="C58" s="819" t="s">
        <v>73</v>
      </c>
      <c r="D58" s="819" t="s">
        <v>885</v>
      </c>
      <c r="E58" s="810"/>
      <c r="F58" s="810"/>
      <c r="G58" s="810"/>
      <c r="H58" s="835">
        <v>0</v>
      </c>
      <c r="I58" s="835">
        <v>0</v>
      </c>
      <c r="J58" s="835">
        <v>0</v>
      </c>
      <c r="K58" s="835">
        <v>0</v>
      </c>
      <c r="L58" s="835">
        <v>0</v>
      </c>
      <c r="M58" s="835">
        <v>0</v>
      </c>
      <c r="N58" s="835">
        <v>0</v>
      </c>
      <c r="O58" s="835">
        <v>0</v>
      </c>
      <c r="P58" s="835">
        <v>0</v>
      </c>
      <c r="Q58" s="835">
        <v>0</v>
      </c>
      <c r="R58" s="835">
        <v>0</v>
      </c>
      <c r="S58" s="835">
        <v>0</v>
      </c>
      <c r="T58" s="835">
        <v>0</v>
      </c>
      <c r="V58" s="755"/>
      <c r="W58" s="769" t="s">
        <v>80</v>
      </c>
      <c r="X58" s="767">
        <f>+$S$307</f>
        <v>3</v>
      </c>
      <c r="Y58" s="767">
        <f>+$T$307</f>
        <v>3</v>
      </c>
      <c r="Z58" s="767">
        <f>+$T$308</f>
        <v>184143</v>
      </c>
      <c r="AA58" s="767">
        <f>+$T$301</f>
        <v>75685.260000000009</v>
      </c>
      <c r="AB58" s="767">
        <v>0</v>
      </c>
      <c r="AC58" s="767">
        <f>+$T$305</f>
        <v>0</v>
      </c>
      <c r="AD58" s="768">
        <f>SUM(AA58:AC58)</f>
        <v>75685.260000000009</v>
      </c>
    </row>
    <row r="59" spans="1:30" ht="18">
      <c r="A59" s="819" t="s">
        <v>884</v>
      </c>
      <c r="B59" s="838"/>
      <c r="C59" s="838"/>
      <c r="D59" s="819"/>
      <c r="E59" s="810"/>
      <c r="F59" s="810"/>
      <c r="G59" s="810"/>
      <c r="H59" s="835"/>
      <c r="I59" s="835"/>
      <c r="J59" s="835"/>
      <c r="K59" s="835"/>
      <c r="L59" s="835"/>
      <c r="M59" s="835"/>
      <c r="N59" s="835"/>
      <c r="O59" s="835"/>
      <c r="P59" s="835"/>
      <c r="Q59" s="835"/>
      <c r="R59" s="835"/>
      <c r="S59" s="835"/>
      <c r="T59" s="835"/>
      <c r="V59" s="748"/>
      <c r="W59" s="764" t="s">
        <v>97</v>
      </c>
      <c r="X59" s="10">
        <f t="shared" ref="X59:AD59" si="7">SUM(X57:X58)</f>
        <v>5</v>
      </c>
      <c r="Y59" s="10">
        <f>SUM(Y57:Y58)</f>
        <v>5</v>
      </c>
      <c r="Z59" s="10">
        <f t="shared" si="7"/>
        <v>470443</v>
      </c>
      <c r="AA59" s="10">
        <f t="shared" si="7"/>
        <v>99548.020000000019</v>
      </c>
      <c r="AB59" s="10">
        <f t="shared" si="7"/>
        <v>0</v>
      </c>
      <c r="AC59" s="10">
        <f t="shared" si="7"/>
        <v>0</v>
      </c>
      <c r="AD59" s="765">
        <f t="shared" si="7"/>
        <v>99548.020000000019</v>
      </c>
    </row>
    <row r="60" spans="1:30" ht="18">
      <c r="A60" s="819" t="s">
        <v>884</v>
      </c>
      <c r="B60" s="819" t="s">
        <v>746</v>
      </c>
      <c r="C60" s="819" t="s">
        <v>14</v>
      </c>
      <c r="D60" s="819" t="s">
        <v>885</v>
      </c>
      <c r="E60" s="810"/>
      <c r="F60" s="810"/>
      <c r="G60" s="810"/>
      <c r="H60" s="835">
        <v>183013.67577424995</v>
      </c>
      <c r="I60" s="835">
        <v>188408.6490183</v>
      </c>
      <c r="J60" s="835">
        <v>237089.32819989999</v>
      </c>
      <c r="K60" s="835">
        <v>189784.16646635009</v>
      </c>
      <c r="L60" s="835">
        <v>220346.93791510002</v>
      </c>
      <c r="M60" s="835">
        <v>158918.91588425002</v>
      </c>
      <c r="N60" s="835">
        <v>179517.73115911003</v>
      </c>
      <c r="O60" s="835">
        <v>229383.73354100002</v>
      </c>
      <c r="P60" s="835">
        <v>204465.96632600008</v>
      </c>
      <c r="Q60" s="835">
        <v>189837.43217053005</v>
      </c>
      <c r="R60" s="835">
        <v>189447.61430197</v>
      </c>
      <c r="S60" s="835">
        <v>203105.26503559004</v>
      </c>
      <c r="T60" s="835">
        <v>2373319.4157923507</v>
      </c>
      <c r="V60" s="748"/>
      <c r="W60" s="764"/>
      <c r="AD60" s="111"/>
    </row>
    <row r="61" spans="1:30" ht="18">
      <c r="A61" s="819" t="s">
        <v>884</v>
      </c>
      <c r="B61" s="819"/>
      <c r="C61" s="819"/>
      <c r="D61" s="819" t="s">
        <v>885</v>
      </c>
      <c r="E61" s="810"/>
      <c r="F61" s="810"/>
      <c r="G61" s="810"/>
      <c r="H61" s="835"/>
      <c r="I61" s="835"/>
      <c r="J61" s="835"/>
      <c r="K61" s="835"/>
      <c r="L61" s="835"/>
      <c r="M61" s="835"/>
      <c r="N61" s="835"/>
      <c r="O61" s="835"/>
      <c r="P61" s="835"/>
      <c r="Q61" s="835"/>
      <c r="R61" s="835"/>
      <c r="S61" s="835"/>
      <c r="T61" s="835"/>
      <c r="V61" s="750"/>
      <c r="W61" s="635" t="s">
        <v>910</v>
      </c>
      <c r="X61" s="770">
        <f t="shared" ref="X61:AD61" si="8">+X59+X54+X44+X48</f>
        <v>28127</v>
      </c>
      <c r="Y61" s="770">
        <f>+Y59+Y54+Y44+Y48</f>
        <v>28122.25</v>
      </c>
      <c r="Z61" s="770">
        <f t="shared" si="8"/>
        <v>4605810.7589999996</v>
      </c>
      <c r="AA61" s="770">
        <f t="shared" si="8"/>
        <v>13621000.766622312</v>
      </c>
      <c r="AB61" s="770">
        <f t="shared" si="8"/>
        <v>-346.29999999999984</v>
      </c>
      <c r="AC61" s="770">
        <f t="shared" si="8"/>
        <v>32766856.671976302</v>
      </c>
      <c r="AD61" s="771">
        <f t="shared" si="8"/>
        <v>46387511.138598613</v>
      </c>
    </row>
    <row r="62" spans="1:30" ht="18.75" thickBot="1">
      <c r="A62" s="819" t="s">
        <v>884</v>
      </c>
      <c r="B62" s="819"/>
      <c r="C62" s="819" t="s">
        <v>15</v>
      </c>
      <c r="D62" s="819" t="s">
        <v>885</v>
      </c>
      <c r="E62" s="810"/>
      <c r="F62" s="810"/>
      <c r="G62" s="810"/>
      <c r="H62" s="835">
        <v>22158.2036859</v>
      </c>
      <c r="I62" s="835">
        <v>21714.814372040004</v>
      </c>
      <c r="J62" s="835">
        <v>27255.692842120006</v>
      </c>
      <c r="K62" s="835">
        <v>21778.168733379993</v>
      </c>
      <c r="L62" s="835">
        <v>23338.135519879994</v>
      </c>
      <c r="M62" s="835">
        <v>13273.098999749998</v>
      </c>
      <c r="N62" s="835">
        <v>12667.609010970002</v>
      </c>
      <c r="O62" s="835">
        <v>15698.152106999998</v>
      </c>
      <c r="P62" s="835">
        <v>12342.599801999992</v>
      </c>
      <c r="Q62" s="835">
        <v>12988.761465689999</v>
      </c>
      <c r="R62" s="835">
        <v>12860.121276809999</v>
      </c>
      <c r="S62" s="835">
        <v>13787.420249070001</v>
      </c>
      <c r="T62" s="835">
        <v>209862.77806461003</v>
      </c>
      <c r="V62" s="752"/>
      <c r="W62" s="766"/>
      <c r="X62" s="864"/>
      <c r="Y62" s="864"/>
      <c r="Z62" s="864"/>
      <c r="AA62" s="864"/>
      <c r="AB62" s="864"/>
      <c r="AC62" s="864"/>
      <c r="AD62" s="865"/>
    </row>
    <row r="63" spans="1:30" ht="18">
      <c r="A63" s="819" t="s">
        <v>884</v>
      </c>
      <c r="B63" s="819"/>
      <c r="C63" s="819"/>
      <c r="D63" s="819" t="s">
        <v>885</v>
      </c>
      <c r="E63" s="810"/>
      <c r="F63" s="810"/>
      <c r="G63" s="810"/>
      <c r="H63" s="835"/>
      <c r="I63" s="835"/>
      <c r="J63" s="835"/>
      <c r="K63" s="835"/>
      <c r="L63" s="835"/>
      <c r="M63" s="835"/>
      <c r="N63" s="835"/>
      <c r="O63" s="835"/>
      <c r="P63" s="835"/>
      <c r="Q63" s="835"/>
      <c r="R63" s="835"/>
      <c r="S63" s="835"/>
      <c r="T63" s="835"/>
      <c r="V63" s="750"/>
      <c r="W63" s="635"/>
      <c r="X63" s="770"/>
      <c r="Y63" s="770"/>
      <c r="Z63" s="770"/>
      <c r="AA63" s="770"/>
      <c r="AB63" s="770"/>
      <c r="AC63" s="770"/>
      <c r="AD63" s="771"/>
    </row>
    <row r="64" spans="1:30" ht="18">
      <c r="A64" s="819" t="s">
        <v>884</v>
      </c>
      <c r="B64" s="819"/>
      <c r="C64" s="819" t="s">
        <v>16</v>
      </c>
      <c r="D64" s="819" t="s">
        <v>885</v>
      </c>
      <c r="E64" s="810"/>
      <c r="F64" s="810"/>
      <c r="G64" s="810"/>
      <c r="H64" s="837">
        <v>102853.92053985001</v>
      </c>
      <c r="I64" s="837">
        <v>100795.79660966003</v>
      </c>
      <c r="J64" s="837">
        <v>126515.43895798003</v>
      </c>
      <c r="K64" s="837">
        <v>101089.87480026997</v>
      </c>
      <c r="L64" s="837">
        <v>108330.92656501998</v>
      </c>
      <c r="M64" s="837">
        <v>124820.60511599998</v>
      </c>
      <c r="N64" s="837">
        <v>119126.55982992002</v>
      </c>
      <c r="O64" s="837">
        <v>147625.87435199998</v>
      </c>
      <c r="P64" s="837">
        <v>116070.16387199992</v>
      </c>
      <c r="Q64" s="837">
        <v>148462.00636377998</v>
      </c>
      <c r="R64" s="837">
        <v>146991.64442122</v>
      </c>
      <c r="S64" s="837">
        <v>157590.70471533999</v>
      </c>
      <c r="T64" s="837">
        <v>1500273.5161430398</v>
      </c>
      <c r="V64" s="748" t="s">
        <v>911</v>
      </c>
      <c r="W64" s="764"/>
      <c r="X64" s="10">
        <f t="shared" ref="X64:AD64" si="9">+X59+X54+X44+X34+X16</f>
        <v>1153907</v>
      </c>
      <c r="Y64" s="10">
        <f>+Y59+Y54+Y44+Y34+Y16</f>
        <v>1158148</v>
      </c>
      <c r="Z64" s="10">
        <f t="shared" si="9"/>
        <v>233723369.77200001</v>
      </c>
      <c r="AA64" s="10">
        <f t="shared" si="9"/>
        <v>491074653.98241478</v>
      </c>
      <c r="AB64" s="10">
        <f t="shared" si="9"/>
        <v>101684967.27806462</v>
      </c>
      <c r="AC64" s="10">
        <f t="shared" si="9"/>
        <v>948794979.96811926</v>
      </c>
      <c r="AD64" s="765">
        <f t="shared" si="9"/>
        <v>1541554601.2285986</v>
      </c>
    </row>
    <row r="65" spans="1:30" ht="18">
      <c r="A65" s="819" t="s">
        <v>884</v>
      </c>
      <c r="B65" s="819"/>
      <c r="C65" s="819" t="s">
        <v>17</v>
      </c>
      <c r="D65" s="819" t="s">
        <v>885</v>
      </c>
      <c r="E65" s="810"/>
      <c r="F65" s="810"/>
      <c r="G65" s="810"/>
      <c r="H65" s="835">
        <v>308025.79999999993</v>
      </c>
      <c r="I65" s="835">
        <v>310919.26</v>
      </c>
      <c r="J65" s="835">
        <v>390860.46</v>
      </c>
      <c r="K65" s="835">
        <v>312652.21000000002</v>
      </c>
      <c r="L65" s="835">
        <v>352016</v>
      </c>
      <c r="M65" s="835">
        <v>297012.62</v>
      </c>
      <c r="N65" s="835">
        <v>311311.90000000002</v>
      </c>
      <c r="O65" s="835">
        <v>392707.76</v>
      </c>
      <c r="P65" s="835">
        <v>332878.73</v>
      </c>
      <c r="Q65" s="835">
        <v>351288.20000000007</v>
      </c>
      <c r="R65" s="835">
        <v>349299.38</v>
      </c>
      <c r="S65" s="835">
        <v>374483.39</v>
      </c>
      <c r="T65" s="835">
        <v>4083455.7100000004</v>
      </c>
      <c r="U65" s="80"/>
      <c r="V65" s="748" t="s">
        <v>912</v>
      </c>
      <c r="W65" s="764"/>
      <c r="X65" s="10">
        <f t="shared" ref="X65:AD65" si="10">+X41+X13</f>
        <v>1152234</v>
      </c>
      <c r="Y65" s="10">
        <f>+Y41+Y13</f>
        <v>1156467.25</v>
      </c>
      <c r="Z65" s="10">
        <f t="shared" si="10"/>
        <v>125278608.94399999</v>
      </c>
      <c r="AA65" s="10">
        <f t="shared" si="10"/>
        <v>430428313.41000009</v>
      </c>
      <c r="AB65" s="10">
        <f t="shared" si="10"/>
        <v>97822065.770000011</v>
      </c>
      <c r="AC65" s="10">
        <f t="shared" si="10"/>
        <v>926359963.66999984</v>
      </c>
      <c r="AD65" s="765">
        <f t="shared" si="10"/>
        <v>1454610342.8499999</v>
      </c>
    </row>
    <row r="66" spans="1:30" ht="18">
      <c r="A66" s="819" t="s">
        <v>884</v>
      </c>
      <c r="B66" s="819"/>
      <c r="C66" s="819" t="s">
        <v>886</v>
      </c>
      <c r="D66" s="819" t="s">
        <v>885</v>
      </c>
      <c r="E66" s="810"/>
      <c r="F66" s="810"/>
      <c r="G66" s="810"/>
      <c r="H66" s="835">
        <v>1</v>
      </c>
      <c r="I66" s="835">
        <v>1</v>
      </c>
      <c r="J66" s="835">
        <v>1</v>
      </c>
      <c r="K66" s="835">
        <v>1</v>
      </c>
      <c r="L66" s="835">
        <v>1</v>
      </c>
      <c r="M66" s="835">
        <v>1</v>
      </c>
      <c r="N66" s="835">
        <v>1</v>
      </c>
      <c r="O66" s="835">
        <v>1</v>
      </c>
      <c r="P66" s="835">
        <v>1</v>
      </c>
      <c r="Q66" s="835">
        <v>1</v>
      </c>
      <c r="R66" s="835">
        <v>1</v>
      </c>
      <c r="S66" s="835">
        <v>1</v>
      </c>
      <c r="T66" s="835">
        <v>1</v>
      </c>
      <c r="U66" s="78"/>
      <c r="V66" s="748" t="s">
        <v>808</v>
      </c>
      <c r="W66" s="764"/>
      <c r="X66" s="10">
        <f t="shared" ref="X66:AD66" si="11">+X77-X65</f>
        <v>1691</v>
      </c>
      <c r="Y66" s="10">
        <f>+Y77-Y65</f>
        <v>1698.75</v>
      </c>
      <c r="Z66" s="10">
        <f t="shared" si="11"/>
        <v>108749944.37100004</v>
      </c>
      <c r="AA66" s="10">
        <f t="shared" si="11"/>
        <v>67216671.682414711</v>
      </c>
      <c r="AB66" s="10">
        <f t="shared" si="11"/>
        <v>3917208.7380646169</v>
      </c>
      <c r="AC66" s="10">
        <f t="shared" si="11"/>
        <v>24644492.348119378</v>
      </c>
      <c r="AD66" s="765">
        <f t="shared" si="11"/>
        <v>95778372.768598795</v>
      </c>
    </row>
    <row r="67" spans="1:30" ht="18">
      <c r="A67" s="819" t="s">
        <v>884</v>
      </c>
      <c r="B67" s="819"/>
      <c r="C67" s="819" t="s">
        <v>18</v>
      </c>
      <c r="D67" s="819" t="s">
        <v>885</v>
      </c>
      <c r="E67" s="810"/>
      <c r="F67" s="810"/>
      <c r="G67" s="810"/>
      <c r="H67" s="835">
        <v>21377.084999999999</v>
      </c>
      <c r="I67" s="835">
        <v>20949.326000000005</v>
      </c>
      <c r="J67" s="835">
        <v>26294.878000000004</v>
      </c>
      <c r="K67" s="835">
        <v>21010.446999999993</v>
      </c>
      <c r="L67" s="835">
        <v>22515.421999999995</v>
      </c>
      <c r="M67" s="835">
        <v>18842.324999999997</v>
      </c>
      <c r="N67" s="835">
        <v>17982.779000000002</v>
      </c>
      <c r="O67" s="835">
        <v>22284.899999999998</v>
      </c>
      <c r="P67" s="835">
        <v>17521.399999999987</v>
      </c>
      <c r="Q67" s="835">
        <v>18438.682999999997</v>
      </c>
      <c r="R67" s="835">
        <v>18256.066999999999</v>
      </c>
      <c r="S67" s="835">
        <v>19572.449000000001</v>
      </c>
      <c r="T67" s="835">
        <v>245045.76099999997</v>
      </c>
      <c r="V67" s="748" t="s">
        <v>809</v>
      </c>
      <c r="W67" s="764"/>
      <c r="X67" s="10">
        <f t="shared" ref="X67:AD67" si="12">+X16+X44</f>
        <v>1152750</v>
      </c>
      <c r="Y67" s="10">
        <f>+Y16+Y44</f>
        <v>1156981.5</v>
      </c>
      <c r="Z67" s="10">
        <f t="shared" si="12"/>
        <v>128302799.92300001</v>
      </c>
      <c r="AA67" s="10">
        <f t="shared" si="12"/>
        <v>436626412.81241477</v>
      </c>
      <c r="AB67" s="10">
        <f t="shared" si="12"/>
        <v>100227817.82806462</v>
      </c>
      <c r="AC67" s="10">
        <f t="shared" si="12"/>
        <v>948071845.37811923</v>
      </c>
      <c r="AD67" s="765">
        <f t="shared" si="12"/>
        <v>1484926076.0185988</v>
      </c>
    </row>
    <row r="68" spans="1:30" ht="21.75" customHeight="1">
      <c r="A68" s="819" t="s">
        <v>884</v>
      </c>
      <c r="B68" s="810"/>
      <c r="C68" s="810"/>
      <c r="D68" s="810"/>
      <c r="E68" s="810"/>
      <c r="F68" s="810"/>
      <c r="G68" s="810"/>
      <c r="H68" s="835"/>
      <c r="I68" s="835"/>
      <c r="J68" s="835"/>
      <c r="K68" s="835"/>
      <c r="L68" s="835"/>
      <c r="M68" s="835"/>
      <c r="N68" s="835"/>
      <c r="O68" s="835"/>
      <c r="P68" s="835"/>
      <c r="Q68" s="835"/>
      <c r="R68" s="835"/>
      <c r="S68" s="835"/>
      <c r="T68" s="835"/>
      <c r="V68" s="748" t="s">
        <v>913</v>
      </c>
      <c r="W68" s="764"/>
      <c r="X68" s="10">
        <f t="shared" ref="X68:AD68" si="13">+X54+X20</f>
        <v>22</v>
      </c>
      <c r="Y68" s="10">
        <f>+Y54+Y20</f>
        <v>22</v>
      </c>
      <c r="Z68" s="10">
        <f t="shared" si="13"/>
        <v>392735.39199999999</v>
      </c>
      <c r="AA68" s="10">
        <f t="shared" si="13"/>
        <v>294098.07</v>
      </c>
      <c r="AB68" s="10">
        <f t="shared" si="13"/>
        <v>53960.930000000008</v>
      </c>
      <c r="AC68" s="10">
        <f t="shared" si="13"/>
        <v>2932610.6400000006</v>
      </c>
      <c r="AD68" s="765">
        <f t="shared" si="13"/>
        <v>3280669.6400000006</v>
      </c>
    </row>
    <row r="69" spans="1:30" ht="18">
      <c r="A69" s="819" t="s">
        <v>884</v>
      </c>
      <c r="B69" s="819" t="s">
        <v>4</v>
      </c>
      <c r="C69" s="819" t="s">
        <v>14</v>
      </c>
      <c r="D69" s="819" t="s">
        <v>885</v>
      </c>
      <c r="E69" s="810"/>
      <c r="F69" s="810"/>
      <c r="G69" s="810"/>
      <c r="H69" s="835">
        <v>0</v>
      </c>
      <c r="I69" s="835">
        <v>0</v>
      </c>
      <c r="J69" s="835">
        <v>0</v>
      </c>
      <c r="K69" s="835">
        <v>0</v>
      </c>
      <c r="L69" s="835">
        <v>0</v>
      </c>
      <c r="M69" s="835">
        <v>0</v>
      </c>
      <c r="N69" s="835">
        <v>0</v>
      </c>
      <c r="O69" s="835">
        <v>0</v>
      </c>
      <c r="P69" s="835">
        <v>0</v>
      </c>
      <c r="Q69" s="835">
        <v>0</v>
      </c>
      <c r="R69" s="835">
        <v>0</v>
      </c>
      <c r="S69" s="835">
        <v>0</v>
      </c>
      <c r="T69" s="835">
        <v>0</v>
      </c>
      <c r="V69" s="748" t="s">
        <v>810</v>
      </c>
      <c r="W69" s="764"/>
      <c r="X69" s="10">
        <f t="shared" ref="X69:AD69" si="14">+X59+X34</f>
        <v>1153</v>
      </c>
      <c r="Y69" s="10">
        <f>+Y59+Y34</f>
        <v>1162.5</v>
      </c>
      <c r="Z69" s="10">
        <f t="shared" si="14"/>
        <v>105333018</v>
      </c>
      <c r="AA69" s="10">
        <f t="shared" si="14"/>
        <v>54409464.760000013</v>
      </c>
      <c r="AB69" s="10">
        <f t="shared" si="14"/>
        <v>1457495.7499999998</v>
      </c>
      <c r="AC69" s="10">
        <f t="shared" si="14"/>
        <v>0</v>
      </c>
      <c r="AD69" s="765">
        <f t="shared" si="14"/>
        <v>55866960.510000013</v>
      </c>
    </row>
    <row r="70" spans="1:30" ht="18">
      <c r="A70" s="819" t="s">
        <v>884</v>
      </c>
      <c r="B70" s="819"/>
      <c r="C70" s="819"/>
      <c r="D70" s="819" t="s">
        <v>885</v>
      </c>
      <c r="E70" s="810"/>
      <c r="F70" s="810"/>
      <c r="G70" s="810"/>
      <c r="H70" s="835"/>
      <c r="I70" s="835"/>
      <c r="J70" s="835"/>
      <c r="K70" s="835"/>
      <c r="L70" s="835"/>
      <c r="M70" s="835"/>
      <c r="N70" s="835"/>
      <c r="O70" s="835"/>
      <c r="P70" s="835"/>
      <c r="Q70" s="835"/>
      <c r="R70" s="835"/>
      <c r="S70" s="835"/>
      <c r="T70" s="835"/>
      <c r="V70" s="748" t="s">
        <v>914</v>
      </c>
      <c r="W70" s="764"/>
      <c r="X70" s="10"/>
      <c r="Y70" s="10"/>
      <c r="Z70" s="10"/>
      <c r="AA70" s="10"/>
      <c r="AB70" s="10"/>
      <c r="AC70" s="10"/>
      <c r="AD70" s="765"/>
    </row>
    <row r="71" spans="1:30" ht="18">
      <c r="A71" s="819" t="s">
        <v>884</v>
      </c>
      <c r="B71" s="819"/>
      <c r="C71" s="819" t="s">
        <v>15</v>
      </c>
      <c r="D71" s="819" t="s">
        <v>885</v>
      </c>
      <c r="E71" s="810"/>
      <c r="F71" s="810"/>
      <c r="G71" s="810"/>
      <c r="H71" s="835">
        <v>0</v>
      </c>
      <c r="I71" s="835">
        <v>0</v>
      </c>
      <c r="J71" s="835">
        <v>0</v>
      </c>
      <c r="K71" s="835">
        <v>0</v>
      </c>
      <c r="L71" s="835">
        <v>0</v>
      </c>
      <c r="M71" s="835">
        <v>0</v>
      </c>
      <c r="N71" s="835">
        <v>0</v>
      </c>
      <c r="O71" s="835">
        <v>0</v>
      </c>
      <c r="P71" s="835">
        <v>0</v>
      </c>
      <c r="Q71" s="835">
        <v>0</v>
      </c>
      <c r="R71" s="835">
        <v>0</v>
      </c>
      <c r="S71" s="835">
        <v>0</v>
      </c>
      <c r="T71" s="835">
        <v>0</v>
      </c>
      <c r="V71" s="748" t="s">
        <v>915</v>
      </c>
      <c r="W71" s="764"/>
      <c r="X71" s="10"/>
      <c r="Y71" s="10"/>
      <c r="Z71" s="10"/>
      <c r="AA71" s="10"/>
      <c r="AB71" s="10"/>
      <c r="AC71" s="10"/>
      <c r="AD71" s="765"/>
    </row>
    <row r="72" spans="1:30" ht="18">
      <c r="A72" s="819" t="s">
        <v>884</v>
      </c>
      <c r="B72" s="819"/>
      <c r="C72" s="819"/>
      <c r="D72" s="819" t="s">
        <v>885</v>
      </c>
      <c r="E72" s="810"/>
      <c r="F72" s="810"/>
      <c r="G72" s="810"/>
      <c r="H72" s="835"/>
      <c r="I72" s="835"/>
      <c r="J72" s="835"/>
      <c r="K72" s="835"/>
      <c r="L72" s="835"/>
      <c r="M72" s="835"/>
      <c r="N72" s="835"/>
      <c r="O72" s="835"/>
      <c r="P72" s="835"/>
      <c r="Q72" s="835"/>
      <c r="R72" s="835"/>
      <c r="S72" s="835"/>
      <c r="T72" s="835"/>
      <c r="V72" s="748"/>
      <c r="W72" s="764"/>
      <c r="X72" s="10"/>
      <c r="Y72" s="10"/>
      <c r="Z72" s="10"/>
      <c r="AA72" s="10"/>
      <c r="AB72" s="10"/>
      <c r="AC72" s="10"/>
      <c r="AD72" s="765"/>
    </row>
    <row r="73" spans="1:30" ht="18">
      <c r="A73" s="819" t="s">
        <v>884</v>
      </c>
      <c r="B73" s="819"/>
      <c r="C73" s="819" t="s">
        <v>16</v>
      </c>
      <c r="D73" s="819" t="s">
        <v>885</v>
      </c>
      <c r="E73" s="810"/>
      <c r="F73" s="810"/>
      <c r="G73" s="810"/>
      <c r="H73" s="837">
        <v>0</v>
      </c>
      <c r="I73" s="837">
        <v>0</v>
      </c>
      <c r="J73" s="837">
        <v>0</v>
      </c>
      <c r="K73" s="837">
        <v>0</v>
      </c>
      <c r="L73" s="837">
        <v>0</v>
      </c>
      <c r="M73" s="837">
        <v>0</v>
      </c>
      <c r="N73" s="837">
        <v>0</v>
      </c>
      <c r="O73" s="837">
        <v>0</v>
      </c>
      <c r="P73" s="837">
        <v>0</v>
      </c>
      <c r="Q73" s="837">
        <v>0</v>
      </c>
      <c r="R73" s="837">
        <v>0</v>
      </c>
      <c r="S73" s="837">
        <v>0</v>
      </c>
      <c r="T73" s="837">
        <v>0</v>
      </c>
      <c r="V73" s="748"/>
      <c r="W73" s="764"/>
      <c r="AD73" s="111"/>
    </row>
    <row r="74" spans="1:30" ht="18">
      <c r="A74" s="819" t="s">
        <v>884</v>
      </c>
      <c r="B74" s="819"/>
      <c r="C74" s="819" t="s">
        <v>17</v>
      </c>
      <c r="D74" s="819" t="s">
        <v>885</v>
      </c>
      <c r="E74" s="810"/>
      <c r="F74" s="810"/>
      <c r="G74" s="810"/>
      <c r="H74" s="835">
        <v>0</v>
      </c>
      <c r="I74" s="835">
        <v>0</v>
      </c>
      <c r="J74" s="835">
        <v>0</v>
      </c>
      <c r="K74" s="835">
        <v>0</v>
      </c>
      <c r="L74" s="835">
        <v>0</v>
      </c>
      <c r="M74" s="835">
        <v>0</v>
      </c>
      <c r="N74" s="835">
        <v>0</v>
      </c>
      <c r="O74" s="835">
        <v>0</v>
      </c>
      <c r="P74" s="835">
        <v>0</v>
      </c>
      <c r="Q74" s="835">
        <v>0</v>
      </c>
      <c r="R74" s="835">
        <v>0</v>
      </c>
      <c r="S74" s="835">
        <v>0</v>
      </c>
      <c r="T74" s="835">
        <v>0</v>
      </c>
      <c r="V74" s="748" t="s">
        <v>916</v>
      </c>
      <c r="W74" s="764"/>
      <c r="X74" s="10">
        <f t="shared" ref="X74:AD74" si="15">+X36</f>
        <v>1125798</v>
      </c>
      <c r="Y74" s="10">
        <f t="shared" si="15"/>
        <v>1130043.75</v>
      </c>
      <c r="Z74" s="10">
        <f t="shared" si="15"/>
        <v>229422742.55600002</v>
      </c>
      <c r="AA74" s="10">
        <f t="shared" si="15"/>
        <v>484023984.32579249</v>
      </c>
      <c r="AB74" s="10">
        <f t="shared" si="15"/>
        <v>101739620.80806462</v>
      </c>
      <c r="AC74" s="10">
        <f t="shared" si="15"/>
        <v>918237599.34614289</v>
      </c>
      <c r="AD74" s="765">
        <f t="shared" si="15"/>
        <v>1504001204.48</v>
      </c>
    </row>
    <row r="75" spans="1:30" ht="18">
      <c r="A75" s="819" t="s">
        <v>884</v>
      </c>
      <c r="B75" s="819"/>
      <c r="C75" s="819" t="s">
        <v>886</v>
      </c>
      <c r="D75" s="819" t="s">
        <v>885</v>
      </c>
      <c r="E75" s="810"/>
      <c r="F75" s="810"/>
      <c r="G75" s="810"/>
      <c r="H75" s="835">
        <v>0</v>
      </c>
      <c r="I75" s="835">
        <v>0</v>
      </c>
      <c r="J75" s="835">
        <v>0</v>
      </c>
      <c r="K75" s="835">
        <v>0</v>
      </c>
      <c r="L75" s="835">
        <v>0</v>
      </c>
      <c r="M75" s="835">
        <v>0</v>
      </c>
      <c r="N75" s="835">
        <v>0</v>
      </c>
      <c r="O75" s="835">
        <v>0</v>
      </c>
      <c r="P75" s="835">
        <v>0</v>
      </c>
      <c r="Q75" s="835">
        <v>0</v>
      </c>
      <c r="R75" s="835">
        <v>0</v>
      </c>
      <c r="S75" s="835">
        <v>0</v>
      </c>
      <c r="T75" s="835">
        <v>0</v>
      </c>
      <c r="V75" s="748" t="s">
        <v>917</v>
      </c>
      <c r="W75" s="764"/>
      <c r="X75" s="10">
        <f t="shared" ref="X75:AD75" si="16">+X61</f>
        <v>28127</v>
      </c>
      <c r="Y75" s="10">
        <f>+Y61</f>
        <v>28122.25</v>
      </c>
      <c r="Z75" s="10">
        <f t="shared" si="16"/>
        <v>4605810.7589999996</v>
      </c>
      <c r="AA75" s="10">
        <f t="shared" si="16"/>
        <v>13621000.766622312</v>
      </c>
      <c r="AB75" s="10">
        <f t="shared" si="16"/>
        <v>-346.29999999999984</v>
      </c>
      <c r="AC75" s="10">
        <f t="shared" si="16"/>
        <v>32766856.671976302</v>
      </c>
      <c r="AD75" s="765">
        <f t="shared" si="16"/>
        <v>46387511.138598613</v>
      </c>
    </row>
    <row r="76" spans="1:30" ht="18">
      <c r="A76" s="819" t="s">
        <v>884</v>
      </c>
      <c r="B76" s="819"/>
      <c r="C76" s="819" t="s">
        <v>18</v>
      </c>
      <c r="D76" s="819" t="s">
        <v>885</v>
      </c>
      <c r="E76" s="810"/>
      <c r="F76" s="810"/>
      <c r="G76" s="810"/>
      <c r="H76" s="835">
        <v>0</v>
      </c>
      <c r="I76" s="835">
        <v>0</v>
      </c>
      <c r="J76" s="835">
        <v>0</v>
      </c>
      <c r="K76" s="835">
        <v>0</v>
      </c>
      <c r="L76" s="835">
        <v>0</v>
      </c>
      <c r="M76" s="835">
        <v>0</v>
      </c>
      <c r="N76" s="835">
        <v>0</v>
      </c>
      <c r="O76" s="835">
        <v>0</v>
      </c>
      <c r="P76" s="835">
        <v>0</v>
      </c>
      <c r="Q76" s="835">
        <v>0</v>
      </c>
      <c r="R76" s="835">
        <v>0</v>
      </c>
      <c r="S76" s="835">
        <v>0</v>
      </c>
      <c r="T76" s="835">
        <v>0</v>
      </c>
      <c r="V76" s="748"/>
      <c r="W76" s="764"/>
      <c r="AD76" s="111"/>
    </row>
    <row r="77" spans="1:30" ht="18">
      <c r="A77" s="838"/>
      <c r="B77" s="819"/>
      <c r="C77" s="819"/>
      <c r="D77" s="819"/>
      <c r="E77" s="810"/>
      <c r="F77" s="810"/>
      <c r="G77" s="810"/>
      <c r="H77" s="835"/>
      <c r="I77" s="835"/>
      <c r="J77" s="835"/>
      <c r="K77" s="835"/>
      <c r="L77" s="835"/>
      <c r="M77" s="835"/>
      <c r="N77" s="835"/>
      <c r="O77" s="835"/>
      <c r="P77" s="835"/>
      <c r="Q77" s="835"/>
      <c r="R77" s="835"/>
      <c r="S77" s="835"/>
      <c r="T77" s="835"/>
      <c r="V77" s="750" t="s">
        <v>918</v>
      </c>
      <c r="W77" s="635"/>
      <c r="X77" s="770">
        <f t="shared" ref="X77:AD77" si="17">SUM(X74:X76)</f>
        <v>1153925</v>
      </c>
      <c r="Y77" s="770">
        <f t="shared" si="17"/>
        <v>1158166</v>
      </c>
      <c r="Z77" s="770">
        <f t="shared" si="17"/>
        <v>234028553.31500003</v>
      </c>
      <c r="AA77" s="770">
        <f t="shared" si="17"/>
        <v>497644985.0924148</v>
      </c>
      <c r="AB77" s="770">
        <f t="shared" si="17"/>
        <v>101739274.50806463</v>
      </c>
      <c r="AC77" s="770">
        <f t="shared" si="17"/>
        <v>951004456.01811922</v>
      </c>
      <c r="AD77" s="771">
        <f t="shared" si="17"/>
        <v>1550388715.6185987</v>
      </c>
    </row>
    <row r="78" spans="1:30" ht="18.75" thickBot="1">
      <c r="A78" s="838" t="s">
        <v>888</v>
      </c>
      <c r="B78" s="819" t="s">
        <v>78</v>
      </c>
      <c r="C78" s="819" t="s">
        <v>14</v>
      </c>
      <c r="D78" s="819" t="s">
        <v>885</v>
      </c>
      <c r="E78" s="810"/>
      <c r="F78" s="810"/>
      <c r="G78" s="810"/>
      <c r="H78" s="835">
        <v>0</v>
      </c>
      <c r="I78" s="835">
        <v>0</v>
      </c>
      <c r="J78" s="835">
        <v>0</v>
      </c>
      <c r="K78" s="835">
        <v>0</v>
      </c>
      <c r="L78" s="835">
        <v>0</v>
      </c>
      <c r="M78" s="835">
        <v>0</v>
      </c>
      <c r="N78" s="835">
        <v>0</v>
      </c>
      <c r="O78" s="835">
        <v>0</v>
      </c>
      <c r="P78" s="835">
        <v>0</v>
      </c>
      <c r="Q78" s="835">
        <v>0</v>
      </c>
      <c r="R78" s="835">
        <v>0</v>
      </c>
      <c r="S78" s="835">
        <v>0</v>
      </c>
      <c r="T78" s="835">
        <v>0</v>
      </c>
      <c r="V78" s="755"/>
      <c r="W78" s="769"/>
      <c r="X78" s="75"/>
      <c r="Y78" s="75"/>
      <c r="Z78" s="75"/>
      <c r="AA78" s="75"/>
      <c r="AB78" s="75"/>
      <c r="AC78" s="75"/>
      <c r="AD78" s="237"/>
    </row>
    <row r="79" spans="1:30" ht="18">
      <c r="A79" s="838" t="s">
        <v>888</v>
      </c>
      <c r="B79" s="819"/>
      <c r="C79" s="819"/>
      <c r="D79" s="819" t="s">
        <v>885</v>
      </c>
      <c r="E79" s="810"/>
      <c r="F79" s="810"/>
      <c r="G79" s="810"/>
      <c r="H79" s="835"/>
      <c r="I79" s="835"/>
      <c r="J79" s="835"/>
      <c r="K79" s="835"/>
      <c r="L79" s="835"/>
      <c r="M79" s="835"/>
      <c r="N79" s="835"/>
      <c r="O79" s="835"/>
      <c r="P79" s="835"/>
      <c r="Q79" s="835"/>
      <c r="R79" s="835"/>
      <c r="S79" s="835"/>
      <c r="T79" s="835"/>
      <c r="V79" s="757"/>
      <c r="W79" s="772"/>
      <c r="X79" s="772"/>
      <c r="Y79" s="772"/>
      <c r="Z79" s="772"/>
      <c r="AA79" s="772"/>
      <c r="AB79" s="772"/>
      <c r="AC79" s="772"/>
      <c r="AD79" s="758"/>
    </row>
    <row r="80" spans="1:30" ht="18">
      <c r="A80" s="838" t="s">
        <v>888</v>
      </c>
      <c r="B80" s="819"/>
      <c r="C80" s="819" t="s">
        <v>15</v>
      </c>
      <c r="D80" s="819" t="s">
        <v>885</v>
      </c>
      <c r="E80" s="810"/>
      <c r="F80" s="810"/>
      <c r="G80" s="810"/>
      <c r="H80" s="835">
        <v>0</v>
      </c>
      <c r="I80" s="835">
        <v>0</v>
      </c>
      <c r="J80" s="835">
        <v>0</v>
      </c>
      <c r="K80" s="835">
        <v>0</v>
      </c>
      <c r="L80" s="835">
        <v>0</v>
      </c>
      <c r="M80" s="835">
        <v>0</v>
      </c>
      <c r="N80" s="835">
        <v>0</v>
      </c>
      <c r="O80" s="835">
        <v>0</v>
      </c>
      <c r="P80" s="835">
        <v>0</v>
      </c>
      <c r="Q80" s="835">
        <v>0</v>
      </c>
      <c r="R80" s="835">
        <v>0</v>
      </c>
      <c r="S80" s="835">
        <v>0</v>
      </c>
      <c r="T80" s="835">
        <v>0</v>
      </c>
      <c r="V80" s="748" t="s">
        <v>814</v>
      </c>
      <c r="W80" s="764"/>
      <c r="X80" s="774">
        <f>+X77-T439</f>
        <v>0</v>
      </c>
      <c r="Y80" s="785">
        <f>+Y77-T507</f>
        <v>0</v>
      </c>
      <c r="Z80" s="774">
        <f>+Z77-$T$371</f>
        <v>0</v>
      </c>
      <c r="AA80" s="774">
        <f>+AA77-$T$362-$T$364</f>
        <v>1.597509253770113E-7</v>
      </c>
      <c r="AB80" s="774">
        <f>+AB77-$T$363</f>
        <v>0</v>
      </c>
      <c r="AC80" s="774">
        <f>+AC77-$T$365</f>
        <v>0</v>
      </c>
      <c r="AD80" s="775">
        <f>+AD77-$T$367</f>
        <v>0</v>
      </c>
    </row>
    <row r="81" spans="1:30" ht="18.75" thickBot="1">
      <c r="A81" s="838" t="s">
        <v>888</v>
      </c>
      <c r="B81" s="819"/>
      <c r="C81" s="819"/>
      <c r="D81" s="819" t="s">
        <v>885</v>
      </c>
      <c r="E81" s="810"/>
      <c r="F81" s="810"/>
      <c r="G81" s="810"/>
      <c r="H81" s="835"/>
      <c r="I81" s="835"/>
      <c r="J81" s="835"/>
      <c r="K81" s="835"/>
      <c r="L81" s="835"/>
      <c r="M81" s="835"/>
      <c r="N81" s="835"/>
      <c r="O81" s="835"/>
      <c r="P81" s="835"/>
      <c r="Q81" s="835"/>
      <c r="R81" s="835"/>
      <c r="S81" s="835"/>
      <c r="T81" s="835"/>
      <c r="V81" s="755"/>
      <c r="W81" s="769"/>
      <c r="X81" s="769"/>
      <c r="Y81" s="769"/>
      <c r="Z81" s="769"/>
      <c r="AA81" s="769"/>
      <c r="AB81" s="769"/>
      <c r="AC81" s="769"/>
      <c r="AD81" s="756"/>
    </row>
    <row r="82" spans="1:30" ht="18">
      <c r="A82" s="838" t="s">
        <v>888</v>
      </c>
      <c r="B82" s="819"/>
      <c r="C82" s="819" t="s">
        <v>16</v>
      </c>
      <c r="D82" s="819" t="s">
        <v>885</v>
      </c>
      <c r="E82" s="810"/>
      <c r="F82" s="810"/>
      <c r="G82" s="810"/>
      <c r="H82" s="837">
        <v>0</v>
      </c>
      <c r="I82" s="837">
        <v>0</v>
      </c>
      <c r="J82" s="837">
        <v>0</v>
      </c>
      <c r="K82" s="837">
        <v>0</v>
      </c>
      <c r="L82" s="837">
        <v>0</v>
      </c>
      <c r="M82" s="837">
        <v>0</v>
      </c>
      <c r="N82" s="837">
        <v>0</v>
      </c>
      <c r="O82" s="837">
        <v>0</v>
      </c>
      <c r="P82" s="837">
        <v>0</v>
      </c>
      <c r="Q82" s="837">
        <v>0</v>
      </c>
      <c r="R82" s="837">
        <v>0</v>
      </c>
      <c r="S82" s="837">
        <v>0</v>
      </c>
      <c r="T82" s="837">
        <v>0</v>
      </c>
    </row>
    <row r="83" spans="1:30" ht="18">
      <c r="A83" s="838" t="s">
        <v>888</v>
      </c>
      <c r="B83" s="819"/>
      <c r="C83" s="819" t="s">
        <v>17</v>
      </c>
      <c r="D83" s="819" t="s">
        <v>885</v>
      </c>
      <c r="E83" s="810"/>
      <c r="F83" s="810"/>
      <c r="G83" s="810"/>
      <c r="H83" s="835">
        <v>0</v>
      </c>
      <c r="I83" s="835">
        <v>0</v>
      </c>
      <c r="J83" s="835">
        <v>0</v>
      </c>
      <c r="K83" s="835">
        <v>0</v>
      </c>
      <c r="L83" s="835">
        <v>0</v>
      </c>
      <c r="M83" s="835">
        <v>0</v>
      </c>
      <c r="N83" s="835">
        <v>0</v>
      </c>
      <c r="O83" s="835">
        <v>0</v>
      </c>
      <c r="P83" s="835">
        <v>0</v>
      </c>
      <c r="Q83" s="835">
        <v>0</v>
      </c>
      <c r="R83" s="835">
        <v>0</v>
      </c>
      <c r="S83" s="835">
        <v>0</v>
      </c>
      <c r="T83" s="835">
        <v>0</v>
      </c>
      <c r="X83" s="1"/>
    </row>
    <row r="84" spans="1:30" ht="18">
      <c r="A84" s="838" t="s">
        <v>888</v>
      </c>
      <c r="B84" s="819"/>
      <c r="C84" s="819" t="s">
        <v>886</v>
      </c>
      <c r="D84" s="819" t="s">
        <v>885</v>
      </c>
      <c r="E84" s="810"/>
      <c r="F84" s="810"/>
      <c r="G84" s="810"/>
      <c r="H84" s="835"/>
      <c r="I84" s="835"/>
      <c r="J84" s="835"/>
      <c r="K84" s="835"/>
      <c r="L84" s="835"/>
      <c r="M84" s="835"/>
      <c r="N84" s="835"/>
      <c r="O84" s="835"/>
      <c r="P84" s="835"/>
      <c r="Q84" s="835"/>
      <c r="R84" s="835"/>
      <c r="S84" s="835"/>
      <c r="T84" s="835"/>
    </row>
    <row r="85" spans="1:30" ht="18">
      <c r="A85" s="838" t="s">
        <v>888</v>
      </c>
      <c r="B85" s="819"/>
      <c r="C85" s="819" t="s">
        <v>18</v>
      </c>
      <c r="D85" s="819" t="s">
        <v>885</v>
      </c>
      <c r="E85" s="810"/>
      <c r="F85" s="810"/>
      <c r="G85" s="810"/>
      <c r="H85" s="835">
        <v>0</v>
      </c>
      <c r="I85" s="835">
        <v>0</v>
      </c>
      <c r="J85" s="835">
        <v>0</v>
      </c>
      <c r="K85" s="835">
        <v>0</v>
      </c>
      <c r="L85" s="835">
        <v>0</v>
      </c>
      <c r="M85" s="835">
        <v>0</v>
      </c>
      <c r="N85" s="835">
        <v>0</v>
      </c>
      <c r="O85" s="835">
        <v>0</v>
      </c>
      <c r="P85" s="835">
        <v>0</v>
      </c>
      <c r="Q85" s="835">
        <v>0</v>
      </c>
      <c r="R85" s="835">
        <v>0</v>
      </c>
      <c r="S85" s="835">
        <v>0</v>
      </c>
      <c r="T85" s="835">
        <v>0</v>
      </c>
    </row>
    <row r="86" spans="1:30" ht="18">
      <c r="A86" s="838" t="s">
        <v>888</v>
      </c>
      <c r="B86" s="819"/>
      <c r="C86" s="819"/>
      <c r="D86" s="819"/>
      <c r="E86" s="810"/>
      <c r="F86" s="810"/>
      <c r="G86" s="810"/>
      <c r="H86" s="835"/>
      <c r="I86" s="835"/>
      <c r="J86" s="835"/>
      <c r="K86" s="835"/>
      <c r="L86" s="835"/>
      <c r="M86" s="835"/>
      <c r="N86" s="835"/>
      <c r="O86" s="835"/>
      <c r="P86" s="835"/>
      <c r="Q86" s="835"/>
      <c r="R86" s="835"/>
      <c r="S86" s="835"/>
      <c r="T86" s="835"/>
    </row>
    <row r="87" spans="1:30" ht="18">
      <c r="A87" s="838" t="s">
        <v>888</v>
      </c>
      <c r="B87" s="819" t="s">
        <v>889</v>
      </c>
      <c r="C87" s="819" t="s">
        <v>14</v>
      </c>
      <c r="D87" s="819" t="s">
        <v>885</v>
      </c>
      <c r="E87" s="810"/>
      <c r="F87" s="810"/>
      <c r="G87" s="810"/>
      <c r="H87" s="835">
        <v>0</v>
      </c>
      <c r="I87" s="835">
        <v>0</v>
      </c>
      <c r="J87" s="835">
        <v>0</v>
      </c>
      <c r="K87" s="835">
        <v>0</v>
      </c>
      <c r="L87" s="835">
        <v>0</v>
      </c>
      <c r="M87" s="835">
        <v>0</v>
      </c>
      <c r="N87" s="835">
        <v>0</v>
      </c>
      <c r="O87" s="835">
        <v>0</v>
      </c>
      <c r="P87" s="835">
        <v>0</v>
      </c>
      <c r="Q87" s="835">
        <v>0</v>
      </c>
      <c r="R87" s="835">
        <v>0</v>
      </c>
      <c r="S87" s="835">
        <v>0</v>
      </c>
      <c r="T87" s="835">
        <v>0</v>
      </c>
    </row>
    <row r="88" spans="1:30" ht="18">
      <c r="A88" s="838" t="s">
        <v>888</v>
      </c>
      <c r="B88" s="819"/>
      <c r="C88" s="819"/>
      <c r="D88" s="819" t="s">
        <v>885</v>
      </c>
      <c r="E88" s="810"/>
      <c r="F88" s="810"/>
      <c r="G88" s="810"/>
      <c r="H88" s="835"/>
      <c r="I88" s="835"/>
      <c r="J88" s="835"/>
      <c r="K88" s="835"/>
      <c r="L88" s="835"/>
      <c r="M88" s="835"/>
      <c r="N88" s="835"/>
      <c r="O88" s="835"/>
      <c r="P88" s="835"/>
      <c r="Q88" s="835"/>
      <c r="R88" s="835"/>
      <c r="S88" s="835"/>
      <c r="T88" s="835"/>
    </row>
    <row r="89" spans="1:30" ht="18">
      <c r="A89" s="838" t="s">
        <v>888</v>
      </c>
      <c r="B89" s="819"/>
      <c r="C89" s="819" t="s">
        <v>15</v>
      </c>
      <c r="D89" s="819" t="s">
        <v>885</v>
      </c>
      <c r="E89" s="810"/>
      <c r="F89" s="810"/>
      <c r="G89" s="810"/>
      <c r="H89" s="835">
        <v>0</v>
      </c>
      <c r="I89" s="835">
        <v>0</v>
      </c>
      <c r="J89" s="835">
        <v>0</v>
      </c>
      <c r="K89" s="835">
        <v>0</v>
      </c>
      <c r="L89" s="835">
        <v>0</v>
      </c>
      <c r="M89" s="835">
        <v>0</v>
      </c>
      <c r="N89" s="835">
        <v>0</v>
      </c>
      <c r="O89" s="835">
        <v>0</v>
      </c>
      <c r="P89" s="835">
        <v>0</v>
      </c>
      <c r="Q89" s="835">
        <v>0</v>
      </c>
      <c r="R89" s="835">
        <v>0</v>
      </c>
      <c r="S89" s="835">
        <v>0</v>
      </c>
      <c r="T89" s="835">
        <v>0</v>
      </c>
    </row>
    <row r="90" spans="1:30" ht="18">
      <c r="A90" s="838" t="s">
        <v>888</v>
      </c>
      <c r="B90" s="819"/>
      <c r="C90" s="819"/>
      <c r="D90" s="819" t="s">
        <v>885</v>
      </c>
      <c r="E90" s="810"/>
      <c r="F90" s="810"/>
      <c r="G90" s="810"/>
      <c r="H90" s="835"/>
      <c r="I90" s="835"/>
      <c r="J90" s="835"/>
      <c r="K90" s="835"/>
      <c r="L90" s="835"/>
      <c r="M90" s="835"/>
      <c r="N90" s="835"/>
      <c r="O90" s="835"/>
      <c r="P90" s="835"/>
      <c r="Q90" s="835"/>
      <c r="R90" s="835"/>
      <c r="S90" s="835"/>
      <c r="T90" s="835"/>
    </row>
    <row r="91" spans="1:30" ht="18">
      <c r="A91" s="838" t="s">
        <v>888</v>
      </c>
      <c r="B91" s="819"/>
      <c r="C91" s="819" t="s">
        <v>16</v>
      </c>
      <c r="D91" s="819" t="s">
        <v>885</v>
      </c>
      <c r="E91" s="810"/>
      <c r="F91" s="810"/>
      <c r="G91" s="810"/>
      <c r="H91" s="837">
        <v>0</v>
      </c>
      <c r="I91" s="837">
        <v>0</v>
      </c>
      <c r="J91" s="837">
        <v>0</v>
      </c>
      <c r="K91" s="837">
        <v>0</v>
      </c>
      <c r="L91" s="837">
        <v>0</v>
      </c>
      <c r="M91" s="837">
        <v>0</v>
      </c>
      <c r="N91" s="837">
        <v>0</v>
      </c>
      <c r="O91" s="837">
        <v>0</v>
      </c>
      <c r="P91" s="837">
        <v>0</v>
      </c>
      <c r="Q91" s="837">
        <v>0</v>
      </c>
      <c r="R91" s="837">
        <v>0</v>
      </c>
      <c r="S91" s="837">
        <v>0</v>
      </c>
      <c r="T91" s="837">
        <v>0</v>
      </c>
    </row>
    <row r="92" spans="1:30" ht="18">
      <c r="A92" s="838" t="s">
        <v>888</v>
      </c>
      <c r="B92" s="819"/>
      <c r="C92" s="819" t="s">
        <v>17</v>
      </c>
      <c r="D92" s="819" t="s">
        <v>885</v>
      </c>
      <c r="E92" s="810"/>
      <c r="F92" s="810"/>
      <c r="G92" s="810"/>
      <c r="H92" s="835">
        <v>0</v>
      </c>
      <c r="I92" s="835">
        <v>0</v>
      </c>
      <c r="J92" s="835">
        <v>0</v>
      </c>
      <c r="K92" s="835">
        <v>0</v>
      </c>
      <c r="L92" s="835">
        <v>0</v>
      </c>
      <c r="M92" s="835">
        <v>0</v>
      </c>
      <c r="N92" s="835">
        <v>0</v>
      </c>
      <c r="O92" s="835">
        <v>0</v>
      </c>
      <c r="P92" s="835">
        <v>0</v>
      </c>
      <c r="Q92" s="835">
        <v>0</v>
      </c>
      <c r="R92" s="835">
        <v>0</v>
      </c>
      <c r="S92" s="835">
        <v>0</v>
      </c>
      <c r="T92" s="835">
        <v>0</v>
      </c>
    </row>
    <row r="93" spans="1:30" ht="18">
      <c r="A93" s="838" t="s">
        <v>888</v>
      </c>
      <c r="B93" s="819"/>
      <c r="C93" s="819" t="s">
        <v>886</v>
      </c>
      <c r="D93" s="819" t="s">
        <v>885</v>
      </c>
      <c r="E93" s="810"/>
      <c r="F93" s="810"/>
      <c r="G93" s="810"/>
      <c r="H93" s="835">
        <v>0</v>
      </c>
      <c r="I93" s="835">
        <v>0</v>
      </c>
      <c r="J93" s="835">
        <v>0</v>
      </c>
      <c r="K93" s="835">
        <v>0</v>
      </c>
      <c r="L93" s="835">
        <v>0</v>
      </c>
      <c r="M93" s="835">
        <v>0</v>
      </c>
      <c r="N93" s="835">
        <v>0</v>
      </c>
      <c r="O93" s="835">
        <v>0</v>
      </c>
      <c r="P93" s="835">
        <v>0</v>
      </c>
      <c r="Q93" s="835">
        <v>0</v>
      </c>
      <c r="R93" s="835">
        <v>0</v>
      </c>
      <c r="S93" s="835">
        <v>0</v>
      </c>
      <c r="T93" s="835">
        <v>0</v>
      </c>
    </row>
    <row r="94" spans="1:30" ht="18">
      <c r="A94" s="838" t="s">
        <v>888</v>
      </c>
      <c r="B94" s="819"/>
      <c r="C94" s="819" t="s">
        <v>18</v>
      </c>
      <c r="D94" s="819" t="s">
        <v>885</v>
      </c>
      <c r="E94" s="810"/>
      <c r="F94" s="810"/>
      <c r="G94" s="810"/>
      <c r="H94" s="835">
        <v>0</v>
      </c>
      <c r="I94" s="835">
        <v>0</v>
      </c>
      <c r="J94" s="835">
        <v>0</v>
      </c>
      <c r="K94" s="835">
        <v>0</v>
      </c>
      <c r="L94" s="835">
        <v>0</v>
      </c>
      <c r="M94" s="835">
        <v>0</v>
      </c>
      <c r="N94" s="835">
        <v>0</v>
      </c>
      <c r="O94" s="835">
        <v>0</v>
      </c>
      <c r="P94" s="835">
        <v>0</v>
      </c>
      <c r="Q94" s="835">
        <v>0</v>
      </c>
      <c r="R94" s="835">
        <v>0</v>
      </c>
      <c r="S94" s="835">
        <v>0</v>
      </c>
      <c r="T94" s="835">
        <v>0</v>
      </c>
    </row>
    <row r="95" spans="1:30" ht="18">
      <c r="A95" s="838" t="s">
        <v>888</v>
      </c>
      <c r="B95" s="819"/>
      <c r="C95" s="819"/>
      <c r="D95" s="819"/>
      <c r="E95" s="810"/>
      <c r="F95" s="810"/>
      <c r="G95" s="810"/>
      <c r="H95" s="835"/>
      <c r="I95" s="835"/>
      <c r="J95" s="835"/>
      <c r="K95" s="835"/>
      <c r="L95" s="835"/>
      <c r="M95" s="835"/>
      <c r="N95" s="835"/>
      <c r="O95" s="835"/>
      <c r="P95" s="835"/>
      <c r="Q95" s="835"/>
      <c r="R95" s="835"/>
      <c r="S95" s="835"/>
      <c r="T95" s="835"/>
    </row>
    <row r="96" spans="1:30" ht="18">
      <c r="A96" s="838" t="s">
        <v>888</v>
      </c>
      <c r="B96" s="819" t="s">
        <v>890</v>
      </c>
      <c r="C96" s="819" t="s">
        <v>14</v>
      </c>
      <c r="D96" s="819" t="s">
        <v>885</v>
      </c>
      <c r="E96" s="810"/>
      <c r="F96" s="810"/>
      <c r="G96" s="810"/>
      <c r="H96" s="835">
        <v>13560.94</v>
      </c>
      <c r="I96" s="835">
        <v>14255.099999999999</v>
      </c>
      <c r="J96" s="835">
        <v>16591.71</v>
      </c>
      <c r="K96" s="835">
        <v>20874.850000000006</v>
      </c>
      <c r="L96" s="835">
        <v>30947.369999999995</v>
      </c>
      <c r="M96" s="835">
        <v>33154.310000000005</v>
      </c>
      <c r="N96" s="835">
        <v>18210.329999999994</v>
      </c>
      <c r="O96" s="835">
        <v>33339.050000000003</v>
      </c>
      <c r="P96" s="835">
        <v>24163.490000000013</v>
      </c>
      <c r="Q96" s="835">
        <v>18915.670000000002</v>
      </c>
      <c r="R96" s="835">
        <v>23399.820000000003</v>
      </c>
      <c r="S96" s="835">
        <v>7909.02</v>
      </c>
      <c r="T96" s="835">
        <v>255321.66</v>
      </c>
    </row>
    <row r="97" spans="1:21" ht="18">
      <c r="A97" s="838" t="s">
        <v>888</v>
      </c>
      <c r="B97" s="819"/>
      <c r="C97" s="819"/>
      <c r="D97" s="819" t="s">
        <v>885</v>
      </c>
      <c r="E97" s="810"/>
      <c r="F97" s="810"/>
      <c r="G97" s="810"/>
      <c r="H97" s="835"/>
      <c r="I97" s="835"/>
      <c r="J97" s="835"/>
      <c r="K97" s="835"/>
      <c r="L97" s="835"/>
      <c r="M97" s="835"/>
      <c r="N97" s="835"/>
      <c r="O97" s="835"/>
      <c r="P97" s="835"/>
      <c r="Q97" s="835"/>
      <c r="R97" s="835"/>
      <c r="S97" s="835"/>
      <c r="T97" s="835"/>
    </row>
    <row r="98" spans="1:21" ht="18">
      <c r="A98" s="838" t="s">
        <v>888</v>
      </c>
      <c r="B98" s="819"/>
      <c r="C98" s="819" t="s">
        <v>15</v>
      </c>
      <c r="D98" s="819" t="s">
        <v>885</v>
      </c>
      <c r="E98" s="810"/>
      <c r="F98" s="810"/>
      <c r="G98" s="810"/>
      <c r="H98" s="835">
        <v>1866.95</v>
      </c>
      <c r="I98" s="835">
        <v>1992.46</v>
      </c>
      <c r="J98" s="835">
        <v>2441.9499999999998</v>
      </c>
      <c r="K98" s="835">
        <v>3457.6000000000004</v>
      </c>
      <c r="L98" s="835">
        <v>6464.36</v>
      </c>
      <c r="M98" s="835">
        <v>7807.95</v>
      </c>
      <c r="N98" s="835">
        <v>5286.2200000000012</v>
      </c>
      <c r="O98" s="835">
        <v>9146.1700000000019</v>
      </c>
      <c r="P98" s="835">
        <v>6803.5099999999993</v>
      </c>
      <c r="Q98" s="835">
        <v>3858.1500000000005</v>
      </c>
      <c r="R98" s="835">
        <v>4881.26</v>
      </c>
      <c r="S98" s="835">
        <v>300.64999999999907</v>
      </c>
      <c r="T98" s="835">
        <v>54307.23000000001</v>
      </c>
    </row>
    <row r="99" spans="1:21" ht="18">
      <c r="A99" s="838" t="s">
        <v>888</v>
      </c>
      <c r="B99" s="819"/>
      <c r="C99" s="819"/>
      <c r="D99" s="819" t="s">
        <v>885</v>
      </c>
      <c r="E99" s="810"/>
      <c r="F99" s="810"/>
      <c r="G99" s="810"/>
      <c r="H99" s="835"/>
      <c r="I99" s="835"/>
      <c r="J99" s="835"/>
      <c r="K99" s="835"/>
      <c r="L99" s="835"/>
      <c r="M99" s="835"/>
      <c r="N99" s="835"/>
      <c r="O99" s="835"/>
      <c r="P99" s="835"/>
      <c r="Q99" s="835"/>
      <c r="R99" s="835"/>
      <c r="S99" s="835"/>
      <c r="T99" s="835"/>
    </row>
    <row r="100" spans="1:21" ht="18">
      <c r="A100" s="838" t="s">
        <v>888</v>
      </c>
      <c r="B100" s="819"/>
      <c r="C100" s="819" t="s">
        <v>16</v>
      </c>
      <c r="D100" s="819" t="s">
        <v>885</v>
      </c>
      <c r="E100" s="810"/>
      <c r="F100" s="810"/>
      <c r="G100" s="810"/>
      <c r="H100" s="837">
        <v>54108.639999999985</v>
      </c>
      <c r="I100" s="837">
        <v>66270.87</v>
      </c>
      <c r="J100" s="837">
        <v>82428.590000000011</v>
      </c>
      <c r="K100" s="837">
        <v>115774.50999999998</v>
      </c>
      <c r="L100" s="837">
        <v>251754.35000000003</v>
      </c>
      <c r="M100" s="837">
        <v>309289.22000000009</v>
      </c>
      <c r="N100" s="837">
        <v>209368.1</v>
      </c>
      <c r="O100" s="837">
        <v>362296.98</v>
      </c>
      <c r="P100" s="837">
        <v>328158.2</v>
      </c>
      <c r="Q100" s="837">
        <v>183555.09000000003</v>
      </c>
      <c r="R100" s="837">
        <v>232187.34</v>
      </c>
      <c r="S100" s="837">
        <v>14284.160000000029</v>
      </c>
      <c r="T100" s="837">
        <v>2209476.0500000003</v>
      </c>
    </row>
    <row r="101" spans="1:21" ht="18">
      <c r="A101" s="838" t="s">
        <v>888</v>
      </c>
      <c r="B101" s="819"/>
      <c r="C101" s="819" t="s">
        <v>17</v>
      </c>
      <c r="D101" s="819" t="s">
        <v>885</v>
      </c>
      <c r="E101" s="810"/>
      <c r="F101" s="810"/>
      <c r="G101" s="810"/>
      <c r="H101" s="835">
        <v>69536.529999999984</v>
      </c>
      <c r="I101" s="835">
        <v>82518.429999999993</v>
      </c>
      <c r="J101" s="835">
        <v>101462.25000000001</v>
      </c>
      <c r="K101" s="835">
        <v>140106.96</v>
      </c>
      <c r="L101" s="835">
        <v>289166.08000000002</v>
      </c>
      <c r="M101" s="835">
        <v>350251.4800000001</v>
      </c>
      <c r="N101" s="835">
        <v>232864.65</v>
      </c>
      <c r="O101" s="835">
        <v>404782.19999999995</v>
      </c>
      <c r="P101" s="835">
        <v>359125.2</v>
      </c>
      <c r="Q101" s="835">
        <v>206328.91000000003</v>
      </c>
      <c r="R101" s="835">
        <v>260468.41999999998</v>
      </c>
      <c r="S101" s="835">
        <v>22493.830000000031</v>
      </c>
      <c r="T101" s="835">
        <v>2519104.9400000004</v>
      </c>
      <c r="U101" t="s">
        <v>1175</v>
      </c>
    </row>
    <row r="102" spans="1:21" ht="18">
      <c r="A102" s="838" t="s">
        <v>888</v>
      </c>
      <c r="B102" s="819"/>
      <c r="C102" s="819" t="s">
        <v>886</v>
      </c>
      <c r="D102" s="819" t="s">
        <v>885</v>
      </c>
      <c r="E102" s="810"/>
      <c r="F102" s="810"/>
      <c r="G102" s="810"/>
      <c r="H102" s="835">
        <v>18</v>
      </c>
      <c r="I102" s="835">
        <v>18</v>
      </c>
      <c r="J102" s="835">
        <v>18</v>
      </c>
      <c r="K102" s="835">
        <v>18</v>
      </c>
      <c r="L102" s="835">
        <v>18</v>
      </c>
      <c r="M102" s="835">
        <v>18</v>
      </c>
      <c r="N102" s="835">
        <v>18</v>
      </c>
      <c r="O102" s="835">
        <v>18</v>
      </c>
      <c r="P102" s="835">
        <v>18</v>
      </c>
      <c r="Q102" s="835">
        <v>18</v>
      </c>
      <c r="R102" s="835">
        <v>18</v>
      </c>
      <c r="S102" s="835">
        <v>18</v>
      </c>
      <c r="T102" s="835">
        <v>18</v>
      </c>
    </row>
    <row r="103" spans="1:21" ht="18">
      <c r="A103" s="838" t="s">
        <v>888</v>
      </c>
      <c r="B103" s="819"/>
      <c r="C103" s="819" t="s">
        <v>18</v>
      </c>
      <c r="D103" s="819" t="s">
        <v>885</v>
      </c>
      <c r="E103" s="810"/>
      <c r="F103" s="810"/>
      <c r="G103" s="810"/>
      <c r="H103" s="835">
        <v>11293.393</v>
      </c>
      <c r="I103" s="835">
        <v>11131.425999999998</v>
      </c>
      <c r="J103" s="835">
        <v>13635.497000000001</v>
      </c>
      <c r="K103" s="835">
        <v>19311.658000000003</v>
      </c>
      <c r="L103" s="835">
        <v>36046.75299999999</v>
      </c>
      <c r="M103" s="835">
        <v>43528.539000000004</v>
      </c>
      <c r="N103" s="835">
        <v>31703.328999999998</v>
      </c>
      <c r="O103" s="835">
        <v>48777.085999999996</v>
      </c>
      <c r="P103" s="835">
        <v>37899.287999999993</v>
      </c>
      <c r="Q103" s="835">
        <v>20633.144999999993</v>
      </c>
      <c r="R103" s="835">
        <v>28090.718000000001</v>
      </c>
      <c r="S103" s="835">
        <v>3132.7110000000066</v>
      </c>
      <c r="T103" s="835">
        <v>305183.54300000001</v>
      </c>
    </row>
    <row r="104" spans="1:21" ht="18">
      <c r="A104" s="838" t="s">
        <v>888</v>
      </c>
      <c r="B104" s="819"/>
      <c r="C104" s="819"/>
      <c r="D104" s="819"/>
      <c r="E104" s="810"/>
      <c r="F104" s="810"/>
      <c r="G104" s="810"/>
      <c r="H104" s="835"/>
      <c r="I104" s="835"/>
      <c r="J104" s="835"/>
      <c r="K104" s="835"/>
      <c r="L104" s="835"/>
      <c r="M104" s="835"/>
      <c r="N104" s="835"/>
      <c r="O104" s="835"/>
      <c r="P104" s="835"/>
      <c r="Q104" s="835"/>
      <c r="R104" s="835"/>
      <c r="S104" s="835"/>
      <c r="T104" s="835"/>
    </row>
    <row r="105" spans="1:21" ht="18">
      <c r="A105" s="838" t="s">
        <v>888</v>
      </c>
      <c r="B105" s="819" t="s">
        <v>77</v>
      </c>
      <c r="C105" s="819" t="s">
        <v>14</v>
      </c>
      <c r="D105" s="819" t="s">
        <v>885</v>
      </c>
      <c r="E105" s="810"/>
      <c r="F105" s="810"/>
      <c r="G105" s="810"/>
      <c r="H105" s="835">
        <v>0</v>
      </c>
      <c r="I105" s="835">
        <v>0</v>
      </c>
      <c r="J105" s="835">
        <v>0</v>
      </c>
      <c r="K105" s="835">
        <v>0</v>
      </c>
      <c r="L105" s="835">
        <v>0</v>
      </c>
      <c r="M105" s="835">
        <v>0</v>
      </c>
      <c r="N105" s="835">
        <v>0</v>
      </c>
      <c r="O105" s="835">
        <v>0</v>
      </c>
      <c r="P105" s="835">
        <v>0</v>
      </c>
      <c r="Q105" s="835">
        <v>0</v>
      </c>
      <c r="R105" s="835">
        <v>0</v>
      </c>
      <c r="S105" s="835">
        <v>0</v>
      </c>
      <c r="T105" s="835">
        <v>0</v>
      </c>
    </row>
    <row r="106" spans="1:21" ht="18">
      <c r="A106" s="838" t="s">
        <v>888</v>
      </c>
      <c r="B106" s="819"/>
      <c r="C106" s="819"/>
      <c r="D106" s="819" t="s">
        <v>885</v>
      </c>
      <c r="E106" s="810"/>
      <c r="F106" s="810"/>
      <c r="G106" s="810"/>
      <c r="H106" s="835"/>
      <c r="I106" s="835"/>
      <c r="J106" s="835"/>
      <c r="K106" s="835"/>
      <c r="L106" s="835"/>
      <c r="M106" s="835"/>
      <c r="N106" s="835"/>
      <c r="O106" s="835"/>
      <c r="P106" s="835"/>
      <c r="Q106" s="835"/>
      <c r="R106" s="835"/>
      <c r="S106" s="835"/>
      <c r="T106" s="835"/>
    </row>
    <row r="107" spans="1:21" ht="18">
      <c r="A107" s="838" t="s">
        <v>888</v>
      </c>
      <c r="B107" s="819"/>
      <c r="C107" s="819" t="s">
        <v>15</v>
      </c>
      <c r="D107" s="819" t="s">
        <v>885</v>
      </c>
      <c r="E107" s="810"/>
      <c r="F107" s="810"/>
      <c r="G107" s="810"/>
      <c r="H107" s="835">
        <v>0</v>
      </c>
      <c r="I107" s="835">
        <v>0</v>
      </c>
      <c r="J107" s="835">
        <v>0</v>
      </c>
      <c r="K107" s="835">
        <v>0</v>
      </c>
      <c r="L107" s="835">
        <v>0</v>
      </c>
      <c r="M107" s="835">
        <v>0</v>
      </c>
      <c r="N107" s="835">
        <v>0</v>
      </c>
      <c r="O107" s="835">
        <v>0</v>
      </c>
      <c r="P107" s="835">
        <v>0</v>
      </c>
      <c r="Q107" s="835">
        <v>0</v>
      </c>
      <c r="R107" s="835">
        <v>0</v>
      </c>
      <c r="S107" s="835">
        <v>0</v>
      </c>
      <c r="T107" s="835">
        <v>0</v>
      </c>
    </row>
    <row r="108" spans="1:21" ht="18">
      <c r="A108" s="838" t="s">
        <v>888</v>
      </c>
      <c r="B108" s="819"/>
      <c r="C108" s="819"/>
      <c r="D108" s="819" t="s">
        <v>885</v>
      </c>
      <c r="E108" s="810"/>
      <c r="F108" s="810"/>
      <c r="G108" s="810"/>
      <c r="H108" s="835"/>
      <c r="I108" s="835"/>
      <c r="J108" s="835"/>
      <c r="K108" s="835"/>
      <c r="L108" s="835"/>
      <c r="M108" s="835"/>
      <c r="N108" s="835"/>
      <c r="O108" s="835"/>
      <c r="P108" s="835"/>
      <c r="Q108" s="835"/>
      <c r="R108" s="835"/>
      <c r="S108" s="835"/>
      <c r="T108" s="835"/>
    </row>
    <row r="109" spans="1:21" ht="18">
      <c r="A109" s="838" t="s">
        <v>888</v>
      </c>
      <c r="B109" s="819"/>
      <c r="C109" s="819" t="s">
        <v>16</v>
      </c>
      <c r="D109" s="819" t="s">
        <v>885</v>
      </c>
      <c r="E109" s="810"/>
      <c r="F109" s="810"/>
      <c r="G109" s="810"/>
      <c r="H109" s="837">
        <v>0</v>
      </c>
      <c r="I109" s="837">
        <v>0</v>
      </c>
      <c r="J109" s="837">
        <v>0</v>
      </c>
      <c r="K109" s="837">
        <v>0</v>
      </c>
      <c r="L109" s="837">
        <v>0</v>
      </c>
      <c r="M109" s="837">
        <v>0</v>
      </c>
      <c r="N109" s="837">
        <v>0</v>
      </c>
      <c r="O109" s="837">
        <v>0</v>
      </c>
      <c r="P109" s="837">
        <v>0</v>
      </c>
      <c r="Q109" s="837">
        <v>0</v>
      </c>
      <c r="R109" s="837">
        <v>0</v>
      </c>
      <c r="S109" s="837">
        <v>0</v>
      </c>
      <c r="T109" s="837">
        <v>0</v>
      </c>
    </row>
    <row r="110" spans="1:21" ht="18">
      <c r="A110" s="838" t="s">
        <v>888</v>
      </c>
      <c r="B110" s="819"/>
      <c r="C110" s="819" t="s">
        <v>17</v>
      </c>
      <c r="D110" s="819" t="s">
        <v>885</v>
      </c>
      <c r="E110" s="810"/>
      <c r="F110" s="810"/>
      <c r="G110" s="810"/>
      <c r="H110" s="835">
        <v>0</v>
      </c>
      <c r="I110" s="835">
        <v>0</v>
      </c>
      <c r="J110" s="835">
        <v>0</v>
      </c>
      <c r="K110" s="835">
        <v>0</v>
      </c>
      <c r="L110" s="835">
        <v>0</v>
      </c>
      <c r="M110" s="835">
        <v>0</v>
      </c>
      <c r="N110" s="835">
        <v>0</v>
      </c>
      <c r="O110" s="835">
        <v>0</v>
      </c>
      <c r="P110" s="835">
        <v>0</v>
      </c>
      <c r="Q110" s="835">
        <v>0</v>
      </c>
      <c r="R110" s="835">
        <v>0</v>
      </c>
      <c r="S110" s="835">
        <v>0</v>
      </c>
      <c r="T110" s="835">
        <v>0</v>
      </c>
    </row>
    <row r="111" spans="1:21" ht="18">
      <c r="A111" s="838" t="s">
        <v>888</v>
      </c>
      <c r="B111" s="819"/>
      <c r="C111" s="819" t="s">
        <v>886</v>
      </c>
      <c r="D111" s="819" t="s">
        <v>885</v>
      </c>
      <c r="E111" s="810"/>
      <c r="F111" s="810"/>
      <c r="G111" s="810"/>
      <c r="H111" s="835">
        <v>0</v>
      </c>
      <c r="I111" s="835">
        <v>0</v>
      </c>
      <c r="J111" s="835">
        <v>0</v>
      </c>
      <c r="K111" s="835">
        <v>0</v>
      </c>
      <c r="L111" s="835">
        <v>0</v>
      </c>
      <c r="M111" s="835">
        <v>0</v>
      </c>
      <c r="N111" s="835">
        <v>0</v>
      </c>
      <c r="O111" s="835">
        <v>0</v>
      </c>
      <c r="P111" s="835">
        <v>0</v>
      </c>
      <c r="Q111" s="835">
        <v>0</v>
      </c>
      <c r="R111" s="835">
        <v>0</v>
      </c>
      <c r="S111" s="835">
        <v>0</v>
      </c>
      <c r="T111" s="835">
        <v>0</v>
      </c>
    </row>
    <row r="112" spans="1:21" ht="18">
      <c r="A112" s="838" t="s">
        <v>888</v>
      </c>
      <c r="B112" s="819"/>
      <c r="C112" s="819" t="s">
        <v>18</v>
      </c>
      <c r="D112" s="819" t="s">
        <v>885</v>
      </c>
      <c r="E112" s="810"/>
      <c r="F112" s="810"/>
      <c r="G112" s="810"/>
      <c r="H112" s="835">
        <v>0</v>
      </c>
      <c r="I112" s="835">
        <v>0</v>
      </c>
      <c r="J112" s="835">
        <v>0</v>
      </c>
      <c r="K112" s="835">
        <v>0</v>
      </c>
      <c r="L112" s="835">
        <v>0</v>
      </c>
      <c r="M112" s="835">
        <v>0</v>
      </c>
      <c r="N112" s="835">
        <v>0</v>
      </c>
      <c r="O112" s="835">
        <v>0</v>
      </c>
      <c r="P112" s="835">
        <v>0</v>
      </c>
      <c r="Q112" s="835">
        <v>0</v>
      </c>
      <c r="R112" s="835">
        <v>0</v>
      </c>
      <c r="S112" s="835">
        <v>0</v>
      </c>
      <c r="T112" s="835">
        <v>0</v>
      </c>
    </row>
    <row r="113" spans="1:21" ht="18">
      <c r="A113" s="838"/>
      <c r="B113" s="819"/>
      <c r="C113" s="819"/>
      <c r="D113" s="819"/>
      <c r="E113" s="810"/>
      <c r="F113" s="810"/>
      <c r="G113" s="810"/>
      <c r="H113" s="835">
        <v>0</v>
      </c>
      <c r="I113" s="835">
        <v>0</v>
      </c>
      <c r="J113" s="835">
        <v>0</v>
      </c>
      <c r="K113" s="835">
        <v>0</v>
      </c>
      <c r="L113" s="835">
        <v>0</v>
      </c>
      <c r="M113" s="835">
        <v>0</v>
      </c>
      <c r="N113" s="835">
        <v>0</v>
      </c>
      <c r="O113" s="835">
        <v>0</v>
      </c>
      <c r="P113" s="835">
        <v>0</v>
      </c>
      <c r="Q113" s="835">
        <v>0</v>
      </c>
      <c r="R113" s="835">
        <v>0</v>
      </c>
      <c r="S113" s="835">
        <v>0</v>
      </c>
      <c r="T113" s="835"/>
    </row>
    <row r="114" spans="1:21" ht="18">
      <c r="A114" s="838"/>
      <c r="B114" s="819" t="s">
        <v>891</v>
      </c>
      <c r="C114" s="819" t="s">
        <v>14</v>
      </c>
      <c r="D114" s="819" t="s">
        <v>885</v>
      </c>
      <c r="E114" s="810"/>
      <c r="F114" s="810"/>
      <c r="G114" s="810"/>
      <c r="H114" s="835">
        <v>0</v>
      </c>
      <c r="I114" s="835">
        <v>0</v>
      </c>
      <c r="J114" s="835">
        <v>0</v>
      </c>
      <c r="K114" s="835">
        <v>0</v>
      </c>
      <c r="L114" s="835">
        <v>0</v>
      </c>
      <c r="M114" s="835">
        <v>0</v>
      </c>
      <c r="N114" s="835">
        <v>0</v>
      </c>
      <c r="O114" s="835">
        <v>0</v>
      </c>
      <c r="P114" s="835">
        <v>0</v>
      </c>
      <c r="Q114" s="835">
        <v>0</v>
      </c>
      <c r="R114" s="835">
        <v>0</v>
      </c>
      <c r="S114" s="835">
        <v>0</v>
      </c>
      <c r="T114" s="835">
        <v>0</v>
      </c>
    </row>
    <row r="115" spans="1:21" ht="18">
      <c r="A115" s="838"/>
      <c r="B115" s="819"/>
      <c r="C115" s="819"/>
      <c r="D115" s="819" t="s">
        <v>885</v>
      </c>
      <c r="E115" s="810"/>
      <c r="F115" s="810"/>
      <c r="G115" s="810"/>
      <c r="H115" s="835">
        <v>0</v>
      </c>
      <c r="I115" s="835">
        <v>0</v>
      </c>
      <c r="J115" s="835">
        <v>0</v>
      </c>
      <c r="K115" s="835">
        <v>0</v>
      </c>
      <c r="L115" s="835">
        <v>0</v>
      </c>
      <c r="M115" s="835">
        <v>0</v>
      </c>
      <c r="N115" s="835">
        <v>0</v>
      </c>
      <c r="O115" s="835">
        <v>0</v>
      </c>
      <c r="P115" s="835">
        <v>0</v>
      </c>
      <c r="Q115" s="835">
        <v>0</v>
      </c>
      <c r="R115" s="835">
        <v>0</v>
      </c>
      <c r="S115" s="835">
        <v>0</v>
      </c>
      <c r="T115" s="835"/>
    </row>
    <row r="116" spans="1:21" ht="18">
      <c r="A116" s="838"/>
      <c r="B116" s="819"/>
      <c r="C116" s="819" t="s">
        <v>15</v>
      </c>
      <c r="D116" s="819" t="s">
        <v>885</v>
      </c>
      <c r="E116" s="810"/>
      <c r="F116" s="810"/>
      <c r="G116" s="810"/>
      <c r="H116" s="835">
        <v>0</v>
      </c>
      <c r="I116" s="835">
        <v>0</v>
      </c>
      <c r="J116" s="835">
        <v>0</v>
      </c>
      <c r="K116" s="835">
        <v>0</v>
      </c>
      <c r="L116" s="835">
        <v>0</v>
      </c>
      <c r="M116" s="835">
        <v>0</v>
      </c>
      <c r="N116" s="835">
        <v>0</v>
      </c>
      <c r="O116" s="835">
        <v>0</v>
      </c>
      <c r="P116" s="835">
        <v>0</v>
      </c>
      <c r="Q116" s="835">
        <v>0</v>
      </c>
      <c r="R116" s="835">
        <v>0</v>
      </c>
      <c r="S116" s="835">
        <v>0</v>
      </c>
      <c r="T116" s="835">
        <v>0</v>
      </c>
    </row>
    <row r="117" spans="1:21" ht="18">
      <c r="A117" s="838"/>
      <c r="B117" s="819"/>
      <c r="C117" s="819"/>
      <c r="D117" s="819" t="s">
        <v>885</v>
      </c>
      <c r="E117" s="810"/>
      <c r="F117" s="810"/>
      <c r="G117" s="810"/>
      <c r="H117" s="835">
        <v>0</v>
      </c>
      <c r="I117" s="835">
        <v>0</v>
      </c>
      <c r="J117" s="835">
        <v>0</v>
      </c>
      <c r="K117" s="835">
        <v>0</v>
      </c>
      <c r="L117" s="835">
        <v>0</v>
      </c>
      <c r="M117" s="835">
        <v>0</v>
      </c>
      <c r="N117" s="835">
        <v>0</v>
      </c>
      <c r="O117" s="835">
        <v>0</v>
      </c>
      <c r="P117" s="835">
        <v>0</v>
      </c>
      <c r="Q117" s="835">
        <v>0</v>
      </c>
      <c r="R117" s="835">
        <v>0</v>
      </c>
      <c r="S117" s="835">
        <v>0</v>
      </c>
      <c r="T117" s="835"/>
    </row>
    <row r="118" spans="1:21" ht="18">
      <c r="A118" s="838"/>
      <c r="B118" s="819"/>
      <c r="C118" s="819" t="s">
        <v>16</v>
      </c>
      <c r="D118" s="819" t="s">
        <v>885</v>
      </c>
      <c r="E118" s="810"/>
      <c r="F118" s="810"/>
      <c r="G118" s="810"/>
      <c r="H118" s="837">
        <v>0</v>
      </c>
      <c r="I118" s="837">
        <v>0</v>
      </c>
      <c r="J118" s="837">
        <v>0</v>
      </c>
      <c r="K118" s="837">
        <v>0</v>
      </c>
      <c r="L118" s="837">
        <v>0</v>
      </c>
      <c r="M118" s="837">
        <v>0</v>
      </c>
      <c r="N118" s="837">
        <v>0</v>
      </c>
      <c r="O118" s="837">
        <v>0</v>
      </c>
      <c r="P118" s="837">
        <v>0</v>
      </c>
      <c r="Q118" s="837">
        <v>0</v>
      </c>
      <c r="R118" s="837">
        <v>0</v>
      </c>
      <c r="S118" s="837">
        <v>0</v>
      </c>
      <c r="T118" s="837">
        <v>0</v>
      </c>
    </row>
    <row r="119" spans="1:21" ht="18">
      <c r="A119" s="838"/>
      <c r="B119" s="819"/>
      <c r="C119" s="819" t="s">
        <v>17</v>
      </c>
      <c r="D119" s="819" t="s">
        <v>885</v>
      </c>
      <c r="E119" s="810"/>
      <c r="F119" s="810"/>
      <c r="G119" s="810"/>
      <c r="H119" s="835">
        <v>0</v>
      </c>
      <c r="I119" s="835">
        <v>0</v>
      </c>
      <c r="J119" s="835">
        <v>0</v>
      </c>
      <c r="K119" s="835">
        <v>0</v>
      </c>
      <c r="L119" s="835">
        <v>0</v>
      </c>
      <c r="M119" s="835">
        <v>0</v>
      </c>
      <c r="N119" s="835">
        <v>0</v>
      </c>
      <c r="O119" s="835">
        <v>0</v>
      </c>
      <c r="P119" s="835">
        <v>0</v>
      </c>
      <c r="Q119" s="835">
        <v>0</v>
      </c>
      <c r="R119" s="835">
        <v>0</v>
      </c>
      <c r="S119" s="835">
        <v>0</v>
      </c>
      <c r="T119" s="835">
        <v>0</v>
      </c>
    </row>
    <row r="120" spans="1:21" ht="18">
      <c r="A120" s="838"/>
      <c r="B120" s="819"/>
      <c r="C120" s="819" t="s">
        <v>886</v>
      </c>
      <c r="D120" s="819" t="s">
        <v>885</v>
      </c>
      <c r="E120" s="810"/>
      <c r="F120" s="810"/>
      <c r="G120" s="810"/>
      <c r="H120" s="835">
        <v>0</v>
      </c>
      <c r="I120" s="835">
        <v>0</v>
      </c>
      <c r="J120" s="835">
        <v>0</v>
      </c>
      <c r="K120" s="835">
        <v>0</v>
      </c>
      <c r="L120" s="835">
        <v>0</v>
      </c>
      <c r="M120" s="835">
        <v>0</v>
      </c>
      <c r="N120" s="835">
        <v>0</v>
      </c>
      <c r="O120" s="835">
        <v>0</v>
      </c>
      <c r="P120" s="835">
        <v>0</v>
      </c>
      <c r="Q120" s="835">
        <v>0</v>
      </c>
      <c r="R120" s="835">
        <v>0</v>
      </c>
      <c r="S120" s="835">
        <v>0</v>
      </c>
      <c r="T120" s="835">
        <v>0</v>
      </c>
    </row>
    <row r="121" spans="1:21" ht="18">
      <c r="A121" s="838"/>
      <c r="B121" s="819"/>
      <c r="C121" s="819" t="s">
        <v>18</v>
      </c>
      <c r="D121" s="819" t="s">
        <v>885</v>
      </c>
      <c r="E121" s="810"/>
      <c r="F121" s="810"/>
      <c r="G121" s="810"/>
      <c r="H121" s="835">
        <v>0</v>
      </c>
      <c r="I121" s="835">
        <v>0</v>
      </c>
      <c r="J121" s="835">
        <v>0</v>
      </c>
      <c r="K121" s="835">
        <v>0</v>
      </c>
      <c r="L121" s="835">
        <v>0</v>
      </c>
      <c r="M121" s="835">
        <v>0</v>
      </c>
      <c r="N121" s="835">
        <v>0</v>
      </c>
      <c r="O121" s="835">
        <v>0</v>
      </c>
      <c r="P121" s="835">
        <v>0</v>
      </c>
      <c r="Q121" s="835">
        <v>0</v>
      </c>
      <c r="R121" s="835">
        <v>0</v>
      </c>
      <c r="S121" s="835">
        <v>0</v>
      </c>
      <c r="T121" s="835">
        <v>0</v>
      </c>
    </row>
    <row r="122" spans="1:21" ht="18">
      <c r="A122" s="838"/>
      <c r="B122" s="810"/>
      <c r="C122" s="810"/>
      <c r="D122" s="810"/>
      <c r="E122" s="810"/>
      <c r="F122" s="810"/>
      <c r="G122" s="810"/>
      <c r="H122" s="835"/>
      <c r="I122" s="835"/>
      <c r="J122" s="835"/>
      <c r="K122" s="835"/>
      <c r="L122" s="835"/>
      <c r="M122" s="835"/>
      <c r="N122" s="835"/>
      <c r="O122" s="835"/>
      <c r="P122" s="835"/>
      <c r="Q122" s="835"/>
      <c r="R122" s="835"/>
      <c r="S122" s="835"/>
      <c r="T122" s="835"/>
    </row>
    <row r="123" spans="1:21" ht="18">
      <c r="A123" s="838" t="s">
        <v>892</v>
      </c>
      <c r="B123" s="819" t="s">
        <v>893</v>
      </c>
      <c r="C123" s="819" t="s">
        <v>14</v>
      </c>
      <c r="D123" s="819" t="s">
        <v>894</v>
      </c>
      <c r="E123" s="810"/>
      <c r="F123" s="810"/>
      <c r="G123" s="810"/>
      <c r="H123" s="835">
        <v>956802.44000000018</v>
      </c>
      <c r="I123" s="835">
        <v>1065103.0200000003</v>
      </c>
      <c r="J123" s="835">
        <v>968148.74000000011</v>
      </c>
      <c r="K123" s="835">
        <v>951511.77000000014</v>
      </c>
      <c r="L123" s="835">
        <v>886368.54</v>
      </c>
      <c r="M123" s="835">
        <v>982568.51000000013</v>
      </c>
      <c r="N123" s="835">
        <v>435840.10999999993</v>
      </c>
      <c r="O123" s="835">
        <v>284639.26999999996</v>
      </c>
      <c r="P123" s="835">
        <v>269053.90000000002</v>
      </c>
      <c r="Q123" s="835">
        <v>807300.20000000007</v>
      </c>
      <c r="R123" s="835">
        <v>768577.69000000006</v>
      </c>
      <c r="S123" s="835">
        <v>957812.15</v>
      </c>
      <c r="T123" s="835">
        <v>9333726.3400000017</v>
      </c>
    </row>
    <row r="124" spans="1:21" ht="18">
      <c r="A124" s="838" t="s">
        <v>892</v>
      </c>
      <c r="B124" s="819"/>
      <c r="C124" s="819"/>
      <c r="D124" s="819" t="s">
        <v>894</v>
      </c>
      <c r="E124" s="810"/>
      <c r="F124" s="810"/>
      <c r="G124" s="810"/>
      <c r="H124" s="835"/>
      <c r="I124" s="835"/>
      <c r="J124" s="835"/>
      <c r="K124" s="835"/>
      <c r="L124" s="835"/>
      <c r="M124" s="835"/>
      <c r="N124" s="835"/>
      <c r="O124" s="835"/>
      <c r="P124" s="835"/>
      <c r="Q124" s="835"/>
      <c r="R124" s="835"/>
      <c r="S124" s="835"/>
      <c r="T124" s="835"/>
    </row>
    <row r="125" spans="1:21" ht="18">
      <c r="A125" s="838" t="s">
        <v>892</v>
      </c>
      <c r="B125" s="819"/>
      <c r="C125" s="819" t="s">
        <v>15</v>
      </c>
      <c r="D125" s="819" t="s">
        <v>894</v>
      </c>
      <c r="E125" s="810"/>
      <c r="F125" s="810"/>
      <c r="G125" s="810"/>
      <c r="H125" s="835">
        <v>26727.67</v>
      </c>
      <c r="I125" s="835">
        <v>25933.97</v>
      </c>
      <c r="J125" s="835">
        <v>25855.099999999995</v>
      </c>
      <c r="K125" s="835">
        <v>26546.329999999998</v>
      </c>
      <c r="L125" s="835">
        <v>26641.78</v>
      </c>
      <c r="M125" s="835">
        <v>26540.76</v>
      </c>
      <c r="N125" s="835">
        <v>26947.690000000002</v>
      </c>
      <c r="O125" s="835">
        <v>7551.0400000000009</v>
      </c>
      <c r="P125" s="835">
        <v>6706.88</v>
      </c>
      <c r="Q125" s="835">
        <v>7620.13</v>
      </c>
      <c r="R125" s="835">
        <v>6846.8</v>
      </c>
      <c r="S125" s="835">
        <v>6932.3600000000006</v>
      </c>
      <c r="T125" s="835">
        <v>220850.51</v>
      </c>
    </row>
    <row r="126" spans="1:21" ht="18">
      <c r="A126" s="838" t="s">
        <v>892</v>
      </c>
      <c r="B126" s="819"/>
      <c r="C126" s="819"/>
      <c r="D126" s="819" t="s">
        <v>894</v>
      </c>
      <c r="E126" s="810"/>
      <c r="F126" s="810"/>
      <c r="G126" s="810"/>
      <c r="H126" s="835"/>
      <c r="I126" s="835"/>
      <c r="J126" s="835"/>
      <c r="K126" s="835"/>
      <c r="L126" s="835"/>
      <c r="M126" s="835"/>
      <c r="N126" s="835"/>
      <c r="O126" s="835"/>
      <c r="P126" s="835"/>
      <c r="Q126" s="835"/>
      <c r="R126" s="835"/>
      <c r="S126" s="835"/>
      <c r="T126" s="835"/>
    </row>
    <row r="127" spans="1:21" ht="18">
      <c r="A127" s="838" t="s">
        <v>892</v>
      </c>
      <c r="B127" s="819"/>
      <c r="C127" s="819" t="s">
        <v>16</v>
      </c>
      <c r="D127" s="819" t="s">
        <v>894</v>
      </c>
      <c r="E127" s="810"/>
      <c r="F127" s="810"/>
      <c r="G127" s="810"/>
      <c r="H127" s="837">
        <v>0</v>
      </c>
      <c r="I127" s="837">
        <v>0</v>
      </c>
      <c r="J127" s="837">
        <v>0</v>
      </c>
      <c r="K127" s="837">
        <v>0</v>
      </c>
      <c r="L127" s="837">
        <v>0</v>
      </c>
      <c r="M127" s="837">
        <v>0</v>
      </c>
      <c r="N127" s="837">
        <v>0</v>
      </c>
      <c r="O127" s="837">
        <v>0</v>
      </c>
      <c r="P127" s="837">
        <v>0</v>
      </c>
      <c r="Q127" s="837">
        <v>0</v>
      </c>
      <c r="R127" s="837">
        <v>0</v>
      </c>
      <c r="S127" s="837">
        <v>0</v>
      </c>
      <c r="T127" s="837">
        <v>0</v>
      </c>
    </row>
    <row r="128" spans="1:21" ht="18">
      <c r="A128" s="838" t="s">
        <v>892</v>
      </c>
      <c r="B128" s="819"/>
      <c r="C128" s="819" t="s">
        <v>17</v>
      </c>
      <c r="D128" s="819" t="s">
        <v>894</v>
      </c>
      <c r="E128" s="810"/>
      <c r="F128" s="810"/>
      <c r="G128" s="810"/>
      <c r="H128" s="835">
        <v>983530.11000000022</v>
      </c>
      <c r="I128" s="835">
        <v>1091036.9900000002</v>
      </c>
      <c r="J128" s="835">
        <v>994003.84000000008</v>
      </c>
      <c r="K128" s="835">
        <v>978058.10000000009</v>
      </c>
      <c r="L128" s="835">
        <v>913010.32000000007</v>
      </c>
      <c r="M128" s="835">
        <v>1009109.2700000001</v>
      </c>
      <c r="N128" s="835">
        <v>462787.79999999993</v>
      </c>
      <c r="O128" s="835">
        <v>292190.30999999994</v>
      </c>
      <c r="P128" s="835">
        <v>275760.78000000003</v>
      </c>
      <c r="Q128" s="835">
        <v>814920.33000000007</v>
      </c>
      <c r="R128" s="835">
        <v>775424.49000000011</v>
      </c>
      <c r="S128" s="835">
        <v>964744.51</v>
      </c>
      <c r="T128" s="835">
        <v>9554576.8500000015</v>
      </c>
      <c r="U128" s="47">
        <f>'[33]Page 18_15'!$D$25+'[33]Page 18_15'!$D$22</f>
        <v>5050336.42</v>
      </c>
    </row>
    <row r="129" spans="1:21" ht="18">
      <c r="A129" s="838" t="s">
        <v>892</v>
      </c>
      <c r="B129" s="819"/>
      <c r="C129" s="819" t="s">
        <v>886</v>
      </c>
      <c r="D129" s="819" t="s">
        <v>894</v>
      </c>
      <c r="E129" s="810"/>
      <c r="F129" s="810"/>
      <c r="G129" s="810"/>
      <c r="H129" s="835">
        <v>8</v>
      </c>
      <c r="I129" s="835">
        <v>8</v>
      </c>
      <c r="J129" s="835">
        <v>8</v>
      </c>
      <c r="K129" s="835">
        <v>8</v>
      </c>
      <c r="L129" s="835">
        <v>8</v>
      </c>
      <c r="M129" s="835">
        <v>8</v>
      </c>
      <c r="N129" s="835">
        <v>8</v>
      </c>
      <c r="O129" s="835">
        <v>8</v>
      </c>
      <c r="P129" s="835">
        <v>8</v>
      </c>
      <c r="Q129" s="835">
        <v>8</v>
      </c>
      <c r="R129" s="835">
        <v>8</v>
      </c>
      <c r="S129" s="835">
        <v>8</v>
      </c>
      <c r="T129" s="835">
        <v>8</v>
      </c>
      <c r="U129" s="10">
        <f>U128-T128</f>
        <v>-4504240.4300000016</v>
      </c>
    </row>
    <row r="130" spans="1:21" ht="18">
      <c r="A130" s="838" t="s">
        <v>892</v>
      </c>
      <c r="B130" s="819"/>
      <c r="C130" s="819" t="s">
        <v>18</v>
      </c>
      <c r="D130" s="819" t="s">
        <v>894</v>
      </c>
      <c r="E130" s="810"/>
      <c r="F130" s="810"/>
      <c r="G130" s="810"/>
      <c r="H130" s="835">
        <v>4330868</v>
      </c>
      <c r="I130" s="835">
        <v>4661743</v>
      </c>
      <c r="J130" s="835">
        <v>4642019</v>
      </c>
      <c r="K130" s="835">
        <v>4487977</v>
      </c>
      <c r="L130" s="835">
        <v>4719884</v>
      </c>
      <c r="M130" s="835">
        <v>5123537</v>
      </c>
      <c r="N130" s="835">
        <v>5012052</v>
      </c>
      <c r="O130" s="835">
        <v>4326881</v>
      </c>
      <c r="P130" s="835">
        <v>4698934</v>
      </c>
      <c r="Q130" s="835">
        <v>3946018</v>
      </c>
      <c r="R130" s="835">
        <v>3989466</v>
      </c>
      <c r="S130" s="835">
        <v>3849372</v>
      </c>
      <c r="T130" s="835">
        <v>53788751</v>
      </c>
    </row>
    <row r="131" spans="1:21" ht="7.5" customHeight="1">
      <c r="A131" s="838" t="s">
        <v>892</v>
      </c>
      <c r="B131" s="819"/>
      <c r="C131" s="819"/>
      <c r="D131" s="819"/>
      <c r="E131" s="810"/>
      <c r="F131" s="810"/>
      <c r="G131" s="810"/>
      <c r="H131" s="835"/>
      <c r="I131" s="835"/>
      <c r="J131" s="835"/>
      <c r="K131" s="835"/>
      <c r="L131" s="835"/>
      <c r="M131" s="835"/>
      <c r="N131" s="835"/>
      <c r="O131" s="835"/>
      <c r="P131" s="835"/>
      <c r="Q131" s="835"/>
      <c r="R131" s="835"/>
      <c r="S131" s="835"/>
      <c r="T131" s="835"/>
    </row>
    <row r="132" spans="1:21" ht="18">
      <c r="A132" s="838" t="s">
        <v>892</v>
      </c>
      <c r="B132" s="819" t="s">
        <v>895</v>
      </c>
      <c r="C132" s="819" t="s">
        <v>14</v>
      </c>
      <c r="D132" s="819" t="s">
        <v>894</v>
      </c>
      <c r="E132" s="810"/>
      <c r="F132" s="810"/>
      <c r="G132" s="810"/>
      <c r="H132" s="835">
        <v>0</v>
      </c>
      <c r="I132" s="835">
        <v>0</v>
      </c>
      <c r="J132" s="835">
        <v>0</v>
      </c>
      <c r="K132" s="835">
        <v>0</v>
      </c>
      <c r="L132" s="835">
        <v>0</v>
      </c>
      <c r="M132" s="835">
        <v>0</v>
      </c>
      <c r="N132" s="835">
        <v>0</v>
      </c>
      <c r="O132" s="835">
        <v>0</v>
      </c>
      <c r="P132" s="835">
        <v>0</v>
      </c>
      <c r="Q132" s="835">
        <v>0</v>
      </c>
      <c r="R132" s="835">
        <v>0</v>
      </c>
      <c r="S132" s="835">
        <v>0</v>
      </c>
      <c r="T132" s="835">
        <v>0</v>
      </c>
    </row>
    <row r="133" spans="1:21" ht="18">
      <c r="A133" s="838" t="s">
        <v>892</v>
      </c>
      <c r="B133" s="819"/>
      <c r="C133" s="819"/>
      <c r="D133" s="819" t="s">
        <v>894</v>
      </c>
      <c r="E133" s="810"/>
      <c r="F133" s="810"/>
      <c r="G133" s="810"/>
      <c r="H133" s="835">
        <v>0</v>
      </c>
      <c r="I133" s="835">
        <v>0</v>
      </c>
      <c r="J133" s="835">
        <v>0</v>
      </c>
      <c r="K133" s="835">
        <v>0</v>
      </c>
      <c r="L133" s="835">
        <v>0</v>
      </c>
      <c r="M133" s="835">
        <v>0</v>
      </c>
      <c r="N133" s="835">
        <v>0</v>
      </c>
      <c r="O133" s="835">
        <v>0</v>
      </c>
      <c r="P133" s="835">
        <v>0</v>
      </c>
      <c r="Q133" s="835">
        <v>0</v>
      </c>
      <c r="R133" s="835">
        <v>0</v>
      </c>
      <c r="S133" s="835">
        <v>0</v>
      </c>
      <c r="T133" s="835"/>
    </row>
    <row r="134" spans="1:21" ht="18">
      <c r="A134" s="838" t="s">
        <v>892</v>
      </c>
      <c r="B134" s="819"/>
      <c r="C134" s="819" t="s">
        <v>15</v>
      </c>
      <c r="D134" s="819" t="s">
        <v>894</v>
      </c>
      <c r="E134" s="810"/>
      <c r="F134" s="810"/>
      <c r="G134" s="810"/>
      <c r="H134" s="835">
        <v>0</v>
      </c>
      <c r="I134" s="835">
        <v>0</v>
      </c>
      <c r="J134" s="835">
        <v>0</v>
      </c>
      <c r="K134" s="835">
        <v>0</v>
      </c>
      <c r="L134" s="835">
        <v>0</v>
      </c>
      <c r="M134" s="835">
        <v>0</v>
      </c>
      <c r="N134" s="835">
        <v>0</v>
      </c>
      <c r="O134" s="835">
        <v>0</v>
      </c>
      <c r="P134" s="835">
        <v>0</v>
      </c>
      <c r="Q134" s="835">
        <v>0</v>
      </c>
      <c r="R134" s="835">
        <v>0</v>
      </c>
      <c r="S134" s="835">
        <v>0</v>
      </c>
      <c r="T134" s="835">
        <v>0</v>
      </c>
    </row>
    <row r="135" spans="1:21" ht="18">
      <c r="A135" s="838" t="s">
        <v>892</v>
      </c>
      <c r="B135" s="819"/>
      <c r="C135" s="819"/>
      <c r="D135" s="819" t="s">
        <v>894</v>
      </c>
      <c r="E135" s="810"/>
      <c r="F135" s="810"/>
      <c r="G135" s="810"/>
      <c r="H135" s="835">
        <v>0</v>
      </c>
      <c r="I135" s="835">
        <v>0</v>
      </c>
      <c r="J135" s="835">
        <v>0</v>
      </c>
      <c r="K135" s="835">
        <v>0</v>
      </c>
      <c r="L135" s="835">
        <v>0</v>
      </c>
      <c r="M135" s="835">
        <v>0</v>
      </c>
      <c r="N135" s="835">
        <v>0</v>
      </c>
      <c r="O135" s="835">
        <v>0</v>
      </c>
      <c r="P135" s="835">
        <v>0</v>
      </c>
      <c r="Q135" s="835">
        <v>0</v>
      </c>
      <c r="R135" s="835">
        <v>0</v>
      </c>
      <c r="S135" s="835">
        <v>0</v>
      </c>
      <c r="T135" s="835"/>
    </row>
    <row r="136" spans="1:21" ht="18">
      <c r="A136" s="838" t="s">
        <v>892</v>
      </c>
      <c r="B136" s="819"/>
      <c r="C136" s="819" t="s">
        <v>16</v>
      </c>
      <c r="D136" s="819" t="s">
        <v>894</v>
      </c>
      <c r="E136" s="810"/>
      <c r="F136" s="810"/>
      <c r="G136" s="810"/>
      <c r="H136" s="837">
        <v>0</v>
      </c>
      <c r="I136" s="837">
        <v>0</v>
      </c>
      <c r="J136" s="837">
        <v>0</v>
      </c>
      <c r="K136" s="837">
        <v>0</v>
      </c>
      <c r="L136" s="837">
        <v>0</v>
      </c>
      <c r="M136" s="837">
        <v>0</v>
      </c>
      <c r="N136" s="837">
        <v>0</v>
      </c>
      <c r="O136" s="837">
        <v>0</v>
      </c>
      <c r="P136" s="837">
        <v>0</v>
      </c>
      <c r="Q136" s="837">
        <v>0</v>
      </c>
      <c r="R136" s="837">
        <v>0</v>
      </c>
      <c r="S136" s="837">
        <v>0</v>
      </c>
      <c r="T136" s="837">
        <v>0</v>
      </c>
    </row>
    <row r="137" spans="1:21" ht="18">
      <c r="A137" s="838" t="s">
        <v>892</v>
      </c>
      <c r="B137" s="819"/>
      <c r="C137" s="819" t="s">
        <v>17</v>
      </c>
      <c r="D137" s="819" t="s">
        <v>894</v>
      </c>
      <c r="E137" s="810"/>
      <c r="F137" s="810"/>
      <c r="G137" s="810"/>
      <c r="H137" s="835">
        <v>0</v>
      </c>
      <c r="I137" s="835">
        <v>0</v>
      </c>
      <c r="J137" s="835">
        <v>0</v>
      </c>
      <c r="K137" s="835">
        <v>0</v>
      </c>
      <c r="L137" s="835">
        <v>0</v>
      </c>
      <c r="M137" s="835">
        <v>0</v>
      </c>
      <c r="N137" s="835">
        <v>0</v>
      </c>
      <c r="O137" s="835">
        <v>0</v>
      </c>
      <c r="P137" s="835">
        <v>0</v>
      </c>
      <c r="Q137" s="835">
        <v>0</v>
      </c>
      <c r="R137" s="835">
        <v>0</v>
      </c>
      <c r="S137" s="835">
        <v>0</v>
      </c>
      <c r="T137" s="835">
        <v>0</v>
      </c>
    </row>
    <row r="138" spans="1:21" ht="18">
      <c r="A138" s="838" t="s">
        <v>892</v>
      </c>
      <c r="B138" s="819"/>
      <c r="C138" s="819" t="s">
        <v>886</v>
      </c>
      <c r="D138" s="819" t="s">
        <v>894</v>
      </c>
      <c r="E138" s="810"/>
      <c r="F138" s="810"/>
      <c r="G138" s="810"/>
      <c r="H138" s="835">
        <v>0</v>
      </c>
      <c r="I138" s="835">
        <v>0</v>
      </c>
      <c r="J138" s="835">
        <v>0</v>
      </c>
      <c r="K138" s="835">
        <v>0</v>
      </c>
      <c r="L138" s="835">
        <v>0</v>
      </c>
      <c r="M138" s="835">
        <v>0</v>
      </c>
      <c r="N138" s="835">
        <v>0</v>
      </c>
      <c r="O138" s="835">
        <v>0</v>
      </c>
      <c r="P138" s="835">
        <v>0</v>
      </c>
      <c r="Q138" s="835">
        <v>0</v>
      </c>
      <c r="R138" s="835">
        <v>0</v>
      </c>
      <c r="S138" s="835">
        <v>0</v>
      </c>
      <c r="T138" s="835">
        <v>0</v>
      </c>
    </row>
    <row r="139" spans="1:21" ht="18">
      <c r="A139" s="838" t="s">
        <v>892</v>
      </c>
      <c r="B139" s="819"/>
      <c r="C139" s="819" t="s">
        <v>18</v>
      </c>
      <c r="D139" s="819" t="s">
        <v>894</v>
      </c>
      <c r="E139" s="810"/>
      <c r="F139" s="810"/>
      <c r="G139" s="810"/>
      <c r="H139" s="835">
        <v>0</v>
      </c>
      <c r="I139" s="835">
        <v>0</v>
      </c>
      <c r="J139" s="835">
        <v>0</v>
      </c>
      <c r="K139" s="835">
        <v>0</v>
      </c>
      <c r="L139" s="835">
        <v>0</v>
      </c>
      <c r="M139" s="835">
        <v>0</v>
      </c>
      <c r="N139" s="835">
        <v>0</v>
      </c>
      <c r="O139" s="835">
        <v>0</v>
      </c>
      <c r="P139" s="835">
        <v>0</v>
      </c>
      <c r="Q139" s="835">
        <v>0</v>
      </c>
      <c r="R139" s="835">
        <v>0</v>
      </c>
      <c r="S139" s="835">
        <v>0</v>
      </c>
      <c r="T139" s="835">
        <v>0</v>
      </c>
    </row>
    <row r="140" spans="1:21" ht="18">
      <c r="A140" s="838" t="s">
        <v>892</v>
      </c>
      <c r="B140" s="819"/>
      <c r="C140" s="819"/>
      <c r="D140" s="819"/>
      <c r="E140" s="810"/>
      <c r="F140" s="810"/>
      <c r="G140" s="810"/>
      <c r="H140" s="835"/>
      <c r="I140" s="835"/>
      <c r="J140" s="835"/>
      <c r="K140" s="835"/>
      <c r="L140" s="835"/>
      <c r="M140" s="835"/>
      <c r="N140" s="835"/>
      <c r="O140" s="835"/>
      <c r="P140" s="835"/>
      <c r="Q140" s="835"/>
      <c r="R140" s="835"/>
      <c r="S140" s="835"/>
      <c r="T140" s="835"/>
    </row>
    <row r="141" spans="1:21" ht="18">
      <c r="A141" s="838" t="s">
        <v>892</v>
      </c>
      <c r="B141" s="819" t="s">
        <v>636</v>
      </c>
      <c r="C141" s="819" t="s">
        <v>14</v>
      </c>
      <c r="D141" s="819" t="s">
        <v>894</v>
      </c>
      <c r="E141" s="810"/>
      <c r="F141" s="810"/>
      <c r="G141" s="810"/>
      <c r="H141" s="835">
        <v>410.45</v>
      </c>
      <c r="I141" s="835">
        <v>932.49</v>
      </c>
      <c r="J141" s="835">
        <v>725.73</v>
      </c>
      <c r="K141" s="835">
        <v>1301.02</v>
      </c>
      <c r="L141" s="835">
        <v>3864.11</v>
      </c>
      <c r="M141" s="835">
        <v>4922.47</v>
      </c>
      <c r="N141" s="835">
        <v>4196.68</v>
      </c>
      <c r="O141" s="835">
        <v>4844.7300000000005</v>
      </c>
      <c r="P141" s="835">
        <v>4861.8200000000006</v>
      </c>
      <c r="Q141" s="835">
        <v>2155.4500000000003</v>
      </c>
      <c r="R141" s="835">
        <v>1097.7</v>
      </c>
      <c r="S141" s="835">
        <v>889.68999999999994</v>
      </c>
      <c r="T141" s="835">
        <v>30202.34</v>
      </c>
    </row>
    <row r="142" spans="1:21" ht="18">
      <c r="A142" s="838" t="s">
        <v>892</v>
      </c>
      <c r="B142" s="819"/>
      <c r="C142" s="819"/>
      <c r="D142" s="819" t="s">
        <v>894</v>
      </c>
      <c r="E142" s="810"/>
      <c r="F142" s="810"/>
      <c r="G142" s="810"/>
      <c r="H142" s="835"/>
      <c r="I142" s="835"/>
      <c r="J142" s="835"/>
      <c r="K142" s="835"/>
      <c r="L142" s="835"/>
      <c r="M142" s="835"/>
      <c r="N142" s="835"/>
      <c r="O142" s="835"/>
      <c r="P142" s="835"/>
      <c r="Q142" s="835"/>
      <c r="R142" s="835"/>
      <c r="S142" s="835"/>
      <c r="T142" s="835"/>
    </row>
    <row r="143" spans="1:21" ht="18">
      <c r="A143" s="838" t="s">
        <v>892</v>
      </c>
      <c r="B143" s="819"/>
      <c r="C143" s="819" t="s">
        <v>15</v>
      </c>
      <c r="D143" s="819" t="s">
        <v>894</v>
      </c>
      <c r="E143" s="810"/>
      <c r="F143" s="810"/>
      <c r="G143" s="810"/>
      <c r="H143" s="835">
        <v>32.99</v>
      </c>
      <c r="I143" s="835">
        <v>27.27</v>
      </c>
      <c r="J143" s="835">
        <v>39.36</v>
      </c>
      <c r="K143" s="835">
        <v>34.159999999999997</v>
      </c>
      <c r="L143" s="835">
        <v>41.22</v>
      </c>
      <c r="M143" s="835">
        <v>151.57</v>
      </c>
      <c r="N143" s="835">
        <v>157.15</v>
      </c>
      <c r="O143" s="835">
        <v>247.56</v>
      </c>
      <c r="P143" s="835">
        <v>230.3</v>
      </c>
      <c r="Q143" s="835">
        <v>179.27</v>
      </c>
      <c r="R143" s="835">
        <v>165.4</v>
      </c>
      <c r="S143" s="835">
        <v>83.01</v>
      </c>
      <c r="T143" s="835">
        <v>1389.26</v>
      </c>
    </row>
    <row r="144" spans="1:21" ht="18">
      <c r="A144" s="838" t="s">
        <v>892</v>
      </c>
      <c r="B144" s="819"/>
      <c r="C144" s="819"/>
      <c r="D144" s="819" t="s">
        <v>894</v>
      </c>
      <c r="E144" s="810"/>
      <c r="F144" s="810"/>
      <c r="G144" s="810"/>
      <c r="H144" s="835"/>
      <c r="I144" s="835"/>
      <c r="J144" s="835"/>
      <c r="K144" s="835"/>
      <c r="L144" s="835"/>
      <c r="M144" s="835"/>
      <c r="N144" s="835"/>
      <c r="O144" s="835"/>
      <c r="P144" s="835"/>
      <c r="Q144" s="835"/>
      <c r="R144" s="835"/>
      <c r="S144" s="835"/>
      <c r="T144" s="835"/>
    </row>
    <row r="145" spans="1:21" ht="18">
      <c r="A145" s="838" t="s">
        <v>892</v>
      </c>
      <c r="B145" s="819"/>
      <c r="C145" s="819" t="s">
        <v>16</v>
      </c>
      <c r="D145" s="819" t="s">
        <v>894</v>
      </c>
      <c r="E145" s="810"/>
      <c r="F145" s="810"/>
      <c r="G145" s="810"/>
      <c r="H145" s="837">
        <v>0</v>
      </c>
      <c r="I145" s="837">
        <v>0</v>
      </c>
      <c r="J145" s="837">
        <v>0</v>
      </c>
      <c r="K145" s="837">
        <v>0</v>
      </c>
      <c r="L145" s="837">
        <v>0</v>
      </c>
      <c r="M145" s="837">
        <v>0</v>
      </c>
      <c r="N145" s="837">
        <v>0</v>
      </c>
      <c r="O145" s="837">
        <v>0</v>
      </c>
      <c r="P145" s="837">
        <v>0</v>
      </c>
      <c r="Q145" s="837">
        <v>0</v>
      </c>
      <c r="R145" s="837">
        <v>0</v>
      </c>
      <c r="S145" s="837">
        <v>0</v>
      </c>
      <c r="T145" s="837">
        <v>0</v>
      </c>
    </row>
    <row r="146" spans="1:21" ht="18">
      <c r="A146" s="838" t="s">
        <v>892</v>
      </c>
      <c r="B146" s="819"/>
      <c r="C146" s="819" t="s">
        <v>17</v>
      </c>
      <c r="D146" s="819" t="s">
        <v>894</v>
      </c>
      <c r="E146" s="810"/>
      <c r="F146" s="810"/>
      <c r="G146" s="810"/>
      <c r="H146" s="835">
        <v>443.44</v>
      </c>
      <c r="I146" s="835">
        <v>959.76</v>
      </c>
      <c r="J146" s="835">
        <v>765.09</v>
      </c>
      <c r="K146" s="835">
        <v>1335.18</v>
      </c>
      <c r="L146" s="835">
        <v>3905.33</v>
      </c>
      <c r="M146" s="835">
        <v>5074.04</v>
      </c>
      <c r="N146" s="835">
        <v>4353.83</v>
      </c>
      <c r="O146" s="835">
        <v>5092.2900000000009</v>
      </c>
      <c r="P146" s="835">
        <v>5092.1200000000008</v>
      </c>
      <c r="Q146" s="835">
        <v>2334.7200000000003</v>
      </c>
      <c r="R146" s="835">
        <v>1263.1000000000001</v>
      </c>
      <c r="S146" s="835">
        <v>972.69999999999993</v>
      </c>
      <c r="T146" s="835">
        <v>31591.599999999999</v>
      </c>
      <c r="U146" s="47">
        <v>82765.77</v>
      </c>
    </row>
    <row r="147" spans="1:21" ht="18">
      <c r="A147" s="838" t="s">
        <v>892</v>
      </c>
      <c r="B147" s="819"/>
      <c r="C147" s="819" t="s">
        <v>886</v>
      </c>
      <c r="D147" s="819" t="s">
        <v>894</v>
      </c>
      <c r="E147" s="810"/>
      <c r="F147" s="810"/>
      <c r="G147" s="810"/>
      <c r="H147" s="835">
        <v>1</v>
      </c>
      <c r="I147" s="835">
        <v>1</v>
      </c>
      <c r="J147" s="835">
        <v>1</v>
      </c>
      <c r="K147" s="835">
        <v>1</v>
      </c>
      <c r="L147" s="835">
        <v>1</v>
      </c>
      <c r="M147" s="835">
        <v>1</v>
      </c>
      <c r="N147" s="835">
        <v>1</v>
      </c>
      <c r="O147" s="835">
        <v>1</v>
      </c>
      <c r="P147" s="835">
        <v>1</v>
      </c>
      <c r="Q147" s="835">
        <v>1</v>
      </c>
      <c r="R147" s="835">
        <v>1</v>
      </c>
      <c r="S147" s="835">
        <v>1</v>
      </c>
      <c r="T147" s="835">
        <v>1</v>
      </c>
      <c r="U147" s="10">
        <f>U146-T146</f>
        <v>51174.170000000006</v>
      </c>
    </row>
    <row r="148" spans="1:21" ht="18">
      <c r="A148" s="838" t="s">
        <v>892</v>
      </c>
      <c r="B148" s="819"/>
      <c r="C148" s="819" t="s">
        <v>18</v>
      </c>
      <c r="D148" s="819" t="s">
        <v>894</v>
      </c>
      <c r="E148" s="810"/>
      <c r="F148" s="810"/>
      <c r="G148" s="810"/>
      <c r="H148" s="835">
        <v>503</v>
      </c>
      <c r="I148" s="835">
        <v>530</v>
      </c>
      <c r="J148" s="835">
        <v>583</v>
      </c>
      <c r="K148" s="835">
        <v>1288</v>
      </c>
      <c r="L148" s="835">
        <v>4429</v>
      </c>
      <c r="M148" s="835">
        <v>5726</v>
      </c>
      <c r="N148" s="835">
        <v>4178</v>
      </c>
      <c r="O148" s="835">
        <v>4795</v>
      </c>
      <c r="P148" s="835">
        <v>4833</v>
      </c>
      <c r="Q148" s="835">
        <v>1895</v>
      </c>
      <c r="R148" s="835">
        <v>740</v>
      </c>
      <c r="S148" s="835">
        <v>601</v>
      </c>
      <c r="T148" s="835">
        <v>30101</v>
      </c>
    </row>
    <row r="149" spans="1:21" ht="18">
      <c r="A149" s="838" t="s">
        <v>892</v>
      </c>
      <c r="B149" s="819"/>
      <c r="C149" s="819"/>
      <c r="D149" s="819"/>
      <c r="E149" s="810"/>
      <c r="F149" s="810"/>
      <c r="G149" s="810"/>
      <c r="H149" s="835"/>
      <c r="I149" s="835"/>
      <c r="J149" s="835"/>
      <c r="K149" s="835"/>
      <c r="L149" s="835"/>
      <c r="M149" s="835"/>
      <c r="N149" s="835"/>
      <c r="O149" s="835"/>
      <c r="P149" s="835"/>
      <c r="Q149" s="835"/>
      <c r="R149" s="835"/>
      <c r="S149" s="835"/>
      <c r="T149" s="835"/>
    </row>
    <row r="150" spans="1:21" ht="18">
      <c r="A150" s="838" t="s">
        <v>892</v>
      </c>
      <c r="B150" s="839" t="s">
        <v>896</v>
      </c>
      <c r="C150" s="819" t="s">
        <v>14</v>
      </c>
      <c r="D150" s="819" t="s">
        <v>894</v>
      </c>
      <c r="E150" s="810"/>
      <c r="F150" s="810"/>
      <c r="G150" s="810"/>
      <c r="H150" s="835">
        <v>0</v>
      </c>
      <c r="I150" s="835">
        <v>0</v>
      </c>
      <c r="J150" s="835">
        <v>0</v>
      </c>
      <c r="K150" s="835">
        <v>0</v>
      </c>
      <c r="L150" s="835">
        <v>0</v>
      </c>
      <c r="M150" s="835">
        <v>0</v>
      </c>
      <c r="N150" s="835">
        <v>0</v>
      </c>
      <c r="O150" s="835">
        <v>0</v>
      </c>
      <c r="P150" s="835">
        <v>0</v>
      </c>
      <c r="Q150" s="835">
        <v>0</v>
      </c>
      <c r="R150" s="835">
        <v>0</v>
      </c>
      <c r="S150" s="835">
        <v>0</v>
      </c>
      <c r="T150" s="835">
        <v>0</v>
      </c>
    </row>
    <row r="151" spans="1:21" ht="18">
      <c r="A151" s="838" t="s">
        <v>892</v>
      </c>
      <c r="B151" s="819"/>
      <c r="C151" s="819"/>
      <c r="D151" s="819" t="s">
        <v>894</v>
      </c>
      <c r="E151" s="810"/>
      <c r="F151" s="810"/>
      <c r="G151" s="810"/>
      <c r="H151" s="835">
        <v>0</v>
      </c>
      <c r="I151" s="835">
        <v>0</v>
      </c>
      <c r="J151" s="835">
        <v>0</v>
      </c>
      <c r="K151" s="835">
        <v>0</v>
      </c>
      <c r="L151" s="835">
        <v>0</v>
      </c>
      <c r="M151" s="835">
        <v>0</v>
      </c>
      <c r="N151" s="835">
        <v>0</v>
      </c>
      <c r="O151" s="835">
        <v>0</v>
      </c>
      <c r="P151" s="835">
        <v>0</v>
      </c>
      <c r="Q151" s="835">
        <v>0</v>
      </c>
      <c r="R151" s="835">
        <v>0</v>
      </c>
      <c r="S151" s="835">
        <v>0</v>
      </c>
      <c r="T151" s="835"/>
    </row>
    <row r="152" spans="1:21" ht="18">
      <c r="A152" s="838" t="s">
        <v>892</v>
      </c>
      <c r="B152" s="819"/>
      <c r="C152" s="819" t="s">
        <v>15</v>
      </c>
      <c r="D152" s="819" t="s">
        <v>894</v>
      </c>
      <c r="E152" s="810"/>
      <c r="F152" s="810"/>
      <c r="G152" s="810"/>
      <c r="H152" s="835">
        <v>0</v>
      </c>
      <c r="I152" s="835">
        <v>0</v>
      </c>
      <c r="J152" s="835">
        <v>0</v>
      </c>
      <c r="K152" s="835">
        <v>0</v>
      </c>
      <c r="L152" s="835">
        <v>0</v>
      </c>
      <c r="M152" s="835">
        <v>0</v>
      </c>
      <c r="N152" s="835">
        <v>0</v>
      </c>
      <c r="O152" s="835">
        <v>0</v>
      </c>
      <c r="P152" s="835">
        <v>0</v>
      </c>
      <c r="Q152" s="835">
        <v>0</v>
      </c>
      <c r="R152" s="835">
        <v>0</v>
      </c>
      <c r="S152" s="835">
        <v>0</v>
      </c>
      <c r="T152" s="835">
        <v>0</v>
      </c>
    </row>
    <row r="153" spans="1:21" ht="18">
      <c r="A153" s="838" t="s">
        <v>892</v>
      </c>
      <c r="B153" s="819"/>
      <c r="C153" s="819"/>
      <c r="D153" s="819" t="s">
        <v>894</v>
      </c>
      <c r="E153" s="810"/>
      <c r="F153" s="810"/>
      <c r="G153" s="810"/>
      <c r="H153" s="835">
        <v>0</v>
      </c>
      <c r="I153" s="835">
        <v>0</v>
      </c>
      <c r="J153" s="835">
        <v>0</v>
      </c>
      <c r="K153" s="835">
        <v>0</v>
      </c>
      <c r="L153" s="835">
        <v>0</v>
      </c>
      <c r="M153" s="835">
        <v>0</v>
      </c>
      <c r="N153" s="835">
        <v>0</v>
      </c>
      <c r="O153" s="835">
        <v>0</v>
      </c>
      <c r="P153" s="835">
        <v>0</v>
      </c>
      <c r="Q153" s="835">
        <v>0</v>
      </c>
      <c r="R153" s="835">
        <v>0</v>
      </c>
      <c r="S153" s="835">
        <v>0</v>
      </c>
      <c r="T153" s="835"/>
    </row>
    <row r="154" spans="1:21" ht="18">
      <c r="A154" s="838" t="s">
        <v>892</v>
      </c>
      <c r="B154" s="819"/>
      <c r="C154" s="819" t="s">
        <v>16</v>
      </c>
      <c r="D154" s="819" t="s">
        <v>894</v>
      </c>
      <c r="E154" s="810"/>
      <c r="F154" s="810"/>
      <c r="G154" s="810"/>
      <c r="H154" s="837">
        <v>0</v>
      </c>
      <c r="I154" s="837">
        <v>0</v>
      </c>
      <c r="J154" s="837">
        <v>0</v>
      </c>
      <c r="K154" s="837">
        <v>0</v>
      </c>
      <c r="L154" s="837">
        <v>0</v>
      </c>
      <c r="M154" s="837">
        <v>0</v>
      </c>
      <c r="N154" s="837">
        <v>0</v>
      </c>
      <c r="O154" s="837">
        <v>0</v>
      </c>
      <c r="P154" s="837">
        <v>0</v>
      </c>
      <c r="Q154" s="837">
        <v>0</v>
      </c>
      <c r="R154" s="837">
        <v>0</v>
      </c>
      <c r="S154" s="837">
        <v>0</v>
      </c>
      <c r="T154" s="837">
        <v>0</v>
      </c>
    </row>
    <row r="155" spans="1:21" ht="18">
      <c r="A155" s="838" t="s">
        <v>892</v>
      </c>
      <c r="B155" s="819"/>
      <c r="C155" s="819" t="s">
        <v>17</v>
      </c>
      <c r="D155" s="819" t="s">
        <v>894</v>
      </c>
      <c r="E155" s="810"/>
      <c r="F155" s="810"/>
      <c r="G155" s="810"/>
      <c r="H155" s="835">
        <v>0</v>
      </c>
      <c r="I155" s="835">
        <v>0</v>
      </c>
      <c r="J155" s="835">
        <v>0</v>
      </c>
      <c r="K155" s="835">
        <v>0</v>
      </c>
      <c r="L155" s="835">
        <v>0</v>
      </c>
      <c r="M155" s="835">
        <v>0</v>
      </c>
      <c r="N155" s="835">
        <v>0</v>
      </c>
      <c r="O155" s="835">
        <v>0</v>
      </c>
      <c r="P155" s="835">
        <v>0</v>
      </c>
      <c r="Q155" s="835">
        <v>0</v>
      </c>
      <c r="R155" s="835">
        <v>0</v>
      </c>
      <c r="S155" s="835">
        <v>0</v>
      </c>
      <c r="T155" s="835">
        <v>0</v>
      </c>
    </row>
    <row r="156" spans="1:21" ht="18">
      <c r="A156" s="838" t="s">
        <v>892</v>
      </c>
      <c r="B156" s="819"/>
      <c r="C156" s="819" t="s">
        <v>886</v>
      </c>
      <c r="D156" s="819" t="s">
        <v>894</v>
      </c>
      <c r="E156" s="810"/>
      <c r="F156" s="810"/>
      <c r="G156" s="810"/>
      <c r="H156" s="835">
        <v>0</v>
      </c>
      <c r="I156" s="835">
        <v>0</v>
      </c>
      <c r="J156" s="835">
        <v>0</v>
      </c>
      <c r="K156" s="835">
        <v>0</v>
      </c>
      <c r="L156" s="835">
        <v>0</v>
      </c>
      <c r="M156" s="835">
        <v>0</v>
      </c>
      <c r="N156" s="835">
        <v>0</v>
      </c>
      <c r="O156" s="835">
        <v>0</v>
      </c>
      <c r="P156" s="835">
        <v>0</v>
      </c>
      <c r="Q156" s="835">
        <v>0</v>
      </c>
      <c r="R156" s="835">
        <v>0</v>
      </c>
      <c r="S156" s="835">
        <v>0</v>
      </c>
      <c r="T156" s="835">
        <v>0</v>
      </c>
    </row>
    <row r="157" spans="1:21" ht="18">
      <c r="A157" s="838" t="s">
        <v>892</v>
      </c>
      <c r="B157" s="819"/>
      <c r="C157" s="819" t="s">
        <v>18</v>
      </c>
      <c r="D157" s="819" t="s">
        <v>894</v>
      </c>
      <c r="E157" s="810"/>
      <c r="F157" s="810"/>
      <c r="G157" s="810"/>
      <c r="H157" s="835">
        <v>0</v>
      </c>
      <c r="I157" s="835">
        <v>0</v>
      </c>
      <c r="J157" s="835">
        <v>0</v>
      </c>
      <c r="K157" s="835">
        <v>0</v>
      </c>
      <c r="L157" s="835">
        <v>0</v>
      </c>
      <c r="M157" s="835">
        <v>0</v>
      </c>
      <c r="N157" s="835">
        <v>0</v>
      </c>
      <c r="O157" s="835">
        <v>0</v>
      </c>
      <c r="P157" s="835">
        <v>0</v>
      </c>
      <c r="Q157" s="835">
        <v>0</v>
      </c>
      <c r="R157" s="835">
        <v>0</v>
      </c>
      <c r="S157" s="835">
        <v>0</v>
      </c>
      <c r="T157" s="835">
        <v>0</v>
      </c>
    </row>
    <row r="158" spans="1:21" ht="18">
      <c r="A158" s="838" t="s">
        <v>892</v>
      </c>
      <c r="B158" s="838"/>
      <c r="C158" s="838"/>
      <c r="D158" s="838"/>
      <c r="E158" s="810"/>
      <c r="F158" s="810"/>
      <c r="G158" s="810"/>
      <c r="H158" s="835"/>
      <c r="I158" s="835"/>
      <c r="J158" s="835"/>
      <c r="K158" s="835"/>
      <c r="L158" s="835"/>
      <c r="M158" s="835"/>
      <c r="N158" s="835"/>
      <c r="O158" s="835"/>
      <c r="P158" s="835"/>
      <c r="Q158" s="835"/>
      <c r="R158" s="835"/>
      <c r="S158" s="835"/>
      <c r="T158" s="835"/>
    </row>
    <row r="159" spans="1:21" ht="18">
      <c r="A159" s="838" t="s">
        <v>892</v>
      </c>
      <c r="B159" s="819" t="s">
        <v>897</v>
      </c>
      <c r="C159" s="819" t="s">
        <v>14</v>
      </c>
      <c r="D159" s="819" t="s">
        <v>894</v>
      </c>
      <c r="E159" s="810"/>
      <c r="F159" s="810"/>
      <c r="G159" s="810"/>
      <c r="H159" s="835">
        <v>2875735.48</v>
      </c>
      <c r="I159" s="835">
        <v>2862600.1799999997</v>
      </c>
      <c r="J159" s="835">
        <v>2892551.9799999995</v>
      </c>
      <c r="K159" s="835">
        <v>3160851.8900000011</v>
      </c>
      <c r="L159" s="835">
        <v>3672376.6199999992</v>
      </c>
      <c r="M159" s="835">
        <v>3771691.87</v>
      </c>
      <c r="N159" s="835">
        <v>4754616.9399999995</v>
      </c>
      <c r="O159" s="835">
        <v>4503045.5500000007</v>
      </c>
      <c r="P159" s="835">
        <v>4539630.7400000012</v>
      </c>
      <c r="Q159" s="835">
        <v>5184851.3999999994</v>
      </c>
      <c r="R159" s="835">
        <v>3418822.9499999997</v>
      </c>
      <c r="S159" s="835">
        <v>3309212.4600000004</v>
      </c>
      <c r="T159" s="835">
        <v>44945988.06000001</v>
      </c>
    </row>
    <row r="160" spans="1:21" ht="18">
      <c r="A160" s="838" t="s">
        <v>892</v>
      </c>
      <c r="B160" s="819"/>
      <c r="C160" s="819"/>
      <c r="D160" s="819" t="s">
        <v>894</v>
      </c>
      <c r="E160" s="810"/>
      <c r="F160" s="810"/>
      <c r="G160" s="810"/>
      <c r="H160" s="835"/>
      <c r="I160" s="835"/>
      <c r="J160" s="835"/>
      <c r="K160" s="835"/>
      <c r="L160" s="835"/>
      <c r="M160" s="835"/>
      <c r="N160" s="835"/>
      <c r="O160" s="835"/>
      <c r="P160" s="835"/>
      <c r="Q160" s="835"/>
      <c r="R160" s="835"/>
      <c r="S160" s="835"/>
      <c r="T160" s="835"/>
    </row>
    <row r="161" spans="1:21" ht="18">
      <c r="A161" s="838" t="s">
        <v>892</v>
      </c>
      <c r="B161" s="819"/>
      <c r="C161" s="819" t="s">
        <v>15</v>
      </c>
      <c r="D161" s="819" t="s">
        <v>894</v>
      </c>
      <c r="E161" s="810"/>
      <c r="F161" s="810"/>
      <c r="G161" s="810"/>
      <c r="H161" s="835">
        <v>89287.400000000009</v>
      </c>
      <c r="I161" s="835">
        <v>83636.62000000001</v>
      </c>
      <c r="J161" s="835">
        <v>79507.030000000013</v>
      </c>
      <c r="K161" s="835">
        <v>98971.58</v>
      </c>
      <c r="L161" s="835">
        <v>98219.01999999999</v>
      </c>
      <c r="M161" s="835">
        <v>125241.85</v>
      </c>
      <c r="N161" s="835">
        <v>0</v>
      </c>
      <c r="O161" s="835">
        <v>127401.76000000001</v>
      </c>
      <c r="P161" s="835">
        <v>115139.96</v>
      </c>
      <c r="Q161" s="835">
        <v>141220.72</v>
      </c>
      <c r="R161" s="835">
        <v>132346.63</v>
      </c>
      <c r="S161" s="835">
        <v>144283.40999999997</v>
      </c>
      <c r="T161" s="835">
        <v>1235255.9799999997</v>
      </c>
    </row>
    <row r="162" spans="1:21" ht="18">
      <c r="A162" s="838" t="s">
        <v>892</v>
      </c>
      <c r="B162" s="819"/>
      <c r="C162" s="819"/>
      <c r="D162" s="819" t="s">
        <v>894</v>
      </c>
      <c r="E162" s="810"/>
      <c r="F162" s="810"/>
      <c r="G162" s="810"/>
      <c r="H162" s="835"/>
      <c r="I162" s="835"/>
      <c r="J162" s="835"/>
      <c r="K162" s="835"/>
      <c r="L162" s="835"/>
      <c r="M162" s="835"/>
      <c r="N162" s="835"/>
      <c r="O162" s="835"/>
      <c r="P162" s="835"/>
      <c r="Q162" s="835"/>
      <c r="R162" s="835"/>
      <c r="S162" s="835"/>
      <c r="T162" s="835"/>
    </row>
    <row r="163" spans="1:21" ht="18">
      <c r="A163" s="838" t="s">
        <v>892</v>
      </c>
      <c r="B163" s="819"/>
      <c r="C163" s="819" t="s">
        <v>16</v>
      </c>
      <c r="D163" s="819" t="s">
        <v>894</v>
      </c>
      <c r="E163" s="810"/>
      <c r="F163" s="810"/>
      <c r="G163" s="810"/>
      <c r="H163" s="837">
        <v>0</v>
      </c>
      <c r="I163" s="837">
        <v>0</v>
      </c>
      <c r="J163" s="837">
        <v>0</v>
      </c>
      <c r="K163" s="837">
        <v>0</v>
      </c>
      <c r="L163" s="837">
        <v>0</v>
      </c>
      <c r="M163" s="837">
        <v>0</v>
      </c>
      <c r="N163" s="837">
        <v>0</v>
      </c>
      <c r="O163" s="837">
        <v>0</v>
      </c>
      <c r="P163" s="837">
        <v>0</v>
      </c>
      <c r="Q163" s="837">
        <v>0</v>
      </c>
      <c r="R163" s="837">
        <v>0</v>
      </c>
      <c r="S163" s="837">
        <v>0</v>
      </c>
      <c r="T163" s="837">
        <v>0</v>
      </c>
    </row>
    <row r="164" spans="1:21" ht="18">
      <c r="A164" s="838" t="s">
        <v>892</v>
      </c>
      <c r="B164" s="819"/>
      <c r="C164" s="819" t="s">
        <v>17</v>
      </c>
      <c r="D164" s="819" t="s">
        <v>894</v>
      </c>
      <c r="E164" s="810"/>
      <c r="F164" s="810"/>
      <c r="G164" s="810"/>
      <c r="H164" s="835">
        <v>2965022.88</v>
      </c>
      <c r="I164" s="835">
        <v>2946236.8</v>
      </c>
      <c r="J164" s="835">
        <v>2972059.0099999993</v>
      </c>
      <c r="K164" s="835">
        <v>3259823.4700000011</v>
      </c>
      <c r="L164" s="835">
        <v>3770595.6399999992</v>
      </c>
      <c r="M164" s="835">
        <v>3896933.72</v>
      </c>
      <c r="N164" s="835">
        <v>4754616.9399999995</v>
      </c>
      <c r="O164" s="835">
        <v>4630447.3100000005</v>
      </c>
      <c r="P164" s="835">
        <v>4654770.7000000011</v>
      </c>
      <c r="Q164" s="835">
        <v>5326072.1199999992</v>
      </c>
      <c r="R164" s="835">
        <v>3551169.5799999996</v>
      </c>
      <c r="S164" s="835">
        <v>3453495.8700000006</v>
      </c>
      <c r="T164" s="835">
        <v>46181244.040000007</v>
      </c>
      <c r="U164" s="47">
        <f>'[33]Page 18_15'!$D$21+'[33]Page 18_15'!$D$24</f>
        <v>23083176.07</v>
      </c>
    </row>
    <row r="165" spans="1:21" ht="18">
      <c r="A165" s="838" t="s">
        <v>892</v>
      </c>
      <c r="B165" s="819"/>
      <c r="C165" s="819" t="s">
        <v>886</v>
      </c>
      <c r="D165" s="819" t="s">
        <v>894</v>
      </c>
      <c r="E165" s="810"/>
      <c r="F165" s="810"/>
      <c r="G165" s="810"/>
      <c r="H165" s="835">
        <v>1143</v>
      </c>
      <c r="I165" s="835">
        <v>1162</v>
      </c>
      <c r="J165" s="835">
        <v>1162</v>
      </c>
      <c r="K165" s="835">
        <v>1160</v>
      </c>
      <c r="L165" s="835">
        <v>1160</v>
      </c>
      <c r="M165" s="835">
        <v>1161</v>
      </c>
      <c r="N165" s="835">
        <v>1139</v>
      </c>
      <c r="O165" s="835">
        <v>1139</v>
      </c>
      <c r="P165" s="835">
        <v>1139</v>
      </c>
      <c r="Q165" s="835">
        <v>1139</v>
      </c>
      <c r="R165" s="835">
        <v>1139</v>
      </c>
      <c r="S165" s="835">
        <v>1139</v>
      </c>
      <c r="T165" s="835">
        <v>1148.5</v>
      </c>
      <c r="U165" s="10">
        <f>T164-U164</f>
        <v>23098067.970000006</v>
      </c>
    </row>
    <row r="166" spans="1:21" ht="18">
      <c r="A166" s="838" t="s">
        <v>892</v>
      </c>
      <c r="B166" s="819"/>
      <c r="C166" s="819" t="s">
        <v>18</v>
      </c>
      <c r="D166" s="819" t="s">
        <v>894</v>
      </c>
      <c r="E166" s="810"/>
      <c r="F166" s="810"/>
      <c r="G166" s="810"/>
      <c r="H166" s="835">
        <v>3856398</v>
      </c>
      <c r="I166" s="835">
        <v>3762067</v>
      </c>
      <c r="J166" s="835">
        <v>3656746.1</v>
      </c>
      <c r="K166" s="835">
        <v>3898359.5</v>
      </c>
      <c r="L166" s="835">
        <v>4820175.9000000004</v>
      </c>
      <c r="M166" s="835">
        <v>5132796.0999999996</v>
      </c>
      <c r="N166" s="835">
        <v>5377686.2000000002</v>
      </c>
      <c r="O166" s="835">
        <v>4876318.9000000004</v>
      </c>
      <c r="P166" s="835">
        <v>4882439.5999999996</v>
      </c>
      <c r="Q166" s="835">
        <v>4075184.8</v>
      </c>
      <c r="R166" s="835">
        <v>3394039</v>
      </c>
      <c r="S166" s="835">
        <v>3311511.9</v>
      </c>
      <c r="T166" s="835">
        <v>51043723</v>
      </c>
    </row>
    <row r="167" spans="1:21" ht="18">
      <c r="A167" s="838" t="s">
        <v>892</v>
      </c>
      <c r="B167" s="819"/>
      <c r="C167" s="819"/>
      <c r="D167" s="819"/>
      <c r="E167" s="810"/>
      <c r="F167" s="810"/>
      <c r="G167" s="810"/>
      <c r="H167" s="835"/>
      <c r="I167" s="835"/>
      <c r="J167" s="835"/>
      <c r="K167" s="835"/>
      <c r="L167" s="835"/>
      <c r="M167" s="835"/>
      <c r="N167" s="835"/>
      <c r="O167" s="835"/>
      <c r="P167" s="835"/>
      <c r="Q167" s="835"/>
      <c r="R167" s="835"/>
      <c r="S167" s="835"/>
      <c r="T167" s="835"/>
    </row>
    <row r="168" spans="1:21" ht="18">
      <c r="A168" s="838" t="s">
        <v>892</v>
      </c>
      <c r="B168" s="819" t="s">
        <v>898</v>
      </c>
      <c r="C168" s="819" t="s">
        <v>14</v>
      </c>
      <c r="D168" s="819" t="s">
        <v>894</v>
      </c>
      <c r="E168" s="810"/>
      <c r="F168" s="810"/>
      <c r="G168" s="810"/>
      <c r="H168" s="835">
        <v>0</v>
      </c>
      <c r="I168" s="835">
        <v>0</v>
      </c>
      <c r="J168" s="835">
        <v>0</v>
      </c>
      <c r="K168" s="835">
        <v>0</v>
      </c>
      <c r="L168" s="835">
        <v>0</v>
      </c>
      <c r="M168" s="835">
        <v>0</v>
      </c>
      <c r="N168" s="835">
        <v>0</v>
      </c>
      <c r="O168" s="835">
        <v>0</v>
      </c>
      <c r="P168" s="835">
        <v>0</v>
      </c>
      <c r="Q168" s="835">
        <v>0</v>
      </c>
      <c r="R168" s="835">
        <v>0</v>
      </c>
      <c r="S168" s="835">
        <v>0</v>
      </c>
      <c r="T168" s="835">
        <v>0</v>
      </c>
    </row>
    <row r="169" spans="1:21" ht="18">
      <c r="A169" s="838" t="s">
        <v>892</v>
      </c>
      <c r="B169" s="819"/>
      <c r="C169" s="819"/>
      <c r="D169" s="819" t="s">
        <v>894</v>
      </c>
      <c r="E169" s="810"/>
      <c r="F169" s="810"/>
      <c r="G169" s="810"/>
      <c r="H169" s="835">
        <v>0</v>
      </c>
      <c r="I169" s="835">
        <v>0</v>
      </c>
      <c r="J169" s="835">
        <v>0</v>
      </c>
      <c r="K169" s="835">
        <v>0</v>
      </c>
      <c r="L169" s="835">
        <v>0</v>
      </c>
      <c r="M169" s="835">
        <v>0</v>
      </c>
      <c r="N169" s="835">
        <v>0</v>
      </c>
      <c r="O169" s="835">
        <v>0</v>
      </c>
      <c r="P169" s="835">
        <v>0</v>
      </c>
      <c r="Q169" s="835">
        <v>0</v>
      </c>
      <c r="R169" s="835">
        <v>0</v>
      </c>
      <c r="S169" s="835">
        <v>0</v>
      </c>
      <c r="T169" s="835"/>
      <c r="U169" s="10"/>
    </row>
    <row r="170" spans="1:21" ht="18">
      <c r="A170" s="838" t="s">
        <v>892</v>
      </c>
      <c r="B170" s="819"/>
      <c r="C170" s="819" t="s">
        <v>15</v>
      </c>
      <c r="D170" s="819" t="s">
        <v>894</v>
      </c>
      <c r="E170" s="810"/>
      <c r="F170" s="810"/>
      <c r="G170" s="810"/>
      <c r="H170" s="835">
        <v>0</v>
      </c>
      <c r="I170" s="835">
        <v>0</v>
      </c>
      <c r="J170" s="835">
        <v>0</v>
      </c>
      <c r="K170" s="835">
        <v>0</v>
      </c>
      <c r="L170" s="835">
        <v>0</v>
      </c>
      <c r="M170" s="835">
        <v>0</v>
      </c>
      <c r="N170" s="835">
        <v>0</v>
      </c>
      <c r="O170" s="835">
        <v>0</v>
      </c>
      <c r="P170" s="835">
        <v>0</v>
      </c>
      <c r="Q170" s="835">
        <v>0</v>
      </c>
      <c r="R170" s="835">
        <v>0</v>
      </c>
      <c r="S170" s="835">
        <v>0</v>
      </c>
      <c r="T170" s="835">
        <v>0</v>
      </c>
    </row>
    <row r="171" spans="1:21" ht="18">
      <c r="A171" s="838" t="s">
        <v>892</v>
      </c>
      <c r="B171" s="819"/>
      <c r="C171" s="819"/>
      <c r="D171" s="819" t="s">
        <v>894</v>
      </c>
      <c r="E171" s="810"/>
      <c r="F171" s="810"/>
      <c r="G171" s="810"/>
      <c r="H171" s="835">
        <v>0</v>
      </c>
      <c r="I171" s="835">
        <v>0</v>
      </c>
      <c r="J171" s="835">
        <v>0</v>
      </c>
      <c r="K171" s="835">
        <v>0</v>
      </c>
      <c r="L171" s="835">
        <v>0</v>
      </c>
      <c r="M171" s="835">
        <v>0</v>
      </c>
      <c r="N171" s="835">
        <v>0</v>
      </c>
      <c r="O171" s="835">
        <v>0</v>
      </c>
      <c r="P171" s="835">
        <v>0</v>
      </c>
      <c r="Q171" s="835">
        <v>0</v>
      </c>
      <c r="R171" s="835">
        <v>0</v>
      </c>
      <c r="S171" s="835">
        <v>0</v>
      </c>
      <c r="T171" s="835"/>
    </row>
    <row r="172" spans="1:21" ht="18">
      <c r="A172" s="838" t="s">
        <v>892</v>
      </c>
      <c r="B172" s="819"/>
      <c r="C172" s="819" t="s">
        <v>16</v>
      </c>
      <c r="D172" s="819" t="s">
        <v>894</v>
      </c>
      <c r="E172" s="810"/>
      <c r="F172" s="810"/>
      <c r="G172" s="810"/>
      <c r="H172" s="837">
        <v>0</v>
      </c>
      <c r="I172" s="837">
        <v>0</v>
      </c>
      <c r="J172" s="837">
        <v>0</v>
      </c>
      <c r="K172" s="837">
        <v>0</v>
      </c>
      <c r="L172" s="837">
        <v>0</v>
      </c>
      <c r="M172" s="837">
        <v>0</v>
      </c>
      <c r="N172" s="837">
        <v>0</v>
      </c>
      <c r="O172" s="837">
        <v>0</v>
      </c>
      <c r="P172" s="837">
        <v>0</v>
      </c>
      <c r="Q172" s="837">
        <v>0</v>
      </c>
      <c r="R172" s="837">
        <v>0</v>
      </c>
      <c r="S172" s="837">
        <v>0</v>
      </c>
      <c r="T172" s="837">
        <v>0</v>
      </c>
    </row>
    <row r="173" spans="1:21" ht="18">
      <c r="A173" s="838" t="s">
        <v>892</v>
      </c>
      <c r="B173" s="819"/>
      <c r="C173" s="819" t="s">
        <v>17</v>
      </c>
      <c r="D173" s="819" t="s">
        <v>894</v>
      </c>
      <c r="E173" s="810"/>
      <c r="F173" s="810"/>
      <c r="G173" s="810"/>
      <c r="H173" s="835">
        <v>0</v>
      </c>
      <c r="I173" s="835">
        <v>0</v>
      </c>
      <c r="J173" s="835">
        <v>0</v>
      </c>
      <c r="K173" s="835">
        <v>0</v>
      </c>
      <c r="L173" s="835">
        <v>0</v>
      </c>
      <c r="M173" s="835">
        <v>0</v>
      </c>
      <c r="N173" s="835">
        <v>0</v>
      </c>
      <c r="O173" s="835">
        <v>0</v>
      </c>
      <c r="P173" s="835">
        <v>0</v>
      </c>
      <c r="Q173" s="835">
        <v>0</v>
      </c>
      <c r="R173" s="835">
        <v>0</v>
      </c>
      <c r="S173" s="835">
        <v>0</v>
      </c>
      <c r="T173" s="835">
        <v>0</v>
      </c>
    </row>
    <row r="174" spans="1:21" ht="18">
      <c r="A174" s="838" t="s">
        <v>892</v>
      </c>
      <c r="B174" s="819"/>
      <c r="C174" s="819" t="s">
        <v>886</v>
      </c>
      <c r="D174" s="819" t="s">
        <v>894</v>
      </c>
      <c r="E174" s="810"/>
      <c r="F174" s="810"/>
      <c r="G174" s="810"/>
      <c r="H174" s="835">
        <v>0</v>
      </c>
      <c r="I174" s="835">
        <v>0</v>
      </c>
      <c r="J174" s="835">
        <v>0</v>
      </c>
      <c r="K174" s="835">
        <v>0</v>
      </c>
      <c r="L174" s="835">
        <v>0</v>
      </c>
      <c r="M174" s="835">
        <v>0</v>
      </c>
      <c r="N174" s="835">
        <v>0</v>
      </c>
      <c r="O174" s="835">
        <v>0</v>
      </c>
      <c r="P174" s="835">
        <v>0</v>
      </c>
      <c r="Q174" s="835">
        <v>0</v>
      </c>
      <c r="R174" s="835">
        <v>0</v>
      </c>
      <c r="S174" s="835">
        <v>0</v>
      </c>
      <c r="T174" s="835">
        <v>0</v>
      </c>
    </row>
    <row r="175" spans="1:21" ht="18">
      <c r="A175" s="838" t="s">
        <v>892</v>
      </c>
      <c r="B175" s="819"/>
      <c r="C175" s="819" t="s">
        <v>18</v>
      </c>
      <c r="D175" s="819" t="s">
        <v>894</v>
      </c>
      <c r="E175" s="810"/>
      <c r="F175" s="810"/>
      <c r="G175" s="810"/>
      <c r="H175" s="835">
        <v>0</v>
      </c>
      <c r="I175" s="835">
        <v>0</v>
      </c>
      <c r="J175" s="835">
        <v>0</v>
      </c>
      <c r="K175" s="835">
        <v>0</v>
      </c>
      <c r="L175" s="835">
        <v>0</v>
      </c>
      <c r="M175" s="835">
        <v>0</v>
      </c>
      <c r="N175" s="835">
        <v>0</v>
      </c>
      <c r="O175" s="835">
        <v>0</v>
      </c>
      <c r="P175" s="835">
        <v>0</v>
      </c>
      <c r="Q175" s="835">
        <v>0</v>
      </c>
      <c r="R175" s="835">
        <v>0</v>
      </c>
      <c r="S175" s="835">
        <v>0</v>
      </c>
      <c r="T175" s="835">
        <v>0</v>
      </c>
    </row>
    <row r="176" spans="1:21" ht="18">
      <c r="A176" s="838" t="s">
        <v>892</v>
      </c>
      <c r="B176" s="819"/>
      <c r="C176" s="819"/>
      <c r="D176" s="819"/>
      <c r="E176" s="810"/>
      <c r="F176" s="810"/>
      <c r="G176" s="810"/>
      <c r="H176" s="835"/>
      <c r="I176" s="835"/>
      <c r="J176" s="835"/>
      <c r="K176" s="835"/>
      <c r="L176" s="835"/>
      <c r="M176" s="835"/>
      <c r="N176" s="835"/>
      <c r="O176" s="835"/>
      <c r="P176" s="835"/>
      <c r="Q176" s="835"/>
      <c r="R176" s="835"/>
      <c r="S176" s="835"/>
      <c r="T176" s="835"/>
    </row>
    <row r="177" spans="1:21" ht="18">
      <c r="A177" s="838" t="s">
        <v>892</v>
      </c>
      <c r="B177" s="819" t="s">
        <v>112</v>
      </c>
      <c r="C177" s="819" t="s">
        <v>14</v>
      </c>
      <c r="D177" s="819" t="s">
        <v>894</v>
      </c>
      <c r="E177" s="810"/>
      <c r="F177" s="810"/>
      <c r="G177" s="810"/>
      <c r="H177" s="835"/>
      <c r="I177" s="835"/>
      <c r="J177" s="835"/>
      <c r="K177" s="835"/>
      <c r="L177" s="835"/>
      <c r="M177" s="835"/>
      <c r="N177" s="835"/>
      <c r="O177" s="835"/>
      <c r="P177" s="835"/>
      <c r="Q177" s="835"/>
      <c r="R177" s="835"/>
      <c r="S177" s="835"/>
      <c r="T177" s="835">
        <v>0</v>
      </c>
    </row>
    <row r="178" spans="1:21" ht="18">
      <c r="A178" s="838" t="s">
        <v>892</v>
      </c>
      <c r="B178" s="819"/>
      <c r="C178" s="819"/>
      <c r="D178" s="819" t="s">
        <v>894</v>
      </c>
      <c r="E178" s="810"/>
      <c r="F178" s="810"/>
      <c r="G178" s="810"/>
      <c r="H178" s="835"/>
      <c r="I178" s="835"/>
      <c r="J178" s="835"/>
      <c r="K178" s="835"/>
      <c r="L178" s="835"/>
      <c r="M178" s="835"/>
      <c r="N178" s="835"/>
      <c r="O178" s="835"/>
      <c r="P178" s="835"/>
      <c r="Q178" s="835"/>
      <c r="R178" s="835"/>
      <c r="S178" s="835"/>
      <c r="T178" s="835"/>
    </row>
    <row r="179" spans="1:21" ht="18">
      <c r="A179" s="838" t="s">
        <v>892</v>
      </c>
      <c r="B179" s="819"/>
      <c r="C179" s="819" t="s">
        <v>15</v>
      </c>
      <c r="D179" s="819" t="s">
        <v>894</v>
      </c>
      <c r="E179" s="810"/>
      <c r="F179" s="810"/>
      <c r="G179" s="810"/>
      <c r="H179" s="835"/>
      <c r="I179" s="835"/>
      <c r="J179" s="835"/>
      <c r="K179" s="835"/>
      <c r="L179" s="835"/>
      <c r="M179" s="835"/>
      <c r="N179" s="835"/>
      <c r="O179" s="835"/>
      <c r="P179" s="835"/>
      <c r="Q179" s="835"/>
      <c r="R179" s="835"/>
      <c r="S179" s="835"/>
      <c r="T179" s="835">
        <v>0</v>
      </c>
    </row>
    <row r="180" spans="1:21" ht="18">
      <c r="A180" s="838" t="s">
        <v>892</v>
      </c>
      <c r="B180" s="819"/>
      <c r="C180" s="819"/>
      <c r="D180" s="819" t="s">
        <v>894</v>
      </c>
      <c r="E180" s="810"/>
      <c r="F180" s="810"/>
      <c r="G180" s="810"/>
      <c r="H180" s="835"/>
      <c r="I180" s="835"/>
      <c r="J180" s="835"/>
      <c r="K180" s="835"/>
      <c r="L180" s="835"/>
      <c r="M180" s="835"/>
      <c r="N180" s="835"/>
      <c r="O180" s="835"/>
      <c r="P180" s="835"/>
      <c r="Q180" s="835"/>
      <c r="R180" s="835"/>
      <c r="S180" s="835"/>
      <c r="T180" s="835"/>
    </row>
    <row r="181" spans="1:21" ht="18">
      <c r="A181" s="838" t="s">
        <v>892</v>
      </c>
      <c r="B181" s="819"/>
      <c r="C181" s="819" t="s">
        <v>16</v>
      </c>
      <c r="D181" s="819" t="s">
        <v>894</v>
      </c>
      <c r="E181" s="810"/>
      <c r="F181" s="810"/>
      <c r="G181" s="810"/>
      <c r="H181" s="837"/>
      <c r="I181" s="837"/>
      <c r="J181" s="837"/>
      <c r="K181" s="837"/>
      <c r="L181" s="837"/>
      <c r="M181" s="837"/>
      <c r="N181" s="837"/>
      <c r="O181" s="837"/>
      <c r="P181" s="837"/>
      <c r="Q181" s="837"/>
      <c r="R181" s="837"/>
      <c r="S181" s="837"/>
      <c r="T181" s="837">
        <v>0</v>
      </c>
    </row>
    <row r="182" spans="1:21" ht="18">
      <c r="A182" s="838" t="s">
        <v>892</v>
      </c>
      <c r="B182" s="819"/>
      <c r="C182" s="819" t="s">
        <v>17</v>
      </c>
      <c r="D182" s="819" t="s">
        <v>894</v>
      </c>
      <c r="E182" s="810"/>
      <c r="F182" s="810"/>
      <c r="G182" s="810"/>
      <c r="H182" s="835"/>
      <c r="I182" s="835"/>
      <c r="J182" s="835"/>
      <c r="K182" s="835"/>
      <c r="L182" s="835"/>
      <c r="M182" s="835"/>
      <c r="N182" s="835"/>
      <c r="O182" s="835"/>
      <c r="P182" s="835"/>
      <c r="Q182" s="835"/>
      <c r="R182" s="835"/>
      <c r="S182" s="835"/>
      <c r="T182" s="835">
        <v>0</v>
      </c>
    </row>
    <row r="183" spans="1:21" ht="18">
      <c r="A183" s="838" t="s">
        <v>892</v>
      </c>
      <c r="B183" s="819"/>
      <c r="C183" s="819" t="s">
        <v>886</v>
      </c>
      <c r="D183" s="819" t="s">
        <v>894</v>
      </c>
      <c r="E183" s="810"/>
      <c r="F183" s="810"/>
      <c r="G183" s="810"/>
      <c r="H183" s="835">
        <v>0</v>
      </c>
      <c r="I183" s="835">
        <v>0</v>
      </c>
      <c r="J183" s="835">
        <v>0</v>
      </c>
      <c r="K183" s="835">
        <v>0</v>
      </c>
      <c r="L183" s="835">
        <v>0</v>
      </c>
      <c r="M183" s="835">
        <v>0</v>
      </c>
      <c r="N183" s="835">
        <v>0</v>
      </c>
      <c r="O183" s="835">
        <v>0</v>
      </c>
      <c r="P183" s="835">
        <v>0</v>
      </c>
      <c r="Q183" s="835">
        <v>0</v>
      </c>
      <c r="R183" s="835">
        <v>0</v>
      </c>
      <c r="S183" s="835">
        <v>0</v>
      </c>
      <c r="T183" s="835">
        <v>0</v>
      </c>
    </row>
    <row r="184" spans="1:21" ht="18">
      <c r="A184" s="838" t="s">
        <v>892</v>
      </c>
      <c r="B184" s="819"/>
      <c r="C184" s="819" t="s">
        <v>18</v>
      </c>
      <c r="D184" s="819" t="s">
        <v>894</v>
      </c>
      <c r="E184" s="810"/>
      <c r="F184" s="810"/>
      <c r="G184" s="810"/>
      <c r="H184" s="835"/>
      <c r="I184" s="835"/>
      <c r="J184" s="835"/>
      <c r="K184" s="835"/>
      <c r="L184" s="835"/>
      <c r="M184" s="835"/>
      <c r="N184" s="835"/>
      <c r="O184" s="835"/>
      <c r="P184" s="835"/>
      <c r="Q184" s="835"/>
      <c r="R184" s="835"/>
      <c r="S184" s="835"/>
      <c r="T184" s="835">
        <v>0</v>
      </c>
      <c r="U184" s="10"/>
    </row>
    <row r="185" spans="1:21" ht="18">
      <c r="A185" s="838" t="s">
        <v>892</v>
      </c>
      <c r="B185" s="819"/>
      <c r="C185" s="819"/>
      <c r="D185" s="819"/>
      <c r="E185" s="810"/>
      <c r="F185" s="810"/>
      <c r="G185" s="810"/>
      <c r="H185" s="835"/>
      <c r="I185" s="835"/>
      <c r="J185" s="835"/>
      <c r="K185" s="835"/>
      <c r="L185" s="835"/>
      <c r="M185" s="835"/>
      <c r="N185" s="835"/>
      <c r="O185" s="835"/>
      <c r="P185" s="835"/>
      <c r="Q185" s="835"/>
      <c r="R185" s="835"/>
      <c r="S185" s="835"/>
      <c r="T185" s="835"/>
    </row>
    <row r="186" spans="1:21" ht="18">
      <c r="A186" s="838" t="s">
        <v>892</v>
      </c>
      <c r="B186" s="819" t="s">
        <v>74</v>
      </c>
      <c r="C186" s="819" t="s">
        <v>14</v>
      </c>
      <c r="D186" s="819" t="s">
        <v>894</v>
      </c>
      <c r="E186" s="810"/>
      <c r="F186" s="810"/>
      <c r="G186" s="810"/>
      <c r="H186" s="835">
        <v>0</v>
      </c>
      <c r="I186" s="835">
        <v>0</v>
      </c>
      <c r="J186" s="835">
        <v>0</v>
      </c>
      <c r="K186" s="835">
        <v>0</v>
      </c>
      <c r="L186" s="835">
        <v>0</v>
      </c>
      <c r="M186" s="835">
        <v>0</v>
      </c>
      <c r="N186" s="835">
        <v>0</v>
      </c>
      <c r="O186" s="835">
        <v>0</v>
      </c>
      <c r="P186" s="835">
        <v>0</v>
      </c>
      <c r="Q186" s="835">
        <v>0</v>
      </c>
      <c r="R186" s="835">
        <v>0</v>
      </c>
      <c r="S186" s="835">
        <v>0</v>
      </c>
      <c r="T186" s="835">
        <v>0</v>
      </c>
    </row>
    <row r="187" spans="1:21" ht="18">
      <c r="A187" s="838" t="s">
        <v>892</v>
      </c>
      <c r="B187" s="819"/>
      <c r="C187" s="819"/>
      <c r="D187" s="819" t="s">
        <v>894</v>
      </c>
      <c r="E187" s="810"/>
      <c r="F187" s="810"/>
      <c r="G187" s="810"/>
      <c r="H187" s="835">
        <v>0</v>
      </c>
      <c r="I187" s="835">
        <v>0</v>
      </c>
      <c r="J187" s="835">
        <v>0</v>
      </c>
      <c r="K187" s="835">
        <v>0</v>
      </c>
      <c r="L187" s="835">
        <v>0</v>
      </c>
      <c r="M187" s="835">
        <v>0</v>
      </c>
      <c r="N187" s="835">
        <v>0</v>
      </c>
      <c r="O187" s="835">
        <v>0</v>
      </c>
      <c r="P187" s="835">
        <v>0</v>
      </c>
      <c r="Q187" s="835">
        <v>0</v>
      </c>
      <c r="R187" s="835">
        <v>0</v>
      </c>
      <c r="S187" s="835">
        <v>0</v>
      </c>
      <c r="T187" s="835"/>
    </row>
    <row r="188" spans="1:21" ht="18">
      <c r="A188" s="838" t="s">
        <v>892</v>
      </c>
      <c r="B188" s="819"/>
      <c r="C188" s="819" t="s">
        <v>15</v>
      </c>
      <c r="D188" s="819" t="s">
        <v>894</v>
      </c>
      <c r="E188" s="810"/>
      <c r="F188" s="810"/>
      <c r="G188" s="810"/>
      <c r="H188" s="835">
        <v>0</v>
      </c>
      <c r="I188" s="835">
        <v>0</v>
      </c>
      <c r="J188" s="835">
        <v>0</v>
      </c>
      <c r="K188" s="835">
        <v>0</v>
      </c>
      <c r="L188" s="835">
        <v>0</v>
      </c>
      <c r="M188" s="835">
        <v>0</v>
      </c>
      <c r="N188" s="835">
        <v>0</v>
      </c>
      <c r="O188" s="835">
        <v>0</v>
      </c>
      <c r="P188" s="835">
        <v>0</v>
      </c>
      <c r="Q188" s="835">
        <v>0</v>
      </c>
      <c r="R188" s="835">
        <v>0</v>
      </c>
      <c r="S188" s="835">
        <v>0</v>
      </c>
      <c r="T188" s="835">
        <v>0</v>
      </c>
    </row>
    <row r="189" spans="1:21" ht="18">
      <c r="A189" s="838" t="s">
        <v>892</v>
      </c>
      <c r="B189" s="819"/>
      <c r="C189" s="819"/>
      <c r="D189" s="819" t="s">
        <v>894</v>
      </c>
      <c r="E189" s="810"/>
      <c r="F189" s="810"/>
      <c r="G189" s="810"/>
      <c r="H189" s="835">
        <v>0</v>
      </c>
      <c r="I189" s="835">
        <v>0</v>
      </c>
      <c r="J189" s="835">
        <v>0</v>
      </c>
      <c r="K189" s="835">
        <v>0</v>
      </c>
      <c r="L189" s="835">
        <v>0</v>
      </c>
      <c r="M189" s="835">
        <v>0</v>
      </c>
      <c r="N189" s="835">
        <v>0</v>
      </c>
      <c r="O189" s="835">
        <v>0</v>
      </c>
      <c r="P189" s="835">
        <v>0</v>
      </c>
      <c r="Q189" s="835">
        <v>0</v>
      </c>
      <c r="R189" s="835">
        <v>0</v>
      </c>
      <c r="S189" s="835">
        <v>0</v>
      </c>
      <c r="T189" s="835"/>
    </row>
    <row r="190" spans="1:21" ht="18">
      <c r="A190" s="838" t="s">
        <v>892</v>
      </c>
      <c r="B190" s="819"/>
      <c r="C190" s="819" t="s">
        <v>16</v>
      </c>
      <c r="D190" s="819" t="s">
        <v>894</v>
      </c>
      <c r="E190" s="810"/>
      <c r="F190" s="810"/>
      <c r="G190" s="810"/>
      <c r="H190" s="837">
        <v>0</v>
      </c>
      <c r="I190" s="837">
        <v>0</v>
      </c>
      <c r="J190" s="837">
        <v>0</v>
      </c>
      <c r="K190" s="837">
        <v>0</v>
      </c>
      <c r="L190" s="837">
        <v>0</v>
      </c>
      <c r="M190" s="837">
        <v>0</v>
      </c>
      <c r="N190" s="837">
        <v>0</v>
      </c>
      <c r="O190" s="837">
        <v>0</v>
      </c>
      <c r="P190" s="837">
        <v>0</v>
      </c>
      <c r="Q190" s="837">
        <v>0</v>
      </c>
      <c r="R190" s="837">
        <v>0</v>
      </c>
      <c r="S190" s="837">
        <v>0</v>
      </c>
      <c r="T190" s="837">
        <v>0</v>
      </c>
    </row>
    <row r="191" spans="1:21" ht="18">
      <c r="A191" s="838" t="s">
        <v>892</v>
      </c>
      <c r="B191" s="819"/>
      <c r="C191" s="819" t="s">
        <v>17</v>
      </c>
      <c r="D191" s="819" t="s">
        <v>894</v>
      </c>
      <c r="E191" s="810"/>
      <c r="F191" s="810"/>
      <c r="G191" s="810"/>
      <c r="H191" s="835">
        <v>0</v>
      </c>
      <c r="I191" s="835">
        <v>0</v>
      </c>
      <c r="J191" s="835">
        <v>0</v>
      </c>
      <c r="K191" s="835">
        <v>0</v>
      </c>
      <c r="L191" s="835">
        <v>0</v>
      </c>
      <c r="M191" s="835">
        <v>0</v>
      </c>
      <c r="N191" s="835">
        <v>0</v>
      </c>
      <c r="O191" s="835">
        <v>0</v>
      </c>
      <c r="P191" s="835">
        <v>0</v>
      </c>
      <c r="Q191" s="835">
        <v>0</v>
      </c>
      <c r="R191" s="835">
        <v>0</v>
      </c>
      <c r="S191" s="835">
        <v>0</v>
      </c>
      <c r="T191" s="835">
        <v>0</v>
      </c>
    </row>
    <row r="192" spans="1:21" ht="18">
      <c r="A192" s="838" t="s">
        <v>892</v>
      </c>
      <c r="B192" s="819"/>
      <c r="C192" s="819" t="s">
        <v>886</v>
      </c>
      <c r="D192" s="819" t="s">
        <v>894</v>
      </c>
      <c r="E192" s="810"/>
      <c r="F192" s="810"/>
      <c r="G192" s="810"/>
      <c r="H192" s="835">
        <v>0</v>
      </c>
      <c r="I192" s="835">
        <v>0</v>
      </c>
      <c r="J192" s="835">
        <v>0</v>
      </c>
      <c r="K192" s="835">
        <v>0</v>
      </c>
      <c r="L192" s="835">
        <v>0</v>
      </c>
      <c r="M192" s="835">
        <v>0</v>
      </c>
      <c r="N192" s="835">
        <v>0</v>
      </c>
      <c r="O192" s="835">
        <v>0</v>
      </c>
      <c r="P192" s="835">
        <v>0</v>
      </c>
      <c r="Q192" s="835">
        <v>0</v>
      </c>
      <c r="R192" s="835">
        <v>0</v>
      </c>
      <c r="S192" s="835">
        <v>0</v>
      </c>
      <c r="T192" s="835">
        <v>0</v>
      </c>
    </row>
    <row r="193" spans="1:21" ht="18">
      <c r="A193" s="838" t="s">
        <v>892</v>
      </c>
      <c r="B193" s="819"/>
      <c r="C193" s="819" t="s">
        <v>18</v>
      </c>
      <c r="D193" s="819" t="s">
        <v>894</v>
      </c>
      <c r="E193" s="810"/>
      <c r="F193" s="810"/>
      <c r="G193" s="810"/>
      <c r="H193" s="835">
        <v>0</v>
      </c>
      <c r="I193" s="835">
        <v>0</v>
      </c>
      <c r="J193" s="835">
        <v>0</v>
      </c>
      <c r="K193" s="835">
        <v>0</v>
      </c>
      <c r="L193" s="835">
        <v>0</v>
      </c>
      <c r="M193" s="835">
        <v>0</v>
      </c>
      <c r="N193" s="835">
        <v>0</v>
      </c>
      <c r="O193" s="835">
        <v>0</v>
      </c>
      <c r="P193" s="835">
        <v>0</v>
      </c>
      <c r="Q193" s="835">
        <v>0</v>
      </c>
      <c r="R193" s="835">
        <v>0</v>
      </c>
      <c r="S193" s="835">
        <v>0</v>
      </c>
      <c r="T193" s="835">
        <v>0</v>
      </c>
    </row>
    <row r="194" spans="1:21" ht="18">
      <c r="A194" s="838"/>
      <c r="B194" s="819"/>
      <c r="C194" s="819"/>
      <c r="D194" s="819"/>
      <c r="E194" s="810"/>
      <c r="F194" s="810"/>
      <c r="G194" s="810"/>
      <c r="H194" s="835"/>
      <c r="I194" s="835"/>
      <c r="J194" s="835"/>
      <c r="K194" s="835"/>
      <c r="L194" s="835"/>
      <c r="M194" s="835"/>
      <c r="N194" s="835"/>
      <c r="O194" s="835"/>
      <c r="P194" s="835"/>
      <c r="Q194" s="835"/>
      <c r="R194" s="835"/>
      <c r="S194" s="835"/>
      <c r="T194" s="835"/>
    </row>
    <row r="195" spans="1:21" ht="18">
      <c r="A195" s="838"/>
      <c r="B195" s="838" t="s">
        <v>634</v>
      </c>
      <c r="C195" s="819" t="s">
        <v>14</v>
      </c>
      <c r="D195" s="819"/>
      <c r="E195" s="810"/>
      <c r="F195" s="810"/>
      <c r="G195" s="810"/>
      <c r="H195" s="835">
        <v>324696.86999999988</v>
      </c>
      <c r="I195" s="835">
        <v>206999.88</v>
      </c>
      <c r="J195" s="835">
        <v>49367.300000000047</v>
      </c>
      <c r="K195" s="835">
        <v>-426829.12000000011</v>
      </c>
      <c r="L195" s="835">
        <v>-3622566.9999999995</v>
      </c>
      <c r="M195" s="835">
        <v>-2109589.62</v>
      </c>
      <c r="N195" s="835">
        <v>-10002461.289999999</v>
      </c>
      <c r="O195" s="835">
        <v>2385183.5300000003</v>
      </c>
      <c r="P195" s="835">
        <v>-2838519.7699999996</v>
      </c>
      <c r="Q195" s="835">
        <v>-173566.35999999987</v>
      </c>
      <c r="R195" s="835">
        <v>-2302847.98</v>
      </c>
      <c r="S195" s="835">
        <v>-812258.99</v>
      </c>
      <c r="T195" s="835">
        <v>-19322392.549999997</v>
      </c>
    </row>
    <row r="196" spans="1:21" ht="18">
      <c r="A196" s="838"/>
      <c r="B196" s="838" t="s">
        <v>103</v>
      </c>
      <c r="C196" s="819" t="s">
        <v>14</v>
      </c>
      <c r="D196" s="819"/>
      <c r="E196" s="810"/>
      <c r="F196" s="810"/>
      <c r="G196" s="810"/>
      <c r="H196" s="835">
        <v>639699.6</v>
      </c>
      <c r="I196" s="835">
        <v>630511.06000000017</v>
      </c>
      <c r="J196" s="835">
        <v>749444.96999999974</v>
      </c>
      <c r="K196" s="835">
        <v>1905660.5100000002</v>
      </c>
      <c r="L196" s="835">
        <v>2776094.21</v>
      </c>
      <c r="M196" s="835">
        <v>4128532.2299999991</v>
      </c>
      <c r="N196" s="835">
        <v>4855688.9900000012</v>
      </c>
      <c r="O196" s="835">
        <v>3223585.6499999994</v>
      </c>
      <c r="P196" s="835">
        <v>2863620.0900000022</v>
      </c>
      <c r="Q196" s="835">
        <v>1854149.4499999997</v>
      </c>
      <c r="R196" s="835">
        <v>1243785.1699999997</v>
      </c>
      <c r="S196" s="835">
        <v>641789.99000000011</v>
      </c>
      <c r="T196" s="835">
        <v>25512561.919999998</v>
      </c>
    </row>
    <row r="197" spans="1:21" ht="18">
      <c r="A197" s="810"/>
      <c r="B197" s="810"/>
      <c r="C197" s="810"/>
      <c r="D197" s="810"/>
      <c r="E197" s="810"/>
      <c r="F197" s="810"/>
      <c r="G197" s="810"/>
      <c r="H197" s="835"/>
      <c r="I197" s="835"/>
      <c r="J197" s="835"/>
      <c r="K197" s="835"/>
      <c r="L197" s="835"/>
      <c r="M197" s="835"/>
      <c r="N197" s="835"/>
      <c r="O197" s="835"/>
      <c r="P197" s="835"/>
      <c r="Q197" s="835"/>
      <c r="R197" s="835"/>
      <c r="S197" s="835"/>
      <c r="T197" s="835">
        <v>0</v>
      </c>
    </row>
    <row r="198" spans="1:21" ht="18">
      <c r="A198" s="838"/>
      <c r="B198" s="838" t="s">
        <v>493</v>
      </c>
      <c r="C198" s="819"/>
      <c r="D198" s="819"/>
      <c r="E198" s="810"/>
      <c r="F198" s="810"/>
      <c r="G198" s="810"/>
      <c r="H198" s="835"/>
      <c r="I198" s="835"/>
      <c r="J198" s="835"/>
      <c r="K198" s="835"/>
      <c r="L198" s="835"/>
      <c r="M198" s="835"/>
      <c r="N198" s="835"/>
      <c r="O198" s="835"/>
      <c r="P198" s="835"/>
      <c r="Q198" s="835"/>
      <c r="R198" s="835"/>
      <c r="S198" s="835"/>
      <c r="T198" s="835"/>
    </row>
    <row r="199" spans="1:21" ht="18">
      <c r="A199" s="838"/>
      <c r="B199" s="838"/>
      <c r="C199" s="819" t="s">
        <v>14</v>
      </c>
      <c r="D199" s="819"/>
      <c r="E199" s="810"/>
      <c r="F199" s="810"/>
      <c r="G199" s="810"/>
      <c r="H199" s="835">
        <v>17745942.465774249</v>
      </c>
      <c r="I199" s="835">
        <v>17683632.7690183</v>
      </c>
      <c r="J199" s="835">
        <v>18413648.928199906</v>
      </c>
      <c r="K199" s="835">
        <v>26423816.186466362</v>
      </c>
      <c r="L199" s="835">
        <v>47319901.177915096</v>
      </c>
      <c r="M199" s="835">
        <v>67245376.715884253</v>
      </c>
      <c r="N199" s="835">
        <v>79102192.0811591</v>
      </c>
      <c r="O199" s="835">
        <v>67402540.083540991</v>
      </c>
      <c r="P199" s="835">
        <v>56415639.216326013</v>
      </c>
      <c r="Q199" s="835">
        <v>38217270.452170536</v>
      </c>
      <c r="R199" s="835">
        <v>27117980.774301969</v>
      </c>
      <c r="S199" s="835">
        <v>20936043.475035585</v>
      </c>
      <c r="T199" s="835">
        <v>484023984.32579237</v>
      </c>
      <c r="U199" s="10"/>
    </row>
    <row r="200" spans="1:21" ht="18">
      <c r="A200" s="838"/>
      <c r="B200" s="838"/>
      <c r="C200" s="819" t="s">
        <v>15</v>
      </c>
      <c r="D200" s="819"/>
      <c r="E200" s="810"/>
      <c r="F200" s="810"/>
      <c r="G200" s="810"/>
      <c r="H200" s="835">
        <v>1213284.5436859</v>
      </c>
      <c r="I200" s="835">
        <v>1159831.98437204</v>
      </c>
      <c r="J200" s="835">
        <v>1237485.0028421204</v>
      </c>
      <c r="K200" s="835">
        <v>2345836.9687333805</v>
      </c>
      <c r="L200" s="835">
        <v>14365952.055519877</v>
      </c>
      <c r="M200" s="835">
        <v>19194080.34899975</v>
      </c>
      <c r="N200" s="835">
        <v>20270711.469010971</v>
      </c>
      <c r="O200" s="835">
        <v>18049916.212107006</v>
      </c>
      <c r="P200" s="835">
        <v>16594119.409802018</v>
      </c>
      <c r="Q200" s="835">
        <v>4027902.2014656882</v>
      </c>
      <c r="R200" s="835">
        <v>1764641.4212768092</v>
      </c>
      <c r="S200" s="835">
        <v>1515859.1902490705</v>
      </c>
      <c r="T200" s="835">
        <v>101739620.80806462</v>
      </c>
    </row>
    <row r="201" spans="1:21" ht="18">
      <c r="A201" s="838"/>
      <c r="B201" s="819"/>
      <c r="C201" s="819" t="s">
        <v>16</v>
      </c>
      <c r="D201" s="819"/>
      <c r="E201" s="810"/>
      <c r="F201" s="810"/>
      <c r="G201" s="810"/>
      <c r="H201" s="837">
        <v>13259547.590539852</v>
      </c>
      <c r="I201" s="837">
        <v>14618341.936609659</v>
      </c>
      <c r="J201" s="837">
        <v>15927547.558957983</v>
      </c>
      <c r="K201" s="837">
        <v>32110323.91480026</v>
      </c>
      <c r="L201" s="837">
        <v>111954780.996565</v>
      </c>
      <c r="M201" s="837">
        <v>143685304.145116</v>
      </c>
      <c r="N201" s="837">
        <v>152495911.97982994</v>
      </c>
      <c r="O201" s="837">
        <v>135100723.89435202</v>
      </c>
      <c r="P201" s="837">
        <v>149101849.19387197</v>
      </c>
      <c r="Q201" s="837">
        <v>89783904.936363801</v>
      </c>
      <c r="R201" s="837">
        <v>32433925.344421227</v>
      </c>
      <c r="S201" s="837">
        <v>27765437.854715325</v>
      </c>
      <c r="T201" s="837">
        <v>918237599.34614301</v>
      </c>
    </row>
    <row r="202" spans="1:21" ht="18">
      <c r="A202" s="838"/>
      <c r="B202" s="819"/>
      <c r="C202" s="819" t="s">
        <v>412</v>
      </c>
      <c r="D202" s="819"/>
      <c r="E202" s="810"/>
      <c r="F202" s="810"/>
      <c r="G202" s="810"/>
      <c r="H202" s="835">
        <v>32218774.600000001</v>
      </c>
      <c r="I202" s="835">
        <v>33461806.689999998</v>
      </c>
      <c r="J202" s="835">
        <v>35578681.49000001</v>
      </c>
      <c r="K202" s="835">
        <v>60879977.070000008</v>
      </c>
      <c r="L202" s="835">
        <v>173640634.22999996</v>
      </c>
      <c r="M202" s="835">
        <v>230124761.21000001</v>
      </c>
      <c r="N202" s="835">
        <v>251868815.53</v>
      </c>
      <c r="O202" s="835">
        <v>220553180.19</v>
      </c>
      <c r="P202" s="835">
        <v>222111607.81999999</v>
      </c>
      <c r="Q202" s="835">
        <v>132029077.59000003</v>
      </c>
      <c r="R202" s="835">
        <v>61316547.540000007</v>
      </c>
      <c r="S202" s="835">
        <v>50217340.519999981</v>
      </c>
      <c r="T202" s="835">
        <v>1504001204.48</v>
      </c>
    </row>
    <row r="203" spans="1:21" ht="18">
      <c r="A203" s="838"/>
      <c r="B203" s="838"/>
      <c r="C203" s="819" t="s">
        <v>886</v>
      </c>
      <c r="D203" s="819"/>
      <c r="E203" s="810"/>
      <c r="F203" s="810"/>
      <c r="G203" s="810"/>
      <c r="H203" s="835">
        <v>1129841</v>
      </c>
      <c r="I203" s="835">
        <v>1130439</v>
      </c>
      <c r="J203" s="835">
        <v>1134192</v>
      </c>
      <c r="K203" s="835">
        <v>1133418</v>
      </c>
      <c r="L203" s="835">
        <v>1136253</v>
      </c>
      <c r="M203" s="835">
        <v>1141594</v>
      </c>
      <c r="N203" s="835">
        <v>1125798</v>
      </c>
      <c r="O203" s="835">
        <v>1125798</v>
      </c>
      <c r="P203" s="835">
        <v>1125798</v>
      </c>
      <c r="Q203" s="835">
        <v>1125798</v>
      </c>
      <c r="R203" s="835">
        <v>1125798</v>
      </c>
      <c r="S203" s="835">
        <v>1125798</v>
      </c>
      <c r="T203" s="835">
        <v>1130043.75</v>
      </c>
    </row>
    <row r="204" spans="1:21" ht="18">
      <c r="A204" s="838"/>
      <c r="B204" s="819"/>
      <c r="C204" s="819" t="s">
        <v>56</v>
      </c>
      <c r="D204" s="819"/>
      <c r="E204" s="810"/>
      <c r="F204" s="810"/>
      <c r="G204" s="810"/>
      <c r="H204" s="835">
        <v>2557342.3089999999</v>
      </c>
      <c r="I204" s="835">
        <v>2459772.1550000003</v>
      </c>
      <c r="J204" s="835">
        <v>2656225.4240000001</v>
      </c>
      <c r="K204" s="835">
        <v>5349883.5190000031</v>
      </c>
      <c r="L204" s="835">
        <v>15964054.408</v>
      </c>
      <c r="M204" s="835">
        <v>20185189.831999991</v>
      </c>
      <c r="N204" s="835">
        <v>21416272.119000003</v>
      </c>
      <c r="O204" s="835">
        <v>18969823.555999998</v>
      </c>
      <c r="P204" s="835">
        <v>17437852.668999996</v>
      </c>
      <c r="Q204" s="835">
        <v>10515492.148999998</v>
      </c>
      <c r="R204" s="835">
        <v>3797010.6160000004</v>
      </c>
      <c r="S204" s="835">
        <v>3251248.7999999989</v>
      </c>
      <c r="T204" s="835">
        <v>124560167.55599999</v>
      </c>
    </row>
    <row r="205" spans="1:21" ht="18">
      <c r="A205" s="838"/>
      <c r="B205" s="838"/>
      <c r="C205" s="838" t="s">
        <v>57</v>
      </c>
      <c r="D205" s="838"/>
      <c r="E205" s="810"/>
      <c r="F205" s="810"/>
      <c r="G205" s="810"/>
      <c r="H205" s="837">
        <v>8187769</v>
      </c>
      <c r="I205" s="837">
        <v>8424340</v>
      </c>
      <c r="J205" s="837">
        <v>8299348.0999999996</v>
      </c>
      <c r="K205" s="837">
        <v>8387624.5</v>
      </c>
      <c r="L205" s="837">
        <v>9544488.9000000004</v>
      </c>
      <c r="M205" s="837">
        <v>10262059.1</v>
      </c>
      <c r="N205" s="837">
        <v>10393916.199999999</v>
      </c>
      <c r="O205" s="837">
        <v>9207994.9000000004</v>
      </c>
      <c r="P205" s="837">
        <v>9586206.5999999996</v>
      </c>
      <c r="Q205" s="837">
        <v>8023097.7999999998</v>
      </c>
      <c r="R205" s="837">
        <v>7384245</v>
      </c>
      <c r="S205" s="837">
        <v>7161484.9000000004</v>
      </c>
      <c r="T205" s="837">
        <v>104862575</v>
      </c>
    </row>
    <row r="206" spans="1:21" ht="18">
      <c r="A206" s="840"/>
      <c r="B206" s="819"/>
      <c r="C206" s="819" t="s">
        <v>413</v>
      </c>
      <c r="D206" s="819"/>
      <c r="E206" s="810"/>
      <c r="F206" s="810"/>
      <c r="G206" s="810"/>
      <c r="H206" s="835">
        <v>10745111.309</v>
      </c>
      <c r="I206" s="835">
        <v>10884112.155000001</v>
      </c>
      <c r="J206" s="835">
        <v>10955573.524</v>
      </c>
      <c r="K206" s="835">
        <v>13737508.019000003</v>
      </c>
      <c r="L206" s="835">
        <v>25508543.307999998</v>
      </c>
      <c r="M206" s="835">
        <v>30447248.931999989</v>
      </c>
      <c r="N206" s="835">
        <v>31810188.319000002</v>
      </c>
      <c r="O206" s="835">
        <v>28177818.456</v>
      </c>
      <c r="P206" s="835">
        <v>27024059.268999994</v>
      </c>
      <c r="Q206" s="835">
        <v>18538589.948999997</v>
      </c>
      <c r="R206" s="835">
        <v>11181255.616</v>
      </c>
      <c r="S206" s="835">
        <v>10412733.699999999</v>
      </c>
      <c r="T206" s="835">
        <v>229422742.55599999</v>
      </c>
      <c r="U206" s="10">
        <f>+T206-Z36</f>
        <v>0</v>
      </c>
    </row>
    <row r="207" spans="1:21" ht="18">
      <c r="A207" s="838"/>
      <c r="B207" s="819"/>
      <c r="C207" s="819"/>
      <c r="D207" s="819"/>
      <c r="E207" s="810"/>
      <c r="F207" s="810"/>
      <c r="G207" s="810"/>
      <c r="H207" s="835"/>
      <c r="I207" s="835"/>
      <c r="J207" s="835"/>
      <c r="K207" s="835"/>
      <c r="L207" s="835"/>
      <c r="M207" s="835"/>
      <c r="N207" s="835"/>
      <c r="O207" s="835"/>
      <c r="P207" s="835"/>
      <c r="Q207" s="835"/>
      <c r="R207" s="835"/>
      <c r="S207" s="835"/>
      <c r="T207" s="835"/>
      <c r="U207" s="10"/>
    </row>
    <row r="208" spans="1:21" ht="18">
      <c r="A208" s="838"/>
      <c r="B208" s="819"/>
      <c r="C208" s="819"/>
      <c r="D208" s="819"/>
      <c r="E208" s="810"/>
      <c r="F208" s="810"/>
      <c r="G208" s="810"/>
      <c r="H208" s="835"/>
      <c r="I208" s="835"/>
      <c r="J208" s="835"/>
      <c r="K208" s="835"/>
      <c r="L208" s="835"/>
      <c r="M208" s="835"/>
      <c r="N208" s="835"/>
      <c r="O208" s="835"/>
      <c r="P208" s="835"/>
      <c r="Q208" s="835"/>
      <c r="R208" s="835"/>
      <c r="S208" s="835"/>
      <c r="T208" s="835"/>
    </row>
    <row r="209" spans="1:20" ht="18">
      <c r="A209" s="838" t="s">
        <v>414</v>
      </c>
      <c r="B209" s="819" t="s">
        <v>13</v>
      </c>
      <c r="C209" s="819" t="s">
        <v>14</v>
      </c>
      <c r="D209" s="819"/>
      <c r="E209" s="810"/>
      <c r="F209" s="810"/>
      <c r="G209" s="810"/>
      <c r="H209" s="835">
        <v>0</v>
      </c>
      <c r="I209" s="835">
        <v>0</v>
      </c>
      <c r="J209" s="835">
        <v>0</v>
      </c>
      <c r="K209" s="835">
        <v>0</v>
      </c>
      <c r="L209" s="835">
        <v>0</v>
      </c>
      <c r="M209" s="835">
        <v>0</v>
      </c>
      <c r="N209" s="835">
        <v>0</v>
      </c>
      <c r="O209" s="835">
        <v>0</v>
      </c>
      <c r="P209" s="835">
        <v>0</v>
      </c>
      <c r="Q209" s="835">
        <v>0</v>
      </c>
      <c r="R209" s="835">
        <v>0</v>
      </c>
      <c r="S209" s="835">
        <v>0</v>
      </c>
      <c r="T209" s="835">
        <v>0</v>
      </c>
    </row>
    <row r="210" spans="1:20" ht="18">
      <c r="A210" s="838"/>
      <c r="B210" s="819"/>
      <c r="C210" s="819"/>
      <c r="D210" s="819"/>
      <c r="E210" s="810"/>
      <c r="F210" s="810"/>
      <c r="G210" s="810"/>
      <c r="H210" s="835">
        <v>0</v>
      </c>
      <c r="I210" s="835">
        <v>0</v>
      </c>
      <c r="J210" s="835">
        <v>0</v>
      </c>
      <c r="K210" s="835">
        <v>0</v>
      </c>
      <c r="L210" s="835">
        <v>0</v>
      </c>
      <c r="M210" s="835">
        <v>0</v>
      </c>
      <c r="N210" s="835">
        <v>0</v>
      </c>
      <c r="O210" s="835">
        <v>0</v>
      </c>
      <c r="P210" s="835">
        <v>0</v>
      </c>
      <c r="Q210" s="835">
        <v>0</v>
      </c>
      <c r="R210" s="835">
        <v>0</v>
      </c>
      <c r="S210" s="835">
        <v>0</v>
      </c>
      <c r="T210" s="835"/>
    </row>
    <row r="211" spans="1:20" ht="18">
      <c r="A211" s="838"/>
      <c r="B211" s="819"/>
      <c r="C211" s="819" t="s">
        <v>15</v>
      </c>
      <c r="D211" s="819"/>
      <c r="E211" s="810"/>
      <c r="F211" s="810"/>
      <c r="G211" s="810"/>
      <c r="H211" s="835">
        <v>0</v>
      </c>
      <c r="I211" s="835">
        <v>0</v>
      </c>
      <c r="J211" s="835">
        <v>0</v>
      </c>
      <c r="K211" s="835">
        <v>0</v>
      </c>
      <c r="L211" s="835">
        <v>0</v>
      </c>
      <c r="M211" s="835">
        <v>0</v>
      </c>
      <c r="N211" s="835">
        <v>0</v>
      </c>
      <c r="O211" s="835">
        <v>0</v>
      </c>
      <c r="P211" s="835">
        <v>0</v>
      </c>
      <c r="Q211" s="835">
        <v>0</v>
      </c>
      <c r="R211" s="835">
        <v>0</v>
      </c>
      <c r="S211" s="835">
        <v>0</v>
      </c>
      <c r="T211" s="835">
        <v>0</v>
      </c>
    </row>
    <row r="212" spans="1:20" ht="18">
      <c r="A212" s="838"/>
      <c r="B212" s="819"/>
      <c r="C212" s="819"/>
      <c r="D212" s="819"/>
      <c r="E212" s="810"/>
      <c r="F212" s="810"/>
      <c r="G212" s="810"/>
      <c r="H212" s="835">
        <v>0</v>
      </c>
      <c r="I212" s="835">
        <v>0</v>
      </c>
      <c r="J212" s="835">
        <v>0</v>
      </c>
      <c r="K212" s="835">
        <v>0</v>
      </c>
      <c r="L212" s="835">
        <v>0</v>
      </c>
      <c r="M212" s="835">
        <v>0</v>
      </c>
      <c r="N212" s="835">
        <v>0</v>
      </c>
      <c r="O212" s="835">
        <v>0</v>
      </c>
      <c r="P212" s="835">
        <v>0</v>
      </c>
      <c r="Q212" s="835">
        <v>0</v>
      </c>
      <c r="R212" s="835">
        <v>0</v>
      </c>
      <c r="S212" s="835">
        <v>0</v>
      </c>
      <c r="T212" s="835"/>
    </row>
    <row r="213" spans="1:20" ht="18">
      <c r="A213" s="838"/>
      <c r="B213" s="819"/>
      <c r="C213" s="819" t="s">
        <v>16</v>
      </c>
      <c r="D213" s="819"/>
      <c r="E213" s="810"/>
      <c r="F213" s="810"/>
      <c r="G213" s="810"/>
      <c r="H213" s="837">
        <v>0</v>
      </c>
      <c r="I213" s="837">
        <v>0</v>
      </c>
      <c r="J213" s="837">
        <v>0</v>
      </c>
      <c r="K213" s="837">
        <v>0</v>
      </c>
      <c r="L213" s="837">
        <v>0</v>
      </c>
      <c r="M213" s="837">
        <v>0</v>
      </c>
      <c r="N213" s="837">
        <v>0</v>
      </c>
      <c r="O213" s="837">
        <v>0</v>
      </c>
      <c r="P213" s="837">
        <v>0</v>
      </c>
      <c r="Q213" s="837">
        <v>0</v>
      </c>
      <c r="R213" s="837">
        <v>0</v>
      </c>
      <c r="S213" s="837">
        <v>0</v>
      </c>
      <c r="T213" s="837">
        <v>0</v>
      </c>
    </row>
    <row r="214" spans="1:20" ht="18">
      <c r="A214" s="838"/>
      <c r="B214" s="819"/>
      <c r="C214" s="819" t="s">
        <v>17</v>
      </c>
      <c r="D214" s="819"/>
      <c r="E214" s="810"/>
      <c r="F214" s="810"/>
      <c r="G214" s="810"/>
      <c r="H214" s="835">
        <v>0</v>
      </c>
      <c r="I214" s="835">
        <v>0</v>
      </c>
      <c r="J214" s="835">
        <v>0</v>
      </c>
      <c r="K214" s="835">
        <v>0</v>
      </c>
      <c r="L214" s="835">
        <v>0</v>
      </c>
      <c r="M214" s="835">
        <v>0</v>
      </c>
      <c r="N214" s="835">
        <v>0</v>
      </c>
      <c r="O214" s="835">
        <v>0</v>
      </c>
      <c r="P214" s="835">
        <v>0</v>
      </c>
      <c r="Q214" s="835">
        <v>0</v>
      </c>
      <c r="R214" s="835">
        <v>0</v>
      </c>
      <c r="S214" s="835">
        <v>0</v>
      </c>
      <c r="T214" s="835">
        <v>0</v>
      </c>
    </row>
    <row r="215" spans="1:20" ht="18">
      <c r="A215" s="838"/>
      <c r="B215" s="819"/>
      <c r="C215" s="819" t="s">
        <v>886</v>
      </c>
      <c r="D215" s="819"/>
      <c r="E215" s="810"/>
      <c r="F215" s="810"/>
      <c r="G215" s="810"/>
      <c r="H215" s="835">
        <v>0</v>
      </c>
      <c r="I215" s="835">
        <v>0</v>
      </c>
      <c r="J215" s="835">
        <v>0</v>
      </c>
      <c r="K215" s="835">
        <v>0</v>
      </c>
      <c r="L215" s="835">
        <v>0</v>
      </c>
      <c r="M215" s="835">
        <v>0</v>
      </c>
      <c r="N215" s="835">
        <v>0</v>
      </c>
      <c r="O215" s="835">
        <v>0</v>
      </c>
      <c r="P215" s="835">
        <v>0</v>
      </c>
      <c r="Q215" s="835">
        <v>0</v>
      </c>
      <c r="R215" s="835">
        <v>0</v>
      </c>
      <c r="S215" s="835">
        <v>0</v>
      </c>
      <c r="T215" s="835">
        <v>0</v>
      </c>
    </row>
    <row r="216" spans="1:20" ht="18">
      <c r="A216" s="838"/>
      <c r="B216" s="819"/>
      <c r="C216" s="819" t="s">
        <v>18</v>
      </c>
      <c r="D216" s="819"/>
      <c r="E216" s="810"/>
      <c r="F216" s="810"/>
      <c r="G216" s="810"/>
      <c r="H216" s="835">
        <v>0</v>
      </c>
      <c r="I216" s="835">
        <v>0</v>
      </c>
      <c r="J216" s="835">
        <v>0</v>
      </c>
      <c r="K216" s="835">
        <v>0</v>
      </c>
      <c r="L216" s="835">
        <v>0</v>
      </c>
      <c r="M216" s="835">
        <v>0</v>
      </c>
      <c r="N216" s="835">
        <v>0</v>
      </c>
      <c r="O216" s="835">
        <v>0</v>
      </c>
      <c r="P216" s="835">
        <v>0</v>
      </c>
      <c r="Q216" s="835">
        <v>0</v>
      </c>
      <c r="R216" s="835">
        <v>0</v>
      </c>
      <c r="S216" s="835">
        <v>0</v>
      </c>
      <c r="T216" s="835">
        <v>0</v>
      </c>
    </row>
    <row r="217" spans="1:20" ht="18">
      <c r="A217" s="838"/>
      <c r="B217" s="819"/>
      <c r="C217" s="819"/>
      <c r="D217" s="819"/>
      <c r="E217" s="810"/>
      <c r="F217" s="810"/>
      <c r="G217" s="810"/>
      <c r="H217" s="835">
        <v>0</v>
      </c>
      <c r="I217" s="835">
        <v>0</v>
      </c>
      <c r="J217" s="835">
        <v>0</v>
      </c>
      <c r="K217" s="835">
        <v>0</v>
      </c>
      <c r="L217" s="835">
        <v>0</v>
      </c>
      <c r="M217" s="835">
        <v>0</v>
      </c>
      <c r="N217" s="835">
        <v>0</v>
      </c>
      <c r="O217" s="835">
        <v>0</v>
      </c>
      <c r="P217" s="835">
        <v>0</v>
      </c>
      <c r="Q217" s="835">
        <v>0</v>
      </c>
      <c r="R217" s="835">
        <v>0</v>
      </c>
      <c r="S217" s="835">
        <v>0</v>
      </c>
      <c r="T217" s="835"/>
    </row>
    <row r="218" spans="1:20" ht="18">
      <c r="A218" s="838"/>
      <c r="B218" s="819" t="s">
        <v>78</v>
      </c>
      <c r="C218" s="819" t="s">
        <v>14</v>
      </c>
      <c r="D218" s="819"/>
      <c r="E218" s="810"/>
      <c r="F218" s="810"/>
      <c r="G218" s="810"/>
      <c r="H218" s="835">
        <v>0</v>
      </c>
      <c r="I218" s="835">
        <v>0</v>
      </c>
      <c r="J218" s="835">
        <v>0</v>
      </c>
      <c r="K218" s="835">
        <v>0</v>
      </c>
      <c r="L218" s="835">
        <v>0</v>
      </c>
      <c r="M218" s="835">
        <v>0</v>
      </c>
      <c r="N218" s="835">
        <v>0</v>
      </c>
      <c r="O218" s="835">
        <v>0</v>
      </c>
      <c r="P218" s="835">
        <v>0</v>
      </c>
      <c r="Q218" s="835">
        <v>0</v>
      </c>
      <c r="R218" s="835">
        <v>0</v>
      </c>
      <c r="S218" s="835">
        <v>0</v>
      </c>
      <c r="T218" s="835">
        <v>0</v>
      </c>
    </row>
    <row r="219" spans="1:20" ht="18">
      <c r="A219" s="838"/>
      <c r="B219" s="819"/>
      <c r="C219" s="819"/>
      <c r="D219" s="819"/>
      <c r="E219" s="810"/>
      <c r="F219" s="810"/>
      <c r="G219" s="810"/>
      <c r="H219" s="835">
        <v>0</v>
      </c>
      <c r="I219" s="835">
        <v>0</v>
      </c>
      <c r="J219" s="835">
        <v>0</v>
      </c>
      <c r="K219" s="835">
        <v>0</v>
      </c>
      <c r="L219" s="835">
        <v>0</v>
      </c>
      <c r="M219" s="835">
        <v>0</v>
      </c>
      <c r="N219" s="835">
        <v>0</v>
      </c>
      <c r="O219" s="835">
        <v>0</v>
      </c>
      <c r="P219" s="835">
        <v>0</v>
      </c>
      <c r="Q219" s="835">
        <v>0</v>
      </c>
      <c r="R219" s="835">
        <v>0</v>
      </c>
      <c r="S219" s="835">
        <v>0</v>
      </c>
      <c r="T219" s="835"/>
    </row>
    <row r="220" spans="1:20" ht="18">
      <c r="A220" s="838"/>
      <c r="B220" s="819"/>
      <c r="C220" s="819" t="s">
        <v>15</v>
      </c>
      <c r="D220" s="819"/>
      <c r="E220" s="810"/>
      <c r="F220" s="810"/>
      <c r="G220" s="810"/>
      <c r="H220" s="835">
        <v>0</v>
      </c>
      <c r="I220" s="835">
        <v>0</v>
      </c>
      <c r="J220" s="835">
        <v>0</v>
      </c>
      <c r="K220" s="835">
        <v>0</v>
      </c>
      <c r="L220" s="835">
        <v>0</v>
      </c>
      <c r="M220" s="835">
        <v>0</v>
      </c>
      <c r="N220" s="835">
        <v>0</v>
      </c>
      <c r="O220" s="835">
        <v>0</v>
      </c>
      <c r="P220" s="835">
        <v>0</v>
      </c>
      <c r="Q220" s="835">
        <v>0</v>
      </c>
      <c r="R220" s="835">
        <v>0</v>
      </c>
      <c r="S220" s="835">
        <v>0</v>
      </c>
      <c r="T220" s="835">
        <v>0</v>
      </c>
    </row>
    <row r="221" spans="1:20" ht="18">
      <c r="A221" s="838"/>
      <c r="B221" s="819"/>
      <c r="C221" s="819"/>
      <c r="D221" s="819"/>
      <c r="E221" s="810"/>
      <c r="F221" s="810"/>
      <c r="G221" s="810"/>
      <c r="H221" s="835">
        <v>0</v>
      </c>
      <c r="I221" s="835">
        <v>0</v>
      </c>
      <c r="J221" s="835">
        <v>0</v>
      </c>
      <c r="K221" s="835">
        <v>0</v>
      </c>
      <c r="L221" s="835">
        <v>0</v>
      </c>
      <c r="M221" s="835">
        <v>0</v>
      </c>
      <c r="N221" s="835">
        <v>0</v>
      </c>
      <c r="O221" s="835">
        <v>0</v>
      </c>
      <c r="P221" s="835">
        <v>0</v>
      </c>
      <c r="Q221" s="835">
        <v>0</v>
      </c>
      <c r="R221" s="835">
        <v>0</v>
      </c>
      <c r="S221" s="835">
        <v>0</v>
      </c>
      <c r="T221" s="835"/>
    </row>
    <row r="222" spans="1:20" ht="18">
      <c r="A222" s="838"/>
      <c r="B222" s="819"/>
      <c r="C222" s="819" t="s">
        <v>16</v>
      </c>
      <c r="D222" s="819"/>
      <c r="E222" s="810"/>
      <c r="F222" s="810"/>
      <c r="G222" s="810"/>
      <c r="H222" s="837">
        <v>0</v>
      </c>
      <c r="I222" s="837">
        <v>0</v>
      </c>
      <c r="J222" s="837">
        <v>0</v>
      </c>
      <c r="K222" s="837">
        <v>0</v>
      </c>
      <c r="L222" s="837">
        <v>0</v>
      </c>
      <c r="M222" s="837">
        <v>0</v>
      </c>
      <c r="N222" s="837">
        <v>0</v>
      </c>
      <c r="O222" s="837">
        <v>0</v>
      </c>
      <c r="P222" s="837">
        <v>0</v>
      </c>
      <c r="Q222" s="837">
        <v>0</v>
      </c>
      <c r="R222" s="837">
        <v>0</v>
      </c>
      <c r="S222" s="837">
        <v>0</v>
      </c>
      <c r="T222" s="837">
        <v>0</v>
      </c>
    </row>
    <row r="223" spans="1:20" ht="18">
      <c r="A223" s="838"/>
      <c r="B223" s="819"/>
      <c r="C223" s="819" t="s">
        <v>17</v>
      </c>
      <c r="D223" s="819"/>
      <c r="E223" s="810"/>
      <c r="F223" s="810"/>
      <c r="G223" s="810"/>
      <c r="H223" s="835">
        <v>0</v>
      </c>
      <c r="I223" s="835">
        <v>0</v>
      </c>
      <c r="J223" s="835">
        <v>0</v>
      </c>
      <c r="K223" s="835">
        <v>0</v>
      </c>
      <c r="L223" s="835">
        <v>0</v>
      </c>
      <c r="M223" s="835">
        <v>0</v>
      </c>
      <c r="N223" s="835">
        <v>0</v>
      </c>
      <c r="O223" s="835">
        <v>0</v>
      </c>
      <c r="P223" s="835">
        <v>0</v>
      </c>
      <c r="Q223" s="835">
        <v>0</v>
      </c>
      <c r="R223" s="835">
        <v>0</v>
      </c>
      <c r="S223" s="835">
        <v>0</v>
      </c>
      <c r="T223" s="835">
        <v>0</v>
      </c>
    </row>
    <row r="224" spans="1:20" ht="18">
      <c r="A224" s="838"/>
      <c r="B224" s="819"/>
      <c r="C224" s="819" t="s">
        <v>886</v>
      </c>
      <c r="D224" s="819"/>
      <c r="E224" s="810"/>
      <c r="F224" s="810"/>
      <c r="G224" s="810"/>
      <c r="H224" s="835">
        <v>0</v>
      </c>
      <c r="I224" s="835">
        <v>0</v>
      </c>
      <c r="J224" s="835">
        <v>0</v>
      </c>
      <c r="K224" s="835">
        <v>0</v>
      </c>
      <c r="L224" s="835">
        <v>0</v>
      </c>
      <c r="M224" s="835">
        <v>0</v>
      </c>
      <c r="N224" s="835">
        <v>0</v>
      </c>
      <c r="O224" s="835">
        <v>0</v>
      </c>
      <c r="P224" s="835">
        <v>0</v>
      </c>
      <c r="Q224" s="835">
        <v>0</v>
      </c>
      <c r="R224" s="835">
        <v>0</v>
      </c>
      <c r="S224" s="835">
        <v>0</v>
      </c>
      <c r="T224" s="835">
        <v>0</v>
      </c>
    </row>
    <row r="225" spans="1:20" ht="18">
      <c r="A225" s="838"/>
      <c r="B225" s="838"/>
      <c r="C225" s="819" t="s">
        <v>18</v>
      </c>
      <c r="D225" s="819"/>
      <c r="E225" s="810"/>
      <c r="F225" s="810"/>
      <c r="G225" s="810"/>
      <c r="H225" s="835">
        <v>0</v>
      </c>
      <c r="I225" s="835">
        <v>0</v>
      </c>
      <c r="J225" s="835">
        <v>0</v>
      </c>
      <c r="K225" s="835">
        <v>0</v>
      </c>
      <c r="L225" s="835">
        <v>0</v>
      </c>
      <c r="M225" s="835">
        <v>0</v>
      </c>
      <c r="N225" s="835">
        <v>0</v>
      </c>
      <c r="O225" s="835">
        <v>0</v>
      </c>
      <c r="P225" s="835">
        <v>0</v>
      </c>
      <c r="Q225" s="835">
        <v>0</v>
      </c>
      <c r="R225" s="835">
        <v>0</v>
      </c>
      <c r="S225" s="835">
        <v>0</v>
      </c>
      <c r="T225" s="835">
        <v>0</v>
      </c>
    </row>
    <row r="226" spans="1:20" ht="18">
      <c r="A226" s="838"/>
      <c r="B226" s="838"/>
      <c r="C226" s="819"/>
      <c r="D226" s="819"/>
      <c r="E226" s="810"/>
      <c r="F226" s="810"/>
      <c r="G226" s="810"/>
      <c r="H226" s="835"/>
      <c r="I226" s="835"/>
      <c r="J226" s="835"/>
      <c r="K226" s="835"/>
      <c r="L226" s="835"/>
      <c r="M226" s="835"/>
      <c r="N226" s="835"/>
      <c r="O226" s="835"/>
      <c r="P226" s="835"/>
      <c r="Q226" s="835"/>
      <c r="R226" s="835"/>
      <c r="S226" s="835"/>
      <c r="T226" s="835"/>
    </row>
    <row r="227" spans="1:20" ht="18">
      <c r="A227" s="838"/>
      <c r="B227" s="838" t="s">
        <v>494</v>
      </c>
      <c r="C227" s="819"/>
      <c r="D227" s="819"/>
      <c r="E227" s="810"/>
      <c r="F227" s="810"/>
      <c r="G227" s="810"/>
      <c r="H227" s="835"/>
      <c r="I227" s="835"/>
      <c r="J227" s="835"/>
      <c r="K227" s="835"/>
      <c r="L227" s="835"/>
      <c r="M227" s="835"/>
      <c r="N227" s="835"/>
      <c r="O227" s="835"/>
      <c r="P227" s="835"/>
      <c r="Q227" s="835"/>
      <c r="R227" s="835"/>
      <c r="S227" s="835"/>
      <c r="T227" s="835"/>
    </row>
    <row r="228" spans="1:20" ht="18">
      <c r="A228" s="838"/>
      <c r="B228" s="838"/>
      <c r="C228" s="819" t="s">
        <v>14</v>
      </c>
      <c r="D228" s="819"/>
      <c r="E228" s="810"/>
      <c r="F228" s="810"/>
      <c r="G228" s="810"/>
      <c r="H228" s="835">
        <v>0</v>
      </c>
      <c r="I228" s="835">
        <v>0</v>
      </c>
      <c r="J228" s="835">
        <v>0</v>
      </c>
      <c r="K228" s="835">
        <v>0</v>
      </c>
      <c r="L228" s="835">
        <v>0</v>
      </c>
      <c r="M228" s="835">
        <v>0</v>
      </c>
      <c r="N228" s="835">
        <v>0</v>
      </c>
      <c r="O228" s="835">
        <v>0</v>
      </c>
      <c r="P228" s="835">
        <v>0</v>
      </c>
      <c r="Q228" s="835">
        <v>0</v>
      </c>
      <c r="R228" s="835">
        <v>0</v>
      </c>
      <c r="S228" s="835">
        <v>0</v>
      </c>
      <c r="T228" s="835">
        <v>0</v>
      </c>
    </row>
    <row r="229" spans="1:20" ht="18">
      <c r="A229" s="838"/>
      <c r="B229" s="838"/>
      <c r="C229" s="819" t="s">
        <v>15</v>
      </c>
      <c r="D229" s="819"/>
      <c r="E229" s="810"/>
      <c r="F229" s="810"/>
      <c r="G229" s="810"/>
      <c r="H229" s="835">
        <v>0</v>
      </c>
      <c r="I229" s="835">
        <v>0</v>
      </c>
      <c r="J229" s="835">
        <v>0</v>
      </c>
      <c r="K229" s="835">
        <v>0</v>
      </c>
      <c r="L229" s="835">
        <v>0</v>
      </c>
      <c r="M229" s="835">
        <v>0</v>
      </c>
      <c r="N229" s="835">
        <v>0</v>
      </c>
      <c r="O229" s="835">
        <v>0</v>
      </c>
      <c r="P229" s="835">
        <v>0</v>
      </c>
      <c r="Q229" s="835">
        <v>0</v>
      </c>
      <c r="R229" s="835">
        <v>0</v>
      </c>
      <c r="S229" s="835">
        <v>0</v>
      </c>
      <c r="T229" s="835">
        <v>0</v>
      </c>
    </row>
    <row r="230" spans="1:20" ht="18">
      <c r="A230" s="838"/>
      <c r="B230" s="838"/>
      <c r="C230" s="819" t="s">
        <v>16</v>
      </c>
      <c r="D230" s="819"/>
      <c r="E230" s="810"/>
      <c r="F230" s="810"/>
      <c r="G230" s="810"/>
      <c r="H230" s="835">
        <v>0</v>
      </c>
      <c r="I230" s="835">
        <v>0</v>
      </c>
      <c r="J230" s="835">
        <v>0</v>
      </c>
      <c r="K230" s="835">
        <v>0</v>
      </c>
      <c r="L230" s="835">
        <v>0</v>
      </c>
      <c r="M230" s="835">
        <v>0</v>
      </c>
      <c r="N230" s="835">
        <v>0</v>
      </c>
      <c r="O230" s="835">
        <v>0</v>
      </c>
      <c r="P230" s="835">
        <v>0</v>
      </c>
      <c r="Q230" s="835">
        <v>0</v>
      </c>
      <c r="R230" s="835">
        <v>0</v>
      </c>
      <c r="S230" s="835">
        <v>0</v>
      </c>
      <c r="T230" s="835">
        <v>0</v>
      </c>
    </row>
    <row r="231" spans="1:20" ht="18">
      <c r="A231" s="838"/>
      <c r="B231" s="819"/>
      <c r="C231" s="819" t="s">
        <v>415</v>
      </c>
      <c r="D231" s="819"/>
      <c r="E231" s="810"/>
      <c r="F231" s="810"/>
      <c r="G231" s="810"/>
      <c r="H231" s="835">
        <v>0</v>
      </c>
      <c r="I231" s="835">
        <v>0</v>
      </c>
      <c r="J231" s="835">
        <v>0</v>
      </c>
      <c r="K231" s="835">
        <v>0</v>
      </c>
      <c r="L231" s="835">
        <v>0</v>
      </c>
      <c r="M231" s="835">
        <v>0</v>
      </c>
      <c r="N231" s="835">
        <v>0</v>
      </c>
      <c r="O231" s="835">
        <v>0</v>
      </c>
      <c r="P231" s="835">
        <v>0</v>
      </c>
      <c r="Q231" s="835">
        <v>0</v>
      </c>
      <c r="R231" s="835">
        <v>0</v>
      </c>
      <c r="S231" s="835">
        <v>0</v>
      </c>
      <c r="T231" s="835">
        <v>0</v>
      </c>
    </row>
    <row r="232" spans="1:20" ht="18">
      <c r="A232" s="819"/>
      <c r="B232" s="838"/>
      <c r="C232" s="819" t="s">
        <v>886</v>
      </c>
      <c r="D232" s="819"/>
      <c r="E232" s="810"/>
      <c r="F232" s="810"/>
      <c r="G232" s="810"/>
      <c r="H232" s="835">
        <v>0</v>
      </c>
      <c r="I232" s="835">
        <v>0</v>
      </c>
      <c r="J232" s="835">
        <v>0</v>
      </c>
      <c r="K232" s="835">
        <v>0</v>
      </c>
      <c r="L232" s="835">
        <v>0</v>
      </c>
      <c r="M232" s="835">
        <v>0</v>
      </c>
      <c r="N232" s="835">
        <v>0</v>
      </c>
      <c r="O232" s="835">
        <v>0</v>
      </c>
      <c r="P232" s="835">
        <v>0</v>
      </c>
      <c r="Q232" s="835">
        <v>0</v>
      </c>
      <c r="R232" s="835">
        <v>0</v>
      </c>
      <c r="S232" s="835">
        <v>0</v>
      </c>
      <c r="T232" s="835">
        <v>0</v>
      </c>
    </row>
    <row r="233" spans="1:20" ht="18">
      <c r="A233" s="838"/>
      <c r="B233" s="819"/>
      <c r="C233" s="819" t="s">
        <v>56</v>
      </c>
      <c r="D233" s="819"/>
      <c r="E233" s="810"/>
      <c r="F233" s="810"/>
      <c r="G233" s="810"/>
      <c r="H233" s="835">
        <v>0</v>
      </c>
      <c r="I233" s="835">
        <v>0</v>
      </c>
      <c r="J233" s="835">
        <v>0</v>
      </c>
      <c r="K233" s="835">
        <v>0</v>
      </c>
      <c r="L233" s="835">
        <v>0</v>
      </c>
      <c r="M233" s="835">
        <v>0</v>
      </c>
      <c r="N233" s="835">
        <v>0</v>
      </c>
      <c r="O233" s="835">
        <v>0</v>
      </c>
      <c r="P233" s="835">
        <v>0</v>
      </c>
      <c r="Q233" s="835">
        <v>0</v>
      </c>
      <c r="R233" s="835">
        <v>0</v>
      </c>
      <c r="S233" s="835">
        <v>0</v>
      </c>
      <c r="T233" s="835">
        <v>0</v>
      </c>
    </row>
    <row r="234" spans="1:20" ht="18">
      <c r="A234" s="833"/>
      <c r="B234" s="819"/>
      <c r="C234" s="819" t="s">
        <v>57</v>
      </c>
      <c r="D234" s="819"/>
      <c r="E234" s="810"/>
      <c r="F234" s="810"/>
      <c r="G234" s="810"/>
      <c r="H234" s="835">
        <v>0</v>
      </c>
      <c r="I234" s="835">
        <v>0</v>
      </c>
      <c r="J234" s="835">
        <v>0</v>
      </c>
      <c r="K234" s="835">
        <v>0</v>
      </c>
      <c r="L234" s="835">
        <v>0</v>
      </c>
      <c r="M234" s="835">
        <v>0</v>
      </c>
      <c r="N234" s="835">
        <v>0</v>
      </c>
      <c r="O234" s="835">
        <v>0</v>
      </c>
      <c r="P234" s="835">
        <v>0</v>
      </c>
      <c r="Q234" s="835">
        <v>0</v>
      </c>
      <c r="R234" s="835">
        <v>0</v>
      </c>
      <c r="S234" s="835">
        <v>0</v>
      </c>
      <c r="T234" s="835">
        <v>0</v>
      </c>
    </row>
    <row r="235" spans="1:20" ht="18">
      <c r="A235" s="833"/>
      <c r="B235" s="819"/>
      <c r="C235" s="819" t="s">
        <v>416</v>
      </c>
      <c r="D235" s="819"/>
      <c r="E235" s="810"/>
      <c r="F235" s="810"/>
      <c r="G235" s="810"/>
      <c r="H235" s="835">
        <v>0</v>
      </c>
      <c r="I235" s="835">
        <v>0</v>
      </c>
      <c r="J235" s="835">
        <v>0</v>
      </c>
      <c r="K235" s="835">
        <v>0</v>
      </c>
      <c r="L235" s="835">
        <v>0</v>
      </c>
      <c r="M235" s="835">
        <v>0</v>
      </c>
      <c r="N235" s="835">
        <v>0</v>
      </c>
      <c r="O235" s="835">
        <v>0</v>
      </c>
      <c r="P235" s="835">
        <v>0</v>
      </c>
      <c r="Q235" s="835">
        <v>0</v>
      </c>
      <c r="R235" s="835">
        <v>0</v>
      </c>
      <c r="S235" s="835">
        <v>0</v>
      </c>
      <c r="T235" s="835">
        <v>0</v>
      </c>
    </row>
    <row r="236" spans="1:20" ht="18">
      <c r="A236" s="819" t="s">
        <v>23</v>
      </c>
      <c r="B236" s="810"/>
      <c r="C236" s="810"/>
      <c r="D236" s="819"/>
      <c r="E236" s="810"/>
      <c r="F236" s="810"/>
      <c r="G236" s="810"/>
      <c r="H236" s="835"/>
      <c r="I236" s="835"/>
      <c r="J236" s="835"/>
      <c r="K236" s="835"/>
      <c r="L236" s="835"/>
      <c r="M236" s="835"/>
      <c r="N236" s="835"/>
      <c r="O236" s="835"/>
      <c r="P236" s="835"/>
      <c r="Q236" s="835"/>
      <c r="R236" s="835"/>
      <c r="S236" s="835"/>
      <c r="T236" s="835"/>
    </row>
    <row r="237" spans="1:20" ht="18">
      <c r="A237" s="819"/>
      <c r="B237" s="810"/>
      <c r="C237" s="810"/>
      <c r="D237" s="810"/>
      <c r="E237" s="810"/>
      <c r="F237" s="810"/>
      <c r="G237" s="810"/>
      <c r="H237" s="835"/>
      <c r="I237" s="835"/>
      <c r="J237" s="835"/>
      <c r="K237" s="835"/>
      <c r="L237" s="835"/>
      <c r="M237" s="835"/>
      <c r="N237" s="835"/>
      <c r="O237" s="835"/>
      <c r="P237" s="835"/>
      <c r="Q237" s="835"/>
      <c r="R237" s="835"/>
      <c r="S237" s="835"/>
      <c r="T237" s="835"/>
    </row>
    <row r="238" spans="1:20" ht="18">
      <c r="A238" s="810"/>
      <c r="B238" s="819" t="s">
        <v>13</v>
      </c>
      <c r="C238" s="819" t="s">
        <v>14</v>
      </c>
      <c r="D238" s="838" t="s">
        <v>885</v>
      </c>
      <c r="E238" s="810"/>
      <c r="F238" s="810"/>
      <c r="G238" s="810"/>
      <c r="H238" s="835">
        <v>518923.16</v>
      </c>
      <c r="I238" s="835">
        <v>488068.00999999995</v>
      </c>
      <c r="J238" s="835">
        <v>546185.59999999986</v>
      </c>
      <c r="K238" s="835">
        <v>853156</v>
      </c>
      <c r="L238" s="835">
        <v>1418427.8200000003</v>
      </c>
      <c r="M238" s="835">
        <v>1924937.0099999998</v>
      </c>
      <c r="N238" s="835">
        <v>1893738.8500000003</v>
      </c>
      <c r="O238" s="835">
        <v>1452880.5699999998</v>
      </c>
      <c r="P238" s="835">
        <v>1352537.6500000006</v>
      </c>
      <c r="Q238" s="835">
        <v>1122501.8600000003</v>
      </c>
      <c r="R238" s="835">
        <v>875306.33000000007</v>
      </c>
      <c r="S238" s="835">
        <v>595779.38</v>
      </c>
      <c r="T238" s="835">
        <v>13042442.240000002</v>
      </c>
    </row>
    <row r="239" spans="1:20" ht="18">
      <c r="A239" s="810"/>
      <c r="B239" s="819"/>
      <c r="C239" s="819"/>
      <c r="D239" s="838" t="s">
        <v>885</v>
      </c>
      <c r="E239" s="810"/>
      <c r="F239" s="810"/>
      <c r="G239" s="810"/>
      <c r="H239" s="835"/>
      <c r="I239" s="835"/>
      <c r="J239" s="835"/>
      <c r="K239" s="835"/>
      <c r="L239" s="835"/>
      <c r="M239" s="835"/>
      <c r="N239" s="835"/>
      <c r="O239" s="835"/>
      <c r="P239" s="835"/>
      <c r="Q239" s="835"/>
      <c r="R239" s="835"/>
      <c r="S239" s="835"/>
      <c r="T239" s="835"/>
    </row>
    <row r="240" spans="1:20" ht="18">
      <c r="A240" s="819" t="s">
        <v>884</v>
      </c>
      <c r="B240" s="838"/>
      <c r="C240" s="819" t="s">
        <v>15</v>
      </c>
      <c r="D240" s="838" t="s">
        <v>885</v>
      </c>
      <c r="E240" s="810"/>
      <c r="F240" s="810"/>
      <c r="G240" s="810"/>
      <c r="H240" s="835"/>
      <c r="I240" s="835"/>
      <c r="J240" s="835"/>
      <c r="K240" s="835"/>
      <c r="L240" s="835"/>
      <c r="M240" s="835"/>
      <c r="N240" s="835"/>
      <c r="O240" s="835"/>
      <c r="P240" s="835"/>
      <c r="Q240" s="835"/>
      <c r="R240" s="835"/>
      <c r="S240" s="835"/>
      <c r="T240" s="835"/>
    </row>
    <row r="241" spans="1:21" ht="18">
      <c r="A241" s="819" t="s">
        <v>884</v>
      </c>
      <c r="B241" s="838"/>
      <c r="C241" s="819"/>
      <c r="D241" s="838" t="s">
        <v>885</v>
      </c>
      <c r="E241" s="810"/>
      <c r="F241" s="810"/>
      <c r="G241" s="810"/>
      <c r="H241" s="835"/>
      <c r="I241" s="835"/>
      <c r="J241" s="835"/>
      <c r="K241" s="835"/>
      <c r="L241" s="835"/>
      <c r="M241" s="835"/>
      <c r="N241" s="835"/>
      <c r="O241" s="835"/>
      <c r="P241" s="835"/>
      <c r="Q241" s="835"/>
      <c r="R241" s="835"/>
      <c r="S241" s="835"/>
      <c r="T241" s="835"/>
    </row>
    <row r="242" spans="1:21" ht="18">
      <c r="A242" s="819" t="s">
        <v>884</v>
      </c>
      <c r="B242" s="819"/>
      <c r="C242" s="819" t="s">
        <v>16</v>
      </c>
      <c r="D242" s="838" t="s">
        <v>885</v>
      </c>
      <c r="E242" s="810"/>
      <c r="F242" s="810"/>
      <c r="G242" s="810"/>
      <c r="H242" s="837">
        <v>358618.05000000005</v>
      </c>
      <c r="I242" s="837">
        <v>347652.72</v>
      </c>
      <c r="J242" s="837">
        <v>425817.36</v>
      </c>
      <c r="K242" s="837">
        <v>1143031.3099999998</v>
      </c>
      <c r="L242" s="837">
        <v>3651649.7399999998</v>
      </c>
      <c r="M242" s="837">
        <v>4981957.5599999987</v>
      </c>
      <c r="N242" s="837">
        <v>5098351.2200000007</v>
      </c>
      <c r="O242" s="837">
        <v>4429273.8</v>
      </c>
      <c r="P242" s="837">
        <v>4630734.0500000035</v>
      </c>
      <c r="Q242" s="837">
        <v>3199373.67</v>
      </c>
      <c r="R242" s="837">
        <v>1282636.2299999993</v>
      </c>
      <c r="S242" s="837">
        <v>710237.58999999985</v>
      </c>
      <c r="T242" s="837">
        <v>30259333.300000004</v>
      </c>
    </row>
    <row r="243" spans="1:21" ht="18">
      <c r="A243" s="819" t="s">
        <v>884</v>
      </c>
      <c r="B243" s="838"/>
      <c r="C243" s="819" t="s">
        <v>17</v>
      </c>
      <c r="D243" s="838" t="s">
        <v>885</v>
      </c>
      <c r="E243" s="810"/>
      <c r="F243" s="810"/>
      <c r="G243" s="810"/>
      <c r="H243" s="835">
        <v>877541.21</v>
      </c>
      <c r="I243" s="835">
        <v>835720.73</v>
      </c>
      <c r="J243" s="835">
        <v>972002.95999999985</v>
      </c>
      <c r="K243" s="835">
        <v>1996187.3099999998</v>
      </c>
      <c r="L243" s="835">
        <v>5070077.5600000005</v>
      </c>
      <c r="M243" s="835">
        <v>6906894.5699999984</v>
      </c>
      <c r="N243" s="835">
        <v>6992090.0700000012</v>
      </c>
      <c r="O243" s="835">
        <v>5882154.3699999992</v>
      </c>
      <c r="P243" s="835">
        <v>5983271.7000000039</v>
      </c>
      <c r="Q243" s="835">
        <v>4321875.53</v>
      </c>
      <c r="R243" s="835">
        <v>2157942.5599999996</v>
      </c>
      <c r="S243" s="835">
        <v>1306016.9699999997</v>
      </c>
      <c r="T243" s="835">
        <v>43301775.540000007</v>
      </c>
    </row>
    <row r="244" spans="1:21" ht="18">
      <c r="A244" s="819" t="s">
        <v>884</v>
      </c>
      <c r="B244" s="838"/>
      <c r="C244" s="819" t="s">
        <v>886</v>
      </c>
      <c r="D244" s="838" t="s">
        <v>885</v>
      </c>
      <c r="E244" s="810"/>
      <c r="F244" s="810"/>
      <c r="G244" s="810"/>
      <c r="H244" s="835">
        <v>28034</v>
      </c>
      <c r="I244" s="835">
        <v>28089</v>
      </c>
      <c r="J244" s="835">
        <v>28089</v>
      </c>
      <c r="K244" s="835">
        <v>28089</v>
      </c>
      <c r="L244" s="835">
        <v>28089</v>
      </c>
      <c r="M244" s="835">
        <v>28089</v>
      </c>
      <c r="N244" s="835">
        <v>28089</v>
      </c>
      <c r="O244" s="835">
        <v>28089</v>
      </c>
      <c r="P244" s="835">
        <v>28089</v>
      </c>
      <c r="Q244" s="835">
        <v>28089</v>
      </c>
      <c r="R244" s="835">
        <v>28089</v>
      </c>
      <c r="S244" s="835">
        <v>28089</v>
      </c>
      <c r="T244" s="835">
        <v>28084.416666666668</v>
      </c>
      <c r="U244" s="10"/>
    </row>
    <row r="245" spans="1:21" ht="18">
      <c r="A245" s="819"/>
      <c r="B245" s="838"/>
      <c r="C245" s="819" t="s">
        <v>18</v>
      </c>
      <c r="D245" s="838" t="s">
        <v>885</v>
      </c>
      <c r="E245" s="810"/>
      <c r="F245" s="810"/>
      <c r="G245" s="810"/>
      <c r="H245" s="835">
        <v>53712.1</v>
      </c>
      <c r="I245" s="835">
        <v>52255.211999999985</v>
      </c>
      <c r="J245" s="835">
        <v>64044.467000000011</v>
      </c>
      <c r="K245" s="835">
        <v>171906.50300000006</v>
      </c>
      <c r="L245" s="835">
        <v>478033.27000000014</v>
      </c>
      <c r="M245" s="835">
        <v>638808.99600000016</v>
      </c>
      <c r="N245" s="835">
        <v>653578.53500000003</v>
      </c>
      <c r="O245" s="835">
        <v>567806.89300000016</v>
      </c>
      <c r="P245" s="835">
        <v>536584.65199999989</v>
      </c>
      <c r="Q245" s="835">
        <v>371306.76299999992</v>
      </c>
      <c r="R245" s="835">
        <v>148787.16700000002</v>
      </c>
      <c r="S245" s="835">
        <v>82387.151999999987</v>
      </c>
      <c r="T245" s="835">
        <v>3819211.71</v>
      </c>
    </row>
    <row r="246" spans="1:21" ht="18">
      <c r="A246" s="819"/>
      <c r="B246" s="838"/>
      <c r="C246" s="838"/>
      <c r="D246" s="838"/>
      <c r="E246" s="810"/>
      <c r="F246" s="810"/>
      <c r="G246" s="810"/>
      <c r="H246" s="835"/>
      <c r="I246" s="835"/>
      <c r="J246" s="835"/>
      <c r="K246" s="835"/>
      <c r="L246" s="835"/>
      <c r="M246" s="835"/>
      <c r="N246" s="835"/>
      <c r="O246" s="835"/>
      <c r="P246" s="835"/>
      <c r="Q246" s="835"/>
      <c r="R246" s="835"/>
      <c r="S246" s="835"/>
      <c r="T246" s="835"/>
    </row>
    <row r="247" spans="1:21" ht="18">
      <c r="A247" s="819" t="s">
        <v>884</v>
      </c>
      <c r="B247" s="838" t="s">
        <v>899</v>
      </c>
      <c r="C247" s="819" t="s">
        <v>14</v>
      </c>
      <c r="D247" s="838" t="s">
        <v>885</v>
      </c>
      <c r="E247" s="810"/>
      <c r="F247" s="810"/>
      <c r="G247" s="810"/>
      <c r="H247" s="835">
        <v>15361.069999999998</v>
      </c>
      <c r="I247" s="835">
        <v>14943.090000000002</v>
      </c>
      <c r="J247" s="835">
        <v>18306.150000000001</v>
      </c>
      <c r="K247" s="835">
        <v>22737.039999999997</v>
      </c>
      <c r="L247" s="835">
        <v>26879.989999999998</v>
      </c>
      <c r="M247" s="835">
        <v>32832.049999999996</v>
      </c>
      <c r="N247" s="835">
        <v>34796.68</v>
      </c>
      <c r="O247" s="835">
        <v>24620.489999999998</v>
      </c>
      <c r="P247" s="835">
        <v>37977.629999999997</v>
      </c>
      <c r="Q247" s="835">
        <v>21662.71</v>
      </c>
      <c r="R247" s="835">
        <v>19961.949999999997</v>
      </c>
      <c r="S247" s="835">
        <v>19476.310000000001</v>
      </c>
      <c r="T247" s="835">
        <v>289555.15999999997</v>
      </c>
    </row>
    <row r="248" spans="1:21" ht="18">
      <c r="A248" s="819" t="s">
        <v>884</v>
      </c>
      <c r="B248" s="819"/>
      <c r="C248" s="819"/>
      <c r="D248" s="838" t="s">
        <v>885</v>
      </c>
      <c r="E248" s="810"/>
      <c r="F248" s="810"/>
      <c r="G248" s="810"/>
      <c r="H248" s="835"/>
      <c r="I248" s="835"/>
      <c r="J248" s="835"/>
      <c r="K248" s="835"/>
      <c r="L248" s="835"/>
      <c r="M248" s="835"/>
      <c r="N248" s="835"/>
      <c r="O248" s="835"/>
      <c r="P248" s="835"/>
      <c r="Q248" s="835"/>
      <c r="R248" s="835"/>
      <c r="S248" s="835"/>
      <c r="T248" s="835"/>
    </row>
    <row r="249" spans="1:21" ht="18">
      <c r="A249" s="819" t="s">
        <v>884</v>
      </c>
      <c r="B249" s="838"/>
      <c r="C249" s="819" t="s">
        <v>15</v>
      </c>
      <c r="D249" s="838" t="s">
        <v>885</v>
      </c>
      <c r="E249" s="810"/>
      <c r="F249" s="810"/>
      <c r="G249" s="810"/>
      <c r="H249" s="835"/>
      <c r="I249" s="835"/>
      <c r="J249" s="835"/>
      <c r="K249" s="835"/>
      <c r="L249" s="835"/>
      <c r="M249" s="835"/>
      <c r="N249" s="835"/>
      <c r="O249" s="835"/>
      <c r="P249" s="835"/>
      <c r="Q249" s="835"/>
      <c r="R249" s="835"/>
      <c r="S249" s="835"/>
      <c r="T249" s="835"/>
    </row>
    <row r="250" spans="1:21" ht="18">
      <c r="A250" s="819" t="s">
        <v>884</v>
      </c>
      <c r="B250" s="838"/>
      <c r="C250" s="819"/>
      <c r="D250" s="838" t="s">
        <v>885</v>
      </c>
      <c r="E250" s="810"/>
      <c r="F250" s="810"/>
      <c r="G250" s="810"/>
      <c r="H250" s="835"/>
      <c r="I250" s="835"/>
      <c r="J250" s="835"/>
      <c r="K250" s="835"/>
      <c r="L250" s="835"/>
      <c r="M250" s="835"/>
      <c r="N250" s="835"/>
      <c r="O250" s="835"/>
      <c r="P250" s="835"/>
      <c r="Q250" s="835"/>
      <c r="R250" s="835"/>
      <c r="S250" s="835"/>
      <c r="T250" s="835"/>
    </row>
    <row r="251" spans="1:21" ht="18">
      <c r="A251" s="819" t="s">
        <v>884</v>
      </c>
      <c r="B251" s="838"/>
      <c r="C251" s="819" t="s">
        <v>16</v>
      </c>
      <c r="D251" s="838" t="s">
        <v>885</v>
      </c>
      <c r="E251" s="810"/>
      <c r="F251" s="810"/>
      <c r="G251" s="810"/>
      <c r="H251" s="837">
        <v>70673.679999999993</v>
      </c>
      <c r="I251" s="837">
        <v>67632.460000000006</v>
      </c>
      <c r="J251" s="837">
        <v>90043.48</v>
      </c>
      <c r="K251" s="837">
        <v>112720.08</v>
      </c>
      <c r="L251" s="837">
        <v>165161.87</v>
      </c>
      <c r="M251" s="837">
        <v>209410.18</v>
      </c>
      <c r="N251" s="837">
        <v>219659.61000000004</v>
      </c>
      <c r="O251" s="837">
        <v>156860.23000000001</v>
      </c>
      <c r="P251" s="837">
        <v>262576.64000000007</v>
      </c>
      <c r="Q251" s="837">
        <v>151630.92000000001</v>
      </c>
      <c r="R251" s="837">
        <v>126454.68000000001</v>
      </c>
      <c r="S251" s="837">
        <v>123035.70999999999</v>
      </c>
      <c r="T251" s="837">
        <v>1755859.54</v>
      </c>
    </row>
    <row r="252" spans="1:21" ht="18">
      <c r="A252" s="819" t="s">
        <v>884</v>
      </c>
      <c r="B252" s="838"/>
      <c r="C252" s="819" t="s">
        <v>17</v>
      </c>
      <c r="D252" s="838" t="s">
        <v>885</v>
      </c>
      <c r="E252" s="810"/>
      <c r="F252" s="810"/>
      <c r="G252" s="810"/>
      <c r="H252" s="835">
        <v>86034.749999999985</v>
      </c>
      <c r="I252" s="835">
        <v>82575.55</v>
      </c>
      <c r="J252" s="835">
        <v>108349.63</v>
      </c>
      <c r="K252" s="835">
        <v>135457.12</v>
      </c>
      <c r="L252" s="835">
        <v>192041.86</v>
      </c>
      <c r="M252" s="835">
        <v>242242.22999999998</v>
      </c>
      <c r="N252" s="835">
        <v>254456.29000000004</v>
      </c>
      <c r="O252" s="835">
        <v>181480.72</v>
      </c>
      <c r="P252" s="835">
        <v>300554.27000000008</v>
      </c>
      <c r="Q252" s="835">
        <v>173293.63</v>
      </c>
      <c r="R252" s="835">
        <v>146416.63</v>
      </c>
      <c r="S252" s="835">
        <v>142512.01999999999</v>
      </c>
      <c r="T252" s="835">
        <v>2045414.6999999997</v>
      </c>
    </row>
    <row r="253" spans="1:21" ht="18">
      <c r="A253" s="819" t="s">
        <v>884</v>
      </c>
      <c r="B253" s="819"/>
      <c r="C253" s="819" t="s">
        <v>886</v>
      </c>
      <c r="D253" s="838" t="s">
        <v>885</v>
      </c>
      <c r="E253" s="810"/>
      <c r="F253" s="810"/>
      <c r="G253" s="810"/>
      <c r="H253" s="835">
        <v>26</v>
      </c>
      <c r="I253" s="835">
        <v>28</v>
      </c>
      <c r="J253" s="835">
        <v>28</v>
      </c>
      <c r="K253" s="835">
        <v>28</v>
      </c>
      <c r="L253" s="835">
        <v>28</v>
      </c>
      <c r="M253" s="835">
        <v>28</v>
      </c>
      <c r="N253" s="835">
        <v>28</v>
      </c>
      <c r="O253" s="835">
        <v>28</v>
      </c>
      <c r="P253" s="835">
        <v>28</v>
      </c>
      <c r="Q253" s="835">
        <v>28</v>
      </c>
      <c r="R253" s="835">
        <v>28</v>
      </c>
      <c r="S253" s="835">
        <v>28</v>
      </c>
      <c r="T253" s="835">
        <v>27.833333333333332</v>
      </c>
    </row>
    <row r="254" spans="1:21" ht="18">
      <c r="A254" s="819" t="s">
        <v>884</v>
      </c>
      <c r="B254" s="838"/>
      <c r="C254" s="819" t="s">
        <v>18</v>
      </c>
      <c r="D254" s="838" t="s">
        <v>885</v>
      </c>
      <c r="E254" s="810"/>
      <c r="F254" s="810"/>
      <c r="G254" s="810"/>
      <c r="H254" s="835">
        <v>10730.652</v>
      </c>
      <c r="I254" s="835">
        <v>10171.640000000001</v>
      </c>
      <c r="J254" s="835">
        <v>13542.120999999999</v>
      </c>
      <c r="K254" s="835">
        <v>16952.633999999998</v>
      </c>
      <c r="L254" s="835">
        <v>21073.385999999999</v>
      </c>
      <c r="M254" s="835">
        <v>26845.132000000001</v>
      </c>
      <c r="N254" s="835">
        <v>28159.025999999998</v>
      </c>
      <c r="O254" s="835">
        <v>20108.483</v>
      </c>
      <c r="P254" s="835">
        <v>30700.173000000003</v>
      </c>
      <c r="Q254" s="835">
        <v>17588.956999999999</v>
      </c>
      <c r="R254" s="835">
        <v>14668.562999999998</v>
      </c>
      <c r="S254" s="835">
        <v>14271.916999999999</v>
      </c>
      <c r="T254" s="835">
        <v>224812.68399999998</v>
      </c>
    </row>
    <row r="255" spans="1:21" ht="18">
      <c r="A255" s="819" t="s">
        <v>884</v>
      </c>
      <c r="B255" s="838"/>
      <c r="C255" s="818"/>
      <c r="D255" s="838"/>
      <c r="E255" s="810"/>
      <c r="F255" s="810"/>
      <c r="G255" s="810"/>
      <c r="H255" s="835"/>
      <c r="I255" s="835"/>
      <c r="J255" s="835"/>
      <c r="K255" s="835"/>
      <c r="L255" s="835"/>
      <c r="M255" s="835"/>
      <c r="N255" s="835"/>
      <c r="O255" s="835"/>
      <c r="P255" s="835"/>
      <c r="Q255" s="835"/>
      <c r="R255" s="835"/>
      <c r="S255" s="835"/>
      <c r="T255" s="835"/>
    </row>
    <row r="256" spans="1:21" ht="18">
      <c r="A256" s="819" t="s">
        <v>884</v>
      </c>
      <c r="B256" s="838" t="s">
        <v>746</v>
      </c>
      <c r="C256" s="819" t="s">
        <v>14</v>
      </c>
      <c r="D256" s="838" t="s">
        <v>885</v>
      </c>
      <c r="E256" s="810"/>
      <c r="F256" s="810"/>
      <c r="G256" s="810"/>
      <c r="H256" s="835">
        <v>3434.6574687700004</v>
      </c>
      <c r="I256" s="835">
        <v>4087.0014856000003</v>
      </c>
      <c r="J256" s="835">
        <v>3640.25679743</v>
      </c>
      <c r="K256" s="835">
        <v>3320.2405887699997</v>
      </c>
      <c r="L256" s="835">
        <v>5723.7001658600002</v>
      </c>
      <c r="M256" s="835">
        <v>5633.0001158800005</v>
      </c>
      <c r="N256" s="835">
        <v>0</v>
      </c>
      <c r="O256" s="835">
        <v>0</v>
      </c>
      <c r="P256" s="835">
        <v>0</v>
      </c>
      <c r="Q256" s="835">
        <v>0</v>
      </c>
      <c r="R256" s="835">
        <v>0</v>
      </c>
      <c r="S256" s="835">
        <v>0</v>
      </c>
      <c r="T256" s="835">
        <v>25838.856622309999</v>
      </c>
    </row>
    <row r="257" spans="1:20" ht="18">
      <c r="A257" s="819" t="s">
        <v>884</v>
      </c>
      <c r="B257" s="819"/>
      <c r="C257" s="819"/>
      <c r="D257" s="838" t="s">
        <v>885</v>
      </c>
      <c r="E257" s="810"/>
      <c r="F257" s="810"/>
      <c r="G257" s="810"/>
      <c r="H257" s="835"/>
      <c r="I257" s="835"/>
      <c r="J257" s="835"/>
      <c r="K257" s="835"/>
      <c r="L257" s="835"/>
      <c r="M257" s="835"/>
      <c r="N257" s="835"/>
      <c r="O257" s="835"/>
      <c r="P257" s="835"/>
      <c r="Q257" s="835"/>
      <c r="R257" s="835"/>
      <c r="S257" s="835"/>
      <c r="T257" s="835"/>
    </row>
    <row r="258" spans="1:20" ht="18">
      <c r="A258" s="819" t="s">
        <v>884</v>
      </c>
      <c r="B258" s="838"/>
      <c r="C258" s="819" t="s">
        <v>15</v>
      </c>
      <c r="D258" s="838" t="s">
        <v>885</v>
      </c>
      <c r="E258" s="810"/>
      <c r="F258" s="810"/>
      <c r="G258" s="810"/>
      <c r="H258" s="835"/>
      <c r="I258" s="835"/>
      <c r="J258" s="835"/>
      <c r="K258" s="835"/>
      <c r="L258" s="835"/>
      <c r="M258" s="835"/>
      <c r="N258" s="835"/>
      <c r="O258" s="835"/>
      <c r="P258" s="835"/>
      <c r="Q258" s="835"/>
      <c r="R258" s="835"/>
      <c r="S258" s="835"/>
      <c r="T258" s="835"/>
    </row>
    <row r="259" spans="1:20" ht="18">
      <c r="A259" s="819" t="s">
        <v>884</v>
      </c>
      <c r="B259" s="838"/>
      <c r="C259" s="819"/>
      <c r="D259" s="838" t="s">
        <v>885</v>
      </c>
      <c r="E259" s="810"/>
      <c r="F259" s="810"/>
      <c r="G259" s="810"/>
      <c r="H259" s="835"/>
      <c r="I259" s="835"/>
      <c r="J259" s="835"/>
      <c r="K259" s="835"/>
      <c r="L259" s="835"/>
      <c r="M259" s="835"/>
      <c r="N259" s="835"/>
      <c r="O259" s="835"/>
      <c r="P259" s="835"/>
      <c r="Q259" s="835"/>
      <c r="R259" s="835"/>
      <c r="S259" s="835"/>
      <c r="T259" s="835"/>
    </row>
    <row r="260" spans="1:20" ht="18">
      <c r="A260" s="819" t="s">
        <v>884</v>
      </c>
      <c r="B260" s="838"/>
      <c r="C260" s="819" t="s">
        <v>16</v>
      </c>
      <c r="D260" s="838" t="s">
        <v>885</v>
      </c>
      <c r="E260" s="810"/>
      <c r="F260" s="810"/>
      <c r="G260" s="810"/>
      <c r="H260" s="837">
        <v>1472.3425312299998</v>
      </c>
      <c r="I260" s="837">
        <v>1726.4585143999998</v>
      </c>
      <c r="J260" s="837">
        <v>1306.7432025699998</v>
      </c>
      <c r="K260" s="837">
        <v>1085.5694112299998</v>
      </c>
      <c r="L260" s="837">
        <v>1835.7098341399997</v>
      </c>
      <c r="M260" s="837">
        <v>2405.4098841199998</v>
      </c>
      <c r="N260" s="837">
        <v>955.5052932000001</v>
      </c>
      <c r="O260" s="837">
        <v>1521.28081292</v>
      </c>
      <c r="P260" s="837">
        <v>4526.1885564000004</v>
      </c>
      <c r="Q260" s="837">
        <v>4480.7608264100008</v>
      </c>
      <c r="R260" s="837">
        <v>3684.0255662099999</v>
      </c>
      <c r="S260" s="837">
        <v>3529.2475434699995</v>
      </c>
      <c r="T260" s="837">
        <v>28529.2419763</v>
      </c>
    </row>
    <row r="261" spans="1:20" ht="18">
      <c r="A261" s="819" t="s">
        <v>884</v>
      </c>
      <c r="B261" s="838"/>
      <c r="C261" s="819" t="s">
        <v>17</v>
      </c>
      <c r="D261" s="838" t="s">
        <v>885</v>
      </c>
      <c r="E261" s="810"/>
      <c r="F261" s="810"/>
      <c r="G261" s="810"/>
      <c r="H261" s="835">
        <v>4907</v>
      </c>
      <c r="I261" s="835">
        <v>5813.46</v>
      </c>
      <c r="J261" s="835">
        <v>4947</v>
      </c>
      <c r="K261" s="835">
        <v>4405.8099999999995</v>
      </c>
      <c r="L261" s="835">
        <v>7559.41</v>
      </c>
      <c r="M261" s="835">
        <v>8038.41</v>
      </c>
      <c r="N261" s="835">
        <v>955.5052932000001</v>
      </c>
      <c r="O261" s="835">
        <v>1521.28081292</v>
      </c>
      <c r="P261" s="835">
        <v>4526.1885564000004</v>
      </c>
      <c r="Q261" s="835">
        <v>4480.7608264100008</v>
      </c>
      <c r="R261" s="835">
        <v>3684.0255662099999</v>
      </c>
      <c r="S261" s="835">
        <v>3529.2475434699995</v>
      </c>
      <c r="T261" s="835">
        <v>54368.098598610006</v>
      </c>
    </row>
    <row r="262" spans="1:20" ht="18">
      <c r="A262" s="819" t="s">
        <v>884</v>
      </c>
      <c r="B262" s="819"/>
      <c r="C262" s="819" t="s">
        <v>886</v>
      </c>
      <c r="D262" s="838" t="s">
        <v>885</v>
      </c>
      <c r="E262" s="810"/>
      <c r="F262" s="810"/>
      <c r="G262" s="810"/>
      <c r="H262" s="835">
        <v>1</v>
      </c>
      <c r="I262" s="835">
        <v>1</v>
      </c>
      <c r="J262" s="835">
        <v>1</v>
      </c>
      <c r="K262" s="835">
        <v>1</v>
      </c>
      <c r="L262" s="835">
        <v>1</v>
      </c>
      <c r="M262" s="835">
        <v>1</v>
      </c>
      <c r="N262" s="835">
        <v>1</v>
      </c>
      <c r="O262" s="835">
        <v>1</v>
      </c>
      <c r="P262" s="835">
        <v>1</v>
      </c>
      <c r="Q262" s="835">
        <v>1</v>
      </c>
      <c r="R262" s="835">
        <v>1</v>
      </c>
      <c r="S262" s="835">
        <v>1</v>
      </c>
      <c r="T262" s="835">
        <v>1</v>
      </c>
    </row>
    <row r="263" spans="1:20" ht="18">
      <c r="A263" s="819" t="s">
        <v>884</v>
      </c>
      <c r="B263" s="838"/>
      <c r="C263" s="819" t="s">
        <v>18</v>
      </c>
      <c r="D263" s="838" t="s">
        <v>885</v>
      </c>
      <c r="E263" s="810"/>
      <c r="F263" s="810"/>
      <c r="G263" s="810"/>
      <c r="H263" s="835">
        <v>243.631</v>
      </c>
      <c r="I263" s="835">
        <v>285.68</v>
      </c>
      <c r="J263" s="835">
        <v>216.22899999999998</v>
      </c>
      <c r="K263" s="835">
        <v>179.631</v>
      </c>
      <c r="L263" s="835">
        <v>303.75799999999998</v>
      </c>
      <c r="M263" s="835">
        <v>308.35899999999998</v>
      </c>
      <c r="N263" s="835">
        <v>122.49000000000001</v>
      </c>
      <c r="O263" s="835">
        <v>195.01900000000001</v>
      </c>
      <c r="P263" s="835">
        <v>580.23</v>
      </c>
      <c r="Q263" s="835">
        <v>519.76100000000008</v>
      </c>
      <c r="R263" s="835">
        <v>427.34099999999995</v>
      </c>
      <c r="S263" s="835">
        <v>409.38699999999994</v>
      </c>
      <c r="T263" s="835">
        <v>3791.5159999999996</v>
      </c>
    </row>
    <row r="264" spans="1:20" ht="18">
      <c r="A264" s="819" t="s">
        <v>884</v>
      </c>
      <c r="B264" s="838"/>
      <c r="C264" s="838"/>
      <c r="D264" s="838"/>
      <c r="E264" s="810"/>
      <c r="F264" s="810"/>
      <c r="G264" s="810"/>
      <c r="H264" s="835"/>
      <c r="I264" s="835"/>
      <c r="J264" s="835"/>
      <c r="K264" s="835"/>
      <c r="L264" s="835"/>
      <c r="M264" s="835"/>
      <c r="N264" s="835"/>
      <c r="O264" s="835"/>
      <c r="P264" s="835"/>
      <c r="Q264" s="835"/>
      <c r="R264" s="835"/>
      <c r="S264" s="835"/>
      <c r="T264" s="835"/>
    </row>
    <row r="265" spans="1:20" ht="18">
      <c r="A265" s="819" t="s">
        <v>884</v>
      </c>
      <c r="B265" s="838" t="s">
        <v>708</v>
      </c>
      <c r="C265" s="819" t="s">
        <v>14</v>
      </c>
      <c r="D265" s="838" t="s">
        <v>885</v>
      </c>
      <c r="E265" s="810"/>
      <c r="F265" s="810"/>
      <c r="G265" s="810"/>
      <c r="H265" s="835">
        <v>0</v>
      </c>
      <c r="I265" s="835">
        <v>0</v>
      </c>
      <c r="J265" s="835">
        <v>0</v>
      </c>
      <c r="K265" s="835">
        <v>0</v>
      </c>
      <c r="L265" s="835">
        <v>0</v>
      </c>
      <c r="M265" s="835">
        <v>0</v>
      </c>
      <c r="N265" s="835">
        <v>0</v>
      </c>
      <c r="O265" s="835">
        <v>0</v>
      </c>
      <c r="P265" s="835">
        <v>0</v>
      </c>
      <c r="Q265" s="835">
        <v>0</v>
      </c>
      <c r="R265" s="835">
        <v>0</v>
      </c>
      <c r="S265" s="835">
        <v>0</v>
      </c>
      <c r="T265" s="835">
        <v>0</v>
      </c>
    </row>
    <row r="266" spans="1:20" ht="18">
      <c r="A266" s="819" t="s">
        <v>884</v>
      </c>
      <c r="B266" s="819"/>
      <c r="C266" s="819"/>
      <c r="D266" s="838" t="s">
        <v>885</v>
      </c>
      <c r="E266" s="810"/>
      <c r="F266" s="810"/>
      <c r="G266" s="810"/>
      <c r="H266" s="835"/>
      <c r="I266" s="835"/>
      <c r="J266" s="835"/>
      <c r="K266" s="835"/>
      <c r="L266" s="835"/>
      <c r="M266" s="835"/>
      <c r="N266" s="835"/>
      <c r="O266" s="835"/>
      <c r="P266" s="835"/>
      <c r="Q266" s="835"/>
      <c r="R266" s="835"/>
      <c r="S266" s="835"/>
      <c r="T266" s="835"/>
    </row>
    <row r="267" spans="1:20" ht="18">
      <c r="A267" s="819" t="s">
        <v>884</v>
      </c>
      <c r="B267" s="838"/>
      <c r="C267" s="819" t="s">
        <v>15</v>
      </c>
      <c r="D267" s="838" t="s">
        <v>885</v>
      </c>
      <c r="E267" s="810"/>
      <c r="F267" s="810"/>
      <c r="G267" s="810"/>
      <c r="H267" s="835"/>
      <c r="I267" s="835"/>
      <c r="J267" s="835"/>
      <c r="K267" s="835"/>
      <c r="L267" s="835"/>
      <c r="M267" s="835"/>
      <c r="N267" s="835"/>
      <c r="O267" s="835"/>
      <c r="P267" s="835"/>
      <c r="Q267" s="835"/>
      <c r="R267" s="835"/>
      <c r="S267" s="835"/>
      <c r="T267" s="835"/>
    </row>
    <row r="268" spans="1:20" ht="18">
      <c r="A268" s="819" t="s">
        <v>884</v>
      </c>
      <c r="B268" s="838"/>
      <c r="C268" s="819"/>
      <c r="D268" s="838" t="s">
        <v>885</v>
      </c>
      <c r="E268" s="810"/>
      <c r="F268" s="810"/>
      <c r="G268" s="810"/>
      <c r="H268" s="835"/>
      <c r="I268" s="835"/>
      <c r="J268" s="835"/>
      <c r="K268" s="835"/>
      <c r="L268" s="835"/>
      <c r="M268" s="835"/>
      <c r="N268" s="835"/>
      <c r="O268" s="835"/>
      <c r="P268" s="835"/>
      <c r="Q268" s="835"/>
      <c r="R268" s="835"/>
      <c r="S268" s="835"/>
      <c r="T268" s="835"/>
    </row>
    <row r="269" spans="1:20" ht="18">
      <c r="A269" s="819" t="s">
        <v>884</v>
      </c>
      <c r="B269" s="838"/>
      <c r="C269" s="819" t="s">
        <v>16</v>
      </c>
      <c r="D269" s="838" t="s">
        <v>885</v>
      </c>
      <c r="E269" s="810"/>
      <c r="F269" s="810"/>
      <c r="G269" s="810"/>
      <c r="H269" s="837">
        <v>0</v>
      </c>
      <c r="I269" s="837">
        <v>0</v>
      </c>
      <c r="J269" s="837">
        <v>0</v>
      </c>
      <c r="K269" s="837">
        <v>0</v>
      </c>
      <c r="L269" s="837">
        <v>0</v>
      </c>
      <c r="M269" s="837">
        <v>0</v>
      </c>
      <c r="N269" s="837">
        <v>0</v>
      </c>
      <c r="O269" s="837">
        <v>0</v>
      </c>
      <c r="P269" s="837">
        <v>0</v>
      </c>
      <c r="Q269" s="837">
        <v>0</v>
      </c>
      <c r="R269" s="837">
        <v>0</v>
      </c>
      <c r="S269" s="837">
        <v>0</v>
      </c>
      <c r="T269" s="837">
        <v>0</v>
      </c>
    </row>
    <row r="270" spans="1:20" ht="18">
      <c r="A270" s="819" t="s">
        <v>884</v>
      </c>
      <c r="B270" s="838"/>
      <c r="C270" s="819" t="s">
        <v>17</v>
      </c>
      <c r="D270" s="838" t="s">
        <v>885</v>
      </c>
      <c r="E270" s="810"/>
      <c r="F270" s="810"/>
      <c r="G270" s="810"/>
      <c r="H270" s="835">
        <v>0</v>
      </c>
      <c r="I270" s="835">
        <v>0</v>
      </c>
      <c r="J270" s="835">
        <v>0</v>
      </c>
      <c r="K270" s="835">
        <v>0</v>
      </c>
      <c r="L270" s="835">
        <v>0</v>
      </c>
      <c r="M270" s="835">
        <v>0</v>
      </c>
      <c r="N270" s="835">
        <v>0</v>
      </c>
      <c r="O270" s="835">
        <v>0</v>
      </c>
      <c r="P270" s="835">
        <v>0</v>
      </c>
      <c r="Q270" s="835">
        <v>0</v>
      </c>
      <c r="R270" s="835">
        <v>0</v>
      </c>
      <c r="S270" s="835">
        <v>0</v>
      </c>
      <c r="T270" s="835">
        <v>0</v>
      </c>
    </row>
    <row r="271" spans="1:20" ht="18">
      <c r="A271" s="819" t="s">
        <v>884</v>
      </c>
      <c r="B271" s="819"/>
      <c r="C271" s="819" t="s">
        <v>886</v>
      </c>
      <c r="D271" s="838" t="s">
        <v>885</v>
      </c>
      <c r="E271" s="810"/>
      <c r="F271" s="810"/>
      <c r="G271" s="810"/>
      <c r="H271" s="835">
        <v>0</v>
      </c>
      <c r="I271" s="835">
        <v>0</v>
      </c>
      <c r="J271" s="835">
        <v>0</v>
      </c>
      <c r="K271" s="835">
        <v>0</v>
      </c>
      <c r="L271" s="835">
        <v>0</v>
      </c>
      <c r="M271" s="835">
        <v>0</v>
      </c>
      <c r="N271" s="835">
        <v>0</v>
      </c>
      <c r="O271" s="835">
        <v>0</v>
      </c>
      <c r="P271" s="835">
        <v>0</v>
      </c>
      <c r="Q271" s="835">
        <v>0</v>
      </c>
      <c r="R271" s="835">
        <v>0</v>
      </c>
      <c r="S271" s="835">
        <v>0</v>
      </c>
      <c r="T271" s="835">
        <v>0</v>
      </c>
    </row>
    <row r="272" spans="1:20" ht="18">
      <c r="A272" s="819" t="s">
        <v>884</v>
      </c>
      <c r="B272" s="838"/>
      <c r="C272" s="819" t="s">
        <v>18</v>
      </c>
      <c r="D272" s="838" t="s">
        <v>885</v>
      </c>
      <c r="E272" s="810"/>
      <c r="F272" s="810"/>
      <c r="G272" s="810"/>
      <c r="H272" s="835">
        <v>0</v>
      </c>
      <c r="I272" s="835">
        <v>0</v>
      </c>
      <c r="J272" s="835">
        <v>0</v>
      </c>
      <c r="K272" s="835">
        <v>0</v>
      </c>
      <c r="L272" s="835">
        <v>0</v>
      </c>
      <c r="M272" s="835">
        <v>0</v>
      </c>
      <c r="N272" s="835">
        <v>0</v>
      </c>
      <c r="O272" s="835">
        <v>0</v>
      </c>
      <c r="P272" s="835">
        <v>0</v>
      </c>
      <c r="Q272" s="835">
        <v>0</v>
      </c>
      <c r="R272" s="835">
        <v>0</v>
      </c>
      <c r="S272" s="835">
        <v>0</v>
      </c>
      <c r="T272" s="835">
        <v>0</v>
      </c>
    </row>
    <row r="273" spans="1:20" ht="18">
      <c r="A273" s="819" t="s">
        <v>884</v>
      </c>
      <c r="B273" s="819"/>
      <c r="C273" s="819"/>
      <c r="D273" s="819"/>
      <c r="E273" s="810"/>
      <c r="F273" s="810"/>
      <c r="G273" s="810"/>
      <c r="H273" s="835"/>
      <c r="I273" s="835"/>
      <c r="J273" s="835"/>
      <c r="K273" s="835"/>
      <c r="L273" s="835"/>
      <c r="M273" s="835"/>
      <c r="N273" s="835"/>
      <c r="O273" s="835"/>
      <c r="P273" s="835"/>
      <c r="Q273" s="835"/>
      <c r="R273" s="835"/>
      <c r="S273" s="835"/>
      <c r="T273" s="835"/>
    </row>
    <row r="274" spans="1:20" ht="18">
      <c r="A274" s="819"/>
      <c r="B274" s="819" t="s">
        <v>900</v>
      </c>
      <c r="C274" s="819" t="s">
        <v>14</v>
      </c>
      <c r="D274" s="838" t="s">
        <v>885</v>
      </c>
      <c r="E274" s="810"/>
      <c r="F274" s="810"/>
      <c r="G274" s="810"/>
      <c r="H274" s="835">
        <v>2193.0300000000002</v>
      </c>
      <c r="I274" s="835">
        <v>1048.7800000000002</v>
      </c>
      <c r="J274" s="835">
        <v>1670.65</v>
      </c>
      <c r="K274" s="835">
        <v>2073.0099999999998</v>
      </c>
      <c r="L274" s="835">
        <v>4257.82</v>
      </c>
      <c r="M274" s="835">
        <v>5089.74</v>
      </c>
      <c r="N274" s="835">
        <v>5035.42</v>
      </c>
      <c r="O274" s="835">
        <v>2038.5</v>
      </c>
      <c r="P274" s="835">
        <v>6966.88</v>
      </c>
      <c r="Q274" s="835">
        <v>2000.0699999999997</v>
      </c>
      <c r="R274" s="835">
        <v>4952.53</v>
      </c>
      <c r="S274" s="835">
        <v>1449.9800000000005</v>
      </c>
      <c r="T274" s="835">
        <v>38776.410000000003</v>
      </c>
    </row>
    <row r="275" spans="1:20" ht="18">
      <c r="A275" s="819" t="s">
        <v>888</v>
      </c>
      <c r="B275" s="819"/>
      <c r="C275" s="819"/>
      <c r="D275" s="838" t="s">
        <v>885</v>
      </c>
      <c r="E275" s="810"/>
      <c r="F275" s="810"/>
      <c r="G275" s="810"/>
      <c r="H275" s="835"/>
      <c r="I275" s="835"/>
      <c r="J275" s="835"/>
      <c r="K275" s="835"/>
      <c r="L275" s="835"/>
      <c r="M275" s="835"/>
      <c r="N275" s="835"/>
      <c r="O275" s="835"/>
      <c r="P275" s="835"/>
      <c r="Q275" s="835"/>
      <c r="R275" s="835"/>
      <c r="S275" s="835"/>
      <c r="T275" s="835"/>
    </row>
    <row r="276" spans="1:20" ht="18">
      <c r="A276" s="819" t="s">
        <v>888</v>
      </c>
      <c r="B276" s="838"/>
      <c r="C276" s="819" t="s">
        <v>15</v>
      </c>
      <c r="D276" s="838" t="s">
        <v>885</v>
      </c>
      <c r="E276" s="810"/>
      <c r="F276" s="810"/>
      <c r="G276" s="810"/>
      <c r="H276" s="835">
        <v>-323.33</v>
      </c>
      <c r="I276" s="835">
        <v>-380.49999999999994</v>
      </c>
      <c r="J276" s="835">
        <v>-33.539999999999978</v>
      </c>
      <c r="K276" s="835">
        <v>113.90999999999998</v>
      </c>
      <c r="L276" s="835">
        <v>691.56000000000006</v>
      </c>
      <c r="M276" s="835">
        <v>554.08999999999992</v>
      </c>
      <c r="N276" s="835">
        <v>-595.46999999999991</v>
      </c>
      <c r="O276" s="835">
        <v>-316.53000000000009</v>
      </c>
      <c r="P276" s="835">
        <v>496.78999999999996</v>
      </c>
      <c r="Q276" s="835">
        <v>-544.80999999999995</v>
      </c>
      <c r="R276" s="835">
        <v>712.44</v>
      </c>
      <c r="S276" s="835">
        <v>-720.91</v>
      </c>
      <c r="T276" s="835">
        <v>-346.29999999999984</v>
      </c>
    </row>
    <row r="277" spans="1:20" ht="18">
      <c r="A277" s="819" t="s">
        <v>888</v>
      </c>
      <c r="B277" s="838"/>
      <c r="C277" s="819"/>
      <c r="D277" s="838" t="s">
        <v>885</v>
      </c>
      <c r="E277" s="810"/>
      <c r="F277" s="810"/>
      <c r="G277" s="810"/>
      <c r="H277" s="835"/>
      <c r="I277" s="835"/>
      <c r="J277" s="835"/>
      <c r="K277" s="835"/>
      <c r="L277" s="835"/>
      <c r="M277" s="835"/>
      <c r="N277" s="835"/>
      <c r="O277" s="835"/>
      <c r="P277" s="835"/>
      <c r="Q277" s="835"/>
      <c r="R277" s="835"/>
      <c r="S277" s="835"/>
      <c r="T277" s="835"/>
    </row>
    <row r="278" spans="1:20" ht="18">
      <c r="A278" s="819" t="s">
        <v>888</v>
      </c>
      <c r="B278" s="838"/>
      <c r="C278" s="819" t="s">
        <v>16</v>
      </c>
      <c r="D278" s="838" t="s">
        <v>885</v>
      </c>
      <c r="E278" s="810"/>
      <c r="F278" s="810"/>
      <c r="G278" s="810"/>
      <c r="H278" s="837">
        <v>25756.240000000002</v>
      </c>
      <c r="I278" s="837">
        <v>-3945.87</v>
      </c>
      <c r="J278" s="837">
        <v>11330.130000000001</v>
      </c>
      <c r="K278" s="837">
        <v>21317.97</v>
      </c>
      <c r="L278" s="837">
        <v>83713.399999999994</v>
      </c>
      <c r="M278" s="837">
        <v>113139.56000000001</v>
      </c>
      <c r="N278" s="837">
        <v>112700.06</v>
      </c>
      <c r="O278" s="837">
        <v>24356.809999999998</v>
      </c>
      <c r="P278" s="837">
        <v>180600.01</v>
      </c>
      <c r="Q278" s="837">
        <v>25782.440000000006</v>
      </c>
      <c r="R278" s="837">
        <v>120232.36</v>
      </c>
      <c r="S278" s="837">
        <v>8151.4799999999941</v>
      </c>
      <c r="T278" s="837">
        <v>723134.59000000008</v>
      </c>
    </row>
    <row r="279" spans="1:20" ht="18">
      <c r="A279" s="819" t="s">
        <v>888</v>
      </c>
      <c r="B279" s="838"/>
      <c r="C279" s="819" t="s">
        <v>17</v>
      </c>
      <c r="D279" s="838" t="s">
        <v>885</v>
      </c>
      <c r="E279" s="810"/>
      <c r="F279" s="810"/>
      <c r="G279" s="810"/>
      <c r="H279" s="835">
        <v>27625.940000000002</v>
      </c>
      <c r="I279" s="835">
        <v>-3277.5899999999997</v>
      </c>
      <c r="J279" s="835">
        <v>12967.240000000002</v>
      </c>
      <c r="K279" s="835">
        <v>23504.89</v>
      </c>
      <c r="L279" s="835">
        <v>88662.78</v>
      </c>
      <c r="M279" s="835">
        <v>118783.39000000001</v>
      </c>
      <c r="N279" s="835">
        <v>117140.01</v>
      </c>
      <c r="O279" s="835">
        <v>26078.78</v>
      </c>
      <c r="P279" s="835">
        <v>188063.68000000002</v>
      </c>
      <c r="Q279" s="835">
        <v>27237.700000000004</v>
      </c>
      <c r="R279" s="835">
        <v>125897.33</v>
      </c>
      <c r="S279" s="835">
        <v>8880.5499999999938</v>
      </c>
      <c r="T279" s="835">
        <v>761564.70000000007</v>
      </c>
    </row>
    <row r="280" spans="1:20" ht="18">
      <c r="A280" s="819" t="s">
        <v>888</v>
      </c>
      <c r="B280" s="819"/>
      <c r="C280" s="819" t="s">
        <v>886</v>
      </c>
      <c r="D280" s="838" t="s">
        <v>885</v>
      </c>
      <c r="E280" s="810"/>
      <c r="F280" s="810"/>
      <c r="G280" s="810"/>
      <c r="H280" s="835">
        <v>4</v>
      </c>
      <c r="I280" s="835">
        <v>4</v>
      </c>
      <c r="J280" s="835">
        <v>4</v>
      </c>
      <c r="K280" s="835">
        <v>4</v>
      </c>
      <c r="L280" s="835">
        <v>4</v>
      </c>
      <c r="M280" s="835">
        <v>4</v>
      </c>
      <c r="N280" s="835">
        <v>4</v>
      </c>
      <c r="O280" s="835">
        <v>4</v>
      </c>
      <c r="P280" s="835">
        <v>4</v>
      </c>
      <c r="Q280" s="835">
        <v>4</v>
      </c>
      <c r="R280" s="835">
        <v>4</v>
      </c>
      <c r="S280" s="835">
        <v>4</v>
      </c>
      <c r="T280" s="835">
        <v>4</v>
      </c>
    </row>
    <row r="281" spans="1:20" ht="18">
      <c r="A281" s="819" t="s">
        <v>888</v>
      </c>
      <c r="B281" s="838"/>
      <c r="C281" s="819" t="s">
        <v>18</v>
      </c>
      <c r="D281" s="838" t="s">
        <v>885</v>
      </c>
      <c r="E281" s="810"/>
      <c r="F281" s="810"/>
      <c r="G281" s="810"/>
      <c r="H281" s="835">
        <v>2776.4859999999999</v>
      </c>
      <c r="I281" s="835">
        <v>264.1089999999997</v>
      </c>
      <c r="J281" s="835">
        <v>1159.9660000000001</v>
      </c>
      <c r="K281" s="835">
        <v>3019.7569999999996</v>
      </c>
      <c r="L281" s="835">
        <v>9455.7070000000003</v>
      </c>
      <c r="M281" s="835">
        <v>11826.118999999999</v>
      </c>
      <c r="N281" s="835">
        <v>16977.495000000003</v>
      </c>
      <c r="O281" s="835">
        <v>4744.6239999999998</v>
      </c>
      <c r="P281" s="835">
        <v>19082.976999999999</v>
      </c>
      <c r="Q281" s="835">
        <v>4940.8590000000004</v>
      </c>
      <c r="R281" s="835">
        <v>10193.452000000001</v>
      </c>
      <c r="S281" s="835">
        <v>3110.2979999999998</v>
      </c>
      <c r="T281" s="835">
        <v>87551.849000000002</v>
      </c>
    </row>
    <row r="282" spans="1:20" ht="18">
      <c r="A282" s="819" t="s">
        <v>888</v>
      </c>
      <c r="B282" s="819"/>
      <c r="C282" s="819"/>
      <c r="D282" s="819"/>
      <c r="E282" s="810"/>
      <c r="F282" s="810"/>
      <c r="G282" s="810"/>
      <c r="H282" s="835"/>
      <c r="I282" s="835"/>
      <c r="J282" s="835"/>
      <c r="K282" s="835"/>
      <c r="L282" s="835"/>
      <c r="M282" s="835"/>
      <c r="N282" s="835"/>
      <c r="O282" s="835"/>
      <c r="P282" s="835"/>
      <c r="Q282" s="835"/>
      <c r="R282" s="835"/>
      <c r="S282" s="835"/>
      <c r="T282" s="835"/>
    </row>
    <row r="283" spans="1:20" ht="18">
      <c r="A283" s="819"/>
      <c r="B283" s="819" t="s">
        <v>79</v>
      </c>
      <c r="C283" s="819" t="s">
        <v>14</v>
      </c>
      <c r="D283" s="838" t="s">
        <v>885</v>
      </c>
      <c r="E283" s="810"/>
      <c r="F283" s="810"/>
      <c r="G283" s="810"/>
      <c r="H283" s="835">
        <v>0</v>
      </c>
      <c r="I283" s="835">
        <v>0</v>
      </c>
      <c r="J283" s="835">
        <v>0</v>
      </c>
      <c r="K283" s="835">
        <v>0</v>
      </c>
      <c r="L283" s="835">
        <v>0</v>
      </c>
      <c r="M283" s="835">
        <v>0</v>
      </c>
      <c r="N283" s="835">
        <v>0</v>
      </c>
      <c r="O283" s="835">
        <v>0</v>
      </c>
      <c r="P283" s="835">
        <v>0</v>
      </c>
      <c r="Q283" s="835">
        <v>0</v>
      </c>
      <c r="R283" s="835">
        <v>0</v>
      </c>
      <c r="S283" s="835">
        <v>0</v>
      </c>
      <c r="T283" s="835">
        <v>0</v>
      </c>
    </row>
    <row r="284" spans="1:20" ht="18">
      <c r="A284" s="819"/>
      <c r="B284" s="819"/>
      <c r="C284" s="819"/>
      <c r="D284" s="838" t="s">
        <v>885</v>
      </c>
      <c r="E284" s="810"/>
      <c r="F284" s="810"/>
      <c r="G284" s="810"/>
      <c r="H284" s="835"/>
      <c r="I284" s="835"/>
      <c r="J284" s="835"/>
      <c r="K284" s="835"/>
      <c r="L284" s="835"/>
      <c r="M284" s="835"/>
      <c r="N284" s="835"/>
      <c r="O284" s="835"/>
      <c r="P284" s="835"/>
      <c r="Q284" s="835"/>
      <c r="R284" s="835"/>
      <c r="S284" s="835"/>
      <c r="T284" s="835"/>
    </row>
    <row r="285" spans="1:20" ht="18">
      <c r="A285" s="819"/>
      <c r="B285" s="838"/>
      <c r="C285" s="819" t="s">
        <v>15</v>
      </c>
      <c r="D285" s="838" t="s">
        <v>885</v>
      </c>
      <c r="E285" s="810"/>
      <c r="F285" s="810"/>
      <c r="G285" s="810"/>
      <c r="H285" s="835"/>
      <c r="I285" s="835"/>
      <c r="J285" s="835"/>
      <c r="K285" s="835"/>
      <c r="L285" s="835"/>
      <c r="M285" s="835"/>
      <c r="N285" s="835"/>
      <c r="O285" s="835"/>
      <c r="P285" s="835"/>
      <c r="Q285" s="835"/>
      <c r="R285" s="835"/>
      <c r="S285" s="835"/>
      <c r="T285" s="835"/>
    </row>
    <row r="286" spans="1:20" ht="18">
      <c r="A286" s="819"/>
      <c r="B286" s="838"/>
      <c r="C286" s="819"/>
      <c r="D286" s="838" t="s">
        <v>885</v>
      </c>
      <c r="E286" s="810"/>
      <c r="F286" s="810"/>
      <c r="G286" s="810"/>
      <c r="H286" s="835"/>
      <c r="I286" s="835"/>
      <c r="J286" s="835"/>
      <c r="K286" s="835"/>
      <c r="L286" s="835"/>
      <c r="M286" s="835"/>
      <c r="N286" s="835"/>
      <c r="O286" s="835"/>
      <c r="P286" s="835"/>
      <c r="Q286" s="835"/>
      <c r="R286" s="835"/>
      <c r="S286" s="835"/>
      <c r="T286" s="835"/>
    </row>
    <row r="287" spans="1:20" ht="18">
      <c r="A287" s="819"/>
      <c r="B287" s="838"/>
      <c r="C287" s="819" t="s">
        <v>16</v>
      </c>
      <c r="D287" s="838" t="s">
        <v>885</v>
      </c>
      <c r="E287" s="810"/>
      <c r="F287" s="810"/>
      <c r="G287" s="810"/>
      <c r="H287" s="837">
        <v>0</v>
      </c>
      <c r="I287" s="837">
        <v>0</v>
      </c>
      <c r="J287" s="837">
        <v>0</v>
      </c>
      <c r="K287" s="837">
        <v>0</v>
      </c>
      <c r="L287" s="837">
        <v>0</v>
      </c>
      <c r="M287" s="837">
        <v>0</v>
      </c>
      <c r="N287" s="837">
        <v>0</v>
      </c>
      <c r="O287" s="837">
        <v>0</v>
      </c>
      <c r="P287" s="837">
        <v>0</v>
      </c>
      <c r="Q287" s="837">
        <v>0</v>
      </c>
      <c r="R287" s="837">
        <v>0</v>
      </c>
      <c r="S287" s="837">
        <v>0</v>
      </c>
      <c r="T287" s="837">
        <v>0</v>
      </c>
    </row>
    <row r="288" spans="1:20" ht="18">
      <c r="A288" s="819"/>
      <c r="B288" s="838"/>
      <c r="C288" s="819" t="s">
        <v>17</v>
      </c>
      <c r="D288" s="838" t="s">
        <v>885</v>
      </c>
      <c r="E288" s="810"/>
      <c r="F288" s="810"/>
      <c r="G288" s="810"/>
      <c r="H288" s="835">
        <v>0</v>
      </c>
      <c r="I288" s="835">
        <v>0</v>
      </c>
      <c r="J288" s="835">
        <v>0</v>
      </c>
      <c r="K288" s="835">
        <v>0</v>
      </c>
      <c r="L288" s="835">
        <v>0</v>
      </c>
      <c r="M288" s="835">
        <v>0</v>
      </c>
      <c r="N288" s="835">
        <v>0</v>
      </c>
      <c r="O288" s="835">
        <v>0</v>
      </c>
      <c r="P288" s="835">
        <v>0</v>
      </c>
      <c r="Q288" s="835">
        <v>0</v>
      </c>
      <c r="R288" s="835">
        <v>0</v>
      </c>
      <c r="S288" s="835">
        <v>0</v>
      </c>
      <c r="T288" s="835">
        <v>0</v>
      </c>
    </row>
    <row r="289" spans="1:20" ht="18">
      <c r="A289" s="819"/>
      <c r="B289" s="819"/>
      <c r="C289" s="819" t="s">
        <v>886</v>
      </c>
      <c r="D289" s="838" t="s">
        <v>885</v>
      </c>
      <c r="E289" s="810"/>
      <c r="F289" s="810"/>
      <c r="G289" s="810"/>
      <c r="H289" s="835">
        <v>0</v>
      </c>
      <c r="I289" s="835">
        <v>0</v>
      </c>
      <c r="J289" s="835">
        <v>0</v>
      </c>
      <c r="K289" s="835">
        <v>0</v>
      </c>
      <c r="L289" s="835">
        <v>0</v>
      </c>
      <c r="M289" s="835">
        <v>0</v>
      </c>
      <c r="N289" s="835">
        <v>0</v>
      </c>
      <c r="O289" s="835">
        <v>0</v>
      </c>
      <c r="P289" s="835">
        <v>0</v>
      </c>
      <c r="Q289" s="835">
        <v>0</v>
      </c>
      <c r="R289" s="835">
        <v>0</v>
      </c>
      <c r="S289" s="835">
        <v>0</v>
      </c>
      <c r="T289" s="835">
        <v>0</v>
      </c>
    </row>
    <row r="290" spans="1:20" ht="18">
      <c r="A290" s="819"/>
      <c r="B290" s="819"/>
      <c r="C290" s="819" t="s">
        <v>18</v>
      </c>
      <c r="D290" s="838" t="s">
        <v>885</v>
      </c>
      <c r="E290" s="810"/>
      <c r="F290" s="810"/>
      <c r="G290" s="810"/>
      <c r="H290" s="835">
        <v>0</v>
      </c>
      <c r="I290" s="835">
        <v>0</v>
      </c>
      <c r="J290" s="835">
        <v>0</v>
      </c>
      <c r="K290" s="835">
        <v>0</v>
      </c>
      <c r="L290" s="835">
        <v>0</v>
      </c>
      <c r="M290" s="835">
        <v>0</v>
      </c>
      <c r="N290" s="835">
        <v>0</v>
      </c>
      <c r="O290" s="835">
        <v>0</v>
      </c>
      <c r="P290" s="835">
        <v>0</v>
      </c>
      <c r="Q290" s="835">
        <v>0</v>
      </c>
      <c r="R290" s="835">
        <v>0</v>
      </c>
      <c r="S290" s="835">
        <v>0</v>
      </c>
      <c r="T290" s="835">
        <v>0</v>
      </c>
    </row>
    <row r="291" spans="1:20" ht="18">
      <c r="A291" s="819"/>
      <c r="B291" s="819"/>
      <c r="C291" s="819"/>
      <c r="D291" s="819"/>
      <c r="E291" s="810"/>
      <c r="F291" s="810"/>
      <c r="G291" s="810"/>
      <c r="H291" s="835"/>
      <c r="I291" s="835"/>
      <c r="J291" s="835"/>
      <c r="K291" s="835"/>
      <c r="L291" s="835"/>
      <c r="M291" s="835"/>
      <c r="N291" s="835"/>
      <c r="O291" s="835"/>
      <c r="P291" s="835"/>
      <c r="Q291" s="835"/>
      <c r="R291" s="835"/>
      <c r="S291" s="835"/>
      <c r="T291" s="835"/>
    </row>
    <row r="292" spans="1:20" ht="18">
      <c r="A292" s="819"/>
      <c r="B292" s="819" t="s">
        <v>24</v>
      </c>
      <c r="C292" s="819" t="s">
        <v>14</v>
      </c>
      <c r="D292" s="838" t="s">
        <v>885</v>
      </c>
      <c r="E292" s="810"/>
      <c r="F292" s="810"/>
      <c r="G292" s="810"/>
      <c r="H292" s="835">
        <v>0</v>
      </c>
      <c r="I292" s="835">
        <v>0</v>
      </c>
      <c r="J292" s="835">
        <v>0</v>
      </c>
      <c r="K292" s="835">
        <v>0</v>
      </c>
      <c r="L292" s="835">
        <v>0</v>
      </c>
      <c r="M292" s="835">
        <v>0</v>
      </c>
      <c r="N292" s="835">
        <v>0</v>
      </c>
      <c r="O292" s="835">
        <v>0</v>
      </c>
      <c r="P292" s="835">
        <v>0</v>
      </c>
      <c r="Q292" s="835">
        <v>0</v>
      </c>
      <c r="R292" s="835">
        <v>0</v>
      </c>
      <c r="S292" s="835">
        <v>0</v>
      </c>
      <c r="T292" s="835">
        <v>0</v>
      </c>
    </row>
    <row r="293" spans="1:20" ht="18">
      <c r="A293" s="819"/>
      <c r="B293" s="819" t="s">
        <v>637</v>
      </c>
      <c r="C293" s="819" t="s">
        <v>417</v>
      </c>
      <c r="D293" s="838" t="s">
        <v>885</v>
      </c>
      <c r="E293" s="810"/>
      <c r="F293" s="810"/>
      <c r="G293" s="810"/>
      <c r="H293" s="835"/>
      <c r="I293" s="835"/>
      <c r="J293" s="835"/>
      <c r="K293" s="835"/>
      <c r="L293" s="835"/>
      <c r="M293" s="835"/>
      <c r="N293" s="835"/>
      <c r="O293" s="835"/>
      <c r="P293" s="835"/>
      <c r="Q293" s="835"/>
      <c r="R293" s="835"/>
      <c r="S293" s="835"/>
      <c r="T293" s="835"/>
    </row>
    <row r="294" spans="1:20" ht="18">
      <c r="A294" s="819"/>
      <c r="B294" s="838"/>
      <c r="C294" s="838"/>
      <c r="D294" s="838" t="s">
        <v>885</v>
      </c>
      <c r="E294" s="810"/>
      <c r="F294" s="810"/>
      <c r="G294" s="810"/>
      <c r="H294" s="835"/>
      <c r="I294" s="835"/>
      <c r="J294" s="835"/>
      <c r="K294" s="835"/>
      <c r="L294" s="835"/>
      <c r="M294" s="835"/>
      <c r="N294" s="835"/>
      <c r="O294" s="835"/>
      <c r="P294" s="835"/>
      <c r="Q294" s="835"/>
      <c r="R294" s="835"/>
      <c r="S294" s="835"/>
      <c r="T294" s="835"/>
    </row>
    <row r="295" spans="1:20" ht="18">
      <c r="A295" s="819"/>
      <c r="B295" s="838"/>
      <c r="C295" s="838"/>
      <c r="D295" s="838" t="s">
        <v>885</v>
      </c>
      <c r="E295" s="810"/>
      <c r="F295" s="810"/>
      <c r="G295" s="810"/>
      <c r="H295" s="835"/>
      <c r="I295" s="835"/>
      <c r="J295" s="835"/>
      <c r="K295" s="835"/>
      <c r="L295" s="835"/>
      <c r="M295" s="835"/>
      <c r="N295" s="835"/>
      <c r="O295" s="835"/>
      <c r="P295" s="835"/>
      <c r="Q295" s="835"/>
      <c r="R295" s="835"/>
      <c r="S295" s="835"/>
      <c r="T295" s="835"/>
    </row>
    <row r="296" spans="1:20" ht="18">
      <c r="A296" s="819"/>
      <c r="B296" s="838"/>
      <c r="C296" s="838" t="s">
        <v>16</v>
      </c>
      <c r="D296" s="838" t="s">
        <v>885</v>
      </c>
      <c r="E296" s="810"/>
      <c r="F296" s="810"/>
      <c r="G296" s="810"/>
      <c r="H296" s="837"/>
      <c r="I296" s="837"/>
      <c r="J296" s="837"/>
      <c r="K296" s="837"/>
      <c r="L296" s="837"/>
      <c r="M296" s="837"/>
      <c r="N296" s="837"/>
      <c r="O296" s="837"/>
      <c r="P296" s="837"/>
      <c r="Q296" s="837"/>
      <c r="R296" s="837"/>
      <c r="S296" s="837"/>
      <c r="T296" s="837">
        <v>0</v>
      </c>
    </row>
    <row r="297" spans="1:20" ht="18">
      <c r="A297" s="819"/>
      <c r="B297" s="838"/>
      <c r="C297" s="838" t="s">
        <v>17</v>
      </c>
      <c r="D297" s="838" t="s">
        <v>885</v>
      </c>
      <c r="E297" s="810"/>
      <c r="F297" s="810"/>
      <c r="G297" s="810"/>
      <c r="H297" s="835">
        <v>0</v>
      </c>
      <c r="I297" s="835">
        <v>0</v>
      </c>
      <c r="J297" s="835">
        <v>0</v>
      </c>
      <c r="K297" s="835">
        <v>0</v>
      </c>
      <c r="L297" s="835">
        <v>0</v>
      </c>
      <c r="M297" s="835">
        <v>0</v>
      </c>
      <c r="N297" s="835">
        <v>0</v>
      </c>
      <c r="O297" s="835">
        <v>0</v>
      </c>
      <c r="P297" s="835">
        <v>0</v>
      </c>
      <c r="Q297" s="835">
        <v>0</v>
      </c>
      <c r="R297" s="835">
        <v>0</v>
      </c>
      <c r="S297" s="835">
        <v>0</v>
      </c>
      <c r="T297" s="835">
        <v>0</v>
      </c>
    </row>
    <row r="298" spans="1:20" ht="18">
      <c r="A298" s="819"/>
      <c r="B298" s="819"/>
      <c r="C298" s="819" t="s">
        <v>886</v>
      </c>
      <c r="D298" s="838" t="s">
        <v>885</v>
      </c>
      <c r="E298" s="810"/>
      <c r="F298" s="810"/>
      <c r="G298" s="810"/>
      <c r="H298" s="835">
        <v>0</v>
      </c>
      <c r="I298" s="835">
        <v>0</v>
      </c>
      <c r="J298" s="835">
        <v>0</v>
      </c>
      <c r="K298" s="835">
        <v>0</v>
      </c>
      <c r="L298" s="835">
        <v>0</v>
      </c>
      <c r="M298" s="835">
        <v>0</v>
      </c>
      <c r="N298" s="835">
        <v>0</v>
      </c>
      <c r="O298" s="835">
        <v>0</v>
      </c>
      <c r="P298" s="835">
        <v>0</v>
      </c>
      <c r="Q298" s="835">
        <v>0</v>
      </c>
      <c r="R298" s="835">
        <v>0</v>
      </c>
      <c r="S298" s="835">
        <v>0</v>
      </c>
      <c r="T298" s="835">
        <v>0</v>
      </c>
    </row>
    <row r="299" spans="1:20" ht="18">
      <c r="A299" s="819"/>
      <c r="B299" s="819"/>
      <c r="C299" s="838" t="s">
        <v>18</v>
      </c>
      <c r="D299" s="838" t="s">
        <v>885</v>
      </c>
      <c r="E299" s="810"/>
      <c r="F299" s="810"/>
      <c r="G299" s="810"/>
      <c r="H299" s="835">
        <v>0</v>
      </c>
      <c r="I299" s="835">
        <v>0</v>
      </c>
      <c r="J299" s="835">
        <v>0</v>
      </c>
      <c r="K299" s="835">
        <v>0</v>
      </c>
      <c r="L299" s="835">
        <v>0</v>
      </c>
      <c r="M299" s="835">
        <v>0</v>
      </c>
      <c r="N299" s="835">
        <v>0</v>
      </c>
      <c r="O299" s="835">
        <v>0</v>
      </c>
      <c r="P299" s="835">
        <v>0</v>
      </c>
      <c r="Q299" s="835">
        <v>0</v>
      </c>
      <c r="R299" s="835">
        <v>0</v>
      </c>
      <c r="S299" s="835">
        <v>0</v>
      </c>
      <c r="T299" s="835">
        <v>0</v>
      </c>
    </row>
    <row r="300" spans="1:20" ht="18">
      <c r="A300" s="819"/>
      <c r="B300" s="810"/>
      <c r="C300" s="838"/>
      <c r="D300" s="838"/>
      <c r="E300" s="810"/>
      <c r="F300" s="810"/>
      <c r="G300" s="810"/>
      <c r="H300" s="835"/>
      <c r="I300" s="835"/>
      <c r="J300" s="835"/>
      <c r="K300" s="835"/>
      <c r="L300" s="835"/>
      <c r="M300" s="835"/>
      <c r="N300" s="835"/>
      <c r="O300" s="835"/>
      <c r="P300" s="835"/>
      <c r="Q300" s="835"/>
      <c r="R300" s="835"/>
      <c r="S300" s="835"/>
      <c r="T300" s="835"/>
    </row>
    <row r="301" spans="1:20" ht="18">
      <c r="A301" s="819" t="s">
        <v>892</v>
      </c>
      <c r="B301" s="819" t="s">
        <v>901</v>
      </c>
      <c r="C301" s="819" t="s">
        <v>14</v>
      </c>
      <c r="D301" s="838" t="s">
        <v>894</v>
      </c>
      <c r="E301" s="810"/>
      <c r="F301" s="810"/>
      <c r="G301" s="810"/>
      <c r="H301" s="835">
        <v>5373.1500000000005</v>
      </c>
      <c r="I301" s="835">
        <v>5372.97</v>
      </c>
      <c r="J301" s="835">
        <v>5691.079999999999</v>
      </c>
      <c r="K301" s="835">
        <v>6188.5700000000006</v>
      </c>
      <c r="L301" s="835">
        <v>6782.32</v>
      </c>
      <c r="M301" s="835">
        <v>7125.53</v>
      </c>
      <c r="N301" s="835">
        <v>7253.79</v>
      </c>
      <c r="O301" s="835">
        <v>7201.76</v>
      </c>
      <c r="P301" s="835">
        <v>6955.74</v>
      </c>
      <c r="Q301" s="835">
        <v>6264.08</v>
      </c>
      <c r="R301" s="835">
        <v>5851.67</v>
      </c>
      <c r="S301" s="835">
        <v>5624.6</v>
      </c>
      <c r="T301" s="835">
        <v>75685.260000000009</v>
      </c>
    </row>
    <row r="302" spans="1:20" ht="18">
      <c r="A302" s="819" t="s">
        <v>892</v>
      </c>
      <c r="B302" s="838"/>
      <c r="C302" s="819"/>
      <c r="D302" s="838" t="s">
        <v>894</v>
      </c>
      <c r="E302" s="810"/>
      <c r="F302" s="810"/>
      <c r="G302" s="810"/>
      <c r="H302" s="835"/>
      <c r="I302" s="835"/>
      <c r="J302" s="835"/>
      <c r="K302" s="835"/>
      <c r="L302" s="835"/>
      <c r="M302" s="835"/>
      <c r="N302" s="835"/>
      <c r="O302" s="835"/>
      <c r="P302" s="835"/>
      <c r="Q302" s="835"/>
      <c r="R302" s="835"/>
      <c r="S302" s="835"/>
      <c r="T302" s="835"/>
    </row>
    <row r="303" spans="1:20" ht="18">
      <c r="A303" s="819" t="s">
        <v>892</v>
      </c>
      <c r="B303" s="838"/>
      <c r="C303" s="819" t="s">
        <v>15</v>
      </c>
      <c r="D303" s="838" t="s">
        <v>894</v>
      </c>
      <c r="E303" s="810"/>
      <c r="F303" s="810"/>
      <c r="G303" s="810"/>
      <c r="H303" s="835"/>
      <c r="I303" s="835"/>
      <c r="J303" s="835"/>
      <c r="K303" s="835"/>
      <c r="L303" s="835"/>
      <c r="M303" s="835"/>
      <c r="N303" s="835"/>
      <c r="O303" s="835"/>
      <c r="P303" s="835"/>
      <c r="Q303" s="835"/>
      <c r="R303" s="835"/>
      <c r="S303" s="835"/>
      <c r="T303" s="835"/>
    </row>
    <row r="304" spans="1:20" ht="18">
      <c r="A304" s="819" t="s">
        <v>892</v>
      </c>
      <c r="B304" s="838"/>
      <c r="C304" s="819"/>
      <c r="D304" s="838" t="s">
        <v>894</v>
      </c>
      <c r="E304" s="810"/>
      <c r="F304" s="810"/>
      <c r="G304" s="810"/>
      <c r="H304" s="835"/>
      <c r="I304" s="835"/>
      <c r="J304" s="835"/>
      <c r="K304" s="835"/>
      <c r="L304" s="835"/>
      <c r="M304" s="835"/>
      <c r="N304" s="835"/>
      <c r="O304" s="835"/>
      <c r="P304" s="835"/>
      <c r="Q304" s="835"/>
      <c r="R304" s="835"/>
      <c r="S304" s="835"/>
      <c r="T304" s="835"/>
    </row>
    <row r="305" spans="1:20" ht="18">
      <c r="A305" s="819" t="s">
        <v>892</v>
      </c>
      <c r="B305" s="838"/>
      <c r="C305" s="819" t="s">
        <v>16</v>
      </c>
      <c r="D305" s="838" t="s">
        <v>894</v>
      </c>
      <c r="E305" s="810"/>
      <c r="F305" s="810"/>
      <c r="G305" s="810"/>
      <c r="H305" s="837"/>
      <c r="I305" s="837"/>
      <c r="J305" s="837"/>
      <c r="K305" s="837"/>
      <c r="L305" s="837"/>
      <c r="M305" s="837"/>
      <c r="N305" s="837"/>
      <c r="O305" s="837"/>
      <c r="P305" s="837"/>
      <c r="Q305" s="837"/>
      <c r="R305" s="837"/>
      <c r="S305" s="837"/>
      <c r="T305" s="837">
        <v>0</v>
      </c>
    </row>
    <row r="306" spans="1:20" ht="18">
      <c r="A306" s="819" t="s">
        <v>892</v>
      </c>
      <c r="B306" s="819"/>
      <c r="C306" s="819" t="s">
        <v>17</v>
      </c>
      <c r="D306" s="838" t="s">
        <v>894</v>
      </c>
      <c r="E306" s="810"/>
      <c r="F306" s="810"/>
      <c r="G306" s="810"/>
      <c r="H306" s="835">
        <v>5373.1500000000005</v>
      </c>
      <c r="I306" s="835">
        <v>5372.97</v>
      </c>
      <c r="J306" s="835">
        <v>5691.079999999999</v>
      </c>
      <c r="K306" s="835">
        <v>6188.5700000000006</v>
      </c>
      <c r="L306" s="835">
        <v>6782.32</v>
      </c>
      <c r="M306" s="835">
        <v>7125.53</v>
      </c>
      <c r="N306" s="835">
        <v>7253.79</v>
      </c>
      <c r="O306" s="835">
        <v>7201.76</v>
      </c>
      <c r="P306" s="835">
        <v>6955.74</v>
      </c>
      <c r="Q306" s="835">
        <v>6264.08</v>
      </c>
      <c r="R306" s="835">
        <v>5851.67</v>
      </c>
      <c r="S306" s="835">
        <v>5624.6</v>
      </c>
      <c r="T306" s="835">
        <v>75685.260000000009</v>
      </c>
    </row>
    <row r="307" spans="1:20" ht="18">
      <c r="A307" s="819" t="s">
        <v>892</v>
      </c>
      <c r="B307" s="819"/>
      <c r="C307" s="819" t="s">
        <v>886</v>
      </c>
      <c r="D307" s="838" t="s">
        <v>894</v>
      </c>
      <c r="E307" s="810"/>
      <c r="F307" s="810"/>
      <c r="G307" s="810"/>
      <c r="H307" s="835">
        <v>3</v>
      </c>
      <c r="I307" s="835">
        <v>3</v>
      </c>
      <c r="J307" s="835">
        <v>3</v>
      </c>
      <c r="K307" s="835">
        <v>3</v>
      </c>
      <c r="L307" s="835">
        <v>3</v>
      </c>
      <c r="M307" s="835">
        <v>3</v>
      </c>
      <c r="N307" s="835">
        <v>3</v>
      </c>
      <c r="O307" s="835">
        <v>3</v>
      </c>
      <c r="P307" s="835">
        <v>3</v>
      </c>
      <c r="Q307" s="835">
        <v>3</v>
      </c>
      <c r="R307" s="835">
        <v>3</v>
      </c>
      <c r="S307" s="835">
        <v>3</v>
      </c>
      <c r="T307" s="835">
        <v>3</v>
      </c>
    </row>
    <row r="308" spans="1:20" ht="18">
      <c r="A308" s="819" t="s">
        <v>892</v>
      </c>
      <c r="B308" s="819"/>
      <c r="C308" s="819" t="s">
        <v>18</v>
      </c>
      <c r="D308" s="838" t="s">
        <v>894</v>
      </c>
      <c r="E308" s="810"/>
      <c r="F308" s="810"/>
      <c r="G308" s="810"/>
      <c r="H308" s="835">
        <v>10175</v>
      </c>
      <c r="I308" s="835">
        <v>10174</v>
      </c>
      <c r="J308" s="835">
        <v>11935</v>
      </c>
      <c r="K308" s="835">
        <v>14689</v>
      </c>
      <c r="L308" s="835">
        <v>17976</v>
      </c>
      <c r="M308" s="835">
        <v>19876</v>
      </c>
      <c r="N308" s="835">
        <v>20586</v>
      </c>
      <c r="O308" s="835">
        <v>20298</v>
      </c>
      <c r="P308" s="835">
        <v>18936</v>
      </c>
      <c r="Q308" s="835">
        <v>15107</v>
      </c>
      <c r="R308" s="835">
        <v>12824</v>
      </c>
      <c r="S308" s="835">
        <v>11567</v>
      </c>
      <c r="T308" s="835">
        <v>184143</v>
      </c>
    </row>
    <row r="309" spans="1:20" ht="18">
      <c r="A309" s="819" t="s">
        <v>892</v>
      </c>
      <c r="B309" s="810"/>
      <c r="C309" s="838"/>
      <c r="D309" s="838"/>
      <c r="E309" s="810"/>
      <c r="F309" s="810"/>
      <c r="G309" s="810"/>
      <c r="H309" s="835"/>
      <c r="I309" s="835"/>
      <c r="J309" s="835"/>
      <c r="K309" s="835"/>
      <c r="L309" s="835"/>
      <c r="M309" s="835"/>
      <c r="N309" s="835"/>
      <c r="O309" s="835"/>
      <c r="P309" s="835"/>
      <c r="Q309" s="835"/>
      <c r="R309" s="835"/>
      <c r="S309" s="835"/>
      <c r="T309" s="835"/>
    </row>
    <row r="310" spans="1:20" ht="18">
      <c r="A310" s="819" t="s">
        <v>892</v>
      </c>
      <c r="B310" s="819" t="s">
        <v>902</v>
      </c>
      <c r="C310" s="819" t="s">
        <v>14</v>
      </c>
      <c r="D310" s="838" t="s">
        <v>894</v>
      </c>
      <c r="E310" s="810"/>
      <c r="F310" s="810"/>
      <c r="G310" s="810"/>
      <c r="H310" s="835">
        <v>783.11000000000013</v>
      </c>
      <c r="I310" s="835">
        <v>772.01</v>
      </c>
      <c r="J310" s="835">
        <v>3747.35</v>
      </c>
      <c r="K310" s="835">
        <v>1474.14</v>
      </c>
      <c r="L310" s="835">
        <v>2394.52</v>
      </c>
      <c r="M310" s="835">
        <v>3054.67</v>
      </c>
      <c r="N310" s="835">
        <v>2313.46</v>
      </c>
      <c r="O310" s="835">
        <v>3339.3199999999997</v>
      </c>
      <c r="P310" s="835">
        <v>3189.15</v>
      </c>
      <c r="Q310" s="835">
        <v>1062.2599999999998</v>
      </c>
      <c r="R310" s="835">
        <v>1029.1399999999999</v>
      </c>
      <c r="S310" s="835">
        <v>703.63</v>
      </c>
      <c r="T310" s="835">
        <v>23862.760000000002</v>
      </c>
    </row>
    <row r="311" spans="1:20" ht="18">
      <c r="A311" s="819" t="s">
        <v>892</v>
      </c>
      <c r="B311" s="819" t="s">
        <v>638</v>
      </c>
      <c r="C311" s="819"/>
      <c r="D311" s="838" t="s">
        <v>894</v>
      </c>
      <c r="E311" s="810"/>
      <c r="F311" s="810"/>
      <c r="G311" s="810"/>
      <c r="H311" s="835"/>
      <c r="I311" s="835"/>
      <c r="J311" s="835"/>
      <c r="K311" s="835"/>
      <c r="L311" s="835"/>
      <c r="M311" s="835"/>
      <c r="N311" s="835"/>
      <c r="O311" s="835"/>
      <c r="P311" s="835"/>
      <c r="Q311" s="835"/>
      <c r="R311" s="835"/>
      <c r="S311" s="835"/>
      <c r="T311" s="835"/>
    </row>
    <row r="312" spans="1:20" ht="18">
      <c r="A312" s="819" t="s">
        <v>892</v>
      </c>
      <c r="B312" s="838"/>
      <c r="C312" s="819" t="s">
        <v>15</v>
      </c>
      <c r="D312" s="838" t="s">
        <v>894</v>
      </c>
      <c r="E312" s="810"/>
      <c r="F312" s="810"/>
      <c r="G312" s="810"/>
      <c r="H312" s="835"/>
      <c r="I312" s="835"/>
      <c r="J312" s="835"/>
      <c r="K312" s="835"/>
      <c r="L312" s="835"/>
      <c r="M312" s="835"/>
      <c r="N312" s="835"/>
      <c r="O312" s="835"/>
      <c r="P312" s="835"/>
      <c r="Q312" s="835"/>
      <c r="R312" s="835"/>
      <c r="S312" s="835"/>
      <c r="T312" s="835"/>
    </row>
    <row r="313" spans="1:20" ht="18">
      <c r="A313" s="819" t="s">
        <v>892</v>
      </c>
      <c r="B313" s="838"/>
      <c r="C313" s="819"/>
      <c r="D313" s="838" t="s">
        <v>894</v>
      </c>
      <c r="E313" s="810"/>
      <c r="F313" s="810"/>
      <c r="G313" s="810"/>
      <c r="H313" s="835"/>
      <c r="I313" s="835"/>
      <c r="J313" s="835"/>
      <c r="K313" s="835"/>
      <c r="L313" s="835"/>
      <c r="M313" s="835"/>
      <c r="N313" s="835"/>
      <c r="O313" s="835"/>
      <c r="P313" s="835"/>
      <c r="Q313" s="835"/>
      <c r="R313" s="835"/>
      <c r="S313" s="835"/>
      <c r="T313" s="835"/>
    </row>
    <row r="314" spans="1:20" ht="18">
      <c r="A314" s="819" t="s">
        <v>892</v>
      </c>
      <c r="B314" s="838"/>
      <c r="C314" s="819" t="s">
        <v>16</v>
      </c>
      <c r="D314" s="838" t="s">
        <v>894</v>
      </c>
      <c r="E314" s="810"/>
      <c r="F314" s="810"/>
      <c r="G314" s="810"/>
      <c r="H314" s="837"/>
      <c r="I314" s="837"/>
      <c r="J314" s="837"/>
      <c r="K314" s="837"/>
      <c r="L314" s="837"/>
      <c r="M314" s="837"/>
      <c r="N314" s="837"/>
      <c r="O314" s="837"/>
      <c r="P314" s="837"/>
      <c r="Q314" s="837"/>
      <c r="R314" s="837"/>
      <c r="S314" s="837"/>
      <c r="T314" s="837">
        <v>0</v>
      </c>
    </row>
    <row r="315" spans="1:20" ht="18">
      <c r="A315" s="819" t="s">
        <v>892</v>
      </c>
      <c r="B315" s="819"/>
      <c r="C315" s="819" t="s">
        <v>17</v>
      </c>
      <c r="D315" s="838" t="s">
        <v>894</v>
      </c>
      <c r="E315" s="810"/>
      <c r="F315" s="810"/>
      <c r="G315" s="810"/>
      <c r="H315" s="835">
        <v>783.11000000000013</v>
      </c>
      <c r="I315" s="835">
        <v>772.01</v>
      </c>
      <c r="J315" s="835">
        <v>3747.35</v>
      </c>
      <c r="K315" s="835">
        <v>1474.14</v>
      </c>
      <c r="L315" s="835">
        <v>2394.52</v>
      </c>
      <c r="M315" s="835">
        <v>3054.67</v>
      </c>
      <c r="N315" s="835">
        <v>2313.46</v>
      </c>
      <c r="O315" s="835">
        <v>3339.3199999999997</v>
      </c>
      <c r="P315" s="835">
        <v>3189.15</v>
      </c>
      <c r="Q315" s="835">
        <v>1062.2599999999998</v>
      </c>
      <c r="R315" s="835">
        <v>1029.1399999999999</v>
      </c>
      <c r="S315" s="835">
        <v>703.63</v>
      </c>
      <c r="T315" s="835">
        <v>23862.760000000002</v>
      </c>
    </row>
    <row r="316" spans="1:20" ht="18">
      <c r="A316" s="819" t="s">
        <v>892</v>
      </c>
      <c r="B316" s="819"/>
      <c r="C316" s="819" t="s">
        <v>886</v>
      </c>
      <c r="D316" s="838" t="s">
        <v>894</v>
      </c>
      <c r="E316" s="810"/>
      <c r="F316" s="810"/>
      <c r="G316" s="810"/>
      <c r="H316" s="835">
        <v>2</v>
      </c>
      <c r="I316" s="835">
        <v>2</v>
      </c>
      <c r="J316" s="835">
        <v>2</v>
      </c>
      <c r="K316" s="835">
        <v>2</v>
      </c>
      <c r="L316" s="835">
        <v>2</v>
      </c>
      <c r="M316" s="835">
        <v>2</v>
      </c>
      <c r="N316" s="835">
        <v>2</v>
      </c>
      <c r="O316" s="835">
        <v>2</v>
      </c>
      <c r="P316" s="835">
        <v>2</v>
      </c>
      <c r="Q316" s="835">
        <v>2</v>
      </c>
      <c r="R316" s="835">
        <v>2</v>
      </c>
      <c r="S316" s="835">
        <v>2</v>
      </c>
      <c r="T316" s="835">
        <v>2</v>
      </c>
    </row>
    <row r="317" spans="1:20" ht="18">
      <c r="A317" s="819" t="s">
        <v>892</v>
      </c>
      <c r="B317" s="838"/>
      <c r="C317" s="819" t="s">
        <v>18</v>
      </c>
      <c r="D317" s="838" t="s">
        <v>894</v>
      </c>
      <c r="E317" s="810"/>
      <c r="F317" s="810"/>
      <c r="G317" s="810"/>
      <c r="H317" s="835">
        <v>7719</v>
      </c>
      <c r="I317" s="835">
        <v>7682</v>
      </c>
      <c r="J317" s="835">
        <v>65238</v>
      </c>
      <c r="K317" s="835">
        <v>15371</v>
      </c>
      <c r="L317" s="835">
        <v>24523</v>
      </c>
      <c r="M317" s="835">
        <v>32699</v>
      </c>
      <c r="N317" s="835">
        <v>20594</v>
      </c>
      <c r="O317" s="835">
        <v>39405</v>
      </c>
      <c r="P317" s="835">
        <v>37977</v>
      </c>
      <c r="Q317" s="835">
        <v>12774</v>
      </c>
      <c r="R317" s="835">
        <v>13514</v>
      </c>
      <c r="S317" s="835">
        <v>8804</v>
      </c>
      <c r="T317" s="835">
        <v>286300</v>
      </c>
    </row>
    <row r="318" spans="1:20" ht="18">
      <c r="A318" s="819" t="s">
        <v>892</v>
      </c>
      <c r="B318" s="838"/>
      <c r="C318" s="819"/>
      <c r="D318" s="819"/>
      <c r="E318" s="810"/>
      <c r="F318" s="810"/>
      <c r="G318" s="810"/>
      <c r="H318" s="835"/>
      <c r="I318" s="835"/>
      <c r="J318" s="835"/>
      <c r="K318" s="835"/>
      <c r="L318" s="835"/>
      <c r="M318" s="835"/>
      <c r="N318" s="835"/>
      <c r="O318" s="835"/>
      <c r="P318" s="835"/>
      <c r="Q318" s="835"/>
      <c r="R318" s="835"/>
      <c r="S318" s="835"/>
      <c r="T318" s="835"/>
    </row>
    <row r="319" spans="1:20" ht="18">
      <c r="A319" s="819"/>
      <c r="B319" s="838" t="s">
        <v>634</v>
      </c>
      <c r="C319" s="838" t="s">
        <v>14</v>
      </c>
      <c r="D319" s="838" t="s">
        <v>885</v>
      </c>
      <c r="E319" s="810"/>
      <c r="F319" s="810"/>
      <c r="G319" s="810"/>
      <c r="H319" s="835">
        <v>-861.41999999999825</v>
      </c>
      <c r="I319" s="835">
        <v>-15165.71</v>
      </c>
      <c r="J319" s="835">
        <v>18445.770000000004</v>
      </c>
      <c r="K319" s="835">
        <v>60126.299999999988</v>
      </c>
      <c r="L319" s="835">
        <v>-80383.070000000007</v>
      </c>
      <c r="M319" s="835">
        <v>-145878.96000000002</v>
      </c>
      <c r="N319" s="835">
        <v>-115314.30000000005</v>
      </c>
      <c r="O319" s="835">
        <v>137228.27999999997</v>
      </c>
      <c r="P319" s="835">
        <v>57389.860000000044</v>
      </c>
      <c r="Q319" s="835">
        <v>75119.949999999983</v>
      </c>
      <c r="R319" s="835">
        <v>21153.649999999994</v>
      </c>
      <c r="S319" s="835">
        <v>5848.4599999999919</v>
      </c>
      <c r="T319" s="835">
        <v>17708.80999999991</v>
      </c>
    </row>
    <row r="320" spans="1:20" ht="18">
      <c r="A320" s="819"/>
      <c r="B320" s="838" t="s">
        <v>103</v>
      </c>
      <c r="C320" s="819" t="s">
        <v>14</v>
      </c>
      <c r="D320" s="819" t="s">
        <v>885</v>
      </c>
      <c r="E320" s="810"/>
      <c r="F320" s="810"/>
      <c r="G320" s="810"/>
      <c r="H320" s="835">
        <v>2695.7999999999997</v>
      </c>
      <c r="I320" s="835">
        <v>2174.7700000000004</v>
      </c>
      <c r="J320" s="835">
        <v>3161.6000000000004</v>
      </c>
      <c r="K320" s="835">
        <v>8293.3499999999985</v>
      </c>
      <c r="L320" s="835">
        <v>12932.639999999998</v>
      </c>
      <c r="M320" s="835">
        <v>18281.620000000003</v>
      </c>
      <c r="N320" s="835">
        <v>17816.52</v>
      </c>
      <c r="O320" s="835">
        <v>12652.57</v>
      </c>
      <c r="P320" s="835">
        <v>11493.869999999986</v>
      </c>
      <c r="Q320" s="835">
        <v>8926.3000000000011</v>
      </c>
      <c r="R320" s="835">
        <v>6006.8799999999992</v>
      </c>
      <c r="S320" s="835">
        <v>2695.3500000000017</v>
      </c>
      <c r="T320" s="835">
        <v>107131.26999999999</v>
      </c>
    </row>
    <row r="321" spans="1:21" ht="18">
      <c r="A321" s="819"/>
      <c r="B321" s="838" t="s">
        <v>495</v>
      </c>
      <c r="C321" s="838"/>
      <c r="D321" s="838"/>
      <c r="E321" s="810"/>
      <c r="F321" s="810"/>
      <c r="G321" s="810"/>
      <c r="H321" s="835"/>
      <c r="I321" s="835"/>
      <c r="J321" s="835"/>
      <c r="K321" s="835"/>
      <c r="L321" s="835"/>
      <c r="M321" s="835"/>
      <c r="N321" s="835"/>
      <c r="O321" s="835"/>
      <c r="P321" s="835"/>
      <c r="Q321" s="835"/>
      <c r="R321" s="835"/>
      <c r="S321" s="835"/>
      <c r="T321" s="835"/>
    </row>
    <row r="322" spans="1:21" ht="18">
      <c r="A322" s="819"/>
      <c r="B322" s="838"/>
      <c r="C322" s="838" t="s">
        <v>14</v>
      </c>
      <c r="D322" s="838"/>
      <c r="E322" s="810"/>
      <c r="F322" s="810"/>
      <c r="G322" s="810"/>
      <c r="H322" s="835">
        <v>541746.29746877006</v>
      </c>
      <c r="I322" s="835">
        <v>495155.94148560002</v>
      </c>
      <c r="J322" s="835">
        <v>591410.02679742989</v>
      </c>
      <c r="K322" s="835">
        <v>949705.94058877009</v>
      </c>
      <c r="L322" s="835">
        <v>1387838.9001658601</v>
      </c>
      <c r="M322" s="835">
        <v>1840894.46011588</v>
      </c>
      <c r="N322" s="835">
        <v>1836073.1700000002</v>
      </c>
      <c r="O322" s="835">
        <v>1629420.41</v>
      </c>
      <c r="P322" s="835">
        <v>1466365.8900000004</v>
      </c>
      <c r="Q322" s="835">
        <v>1230210.8900000004</v>
      </c>
      <c r="R322" s="835">
        <v>927381.34000000008</v>
      </c>
      <c r="S322" s="835">
        <v>625249.48</v>
      </c>
      <c r="T322" s="835">
        <v>13521452.746622311</v>
      </c>
      <c r="U322" s="10">
        <f>H322</f>
        <v>541746.29746877006</v>
      </c>
    </row>
    <row r="323" spans="1:21" ht="18">
      <c r="A323" s="819"/>
      <c r="B323" s="838"/>
      <c r="C323" s="838" t="s">
        <v>15</v>
      </c>
      <c r="D323" s="838"/>
      <c r="E323" s="810"/>
      <c r="F323" s="810"/>
      <c r="G323" s="810"/>
      <c r="H323" s="835">
        <v>-323.33</v>
      </c>
      <c r="I323" s="835">
        <v>-380.49999999999994</v>
      </c>
      <c r="J323" s="835">
        <v>-33.539999999999978</v>
      </c>
      <c r="K323" s="835">
        <v>113.90999999999998</v>
      </c>
      <c r="L323" s="835">
        <v>691.56000000000006</v>
      </c>
      <c r="M323" s="835">
        <v>554.08999999999992</v>
      </c>
      <c r="N323" s="835">
        <v>-595.46999999999991</v>
      </c>
      <c r="O323" s="835">
        <v>-316.53000000000009</v>
      </c>
      <c r="P323" s="835">
        <v>496.78999999999996</v>
      </c>
      <c r="Q323" s="835">
        <v>-544.80999999999995</v>
      </c>
      <c r="R323" s="835">
        <v>712.44</v>
      </c>
      <c r="S323" s="835">
        <v>-720.91</v>
      </c>
      <c r="T323" s="835">
        <v>-346.29999999999984</v>
      </c>
      <c r="U323" s="10"/>
    </row>
    <row r="324" spans="1:21" ht="18">
      <c r="A324" s="819"/>
      <c r="B324" s="838"/>
      <c r="C324" s="819" t="s">
        <v>498</v>
      </c>
      <c r="D324" s="819"/>
      <c r="E324" s="810"/>
      <c r="F324" s="810"/>
      <c r="G324" s="810"/>
      <c r="H324" s="835">
        <v>6156.26</v>
      </c>
      <c r="I324" s="835">
        <v>6144.9800000000005</v>
      </c>
      <c r="J324" s="835">
        <v>9438.4299999999985</v>
      </c>
      <c r="K324" s="835">
        <v>7662.7100000000009</v>
      </c>
      <c r="L324" s="835">
        <v>9176.84</v>
      </c>
      <c r="M324" s="835">
        <v>10180.200000000001</v>
      </c>
      <c r="N324" s="835">
        <v>9567.25</v>
      </c>
      <c r="O324" s="835">
        <v>10541.08</v>
      </c>
      <c r="P324" s="835">
        <v>10144.89</v>
      </c>
      <c r="Q324" s="835">
        <v>7326.34</v>
      </c>
      <c r="R324" s="835">
        <v>6880.8099999999995</v>
      </c>
      <c r="S324" s="835">
        <v>6328.2300000000005</v>
      </c>
      <c r="T324" s="835">
        <v>99548.01999999999</v>
      </c>
    </row>
    <row r="325" spans="1:21" ht="18">
      <c r="A325" s="819"/>
      <c r="B325" s="838"/>
      <c r="C325" s="838" t="s">
        <v>16</v>
      </c>
      <c r="D325" s="838"/>
      <c r="E325" s="810"/>
      <c r="F325" s="810"/>
      <c r="G325" s="810"/>
      <c r="H325" s="837">
        <v>456520.31253123004</v>
      </c>
      <c r="I325" s="837">
        <v>413065.7685144</v>
      </c>
      <c r="J325" s="837">
        <v>528497.71320256998</v>
      </c>
      <c r="K325" s="837">
        <v>1278154.9294112299</v>
      </c>
      <c r="L325" s="837">
        <v>3902360.7198341396</v>
      </c>
      <c r="M325" s="837">
        <v>5306912.7098841183</v>
      </c>
      <c r="N325" s="837">
        <v>5431666.3952932004</v>
      </c>
      <c r="O325" s="837">
        <v>4612012.1208129199</v>
      </c>
      <c r="P325" s="837">
        <v>5078436.8885564031</v>
      </c>
      <c r="Q325" s="837">
        <v>3381267.7908264096</v>
      </c>
      <c r="R325" s="837">
        <v>1533007.2955662094</v>
      </c>
      <c r="S325" s="837">
        <v>844954.0275434698</v>
      </c>
      <c r="T325" s="837">
        <v>32766856.671976298</v>
      </c>
    </row>
    <row r="326" spans="1:21" ht="18">
      <c r="A326" s="819"/>
      <c r="B326" s="838"/>
      <c r="C326" s="838" t="s">
        <v>26</v>
      </c>
      <c r="D326" s="838"/>
      <c r="E326" s="810"/>
      <c r="F326" s="810"/>
      <c r="G326" s="810"/>
      <c r="H326" s="835">
        <v>1004099.5400000002</v>
      </c>
      <c r="I326" s="835">
        <v>913986.19</v>
      </c>
      <c r="J326" s="835">
        <v>1129312.6299999999</v>
      </c>
      <c r="K326" s="835">
        <v>2235637.4900000002</v>
      </c>
      <c r="L326" s="835">
        <v>5300068.0199999996</v>
      </c>
      <c r="M326" s="835">
        <v>7158541.4599999981</v>
      </c>
      <c r="N326" s="835">
        <v>7276711.3452932006</v>
      </c>
      <c r="O326" s="835">
        <v>6251657.0808129199</v>
      </c>
      <c r="P326" s="835">
        <v>6555444.4585564034</v>
      </c>
      <c r="Q326" s="835">
        <v>4618260.21082641</v>
      </c>
      <c r="R326" s="835">
        <v>2467981.8855662094</v>
      </c>
      <c r="S326" s="835">
        <v>1475810.8275434696</v>
      </c>
      <c r="T326" s="835">
        <v>46387511.138598613</v>
      </c>
    </row>
    <row r="327" spans="1:21" ht="18">
      <c r="A327" s="819"/>
      <c r="B327" s="819"/>
      <c r="C327" s="819" t="s">
        <v>886</v>
      </c>
      <c r="D327" s="819"/>
      <c r="E327" s="810"/>
      <c r="F327" s="810"/>
      <c r="G327" s="810"/>
      <c r="H327" s="813">
        <v>28070</v>
      </c>
      <c r="I327" s="813">
        <v>28127</v>
      </c>
      <c r="J327" s="813">
        <v>28127</v>
      </c>
      <c r="K327" s="813">
        <v>28127</v>
      </c>
      <c r="L327" s="813">
        <v>28127</v>
      </c>
      <c r="M327" s="813">
        <v>28127</v>
      </c>
      <c r="N327" s="813">
        <v>28127</v>
      </c>
      <c r="O327" s="813">
        <v>28127</v>
      </c>
      <c r="P327" s="813">
        <v>28127</v>
      </c>
      <c r="Q327" s="813">
        <v>28127</v>
      </c>
      <c r="R327" s="813">
        <v>28127</v>
      </c>
      <c r="S327" s="813">
        <v>28127</v>
      </c>
      <c r="T327" s="835">
        <v>28122.25</v>
      </c>
    </row>
    <row r="328" spans="1:21" ht="18">
      <c r="A328" s="819"/>
      <c r="B328" s="838"/>
      <c r="C328" s="838" t="s">
        <v>56</v>
      </c>
      <c r="D328" s="838"/>
      <c r="E328" s="810"/>
      <c r="F328" s="810"/>
      <c r="G328" s="810"/>
      <c r="H328" s="813">
        <v>67462.869000000006</v>
      </c>
      <c r="I328" s="813">
        <v>62976.640999999981</v>
      </c>
      <c r="J328" s="813">
        <v>78962.783000000025</v>
      </c>
      <c r="K328" s="813">
        <v>192058.52500000005</v>
      </c>
      <c r="L328" s="813">
        <v>508866.1210000001</v>
      </c>
      <c r="M328" s="813">
        <v>677788.60600000015</v>
      </c>
      <c r="N328" s="813">
        <v>698837.54599999997</v>
      </c>
      <c r="O328" s="813">
        <v>592855.01900000009</v>
      </c>
      <c r="P328" s="813">
        <v>586948.03199999977</v>
      </c>
      <c r="Q328" s="813">
        <v>394356.33999999991</v>
      </c>
      <c r="R328" s="813">
        <v>174076.52299999999</v>
      </c>
      <c r="S328" s="813">
        <v>100178.75399999999</v>
      </c>
      <c r="T328" s="813">
        <v>4135367.7590000001</v>
      </c>
    </row>
    <row r="329" spans="1:21" ht="18">
      <c r="A329" s="819"/>
      <c r="B329" s="819"/>
      <c r="C329" s="819" t="s">
        <v>57</v>
      </c>
      <c r="D329" s="819"/>
      <c r="E329" s="810"/>
      <c r="F329" s="810"/>
      <c r="G329" s="810"/>
      <c r="H329" s="841">
        <v>17894</v>
      </c>
      <c r="I329" s="841">
        <v>17856</v>
      </c>
      <c r="J329" s="841">
        <v>77173</v>
      </c>
      <c r="K329" s="841">
        <v>30060</v>
      </c>
      <c r="L329" s="841">
        <v>42499</v>
      </c>
      <c r="M329" s="841">
        <v>52575</v>
      </c>
      <c r="N329" s="841">
        <v>41180</v>
      </c>
      <c r="O329" s="841">
        <v>59703</v>
      </c>
      <c r="P329" s="841">
        <v>56913</v>
      </c>
      <c r="Q329" s="841">
        <v>27881</v>
      </c>
      <c r="R329" s="841">
        <v>26338</v>
      </c>
      <c r="S329" s="841">
        <v>20371</v>
      </c>
      <c r="T329" s="841">
        <v>470443</v>
      </c>
    </row>
    <row r="330" spans="1:21" ht="18">
      <c r="A330" s="840"/>
      <c r="B330" s="819"/>
      <c r="C330" s="819" t="s">
        <v>27</v>
      </c>
      <c r="D330" s="819"/>
      <c r="E330" s="810"/>
      <c r="F330" s="810"/>
      <c r="G330" s="810"/>
      <c r="H330" s="813">
        <v>85356.869000000006</v>
      </c>
      <c r="I330" s="813">
        <v>80832.640999999974</v>
      </c>
      <c r="J330" s="813">
        <v>156135.78300000002</v>
      </c>
      <c r="K330" s="813">
        <v>222118.52500000005</v>
      </c>
      <c r="L330" s="813">
        <v>551365.12100000004</v>
      </c>
      <c r="M330" s="813">
        <v>730363.60600000015</v>
      </c>
      <c r="N330" s="813">
        <v>740017.54599999997</v>
      </c>
      <c r="O330" s="813">
        <v>652558.01900000009</v>
      </c>
      <c r="P330" s="813">
        <v>643861.03199999977</v>
      </c>
      <c r="Q330" s="813">
        <v>422237.33999999991</v>
      </c>
      <c r="R330" s="813">
        <v>200414.52299999999</v>
      </c>
      <c r="S330" s="813">
        <v>120549.75399999999</v>
      </c>
      <c r="T330" s="813">
        <v>4605810.7589999996</v>
      </c>
      <c r="U330" s="10">
        <f>+T330-Z61</f>
        <v>0</v>
      </c>
    </row>
    <row r="331" spans="1:21" ht="18">
      <c r="A331" s="838"/>
      <c r="B331" s="819"/>
      <c r="C331" s="819"/>
      <c r="D331" s="819"/>
      <c r="E331" s="810"/>
      <c r="F331" s="810"/>
      <c r="G331" s="810"/>
      <c r="H331" s="813"/>
      <c r="I331" s="813"/>
      <c r="J331" s="813"/>
      <c r="K331" s="813"/>
      <c r="L331" s="813"/>
      <c r="M331" s="813"/>
      <c r="N331" s="813"/>
      <c r="O331" s="813"/>
      <c r="P331" s="813"/>
      <c r="Q331" s="813"/>
      <c r="R331" s="813"/>
      <c r="S331" s="813"/>
      <c r="T331" s="813"/>
    </row>
    <row r="332" spans="1:21" ht="18">
      <c r="A332" s="838"/>
      <c r="B332" s="819"/>
      <c r="C332" s="810"/>
      <c r="D332" s="838"/>
      <c r="E332" s="810"/>
      <c r="F332" s="810"/>
      <c r="G332" s="810"/>
      <c r="H332" s="813"/>
      <c r="I332" s="813"/>
      <c r="J332" s="813"/>
      <c r="K332" s="813"/>
      <c r="L332" s="813"/>
      <c r="M332" s="813"/>
      <c r="N332" s="813"/>
      <c r="O332" s="813"/>
      <c r="P332" s="813"/>
      <c r="Q332" s="813"/>
      <c r="R332" s="813"/>
      <c r="S332" s="813"/>
      <c r="T332" s="813"/>
    </row>
    <row r="333" spans="1:21" ht="18">
      <c r="A333" s="838" t="s">
        <v>28</v>
      </c>
      <c r="B333" s="819" t="s">
        <v>79</v>
      </c>
      <c r="C333" s="819" t="s">
        <v>14</v>
      </c>
      <c r="D333" s="838" t="s">
        <v>885</v>
      </c>
      <c r="E333" s="810"/>
      <c r="F333" s="810"/>
      <c r="G333" s="810"/>
      <c r="H333" s="835"/>
      <c r="I333" s="835"/>
      <c r="J333" s="835"/>
      <c r="K333" s="835"/>
      <c r="L333" s="835"/>
      <c r="M333" s="835"/>
      <c r="N333" s="835"/>
      <c r="O333" s="835"/>
      <c r="P333" s="835"/>
      <c r="Q333" s="835"/>
      <c r="R333" s="835"/>
      <c r="S333" s="835"/>
      <c r="T333" s="835">
        <v>0</v>
      </c>
    </row>
    <row r="334" spans="1:21" ht="18">
      <c r="A334" s="838"/>
      <c r="B334" s="819"/>
      <c r="C334" s="819"/>
      <c r="D334" s="838" t="s">
        <v>885</v>
      </c>
      <c r="E334" s="810"/>
      <c r="F334" s="810"/>
      <c r="G334" s="810"/>
      <c r="H334" s="835"/>
      <c r="I334" s="835"/>
      <c r="J334" s="835"/>
      <c r="K334" s="835"/>
      <c r="L334" s="835"/>
      <c r="M334" s="835"/>
      <c r="N334" s="835"/>
      <c r="O334" s="835"/>
      <c r="P334" s="835"/>
      <c r="Q334" s="835"/>
      <c r="R334" s="835"/>
      <c r="S334" s="835"/>
      <c r="T334" s="835"/>
    </row>
    <row r="335" spans="1:21" ht="18">
      <c r="A335" s="838"/>
      <c r="B335" s="819"/>
      <c r="C335" s="819" t="s">
        <v>15</v>
      </c>
      <c r="D335" s="838" t="s">
        <v>885</v>
      </c>
      <c r="E335" s="810"/>
      <c r="F335" s="810"/>
      <c r="G335" s="810"/>
      <c r="H335" s="835"/>
      <c r="I335" s="835"/>
      <c r="J335" s="835"/>
      <c r="K335" s="835"/>
      <c r="L335" s="835"/>
      <c r="M335" s="835"/>
      <c r="N335" s="835"/>
      <c r="O335" s="835"/>
      <c r="P335" s="835"/>
      <c r="Q335" s="835"/>
      <c r="R335" s="835"/>
      <c r="S335" s="835"/>
      <c r="T335" s="835"/>
    </row>
    <row r="336" spans="1:21" ht="18">
      <c r="A336" s="810"/>
      <c r="B336" s="819"/>
      <c r="C336" s="819"/>
      <c r="D336" s="838" t="s">
        <v>885</v>
      </c>
      <c r="E336" s="810"/>
      <c r="F336" s="810"/>
      <c r="G336" s="810"/>
      <c r="H336" s="835"/>
      <c r="I336" s="835"/>
      <c r="J336" s="835"/>
      <c r="K336" s="835"/>
      <c r="L336" s="835"/>
      <c r="M336" s="835"/>
      <c r="N336" s="835"/>
      <c r="O336" s="835"/>
      <c r="P336" s="835"/>
      <c r="Q336" s="835"/>
      <c r="R336" s="835"/>
      <c r="S336" s="835"/>
      <c r="T336" s="835"/>
    </row>
    <row r="337" spans="1:20" ht="18">
      <c r="A337" s="838"/>
      <c r="B337" s="819"/>
      <c r="C337" s="819" t="s">
        <v>16</v>
      </c>
      <c r="D337" s="838" t="s">
        <v>885</v>
      </c>
      <c r="E337" s="810"/>
      <c r="F337" s="810"/>
      <c r="G337" s="810"/>
      <c r="H337" s="837"/>
      <c r="I337" s="837"/>
      <c r="J337" s="837"/>
      <c r="K337" s="837"/>
      <c r="L337" s="837"/>
      <c r="M337" s="837"/>
      <c r="N337" s="837"/>
      <c r="O337" s="837"/>
      <c r="P337" s="837"/>
      <c r="Q337" s="837"/>
      <c r="R337" s="837"/>
      <c r="S337" s="837"/>
      <c r="T337" s="837">
        <v>0</v>
      </c>
    </row>
    <row r="338" spans="1:20" ht="18">
      <c r="A338" s="838"/>
      <c r="B338" s="838"/>
      <c r="C338" s="819" t="s">
        <v>17</v>
      </c>
      <c r="D338" s="838" t="s">
        <v>885</v>
      </c>
      <c r="E338" s="810"/>
      <c r="F338" s="810"/>
      <c r="G338" s="810"/>
      <c r="H338" s="835"/>
      <c r="I338" s="835"/>
      <c r="J338" s="835"/>
      <c r="K338" s="835"/>
      <c r="L338" s="835"/>
      <c r="M338" s="835"/>
      <c r="N338" s="835"/>
      <c r="O338" s="835"/>
      <c r="P338" s="835"/>
      <c r="Q338" s="835"/>
      <c r="R338" s="835"/>
      <c r="S338" s="835"/>
      <c r="T338" s="835">
        <v>0</v>
      </c>
    </row>
    <row r="339" spans="1:20" ht="18">
      <c r="A339" s="838"/>
      <c r="B339" s="819"/>
      <c r="C339" s="819" t="s">
        <v>886</v>
      </c>
      <c r="D339" s="838" t="s">
        <v>885</v>
      </c>
      <c r="E339" s="810"/>
      <c r="F339" s="810"/>
      <c r="G339" s="810"/>
      <c r="H339" s="835">
        <v>0</v>
      </c>
      <c r="I339" s="835">
        <v>0</v>
      </c>
      <c r="J339" s="835">
        <v>0</v>
      </c>
      <c r="K339" s="835">
        <v>0</v>
      </c>
      <c r="L339" s="835">
        <v>0</v>
      </c>
      <c r="M339" s="835">
        <v>0</v>
      </c>
      <c r="N339" s="835">
        <v>0</v>
      </c>
      <c r="O339" s="835">
        <v>0</v>
      </c>
      <c r="P339" s="835">
        <v>0</v>
      </c>
      <c r="Q339" s="835">
        <v>0</v>
      </c>
      <c r="R339" s="835">
        <v>0</v>
      </c>
      <c r="S339" s="835">
        <v>0</v>
      </c>
      <c r="T339" s="835">
        <v>0</v>
      </c>
    </row>
    <row r="340" spans="1:20" ht="18">
      <c r="A340" s="838"/>
      <c r="B340" s="819"/>
      <c r="C340" s="819" t="s">
        <v>18</v>
      </c>
      <c r="D340" s="838" t="s">
        <v>885</v>
      </c>
      <c r="E340" s="810"/>
      <c r="F340" s="810"/>
      <c r="G340" s="810"/>
      <c r="H340" s="835"/>
      <c r="I340" s="835"/>
      <c r="J340" s="835"/>
      <c r="K340" s="835"/>
      <c r="L340" s="835"/>
      <c r="M340" s="835"/>
      <c r="N340" s="835"/>
      <c r="O340" s="835"/>
      <c r="P340" s="835"/>
      <c r="Q340" s="835"/>
      <c r="R340" s="835"/>
      <c r="S340" s="835"/>
      <c r="T340" s="835">
        <v>0</v>
      </c>
    </row>
    <row r="341" spans="1:20" ht="18">
      <c r="A341" s="838"/>
      <c r="B341" s="819"/>
      <c r="C341" s="819"/>
      <c r="D341" s="819"/>
      <c r="E341" s="810"/>
      <c r="F341" s="810"/>
      <c r="G341" s="810"/>
      <c r="H341" s="835"/>
      <c r="I341" s="835"/>
      <c r="J341" s="835"/>
      <c r="K341" s="835"/>
      <c r="L341" s="835"/>
      <c r="M341" s="835"/>
      <c r="N341" s="835"/>
      <c r="O341" s="835"/>
      <c r="P341" s="835"/>
      <c r="Q341" s="835"/>
      <c r="R341" s="835"/>
      <c r="S341" s="835"/>
      <c r="T341" s="835"/>
    </row>
    <row r="342" spans="1:20" ht="18">
      <c r="A342" s="838"/>
      <c r="B342" s="819"/>
      <c r="C342" s="819" t="s">
        <v>14</v>
      </c>
      <c r="D342" s="819" t="s">
        <v>894</v>
      </c>
      <c r="E342" s="810"/>
      <c r="F342" s="810"/>
      <c r="G342" s="810"/>
      <c r="H342" s="835"/>
      <c r="I342" s="835"/>
      <c r="J342" s="835"/>
      <c r="K342" s="835"/>
      <c r="L342" s="835"/>
      <c r="M342" s="835"/>
      <c r="N342" s="835"/>
      <c r="O342" s="835"/>
      <c r="P342" s="835"/>
      <c r="Q342" s="835"/>
      <c r="R342" s="835"/>
      <c r="S342" s="835"/>
      <c r="T342" s="835">
        <v>0</v>
      </c>
    </row>
    <row r="343" spans="1:20" ht="18">
      <c r="A343" s="838"/>
      <c r="B343" s="819" t="s">
        <v>24</v>
      </c>
      <c r="C343" s="819"/>
      <c r="D343" s="819" t="s">
        <v>894</v>
      </c>
      <c r="E343" s="810"/>
      <c r="F343" s="810"/>
      <c r="G343" s="810"/>
      <c r="H343" s="835"/>
      <c r="I343" s="835"/>
      <c r="J343" s="835"/>
      <c r="K343" s="835"/>
      <c r="L343" s="835"/>
      <c r="M343" s="835"/>
      <c r="N343" s="835"/>
      <c r="O343" s="835"/>
      <c r="P343" s="835"/>
      <c r="Q343" s="835"/>
      <c r="R343" s="835"/>
      <c r="S343" s="835"/>
      <c r="T343" s="835"/>
    </row>
    <row r="344" spans="1:20" ht="18">
      <c r="A344" s="838"/>
      <c r="B344" s="819"/>
      <c r="C344" s="819" t="s">
        <v>15</v>
      </c>
      <c r="D344" s="819" t="s">
        <v>894</v>
      </c>
      <c r="E344" s="810"/>
      <c r="F344" s="810"/>
      <c r="G344" s="810"/>
      <c r="H344" s="835"/>
      <c r="I344" s="835"/>
      <c r="J344" s="835"/>
      <c r="K344" s="835"/>
      <c r="L344" s="835"/>
      <c r="M344" s="835"/>
      <c r="N344" s="835"/>
      <c r="O344" s="835"/>
      <c r="P344" s="835"/>
      <c r="Q344" s="835"/>
      <c r="R344" s="835"/>
      <c r="S344" s="835"/>
      <c r="T344" s="835"/>
    </row>
    <row r="345" spans="1:20" ht="18">
      <c r="A345" s="838"/>
      <c r="B345" s="819"/>
      <c r="C345" s="819"/>
      <c r="D345" s="819" t="s">
        <v>894</v>
      </c>
      <c r="E345" s="810"/>
      <c r="F345" s="810"/>
      <c r="G345" s="810"/>
      <c r="H345" s="835"/>
      <c r="I345" s="835"/>
      <c r="J345" s="835"/>
      <c r="K345" s="835"/>
      <c r="L345" s="835"/>
      <c r="M345" s="835"/>
      <c r="N345" s="835"/>
      <c r="O345" s="835"/>
      <c r="P345" s="835"/>
      <c r="Q345" s="835"/>
      <c r="R345" s="835"/>
      <c r="S345" s="835"/>
      <c r="T345" s="835"/>
    </row>
    <row r="346" spans="1:20" ht="18">
      <c r="A346" s="838"/>
      <c r="B346" s="819"/>
      <c r="C346" s="819" t="s">
        <v>16</v>
      </c>
      <c r="D346" s="819" t="s">
        <v>894</v>
      </c>
      <c r="E346" s="810"/>
      <c r="F346" s="810"/>
      <c r="G346" s="810"/>
      <c r="H346" s="837"/>
      <c r="I346" s="837"/>
      <c r="J346" s="837"/>
      <c r="K346" s="837"/>
      <c r="L346" s="837"/>
      <c r="M346" s="837"/>
      <c r="N346" s="837"/>
      <c r="O346" s="837"/>
      <c r="P346" s="837"/>
      <c r="Q346" s="837"/>
      <c r="R346" s="837"/>
      <c r="S346" s="837"/>
      <c r="T346" s="837">
        <v>0</v>
      </c>
    </row>
    <row r="347" spans="1:20" ht="18">
      <c r="A347" s="838"/>
      <c r="B347" s="838"/>
      <c r="C347" s="819" t="s">
        <v>17</v>
      </c>
      <c r="D347" s="819" t="s">
        <v>894</v>
      </c>
      <c r="E347" s="810"/>
      <c r="F347" s="810"/>
      <c r="G347" s="810"/>
      <c r="H347" s="835"/>
      <c r="I347" s="835"/>
      <c r="J347" s="835"/>
      <c r="K347" s="835"/>
      <c r="L347" s="835"/>
      <c r="M347" s="835"/>
      <c r="N347" s="835"/>
      <c r="O347" s="835"/>
      <c r="P347" s="835"/>
      <c r="Q347" s="835"/>
      <c r="R347" s="835"/>
      <c r="S347" s="835"/>
      <c r="T347" s="835">
        <v>0</v>
      </c>
    </row>
    <row r="348" spans="1:20" ht="18">
      <c r="A348" s="838"/>
      <c r="B348" s="838"/>
      <c r="C348" s="819" t="s">
        <v>886</v>
      </c>
      <c r="D348" s="819" t="s">
        <v>894</v>
      </c>
      <c r="E348" s="810"/>
      <c r="F348" s="810"/>
      <c r="G348" s="810"/>
      <c r="H348" s="835">
        <v>0</v>
      </c>
      <c r="I348" s="835">
        <v>0</v>
      </c>
      <c r="J348" s="835">
        <v>0</v>
      </c>
      <c r="K348" s="835">
        <v>0</v>
      </c>
      <c r="L348" s="835">
        <v>0</v>
      </c>
      <c r="M348" s="835">
        <v>0</v>
      </c>
      <c r="N348" s="835">
        <v>0</v>
      </c>
      <c r="O348" s="835">
        <v>0</v>
      </c>
      <c r="P348" s="835">
        <v>0</v>
      </c>
      <c r="Q348" s="835">
        <v>0</v>
      </c>
      <c r="R348" s="835">
        <v>0</v>
      </c>
      <c r="S348" s="835">
        <v>0</v>
      </c>
      <c r="T348" s="835">
        <v>0</v>
      </c>
    </row>
    <row r="349" spans="1:20" ht="18">
      <c r="A349" s="838"/>
      <c r="B349" s="838"/>
      <c r="C349" s="819" t="s">
        <v>18</v>
      </c>
      <c r="D349" s="819" t="s">
        <v>894</v>
      </c>
      <c r="E349" s="810"/>
      <c r="F349" s="810"/>
      <c r="G349" s="810"/>
      <c r="H349" s="835"/>
      <c r="I349" s="835"/>
      <c r="J349" s="835"/>
      <c r="K349" s="835"/>
      <c r="L349" s="835"/>
      <c r="M349" s="835"/>
      <c r="N349" s="835"/>
      <c r="O349" s="835"/>
      <c r="P349" s="835"/>
      <c r="Q349" s="835"/>
      <c r="R349" s="835"/>
      <c r="S349" s="835"/>
      <c r="T349" s="835">
        <v>0</v>
      </c>
    </row>
    <row r="350" spans="1:20" ht="18">
      <c r="A350" s="838"/>
      <c r="B350" s="838"/>
      <c r="C350" s="838"/>
      <c r="D350" s="838"/>
      <c r="E350" s="810"/>
      <c r="F350" s="810"/>
      <c r="G350" s="810"/>
      <c r="H350" s="813"/>
      <c r="I350" s="813"/>
      <c r="J350" s="813"/>
      <c r="K350" s="813"/>
      <c r="L350" s="813"/>
      <c r="M350" s="813"/>
      <c r="N350" s="813"/>
      <c r="O350" s="813"/>
      <c r="P350" s="813"/>
      <c r="Q350" s="813"/>
      <c r="R350" s="813"/>
      <c r="S350" s="813"/>
      <c r="T350" s="813"/>
    </row>
    <row r="351" spans="1:20" ht="18">
      <c r="A351" s="838"/>
      <c r="B351" s="838" t="s">
        <v>497</v>
      </c>
      <c r="C351" s="838"/>
      <c r="D351" s="838"/>
      <c r="E351" s="810"/>
      <c r="F351" s="810"/>
      <c r="G351" s="810"/>
      <c r="H351" s="813"/>
      <c r="I351" s="813"/>
      <c r="J351" s="813"/>
      <c r="K351" s="813"/>
      <c r="L351" s="813"/>
      <c r="M351" s="813"/>
      <c r="N351" s="813"/>
      <c r="O351" s="813"/>
      <c r="P351" s="813"/>
      <c r="Q351" s="813"/>
      <c r="R351" s="813"/>
      <c r="S351" s="813"/>
      <c r="T351" s="813"/>
    </row>
    <row r="352" spans="1:20" ht="18">
      <c r="A352" s="838"/>
      <c r="B352" s="810"/>
      <c r="C352" s="838" t="s">
        <v>14</v>
      </c>
      <c r="D352" s="838"/>
      <c r="E352" s="810"/>
      <c r="F352" s="810"/>
      <c r="G352" s="810"/>
      <c r="H352" s="813"/>
      <c r="I352" s="813"/>
      <c r="J352" s="813"/>
      <c r="K352" s="813"/>
      <c r="L352" s="813"/>
      <c r="M352" s="813"/>
      <c r="N352" s="813"/>
      <c r="O352" s="813"/>
      <c r="P352" s="813"/>
      <c r="Q352" s="813"/>
      <c r="R352" s="813"/>
      <c r="S352" s="813"/>
      <c r="T352" s="813">
        <v>0</v>
      </c>
    </row>
    <row r="353" spans="1:23" ht="18">
      <c r="A353" s="838"/>
      <c r="B353" s="819"/>
      <c r="C353" s="819" t="s">
        <v>16</v>
      </c>
      <c r="D353" s="819"/>
      <c r="E353" s="810"/>
      <c r="F353" s="810"/>
      <c r="G353" s="810"/>
      <c r="H353" s="813"/>
      <c r="I353" s="813"/>
      <c r="J353" s="813"/>
      <c r="K353" s="813"/>
      <c r="L353" s="813"/>
      <c r="M353" s="813"/>
      <c r="N353" s="813"/>
      <c r="O353" s="813"/>
      <c r="P353" s="813"/>
      <c r="Q353" s="813"/>
      <c r="R353" s="813"/>
      <c r="S353" s="813"/>
      <c r="T353" s="813">
        <v>0</v>
      </c>
    </row>
    <row r="354" spans="1:23" ht="18">
      <c r="A354" s="838"/>
      <c r="B354" s="819"/>
      <c r="C354" s="838" t="s">
        <v>29</v>
      </c>
      <c r="D354" s="838"/>
      <c r="E354" s="810"/>
      <c r="F354" s="810"/>
      <c r="G354" s="810"/>
      <c r="H354" s="813"/>
      <c r="I354" s="813"/>
      <c r="J354" s="813"/>
      <c r="K354" s="813"/>
      <c r="L354" s="813"/>
      <c r="M354" s="813"/>
      <c r="N354" s="813"/>
      <c r="O354" s="813"/>
      <c r="P354" s="813"/>
      <c r="Q354" s="813"/>
      <c r="R354" s="813"/>
      <c r="S354" s="813"/>
      <c r="T354" s="813">
        <v>0</v>
      </c>
    </row>
    <row r="355" spans="1:23" ht="18">
      <c r="A355" s="838"/>
      <c r="B355" s="819"/>
      <c r="C355" s="819" t="s">
        <v>886</v>
      </c>
      <c r="D355" s="838"/>
      <c r="E355" s="810"/>
      <c r="F355" s="810"/>
      <c r="G355" s="810"/>
      <c r="H355" s="813">
        <v>0</v>
      </c>
      <c r="I355" s="813">
        <v>0</v>
      </c>
      <c r="J355" s="813">
        <v>0</v>
      </c>
      <c r="K355" s="813">
        <v>0</v>
      </c>
      <c r="L355" s="813">
        <v>0</v>
      </c>
      <c r="M355" s="813">
        <v>0</v>
      </c>
      <c r="N355" s="813">
        <v>0</v>
      </c>
      <c r="O355" s="813">
        <v>0</v>
      </c>
      <c r="P355" s="813">
        <v>0</v>
      </c>
      <c r="Q355" s="813">
        <v>0</v>
      </c>
      <c r="R355" s="813">
        <v>0</v>
      </c>
      <c r="S355" s="813">
        <v>0</v>
      </c>
      <c r="T355" s="835">
        <v>0</v>
      </c>
    </row>
    <row r="356" spans="1:23" ht="18">
      <c r="A356" s="838"/>
      <c r="B356" s="838"/>
      <c r="C356" s="838" t="s">
        <v>56</v>
      </c>
      <c r="D356" s="838"/>
      <c r="E356" s="810"/>
      <c r="F356" s="810"/>
      <c r="G356" s="810"/>
      <c r="H356" s="813"/>
      <c r="I356" s="813"/>
      <c r="J356" s="813"/>
      <c r="K356" s="813"/>
      <c r="L356" s="813"/>
      <c r="M356" s="813"/>
      <c r="N356" s="813"/>
      <c r="O356" s="813"/>
      <c r="P356" s="813"/>
      <c r="Q356" s="813"/>
      <c r="R356" s="813"/>
      <c r="S356" s="813"/>
      <c r="T356" s="813">
        <v>0</v>
      </c>
    </row>
    <row r="357" spans="1:23" ht="18">
      <c r="A357" s="819"/>
      <c r="B357" s="838"/>
      <c r="C357" s="819" t="s">
        <v>57</v>
      </c>
      <c r="D357" s="819"/>
      <c r="E357" s="810"/>
      <c r="F357" s="810"/>
      <c r="G357" s="810"/>
      <c r="H357" s="813"/>
      <c r="I357" s="813"/>
      <c r="J357" s="813"/>
      <c r="K357" s="813"/>
      <c r="L357" s="813"/>
      <c r="M357" s="813"/>
      <c r="N357" s="813"/>
      <c r="O357" s="813"/>
      <c r="P357" s="813"/>
      <c r="Q357" s="813"/>
      <c r="R357" s="813"/>
      <c r="S357" s="813"/>
      <c r="T357" s="813">
        <v>0</v>
      </c>
    </row>
    <row r="358" spans="1:23" ht="18">
      <c r="A358" s="838"/>
      <c r="B358" s="838"/>
      <c r="C358" s="819" t="s">
        <v>30</v>
      </c>
      <c r="D358" s="819"/>
      <c r="E358" s="810"/>
      <c r="F358" s="810"/>
      <c r="G358" s="810"/>
      <c r="H358" s="813"/>
      <c r="I358" s="813"/>
      <c r="J358" s="813"/>
      <c r="K358" s="813"/>
      <c r="L358" s="813"/>
      <c r="M358" s="813"/>
      <c r="N358" s="813"/>
      <c r="O358" s="813"/>
      <c r="P358" s="813"/>
      <c r="Q358" s="813"/>
      <c r="R358" s="813"/>
      <c r="S358" s="813"/>
      <c r="T358" s="813">
        <v>0</v>
      </c>
    </row>
    <row r="359" spans="1:23" ht="18">
      <c r="A359" s="838"/>
      <c r="B359" s="838"/>
      <c r="C359" s="819"/>
      <c r="D359" s="819"/>
      <c r="E359" s="810"/>
      <c r="F359" s="810"/>
      <c r="G359" s="810"/>
      <c r="H359" s="813"/>
      <c r="I359" s="813"/>
      <c r="J359" s="813"/>
      <c r="K359" s="813"/>
      <c r="L359" s="813"/>
      <c r="M359" s="813"/>
      <c r="N359" s="813"/>
      <c r="O359" s="813"/>
      <c r="P359" s="813"/>
      <c r="Q359" s="813"/>
      <c r="R359" s="813"/>
      <c r="S359" s="813"/>
      <c r="T359" s="813"/>
    </row>
    <row r="360" spans="1:23" ht="18">
      <c r="A360" s="840"/>
      <c r="B360" s="838"/>
      <c r="C360" s="819"/>
      <c r="D360" s="819"/>
      <c r="E360" s="810"/>
      <c r="F360" s="810"/>
      <c r="G360" s="810"/>
      <c r="H360" s="813"/>
      <c r="I360" s="813"/>
      <c r="J360" s="813"/>
      <c r="K360" s="813"/>
      <c r="L360" s="813"/>
      <c r="M360" s="813"/>
      <c r="N360" s="813"/>
      <c r="O360" s="813"/>
      <c r="P360" s="813"/>
      <c r="Q360" s="813"/>
      <c r="R360" s="813"/>
      <c r="S360" s="813"/>
      <c r="T360" s="813"/>
    </row>
    <row r="361" spans="1:23" ht="18">
      <c r="A361" s="838"/>
      <c r="B361" s="838"/>
      <c r="C361" s="819"/>
      <c r="D361" s="819"/>
      <c r="E361" s="810"/>
      <c r="F361" s="810"/>
      <c r="G361" s="810"/>
      <c r="H361" s="813"/>
      <c r="I361" s="813"/>
      <c r="J361" s="813"/>
      <c r="K361" s="813"/>
      <c r="L361" s="813"/>
      <c r="M361" s="813"/>
      <c r="N361" s="813"/>
      <c r="O361" s="813"/>
      <c r="P361" s="813"/>
      <c r="Q361" s="813"/>
      <c r="R361" s="813"/>
      <c r="S361" s="813"/>
      <c r="T361" s="813"/>
    </row>
    <row r="362" spans="1:23" ht="18">
      <c r="A362" s="838"/>
      <c r="B362" s="838" t="s">
        <v>605</v>
      </c>
      <c r="C362" s="819" t="s">
        <v>14</v>
      </c>
      <c r="D362" s="819"/>
      <c r="E362" s="810"/>
      <c r="F362" s="810"/>
      <c r="G362" s="810"/>
      <c r="H362" s="813">
        <v>18287688.76324302</v>
      </c>
      <c r="I362" s="813">
        <v>18178788.710503899</v>
      </c>
      <c r="J362" s="813">
        <v>19005058.954997335</v>
      </c>
      <c r="K362" s="813">
        <v>27373522.127055131</v>
      </c>
      <c r="L362" s="813">
        <v>48707740.07808096</v>
      </c>
      <c r="M362" s="813">
        <v>69086271.176000133</v>
      </c>
      <c r="N362" s="813">
        <v>80938265.251159102</v>
      </c>
      <c r="O362" s="813">
        <v>69031960.493540987</v>
      </c>
      <c r="P362" s="813">
        <v>57882005.106326014</v>
      </c>
      <c r="Q362" s="813">
        <v>39447481.342170537</v>
      </c>
      <c r="R362" s="813">
        <v>28045362.114301968</v>
      </c>
      <c r="S362" s="813">
        <v>21561292.955035586</v>
      </c>
      <c r="T362" s="813">
        <v>497545437.07241464</v>
      </c>
    </row>
    <row r="363" spans="1:23" ht="18">
      <c r="A363" s="838"/>
      <c r="B363" s="838"/>
      <c r="C363" s="838" t="s">
        <v>15</v>
      </c>
      <c r="D363" s="838"/>
      <c r="E363" s="810"/>
      <c r="F363" s="810"/>
      <c r="G363" s="810"/>
      <c r="H363" s="813">
        <v>1212961.2136859</v>
      </c>
      <c r="I363" s="813">
        <v>1159451.48437204</v>
      </c>
      <c r="J363" s="813">
        <v>1237451.4628421203</v>
      </c>
      <c r="K363" s="813">
        <v>2345950.8787333807</v>
      </c>
      <c r="L363" s="813">
        <v>14366643.615519878</v>
      </c>
      <c r="M363" s="813">
        <v>19194634.43899975</v>
      </c>
      <c r="N363" s="813">
        <v>20270115.999010973</v>
      </c>
      <c r="O363" s="813">
        <v>18049599.682107005</v>
      </c>
      <c r="P363" s="813">
        <v>16594616.199802017</v>
      </c>
      <c r="Q363" s="813">
        <v>4027357.3914656881</v>
      </c>
      <c r="R363" s="813">
        <v>1765353.8612768091</v>
      </c>
      <c r="S363" s="813">
        <v>1515138.2802490706</v>
      </c>
      <c r="T363" s="813">
        <v>101739274.50806463</v>
      </c>
    </row>
    <row r="364" spans="1:23" ht="18">
      <c r="A364" s="838"/>
      <c r="B364" s="838"/>
      <c r="C364" s="838" t="s">
        <v>498</v>
      </c>
      <c r="D364" s="838"/>
      <c r="E364" s="810"/>
      <c r="F364" s="810"/>
      <c r="G364" s="810"/>
      <c r="H364" s="813">
        <v>6156.26</v>
      </c>
      <c r="I364" s="813">
        <v>6144.9800000000005</v>
      </c>
      <c r="J364" s="813">
        <v>9438.4299999999985</v>
      </c>
      <c r="K364" s="813">
        <v>7662.7100000000009</v>
      </c>
      <c r="L364" s="813">
        <v>9176.84</v>
      </c>
      <c r="M364" s="813">
        <v>10180.200000000001</v>
      </c>
      <c r="N364" s="813">
        <v>9567.25</v>
      </c>
      <c r="O364" s="813">
        <v>10541.08</v>
      </c>
      <c r="P364" s="813">
        <v>10144.89</v>
      </c>
      <c r="Q364" s="813">
        <v>7326.34</v>
      </c>
      <c r="R364" s="813">
        <v>6880.8099999999995</v>
      </c>
      <c r="S364" s="813">
        <v>6328.2300000000005</v>
      </c>
      <c r="T364" s="813">
        <v>99548.01999999999</v>
      </c>
    </row>
    <row r="365" spans="1:23" ht="18">
      <c r="A365" s="838"/>
      <c r="B365" s="838"/>
      <c r="C365" s="838" t="s">
        <v>16</v>
      </c>
      <c r="D365" s="838"/>
      <c r="E365" s="810"/>
      <c r="F365" s="810"/>
      <c r="G365" s="810"/>
      <c r="H365" s="813">
        <v>13716067.903071083</v>
      </c>
      <c r="I365" s="813">
        <v>15031407.70512406</v>
      </c>
      <c r="J365" s="813">
        <v>16456045.272160552</v>
      </c>
      <c r="K365" s="813">
        <v>33388478.844211489</v>
      </c>
      <c r="L365" s="813">
        <v>115857141.71639913</v>
      </c>
      <c r="M365" s="813">
        <v>148992216.85500011</v>
      </c>
      <c r="N365" s="813">
        <v>157927578.37512314</v>
      </c>
      <c r="O365" s="813">
        <v>139712736.01516494</v>
      </c>
      <c r="P365" s="813">
        <v>154180286.08242837</v>
      </c>
      <c r="Q365" s="813">
        <v>93165172.727190211</v>
      </c>
      <c r="R365" s="813">
        <v>33966932.639987439</v>
      </c>
      <c r="S365" s="813">
        <v>28610391.882258795</v>
      </c>
      <c r="T365" s="813">
        <v>951004456.01811934</v>
      </c>
    </row>
    <row r="366" spans="1:23" ht="18">
      <c r="A366" s="838"/>
      <c r="B366" s="819"/>
      <c r="C366" s="819"/>
      <c r="D366" s="819"/>
      <c r="E366" s="810"/>
      <c r="F366" s="810"/>
      <c r="G366" s="810"/>
      <c r="H366" s="841"/>
      <c r="I366" s="841"/>
      <c r="J366" s="841"/>
      <c r="K366" s="841"/>
      <c r="L366" s="841"/>
      <c r="M366" s="841"/>
      <c r="N366" s="841"/>
      <c r="O366" s="841"/>
      <c r="P366" s="841"/>
      <c r="Q366" s="841"/>
      <c r="R366" s="841"/>
      <c r="S366" s="841"/>
      <c r="T366" s="841"/>
    </row>
    <row r="367" spans="1:23" ht="18">
      <c r="A367" s="838"/>
      <c r="B367" s="819"/>
      <c r="C367" s="838" t="s">
        <v>605</v>
      </c>
      <c r="D367" s="838"/>
      <c r="E367" s="810"/>
      <c r="F367" s="810"/>
      <c r="G367" s="810"/>
      <c r="H367" s="813">
        <v>33222874.140000004</v>
      </c>
      <c r="I367" s="813">
        <v>34375792.879999995</v>
      </c>
      <c r="J367" s="813">
        <v>36707994.120000005</v>
      </c>
      <c r="K367" s="813">
        <v>63115614.560000002</v>
      </c>
      <c r="L367" s="813">
        <v>178940702.24999997</v>
      </c>
      <c r="M367" s="813">
        <v>237283302.67000002</v>
      </c>
      <c r="N367" s="813">
        <v>259145526.87529323</v>
      </c>
      <c r="O367" s="813">
        <v>226804837.27081293</v>
      </c>
      <c r="P367" s="813">
        <v>228667052.27855641</v>
      </c>
      <c r="Q367" s="813">
        <v>136647337.80082643</v>
      </c>
      <c r="R367" s="813">
        <v>63784529.425566211</v>
      </c>
      <c r="S367" s="813">
        <v>51693151.347543448</v>
      </c>
      <c r="T367" s="813">
        <v>1550388715.6185987</v>
      </c>
      <c r="U367" s="1097">
        <f>'[34]Page 19_16'!$D$48</f>
        <v>1550892613.4300001</v>
      </c>
      <c r="V367" s="1097">
        <f>T367-U367</f>
        <v>-503897.81140136719</v>
      </c>
      <c r="W367">
        <f>V367/U367</f>
        <v>-3.2490825414851376E-4</v>
      </c>
    </row>
    <row r="368" spans="1:23" ht="18">
      <c r="A368" s="838"/>
      <c r="B368" s="810"/>
      <c r="C368" s="819" t="s">
        <v>886</v>
      </c>
      <c r="D368" s="810"/>
      <c r="E368" s="810"/>
      <c r="F368" s="810"/>
      <c r="G368" s="810"/>
      <c r="H368" s="813">
        <v>1157911</v>
      </c>
      <c r="I368" s="813">
        <v>1158566</v>
      </c>
      <c r="J368" s="813">
        <v>1162319</v>
      </c>
      <c r="K368" s="813">
        <v>1161545</v>
      </c>
      <c r="L368" s="813">
        <v>1164380</v>
      </c>
      <c r="M368" s="813">
        <v>1169721</v>
      </c>
      <c r="N368" s="813">
        <v>1153925</v>
      </c>
      <c r="O368" s="813">
        <v>1153925</v>
      </c>
      <c r="P368" s="813">
        <v>1153925</v>
      </c>
      <c r="Q368" s="813">
        <v>1153925</v>
      </c>
      <c r="R368" s="813">
        <v>1153925</v>
      </c>
      <c r="S368" s="813">
        <v>1153925</v>
      </c>
      <c r="T368" s="835">
        <v>1158166</v>
      </c>
    </row>
    <row r="369" spans="1:21" ht="18">
      <c r="A369" s="838"/>
      <c r="B369" s="810"/>
      <c r="C369" s="810" t="s">
        <v>56</v>
      </c>
      <c r="D369" s="810"/>
      <c r="E369" s="810"/>
      <c r="F369" s="810"/>
      <c r="G369" s="810"/>
      <c r="H369" s="813">
        <v>2624805.1779999998</v>
      </c>
      <c r="I369" s="813">
        <v>2522748.7960000001</v>
      </c>
      <c r="J369" s="813">
        <v>2735188.2069999999</v>
      </c>
      <c r="K369" s="813">
        <v>5541942.0440000035</v>
      </c>
      <c r="L369" s="813">
        <v>16472920.528999999</v>
      </c>
      <c r="M369" s="813">
        <v>20862978.43799999</v>
      </c>
      <c r="N369" s="813">
        <v>22115109.665000003</v>
      </c>
      <c r="O369" s="813">
        <v>19562678.574999999</v>
      </c>
      <c r="P369" s="813">
        <v>18024800.700999998</v>
      </c>
      <c r="Q369" s="813">
        <v>10909848.488999998</v>
      </c>
      <c r="R369" s="813">
        <v>3971087.1390000004</v>
      </c>
      <c r="S369" s="813">
        <v>3351427.5539999991</v>
      </c>
      <c r="T369" s="813">
        <v>128695535.31499998</v>
      </c>
    </row>
    <row r="370" spans="1:21" ht="18">
      <c r="A370" s="819"/>
      <c r="B370" s="810"/>
      <c r="C370" s="810" t="s">
        <v>57</v>
      </c>
      <c r="D370" s="810"/>
      <c r="E370" s="810"/>
      <c r="F370" s="810"/>
      <c r="G370" s="810"/>
      <c r="H370" s="841">
        <v>8205663</v>
      </c>
      <c r="I370" s="841">
        <v>8442196</v>
      </c>
      <c r="J370" s="841">
        <v>8376521.0999999996</v>
      </c>
      <c r="K370" s="841">
        <v>8417684.5</v>
      </c>
      <c r="L370" s="841">
        <v>9586987.9000000004</v>
      </c>
      <c r="M370" s="841">
        <v>10314634.1</v>
      </c>
      <c r="N370" s="841">
        <v>10435096.199999999</v>
      </c>
      <c r="O370" s="841">
        <v>9267697.9000000004</v>
      </c>
      <c r="P370" s="841">
        <v>9643119.5999999996</v>
      </c>
      <c r="Q370" s="841">
        <v>8050978.7999999998</v>
      </c>
      <c r="R370" s="841">
        <v>7410583</v>
      </c>
      <c r="S370" s="841">
        <v>7181855.9000000004</v>
      </c>
      <c r="T370" s="841">
        <v>105333018</v>
      </c>
    </row>
    <row r="371" spans="1:21" ht="18">
      <c r="A371" s="838"/>
      <c r="B371" s="810"/>
      <c r="C371" s="810" t="s">
        <v>32</v>
      </c>
      <c r="D371" s="810"/>
      <c r="E371" s="810"/>
      <c r="F371" s="810"/>
      <c r="G371" s="810"/>
      <c r="H371" s="1065">
        <v>10830468.178000001</v>
      </c>
      <c r="I371" s="1065">
        <v>10964944.796000002</v>
      </c>
      <c r="J371" s="1065">
        <v>11111709.307</v>
      </c>
      <c r="K371" s="1065">
        <v>13959626.544000003</v>
      </c>
      <c r="L371" s="1065">
        <v>26059908.428999998</v>
      </c>
      <c r="M371" s="1065">
        <v>31177612.537999988</v>
      </c>
      <c r="N371" s="1065">
        <v>32550205.865000002</v>
      </c>
      <c r="O371" s="1065">
        <v>28830376.475000001</v>
      </c>
      <c r="P371" s="1065">
        <v>27667920.300999995</v>
      </c>
      <c r="Q371" s="1065">
        <v>18960827.288999997</v>
      </c>
      <c r="R371" s="1065">
        <v>11381670.139</v>
      </c>
      <c r="S371" s="1065">
        <v>10533283.454</v>
      </c>
      <c r="T371" s="1065">
        <v>234028553.315</v>
      </c>
      <c r="U371" s="10"/>
    </row>
    <row r="372" spans="1:21" ht="13.5" thickBot="1"/>
    <row r="373" spans="1:21" ht="16.5" thickBot="1">
      <c r="A373" s="635"/>
      <c r="B373" s="746" t="s">
        <v>127</v>
      </c>
      <c r="C373" s="747" t="s">
        <v>903</v>
      </c>
      <c r="D373" s="635"/>
      <c r="E373" s="635"/>
      <c r="F373" s="635"/>
      <c r="G373" s="635"/>
      <c r="H373" s="635"/>
      <c r="I373" s="635"/>
      <c r="J373" s="635"/>
      <c r="K373" s="635"/>
      <c r="L373" s="635"/>
      <c r="M373" s="635"/>
      <c r="N373" s="635"/>
      <c r="O373" s="635"/>
      <c r="P373" s="635"/>
      <c r="Q373" s="635"/>
      <c r="R373" s="635"/>
      <c r="S373" s="635"/>
      <c r="T373" s="776" t="s">
        <v>903</v>
      </c>
    </row>
    <row r="374" spans="1:21" ht="15.75">
      <c r="A374" s="635"/>
      <c r="B374" s="748" t="s">
        <v>884</v>
      </c>
      <c r="C374" s="749"/>
      <c r="D374" s="635"/>
      <c r="E374" s="635"/>
      <c r="F374" s="635"/>
      <c r="G374" s="635"/>
      <c r="H374" s="635"/>
      <c r="I374" s="635"/>
      <c r="J374" s="635"/>
      <c r="K374" s="635"/>
      <c r="L374" s="635"/>
      <c r="M374" s="635"/>
      <c r="N374" s="635"/>
      <c r="O374" s="635"/>
      <c r="P374" s="635"/>
      <c r="Q374" s="635"/>
      <c r="R374" s="635"/>
      <c r="S374" s="635"/>
      <c r="T374" s="777"/>
    </row>
    <row r="375" spans="1:21" ht="15.75">
      <c r="A375" s="635"/>
      <c r="B375" s="750"/>
      <c r="C375" s="751" t="s">
        <v>287</v>
      </c>
      <c r="D375" s="635"/>
      <c r="E375" s="635"/>
      <c r="F375" s="635"/>
      <c r="G375" s="635"/>
      <c r="H375" s="635"/>
      <c r="I375" s="635"/>
      <c r="J375" s="635"/>
      <c r="K375" s="635"/>
      <c r="L375" s="635"/>
      <c r="M375" s="635"/>
      <c r="N375" s="635"/>
      <c r="O375" s="635"/>
      <c r="P375" s="635"/>
      <c r="Q375" s="635"/>
      <c r="R375" s="635"/>
      <c r="S375" s="635"/>
      <c r="T375" s="778">
        <f>+$S$21</f>
        <v>1124145</v>
      </c>
    </row>
    <row r="376" spans="1:21" ht="15.75">
      <c r="A376" s="635"/>
      <c r="B376" s="750"/>
      <c r="C376" s="751" t="s">
        <v>465</v>
      </c>
      <c r="D376" s="635"/>
      <c r="E376" s="635"/>
      <c r="F376" s="635"/>
      <c r="G376" s="635"/>
      <c r="H376" s="635"/>
      <c r="I376" s="635"/>
      <c r="J376" s="635"/>
      <c r="K376" s="635"/>
      <c r="L376" s="635"/>
      <c r="M376" s="635"/>
      <c r="N376" s="635"/>
      <c r="O376" s="635"/>
      <c r="P376" s="635"/>
      <c r="Q376" s="635"/>
      <c r="R376" s="635"/>
      <c r="S376" s="635"/>
      <c r="T376" s="778">
        <f>+$S$48</f>
        <v>486</v>
      </c>
    </row>
    <row r="377" spans="1:21" ht="16.5" thickBot="1">
      <c r="A377" s="635"/>
      <c r="B377" s="752"/>
      <c r="C377" s="753" t="s">
        <v>746</v>
      </c>
      <c r="D377" s="635"/>
      <c r="E377" s="635"/>
      <c r="F377" s="635"/>
      <c r="G377" s="635"/>
      <c r="H377" s="635"/>
      <c r="I377" s="635"/>
      <c r="J377" s="635"/>
      <c r="K377" s="635"/>
      <c r="L377" s="635"/>
      <c r="M377" s="635"/>
      <c r="N377" s="635"/>
      <c r="O377" s="635"/>
      <c r="P377" s="635"/>
      <c r="Q377" s="635"/>
      <c r="R377" s="635"/>
      <c r="S377" s="635"/>
      <c r="T377" s="779">
        <f>+$S$66</f>
        <v>1</v>
      </c>
    </row>
    <row r="378" spans="1:21" ht="15.75">
      <c r="A378" s="635"/>
      <c r="B378" s="750"/>
      <c r="C378" s="751" t="s">
        <v>92</v>
      </c>
      <c r="D378" s="635"/>
      <c r="E378" s="635"/>
      <c r="F378" s="635"/>
      <c r="G378" s="635"/>
      <c r="H378" s="635"/>
      <c r="I378" s="635"/>
      <c r="J378" s="635"/>
      <c r="K378" s="635"/>
      <c r="L378" s="635"/>
      <c r="M378" s="635"/>
      <c r="N378" s="635"/>
      <c r="O378" s="635"/>
      <c r="P378" s="635"/>
      <c r="Q378" s="635"/>
      <c r="R378" s="635"/>
      <c r="S378" s="635"/>
      <c r="T378" s="778">
        <f>SUM(T375:T377)</f>
        <v>1124632</v>
      </c>
    </row>
    <row r="379" spans="1:21" ht="15.75">
      <c r="A379" s="635"/>
      <c r="B379" s="750"/>
      <c r="C379" s="751"/>
      <c r="D379" s="635"/>
      <c r="E379" s="635"/>
      <c r="F379" s="635"/>
      <c r="G379" s="635"/>
      <c r="H379" s="635"/>
      <c r="I379" s="635"/>
      <c r="J379" s="635"/>
      <c r="K379" s="635"/>
      <c r="L379" s="635"/>
      <c r="M379" s="635"/>
      <c r="N379" s="635"/>
      <c r="O379" s="635"/>
      <c r="P379" s="635"/>
      <c r="Q379" s="635"/>
      <c r="R379" s="635"/>
      <c r="S379" s="635"/>
      <c r="T379" s="778"/>
    </row>
    <row r="380" spans="1:21" ht="15.75">
      <c r="A380" s="635"/>
      <c r="B380" s="748" t="s">
        <v>888</v>
      </c>
      <c r="C380" s="749"/>
      <c r="D380" s="635"/>
      <c r="E380" s="635"/>
      <c r="F380" s="635"/>
      <c r="G380" s="635"/>
      <c r="H380" s="635"/>
      <c r="I380" s="635"/>
      <c r="J380" s="635"/>
      <c r="K380" s="635"/>
      <c r="L380" s="635"/>
      <c r="M380" s="635"/>
      <c r="N380" s="635"/>
      <c r="O380" s="635"/>
      <c r="P380" s="635"/>
      <c r="Q380" s="635"/>
      <c r="R380" s="635"/>
      <c r="S380" s="635"/>
      <c r="T380" s="777"/>
    </row>
    <row r="381" spans="1:21" ht="16.5" thickBot="1">
      <c r="A381" s="635"/>
      <c r="B381" s="752"/>
      <c r="C381" s="753" t="s">
        <v>624</v>
      </c>
      <c r="D381" s="635"/>
      <c r="E381" s="635"/>
      <c r="F381" s="635"/>
      <c r="G381" s="635"/>
      <c r="H381" s="635"/>
      <c r="I381" s="635"/>
      <c r="J381" s="635"/>
      <c r="K381" s="635"/>
      <c r="L381" s="635"/>
      <c r="M381" s="635"/>
      <c r="N381" s="635"/>
      <c r="O381" s="635"/>
      <c r="P381" s="635"/>
      <c r="Q381" s="635"/>
      <c r="R381" s="635"/>
      <c r="S381" s="635"/>
      <c r="T381" s="779">
        <f>+$S$102</f>
        <v>18</v>
      </c>
    </row>
    <row r="382" spans="1:21" ht="15.75">
      <c r="A382" s="635"/>
      <c r="B382" s="750"/>
      <c r="C382" s="751" t="s">
        <v>93</v>
      </c>
      <c r="D382" s="635"/>
      <c r="E382" s="635"/>
      <c r="F382" s="635"/>
      <c r="G382" s="635"/>
      <c r="H382" s="635"/>
      <c r="I382" s="635"/>
      <c r="J382" s="635"/>
      <c r="K382" s="635"/>
      <c r="L382" s="635"/>
      <c r="M382" s="635"/>
      <c r="N382" s="635"/>
      <c r="O382" s="635"/>
      <c r="P382" s="635"/>
      <c r="Q382" s="635"/>
      <c r="R382" s="635"/>
      <c r="S382" s="635"/>
      <c r="T382" s="778">
        <f>SUM(T381:T381)</f>
        <v>18</v>
      </c>
    </row>
    <row r="383" spans="1:21" ht="15.75">
      <c r="A383" s="635"/>
      <c r="B383" s="750"/>
      <c r="C383" s="751"/>
      <c r="D383" s="635"/>
      <c r="E383" s="635"/>
      <c r="F383" s="635"/>
      <c r="G383" s="635"/>
      <c r="H383" s="635"/>
      <c r="I383" s="635"/>
      <c r="J383" s="635"/>
      <c r="K383" s="635"/>
      <c r="L383" s="635"/>
      <c r="M383" s="635"/>
      <c r="N383" s="635"/>
      <c r="O383" s="635"/>
      <c r="P383" s="635"/>
      <c r="Q383" s="635"/>
      <c r="R383" s="635"/>
      <c r="S383" s="635"/>
      <c r="T383" s="778"/>
    </row>
    <row r="384" spans="1:21" ht="15.75">
      <c r="A384" s="635"/>
      <c r="B384" s="748"/>
      <c r="C384" s="751" t="s">
        <v>634</v>
      </c>
      <c r="D384" s="635"/>
      <c r="E384" s="635"/>
      <c r="F384" s="635"/>
      <c r="G384" s="635"/>
      <c r="H384" s="635"/>
      <c r="I384" s="635"/>
      <c r="J384" s="635"/>
      <c r="K384" s="635"/>
      <c r="L384" s="635"/>
      <c r="M384" s="635"/>
      <c r="N384" s="635"/>
      <c r="O384" s="635"/>
      <c r="P384" s="635"/>
      <c r="Q384" s="635"/>
      <c r="R384" s="635"/>
      <c r="S384" s="635"/>
      <c r="T384" s="778"/>
    </row>
    <row r="385" spans="1:20" ht="16.5" thickBot="1">
      <c r="A385" s="635"/>
      <c r="B385" s="748"/>
      <c r="C385" s="753" t="s">
        <v>103</v>
      </c>
      <c r="D385" s="635"/>
      <c r="E385" s="635"/>
      <c r="F385" s="635"/>
      <c r="G385" s="635"/>
      <c r="H385" s="635"/>
      <c r="I385" s="635"/>
      <c r="J385" s="635"/>
      <c r="K385" s="635"/>
      <c r="L385" s="635"/>
      <c r="M385" s="635"/>
      <c r="N385" s="635"/>
      <c r="O385" s="635"/>
      <c r="P385" s="635"/>
      <c r="Q385" s="635"/>
      <c r="R385" s="635"/>
      <c r="S385" s="635"/>
      <c r="T385" s="779"/>
    </row>
    <row r="386" spans="1:20" ht="15.75">
      <c r="A386" s="635"/>
      <c r="B386" s="754"/>
      <c r="C386" s="751" t="s">
        <v>904</v>
      </c>
      <c r="D386" s="635"/>
      <c r="E386" s="635"/>
      <c r="F386" s="635"/>
      <c r="G386" s="635"/>
      <c r="H386" s="635"/>
      <c r="I386" s="635"/>
      <c r="J386" s="635"/>
      <c r="K386" s="635"/>
      <c r="L386" s="635"/>
      <c r="M386" s="635"/>
      <c r="N386" s="635"/>
      <c r="O386" s="635"/>
      <c r="P386" s="635"/>
      <c r="Q386" s="635"/>
      <c r="R386" s="635"/>
      <c r="S386" s="635"/>
      <c r="T386" s="778"/>
    </row>
    <row r="387" spans="1:20" ht="15.75">
      <c r="A387" s="635"/>
      <c r="B387" s="748"/>
      <c r="C387" s="749"/>
      <c r="D387" s="635"/>
      <c r="E387" s="635"/>
      <c r="F387" s="635"/>
      <c r="G387" s="635"/>
      <c r="H387" s="635"/>
      <c r="I387" s="635"/>
      <c r="J387" s="635"/>
      <c r="K387" s="635"/>
      <c r="L387" s="635"/>
      <c r="M387" s="635"/>
      <c r="N387" s="635"/>
      <c r="O387" s="635"/>
      <c r="P387" s="635"/>
      <c r="Q387" s="635"/>
      <c r="R387" s="635"/>
      <c r="S387" s="635"/>
      <c r="T387" s="777"/>
    </row>
    <row r="388" spans="1:20" ht="15.75">
      <c r="A388" s="635"/>
      <c r="B388" s="748" t="s">
        <v>892</v>
      </c>
      <c r="C388" s="749"/>
      <c r="D388" s="635"/>
      <c r="E388" s="635"/>
      <c r="F388" s="635"/>
      <c r="G388" s="635"/>
      <c r="H388" s="635"/>
      <c r="I388" s="635"/>
      <c r="J388" s="635"/>
      <c r="K388" s="635"/>
      <c r="L388" s="635"/>
      <c r="M388" s="635"/>
      <c r="N388" s="635"/>
      <c r="O388" s="635"/>
      <c r="P388" s="635"/>
      <c r="Q388" s="635"/>
      <c r="R388" s="635"/>
      <c r="S388" s="635"/>
      <c r="T388" s="777"/>
    </row>
    <row r="389" spans="1:20" ht="15.75">
      <c r="A389" s="635"/>
      <c r="B389" s="748"/>
      <c r="C389" s="749" t="s">
        <v>821</v>
      </c>
      <c r="D389" s="635"/>
      <c r="E389" s="635"/>
      <c r="F389" s="635"/>
      <c r="G389" s="635"/>
      <c r="H389" s="635"/>
      <c r="I389" s="635"/>
      <c r="J389" s="635"/>
      <c r="K389" s="635"/>
      <c r="L389" s="635"/>
      <c r="M389" s="635"/>
      <c r="N389" s="635"/>
      <c r="O389" s="635"/>
      <c r="P389" s="635"/>
      <c r="Q389" s="635"/>
      <c r="R389" s="635"/>
      <c r="S389" s="635"/>
      <c r="T389" s="777">
        <f>+$S$129</f>
        <v>8</v>
      </c>
    </row>
    <row r="390" spans="1:20" ht="15.75">
      <c r="A390" s="635"/>
      <c r="B390" s="748"/>
      <c r="C390" s="749" t="s">
        <v>895</v>
      </c>
      <c r="D390" s="635"/>
      <c r="E390" s="635"/>
      <c r="F390" s="635"/>
      <c r="G390" s="635"/>
      <c r="H390" s="635"/>
      <c r="I390" s="635"/>
      <c r="J390" s="635"/>
      <c r="K390" s="635"/>
      <c r="L390" s="635"/>
      <c r="M390" s="635"/>
      <c r="N390" s="635"/>
      <c r="O390" s="635"/>
      <c r="P390" s="635"/>
      <c r="Q390" s="635"/>
      <c r="R390" s="635"/>
      <c r="S390" s="635"/>
      <c r="T390" s="777">
        <f>+$S$138</f>
        <v>0</v>
      </c>
    </row>
    <row r="391" spans="1:20" ht="15.75">
      <c r="A391" s="635"/>
      <c r="B391" s="748"/>
      <c r="C391" s="749" t="s">
        <v>517</v>
      </c>
      <c r="D391" s="635"/>
      <c r="E391" s="635"/>
      <c r="F391" s="635"/>
      <c r="G391" s="635"/>
      <c r="H391" s="635"/>
      <c r="I391" s="635"/>
      <c r="J391" s="635"/>
      <c r="K391" s="635"/>
      <c r="L391" s="635"/>
      <c r="M391" s="635"/>
      <c r="N391" s="635"/>
      <c r="O391" s="635"/>
      <c r="P391" s="635"/>
      <c r="Q391" s="635"/>
      <c r="R391" s="635"/>
      <c r="S391" s="635"/>
      <c r="T391" s="777">
        <f>+$S$156</f>
        <v>0</v>
      </c>
    </row>
    <row r="392" spans="1:20" ht="15.75">
      <c r="A392" s="635"/>
      <c r="B392" s="748"/>
      <c r="C392" s="749" t="s">
        <v>516</v>
      </c>
      <c r="D392" s="635"/>
      <c r="E392" s="635"/>
      <c r="F392" s="635"/>
      <c r="G392" s="635"/>
      <c r="H392" s="635"/>
      <c r="I392" s="635"/>
      <c r="J392" s="635"/>
      <c r="K392" s="635"/>
      <c r="L392" s="635"/>
      <c r="M392" s="635"/>
      <c r="N392" s="635"/>
      <c r="O392" s="635"/>
      <c r="P392" s="635"/>
      <c r="Q392" s="635"/>
      <c r="R392" s="635"/>
      <c r="S392" s="635"/>
      <c r="T392" s="777">
        <f>+$S$183</f>
        <v>0</v>
      </c>
    </row>
    <row r="393" spans="1:20" ht="15.75">
      <c r="A393" s="635"/>
      <c r="B393" s="748"/>
      <c r="C393" s="749" t="s">
        <v>636</v>
      </c>
      <c r="D393" s="635"/>
      <c r="E393" s="635"/>
      <c r="F393" s="635"/>
      <c r="G393" s="635"/>
      <c r="H393" s="635"/>
      <c r="I393" s="635"/>
      <c r="J393" s="635"/>
      <c r="K393" s="635"/>
      <c r="L393" s="635"/>
      <c r="M393" s="635"/>
      <c r="N393" s="635"/>
      <c r="O393" s="635"/>
      <c r="P393" s="635"/>
      <c r="Q393" s="635"/>
      <c r="R393" s="635"/>
      <c r="S393" s="635"/>
      <c r="T393" s="777">
        <f>+$S$147</f>
        <v>1</v>
      </c>
    </row>
    <row r="394" spans="1:20" ht="15.75">
      <c r="A394" s="635"/>
      <c r="B394" s="748"/>
      <c r="C394" s="749" t="s">
        <v>625</v>
      </c>
      <c r="D394" s="635"/>
      <c r="E394" s="635"/>
      <c r="F394" s="635"/>
      <c r="G394" s="635"/>
      <c r="H394" s="635"/>
      <c r="I394" s="635"/>
      <c r="J394" s="635"/>
      <c r="K394" s="635"/>
      <c r="L394" s="635"/>
      <c r="M394" s="635"/>
      <c r="N394" s="635"/>
      <c r="O394" s="635"/>
      <c r="P394" s="635"/>
      <c r="Q394" s="635"/>
      <c r="R394" s="635"/>
      <c r="S394" s="635"/>
      <c r="T394" s="777">
        <f>+$S$165</f>
        <v>1139</v>
      </c>
    </row>
    <row r="395" spans="1:20" ht="16.5" thickBot="1">
      <c r="A395" s="635"/>
      <c r="B395" s="755"/>
      <c r="C395" s="756" t="s">
        <v>829</v>
      </c>
      <c r="D395" s="635"/>
      <c r="E395" s="635"/>
      <c r="F395" s="635"/>
      <c r="G395" s="635"/>
      <c r="H395" s="635"/>
      <c r="I395" s="635"/>
      <c r="J395" s="635"/>
      <c r="K395" s="635"/>
      <c r="L395" s="635"/>
      <c r="M395" s="635"/>
      <c r="N395" s="635"/>
      <c r="O395" s="635"/>
      <c r="P395" s="635"/>
      <c r="Q395" s="635"/>
      <c r="R395" s="635"/>
      <c r="S395" s="635"/>
      <c r="T395" s="780">
        <f>+$S$174</f>
        <v>0</v>
      </c>
    </row>
    <row r="396" spans="1:20" ht="15.75">
      <c r="A396" s="635"/>
      <c r="B396" s="750"/>
      <c r="C396" s="751" t="s">
        <v>94</v>
      </c>
      <c r="D396" s="635"/>
      <c r="E396" s="635"/>
      <c r="F396" s="635"/>
      <c r="G396" s="635"/>
      <c r="H396" s="635"/>
      <c r="I396" s="635"/>
      <c r="J396" s="635"/>
      <c r="K396" s="635"/>
      <c r="L396" s="635"/>
      <c r="M396" s="635"/>
      <c r="N396" s="635"/>
      <c r="O396" s="635"/>
      <c r="P396" s="635"/>
      <c r="Q396" s="635"/>
      <c r="R396" s="635"/>
      <c r="S396" s="635"/>
      <c r="T396" s="778">
        <f>SUM(T389:T395)</f>
        <v>1148</v>
      </c>
    </row>
    <row r="397" spans="1:20" ht="15.75">
      <c r="A397" s="635"/>
      <c r="B397" s="748"/>
      <c r="C397" s="749"/>
      <c r="D397" s="635"/>
      <c r="E397" s="635"/>
      <c r="F397" s="635"/>
      <c r="G397" s="635"/>
      <c r="H397" s="635"/>
      <c r="I397" s="635"/>
      <c r="J397" s="635"/>
      <c r="K397" s="635"/>
      <c r="L397" s="635"/>
      <c r="M397" s="635"/>
      <c r="N397" s="635"/>
      <c r="O397" s="635"/>
      <c r="P397" s="635"/>
      <c r="Q397" s="635"/>
      <c r="R397" s="635"/>
      <c r="S397" s="635"/>
      <c r="T397" s="777"/>
    </row>
    <row r="398" spans="1:20" ht="15.75">
      <c r="A398" s="635"/>
      <c r="B398" s="750"/>
      <c r="C398" s="751" t="s">
        <v>905</v>
      </c>
      <c r="D398" s="635"/>
      <c r="E398" s="635"/>
      <c r="F398" s="635"/>
      <c r="G398" s="635"/>
      <c r="H398" s="635"/>
      <c r="I398" s="635"/>
      <c r="J398" s="635"/>
      <c r="K398" s="635"/>
      <c r="L398" s="635"/>
      <c r="M398" s="635"/>
      <c r="N398" s="635"/>
      <c r="O398" s="635"/>
      <c r="P398" s="635"/>
      <c r="Q398" s="635"/>
      <c r="R398" s="635"/>
      <c r="S398" s="635"/>
      <c r="T398" s="778">
        <f>+T396+T386+T378+T382</f>
        <v>1125798</v>
      </c>
    </row>
    <row r="399" spans="1:20" ht="16.5" thickBot="1">
      <c r="A399" s="635"/>
      <c r="B399" s="755"/>
      <c r="C399" s="756"/>
      <c r="D399" s="635"/>
      <c r="E399" s="635"/>
      <c r="F399" s="635"/>
      <c r="G399" s="635"/>
      <c r="H399" s="635"/>
      <c r="I399" s="635"/>
      <c r="J399" s="635"/>
      <c r="K399" s="635"/>
      <c r="L399" s="635"/>
      <c r="M399" s="635"/>
      <c r="N399" s="635"/>
      <c r="O399" s="635"/>
      <c r="P399" s="635"/>
      <c r="Q399" s="635"/>
      <c r="R399" s="635"/>
      <c r="S399" s="635"/>
      <c r="T399" s="780"/>
    </row>
    <row r="400" spans="1:20" ht="16.5" thickBot="1">
      <c r="A400" s="635"/>
      <c r="B400" s="750"/>
      <c r="C400" s="751"/>
      <c r="D400" s="635"/>
      <c r="E400" s="635"/>
      <c r="F400" s="635"/>
      <c r="G400" s="635"/>
      <c r="H400" s="635"/>
      <c r="I400" s="635"/>
      <c r="J400" s="635"/>
      <c r="K400" s="635"/>
      <c r="L400" s="635"/>
      <c r="M400" s="635"/>
      <c r="N400" s="635"/>
      <c r="O400" s="635"/>
      <c r="P400" s="635"/>
      <c r="Q400" s="635"/>
      <c r="R400" s="635"/>
      <c r="S400" s="635"/>
      <c r="T400" s="778"/>
    </row>
    <row r="401" spans="1:20" ht="15.75">
      <c r="A401" s="635"/>
      <c r="B401" s="757" t="s">
        <v>906</v>
      </c>
      <c r="C401" s="758"/>
      <c r="D401" s="635"/>
      <c r="E401" s="635"/>
      <c r="F401" s="635"/>
      <c r="G401" s="635"/>
      <c r="H401" s="635"/>
      <c r="I401" s="635"/>
      <c r="J401" s="635"/>
      <c r="K401" s="635"/>
      <c r="L401" s="635"/>
      <c r="M401" s="635"/>
      <c r="N401" s="635"/>
      <c r="O401" s="635"/>
      <c r="P401" s="635"/>
      <c r="Q401" s="635"/>
      <c r="R401" s="635"/>
      <c r="S401" s="635"/>
      <c r="T401" s="781"/>
    </row>
    <row r="402" spans="1:20" ht="16.5" thickBot="1">
      <c r="A402" s="635"/>
      <c r="B402" s="759" t="s">
        <v>884</v>
      </c>
      <c r="C402" s="760"/>
      <c r="D402" s="635"/>
      <c r="E402" s="635"/>
      <c r="F402" s="635"/>
      <c r="G402" s="635"/>
      <c r="H402" s="635"/>
      <c r="I402" s="635"/>
      <c r="J402" s="635"/>
      <c r="K402" s="635"/>
      <c r="L402" s="635"/>
      <c r="M402" s="635"/>
      <c r="N402" s="635"/>
      <c r="O402" s="635"/>
      <c r="P402" s="635"/>
      <c r="Q402" s="635"/>
      <c r="R402" s="635"/>
      <c r="S402" s="635"/>
      <c r="T402" s="782"/>
    </row>
    <row r="403" spans="1:20" ht="15.75">
      <c r="A403" s="635"/>
      <c r="B403" s="750"/>
      <c r="C403" s="751" t="s">
        <v>907</v>
      </c>
      <c r="D403" s="635"/>
      <c r="E403" s="635"/>
      <c r="F403" s="635"/>
      <c r="G403" s="635"/>
      <c r="H403" s="635"/>
      <c r="I403" s="635"/>
      <c r="J403" s="635"/>
      <c r="K403" s="635"/>
      <c r="L403" s="635"/>
      <c r="M403" s="635"/>
      <c r="N403" s="635"/>
      <c r="O403" s="635"/>
      <c r="P403" s="635"/>
      <c r="Q403" s="635"/>
      <c r="R403" s="635"/>
      <c r="S403" s="635"/>
      <c r="T403" s="778">
        <f>+$S$244</f>
        <v>28089</v>
      </c>
    </row>
    <row r="404" spans="1:20" ht="15.75">
      <c r="A404" s="635"/>
      <c r="B404" s="750"/>
      <c r="C404" s="751" t="s">
        <v>465</v>
      </c>
      <c r="D404" s="635"/>
      <c r="E404" s="635"/>
      <c r="F404" s="635"/>
      <c r="G404" s="635"/>
      <c r="H404" s="635"/>
      <c r="I404" s="635"/>
      <c r="J404" s="635"/>
      <c r="K404" s="635"/>
      <c r="L404" s="635"/>
      <c r="M404" s="635"/>
      <c r="N404" s="635"/>
      <c r="O404" s="635"/>
      <c r="P404" s="635"/>
      <c r="Q404" s="635"/>
      <c r="R404" s="635"/>
      <c r="S404" s="635"/>
      <c r="T404" s="778">
        <f>+$S$253</f>
        <v>28</v>
      </c>
    </row>
    <row r="405" spans="1:20" ht="16.5" thickBot="1">
      <c r="A405" s="635"/>
      <c r="B405" s="752"/>
      <c r="C405" s="753" t="s">
        <v>746</v>
      </c>
      <c r="D405" s="635"/>
      <c r="E405" s="635"/>
      <c r="F405" s="635"/>
      <c r="G405" s="635"/>
      <c r="H405" s="635"/>
      <c r="I405" s="635"/>
      <c r="J405" s="635"/>
      <c r="K405" s="635"/>
      <c r="L405" s="635"/>
      <c r="M405" s="635"/>
      <c r="N405" s="635"/>
      <c r="O405" s="635"/>
      <c r="P405" s="635"/>
      <c r="Q405" s="635"/>
      <c r="R405" s="635"/>
      <c r="S405" s="635"/>
      <c r="T405" s="779">
        <f>+$S$262</f>
        <v>1</v>
      </c>
    </row>
    <row r="406" spans="1:20" ht="15.75">
      <c r="A406" s="635"/>
      <c r="B406" s="750"/>
      <c r="C406" s="751" t="s">
        <v>95</v>
      </c>
      <c r="D406" s="635"/>
      <c r="E406" s="635"/>
      <c r="F406" s="635"/>
      <c r="G406" s="635"/>
      <c r="H406" s="635"/>
      <c r="I406" s="635"/>
      <c r="J406" s="635"/>
      <c r="K406" s="635"/>
      <c r="L406" s="635"/>
      <c r="M406" s="635"/>
      <c r="N406" s="635"/>
      <c r="O406" s="635"/>
      <c r="P406" s="635"/>
      <c r="Q406" s="635"/>
      <c r="R406" s="635"/>
      <c r="S406" s="635"/>
      <c r="T406" s="778">
        <f>SUM(T403:T405)</f>
        <v>28118</v>
      </c>
    </row>
    <row r="407" spans="1:20" ht="15.75">
      <c r="A407" s="635"/>
      <c r="B407" s="750"/>
      <c r="C407" s="751"/>
      <c r="D407" s="635"/>
      <c r="E407" s="635"/>
      <c r="F407" s="635"/>
      <c r="G407" s="635"/>
      <c r="H407" s="635"/>
      <c r="I407" s="635"/>
      <c r="J407" s="635"/>
      <c r="K407" s="635"/>
      <c r="L407" s="635"/>
      <c r="M407" s="635"/>
      <c r="N407" s="635"/>
      <c r="O407" s="635"/>
      <c r="P407" s="635"/>
      <c r="Q407" s="635"/>
      <c r="R407" s="635"/>
      <c r="S407" s="635"/>
      <c r="T407" s="778"/>
    </row>
    <row r="408" spans="1:20" ht="15.75">
      <c r="A408" s="635"/>
      <c r="B408" s="748"/>
      <c r="C408" s="751" t="s">
        <v>634</v>
      </c>
      <c r="D408" s="635"/>
      <c r="E408" s="635"/>
      <c r="F408" s="635"/>
      <c r="G408" s="635"/>
      <c r="H408" s="635"/>
      <c r="I408" s="635"/>
      <c r="J408" s="635"/>
      <c r="K408" s="635"/>
      <c r="L408" s="635"/>
      <c r="M408" s="635"/>
      <c r="N408" s="635"/>
      <c r="O408" s="635"/>
      <c r="P408" s="635"/>
      <c r="Q408" s="635"/>
      <c r="R408" s="635"/>
      <c r="S408" s="635"/>
      <c r="T408" s="778"/>
    </row>
    <row r="409" spans="1:20" ht="16.5" thickBot="1">
      <c r="A409" s="635"/>
      <c r="B409" s="748"/>
      <c r="C409" s="753" t="s">
        <v>103</v>
      </c>
      <c r="D409" s="635"/>
      <c r="E409" s="635"/>
      <c r="F409" s="635"/>
      <c r="G409" s="635"/>
      <c r="H409" s="635"/>
      <c r="I409" s="635"/>
      <c r="J409" s="635"/>
      <c r="K409" s="635"/>
      <c r="L409" s="635"/>
      <c r="M409" s="635"/>
      <c r="N409" s="635"/>
      <c r="O409" s="635"/>
      <c r="P409" s="635"/>
      <c r="Q409" s="635"/>
      <c r="R409" s="635"/>
      <c r="S409" s="635"/>
      <c r="T409" s="779"/>
    </row>
    <row r="410" spans="1:20" ht="15.75">
      <c r="A410" s="635"/>
      <c r="B410" s="754"/>
      <c r="C410" s="751" t="s">
        <v>904</v>
      </c>
      <c r="D410" s="635"/>
      <c r="E410" s="635"/>
      <c r="F410" s="635"/>
      <c r="G410" s="635"/>
      <c r="H410" s="635"/>
      <c r="I410" s="635"/>
      <c r="J410" s="635"/>
      <c r="K410" s="635"/>
      <c r="L410" s="635"/>
      <c r="M410" s="635"/>
      <c r="N410" s="635"/>
      <c r="O410" s="635"/>
      <c r="P410" s="635"/>
      <c r="Q410" s="635"/>
      <c r="R410" s="635"/>
      <c r="S410" s="635"/>
      <c r="T410" s="778"/>
    </row>
    <row r="411" spans="1:20" ht="15.75">
      <c r="A411" s="635"/>
      <c r="B411" s="748"/>
      <c r="C411" s="749"/>
      <c r="D411" s="635"/>
      <c r="E411" s="635"/>
      <c r="F411" s="635"/>
      <c r="G411" s="635"/>
      <c r="H411" s="635"/>
      <c r="I411" s="635"/>
      <c r="J411" s="635"/>
      <c r="K411" s="635"/>
      <c r="L411" s="635"/>
      <c r="M411" s="635"/>
      <c r="N411" s="635"/>
      <c r="O411" s="635"/>
      <c r="P411" s="635"/>
      <c r="Q411" s="635"/>
      <c r="R411" s="635"/>
      <c r="S411" s="635"/>
      <c r="T411" s="777"/>
    </row>
    <row r="412" spans="1:20" ht="15.75">
      <c r="A412" s="635"/>
      <c r="B412" s="748"/>
      <c r="C412" s="749"/>
      <c r="D412" s="635"/>
      <c r="E412" s="635"/>
      <c r="F412" s="635"/>
      <c r="G412" s="635"/>
      <c r="H412" s="635"/>
      <c r="I412" s="635"/>
      <c r="J412" s="635"/>
      <c r="K412" s="635"/>
      <c r="L412" s="635"/>
      <c r="M412" s="635"/>
      <c r="N412" s="635"/>
      <c r="O412" s="635"/>
      <c r="P412" s="635"/>
      <c r="Q412" s="635"/>
      <c r="R412" s="635"/>
      <c r="S412" s="635"/>
      <c r="T412" s="777"/>
    </row>
    <row r="413" spans="1:20" ht="15.75">
      <c r="A413" s="635"/>
      <c r="B413" s="748" t="s">
        <v>888</v>
      </c>
      <c r="C413" s="749"/>
      <c r="D413" s="635"/>
      <c r="E413" s="635"/>
      <c r="F413" s="635"/>
      <c r="G413" s="635"/>
      <c r="H413" s="635"/>
      <c r="I413" s="635"/>
      <c r="J413" s="635"/>
      <c r="K413" s="635"/>
      <c r="L413" s="635"/>
      <c r="M413" s="635"/>
      <c r="N413" s="635"/>
      <c r="O413" s="635"/>
      <c r="P413" s="635"/>
      <c r="Q413" s="635"/>
      <c r="R413" s="635"/>
      <c r="S413" s="635"/>
      <c r="T413" s="777"/>
    </row>
    <row r="414" spans="1:20" ht="15.75">
      <c r="A414" s="635"/>
      <c r="B414" s="748"/>
      <c r="C414" s="751" t="s">
        <v>908</v>
      </c>
      <c r="D414" s="635"/>
      <c r="E414" s="635"/>
      <c r="F414" s="635"/>
      <c r="G414" s="635"/>
      <c r="H414" s="635"/>
      <c r="I414" s="635"/>
      <c r="J414" s="635"/>
      <c r="K414" s="635"/>
      <c r="L414" s="635"/>
      <c r="M414" s="635"/>
      <c r="N414" s="635"/>
      <c r="O414" s="635"/>
      <c r="P414" s="635"/>
      <c r="Q414" s="635"/>
      <c r="R414" s="635"/>
      <c r="S414" s="635"/>
      <c r="T414" s="778">
        <f>+$S$289</f>
        <v>0</v>
      </c>
    </row>
    <row r="415" spans="1:20" ht="16.5" thickBot="1">
      <c r="A415" s="635"/>
      <c r="B415" s="752"/>
      <c r="C415" s="753" t="s">
        <v>624</v>
      </c>
      <c r="D415" s="635"/>
      <c r="E415" s="635"/>
      <c r="F415" s="635"/>
      <c r="G415" s="635"/>
      <c r="H415" s="635"/>
      <c r="I415" s="635"/>
      <c r="J415" s="635"/>
      <c r="K415" s="635"/>
      <c r="L415" s="635"/>
      <c r="M415" s="635"/>
      <c r="N415" s="635"/>
      <c r="O415" s="635"/>
      <c r="P415" s="635"/>
      <c r="Q415" s="635"/>
      <c r="R415" s="635"/>
      <c r="S415" s="635"/>
      <c r="T415" s="779">
        <f>+$S$280</f>
        <v>4</v>
      </c>
    </row>
    <row r="416" spans="1:20" ht="15.75">
      <c r="A416" s="635"/>
      <c r="B416" s="750"/>
      <c r="C416" s="751" t="s">
        <v>96</v>
      </c>
      <c r="D416" s="635"/>
      <c r="E416" s="635"/>
      <c r="F416" s="635"/>
      <c r="G416" s="635"/>
      <c r="H416" s="635"/>
      <c r="I416" s="635"/>
      <c r="J416" s="635"/>
      <c r="K416" s="635"/>
      <c r="L416" s="635"/>
      <c r="M416" s="635"/>
      <c r="N416" s="635"/>
      <c r="O416" s="635"/>
      <c r="P416" s="635"/>
      <c r="Q416" s="635"/>
      <c r="R416" s="635"/>
      <c r="S416" s="635"/>
      <c r="T416" s="778">
        <f>SUM(T414:T415)</f>
        <v>4</v>
      </c>
    </row>
    <row r="417" spans="1:20" ht="15.75">
      <c r="A417" s="635"/>
      <c r="B417" s="750"/>
      <c r="C417" s="751"/>
      <c r="D417" s="635"/>
      <c r="E417" s="635"/>
      <c r="F417" s="635"/>
      <c r="G417" s="635"/>
      <c r="H417" s="635"/>
      <c r="I417" s="635"/>
      <c r="J417" s="635"/>
      <c r="K417" s="635"/>
      <c r="L417" s="635"/>
      <c r="M417" s="635"/>
      <c r="N417" s="635"/>
      <c r="O417" s="635"/>
      <c r="P417" s="635"/>
      <c r="Q417" s="635"/>
      <c r="R417" s="635"/>
      <c r="S417" s="635"/>
      <c r="T417" s="778"/>
    </row>
    <row r="418" spans="1:20" ht="15.75">
      <c r="A418" s="635"/>
      <c r="B418" s="748" t="s">
        <v>892</v>
      </c>
      <c r="C418" s="749"/>
      <c r="D418" s="635"/>
      <c r="E418" s="635"/>
      <c r="F418" s="635"/>
      <c r="G418" s="635"/>
      <c r="H418" s="635"/>
      <c r="I418" s="635"/>
      <c r="J418" s="635"/>
      <c r="K418" s="635"/>
      <c r="L418" s="635"/>
      <c r="M418" s="635"/>
      <c r="N418" s="635"/>
      <c r="O418" s="635"/>
      <c r="P418" s="635"/>
      <c r="Q418" s="635"/>
      <c r="R418" s="635"/>
      <c r="S418" s="635"/>
      <c r="T418" s="777"/>
    </row>
    <row r="419" spans="1:20" ht="15.75">
      <c r="A419" s="635"/>
      <c r="B419" s="748"/>
      <c r="C419" s="749" t="s">
        <v>909</v>
      </c>
      <c r="D419" s="635"/>
      <c r="E419" s="635"/>
      <c r="F419" s="635"/>
      <c r="G419" s="635"/>
      <c r="H419" s="635"/>
      <c r="I419" s="635"/>
      <c r="J419" s="635"/>
      <c r="K419" s="635"/>
      <c r="L419" s="635"/>
      <c r="M419" s="635"/>
      <c r="N419" s="635"/>
      <c r="O419" s="635"/>
      <c r="P419" s="635"/>
      <c r="Q419" s="635"/>
      <c r="R419" s="635"/>
      <c r="S419" s="635"/>
      <c r="T419" s="777">
        <f>+$S$316</f>
        <v>2</v>
      </c>
    </row>
    <row r="420" spans="1:20" ht="16.5" thickBot="1">
      <c r="A420" s="635"/>
      <c r="B420" s="755"/>
      <c r="C420" s="756" t="s">
        <v>80</v>
      </c>
      <c r="D420" s="635"/>
      <c r="E420" s="635"/>
      <c r="F420" s="635"/>
      <c r="G420" s="635"/>
      <c r="H420" s="635"/>
      <c r="I420" s="635"/>
      <c r="J420" s="635"/>
      <c r="K420" s="635"/>
      <c r="L420" s="635"/>
      <c r="M420" s="635"/>
      <c r="N420" s="635"/>
      <c r="O420" s="635"/>
      <c r="P420" s="635"/>
      <c r="Q420" s="635"/>
      <c r="R420" s="635"/>
      <c r="S420" s="635"/>
      <c r="T420" s="780">
        <f>+$S$307</f>
        <v>3</v>
      </c>
    </row>
    <row r="421" spans="1:20" ht="15.75">
      <c r="A421" s="635"/>
      <c r="B421" s="748"/>
      <c r="C421" s="749" t="s">
        <v>97</v>
      </c>
      <c r="D421" s="635"/>
      <c r="E421" s="635"/>
      <c r="F421" s="635"/>
      <c r="G421" s="635"/>
      <c r="H421" s="635"/>
      <c r="I421" s="635"/>
      <c r="J421" s="635"/>
      <c r="K421" s="635"/>
      <c r="L421" s="635"/>
      <c r="M421" s="635"/>
      <c r="N421" s="635"/>
      <c r="O421" s="635"/>
      <c r="P421" s="635"/>
      <c r="Q421" s="635"/>
      <c r="R421" s="635"/>
      <c r="S421" s="635"/>
      <c r="T421" s="777">
        <f>SUM(T419:T420)</f>
        <v>5</v>
      </c>
    </row>
    <row r="422" spans="1:20" ht="15.75">
      <c r="A422" s="635"/>
      <c r="B422" s="748"/>
      <c r="C422" s="749"/>
      <c r="D422" s="635"/>
      <c r="E422" s="635"/>
      <c r="F422" s="635"/>
      <c r="G422" s="635"/>
      <c r="H422" s="635"/>
      <c r="I422" s="635"/>
      <c r="J422" s="635"/>
      <c r="K422" s="635"/>
      <c r="L422" s="635"/>
      <c r="M422" s="635"/>
      <c r="N422" s="635"/>
      <c r="O422" s="635"/>
      <c r="P422" s="635"/>
      <c r="Q422" s="635"/>
      <c r="R422" s="635"/>
      <c r="S422" s="635"/>
      <c r="T422" s="777"/>
    </row>
    <row r="423" spans="1:20" ht="15.75">
      <c r="A423" s="635"/>
      <c r="B423" s="750"/>
      <c r="C423" s="751" t="s">
        <v>910</v>
      </c>
      <c r="D423" s="635"/>
      <c r="E423" s="635"/>
      <c r="F423" s="635"/>
      <c r="G423" s="635"/>
      <c r="H423" s="635"/>
      <c r="I423" s="635"/>
      <c r="J423" s="635"/>
      <c r="K423" s="635"/>
      <c r="L423" s="635"/>
      <c r="M423" s="635"/>
      <c r="N423" s="635"/>
      <c r="O423" s="635"/>
      <c r="P423" s="635"/>
      <c r="Q423" s="635"/>
      <c r="R423" s="635"/>
      <c r="S423" s="635"/>
      <c r="T423" s="778">
        <f>+T421+T416+T406+T410</f>
        <v>28127</v>
      </c>
    </row>
    <row r="424" spans="1:20" ht="16.5" thickBot="1">
      <c r="A424" s="635"/>
      <c r="B424" s="752"/>
      <c r="C424" s="753"/>
      <c r="D424" s="635"/>
      <c r="E424" s="635"/>
      <c r="F424" s="635"/>
      <c r="G424" s="635"/>
      <c r="H424" s="635"/>
      <c r="I424" s="635"/>
      <c r="J424" s="635"/>
      <c r="K424" s="635"/>
      <c r="L424" s="635"/>
      <c r="M424" s="635"/>
      <c r="N424" s="635"/>
      <c r="O424" s="635"/>
      <c r="P424" s="635"/>
      <c r="Q424" s="635"/>
      <c r="R424" s="635"/>
      <c r="S424" s="635"/>
      <c r="T424" s="779"/>
    </row>
    <row r="425" spans="1:20" ht="15.75">
      <c r="A425" s="635"/>
      <c r="B425" s="750"/>
      <c r="C425" s="751"/>
      <c r="D425" s="635"/>
      <c r="E425" s="635"/>
      <c r="F425" s="635"/>
      <c r="G425" s="635"/>
      <c r="H425" s="635"/>
      <c r="I425" s="635"/>
      <c r="J425" s="635"/>
      <c r="K425" s="635"/>
      <c r="L425" s="635"/>
      <c r="M425" s="635"/>
      <c r="N425" s="635"/>
      <c r="O425" s="635"/>
      <c r="P425" s="635"/>
      <c r="Q425" s="635"/>
      <c r="R425" s="635"/>
      <c r="S425" s="635"/>
      <c r="T425" s="778"/>
    </row>
    <row r="426" spans="1:20" ht="15.75">
      <c r="A426" s="635"/>
      <c r="B426" s="748" t="s">
        <v>911</v>
      </c>
      <c r="C426" s="749"/>
      <c r="D426" s="635"/>
      <c r="E426" s="635"/>
      <c r="F426" s="635"/>
      <c r="G426" s="635"/>
      <c r="H426" s="635"/>
      <c r="I426" s="635"/>
      <c r="J426" s="635"/>
      <c r="K426" s="635"/>
      <c r="L426" s="635"/>
      <c r="M426" s="635"/>
      <c r="N426" s="635"/>
      <c r="O426" s="635"/>
      <c r="P426" s="635"/>
      <c r="Q426" s="635"/>
      <c r="R426" s="635"/>
      <c r="S426" s="635"/>
      <c r="T426" s="777">
        <f>+T421+T416+T406+T396+T378</f>
        <v>1153907</v>
      </c>
    </row>
    <row r="427" spans="1:20" ht="15.75">
      <c r="A427" s="635"/>
      <c r="B427" s="748" t="s">
        <v>912</v>
      </c>
      <c r="C427" s="749"/>
      <c r="D427" s="635"/>
      <c r="E427" s="635"/>
      <c r="F427" s="635"/>
      <c r="G427" s="635"/>
      <c r="H427" s="635"/>
      <c r="I427" s="635"/>
      <c r="J427" s="635"/>
      <c r="K427" s="635"/>
      <c r="L427" s="635"/>
      <c r="M427" s="635"/>
      <c r="N427" s="635"/>
      <c r="O427" s="635"/>
      <c r="P427" s="635"/>
      <c r="Q427" s="635"/>
      <c r="R427" s="635"/>
      <c r="S427" s="635"/>
      <c r="T427" s="777">
        <f>+T403+T375</f>
        <v>1152234</v>
      </c>
    </row>
    <row r="428" spans="1:20" ht="15.75">
      <c r="A428" s="635"/>
      <c r="B428" s="748" t="s">
        <v>808</v>
      </c>
      <c r="C428" s="749"/>
      <c r="D428" s="635"/>
      <c r="E428" s="635"/>
      <c r="F428" s="635"/>
      <c r="G428" s="635"/>
      <c r="H428" s="635"/>
      <c r="I428" s="635"/>
      <c r="J428" s="635"/>
      <c r="K428" s="635"/>
      <c r="L428" s="635"/>
      <c r="M428" s="635"/>
      <c r="N428" s="635"/>
      <c r="O428" s="635"/>
      <c r="P428" s="635"/>
      <c r="Q428" s="635"/>
      <c r="R428" s="635"/>
      <c r="S428" s="635"/>
      <c r="T428" s="777">
        <f>+T439-T427</f>
        <v>1691</v>
      </c>
    </row>
    <row r="429" spans="1:20" ht="15.75">
      <c r="A429" s="635"/>
      <c r="B429" s="748" t="s">
        <v>809</v>
      </c>
      <c r="C429" s="749"/>
      <c r="D429" s="635"/>
      <c r="E429" s="635"/>
      <c r="F429" s="635"/>
      <c r="G429" s="635"/>
      <c r="H429" s="635"/>
      <c r="I429" s="635"/>
      <c r="J429" s="635"/>
      <c r="K429" s="635"/>
      <c r="L429" s="635"/>
      <c r="M429" s="635"/>
      <c r="N429" s="635"/>
      <c r="O429" s="635"/>
      <c r="P429" s="635"/>
      <c r="Q429" s="635"/>
      <c r="R429" s="635"/>
      <c r="S429" s="635"/>
      <c r="T429" s="777">
        <f>+T378+T406</f>
        <v>1152750</v>
      </c>
    </row>
    <row r="430" spans="1:20" ht="15.75">
      <c r="A430" s="635"/>
      <c r="B430" s="748" t="s">
        <v>913</v>
      </c>
      <c r="C430" s="749"/>
      <c r="D430" s="635"/>
      <c r="E430" s="635"/>
      <c r="F430" s="635"/>
      <c r="G430" s="635"/>
      <c r="H430" s="635"/>
      <c r="I430" s="635"/>
      <c r="J430" s="635"/>
      <c r="K430" s="635"/>
      <c r="L430" s="635"/>
      <c r="M430" s="635"/>
      <c r="N430" s="635"/>
      <c r="O430" s="635"/>
      <c r="P430" s="635"/>
      <c r="Q430" s="635"/>
      <c r="R430" s="635"/>
      <c r="S430" s="635"/>
      <c r="T430" s="777">
        <f>+T416+T382</f>
        <v>22</v>
      </c>
    </row>
    <row r="431" spans="1:20" ht="15.75">
      <c r="A431" s="635"/>
      <c r="B431" s="748" t="s">
        <v>810</v>
      </c>
      <c r="C431" s="749"/>
      <c r="D431" s="635"/>
      <c r="E431" s="635"/>
      <c r="F431" s="635"/>
      <c r="G431" s="635"/>
      <c r="H431" s="635"/>
      <c r="I431" s="635"/>
      <c r="J431" s="635"/>
      <c r="K431" s="635"/>
      <c r="L431" s="635"/>
      <c r="M431" s="635"/>
      <c r="N431" s="635"/>
      <c r="O431" s="635"/>
      <c r="P431" s="635"/>
      <c r="Q431" s="635"/>
      <c r="R431" s="635"/>
      <c r="S431" s="635"/>
      <c r="T431" s="777">
        <f>+T421+T396</f>
        <v>1153</v>
      </c>
    </row>
    <row r="432" spans="1:20" ht="15.75">
      <c r="A432" s="635"/>
      <c r="B432" s="748" t="s">
        <v>914</v>
      </c>
      <c r="C432" s="749"/>
      <c r="D432" s="635"/>
      <c r="E432" s="635"/>
      <c r="F432" s="635"/>
      <c r="G432" s="635"/>
      <c r="H432" s="635"/>
      <c r="I432" s="635"/>
      <c r="J432" s="635"/>
      <c r="K432" s="635"/>
      <c r="L432" s="635"/>
      <c r="M432" s="635"/>
      <c r="N432" s="635"/>
      <c r="O432" s="635"/>
      <c r="P432" s="635"/>
      <c r="Q432" s="635"/>
      <c r="R432" s="635"/>
      <c r="S432" s="635"/>
      <c r="T432" s="777"/>
    </row>
    <row r="433" spans="1:20" ht="15.75">
      <c r="A433" s="635"/>
      <c r="B433" s="748" t="s">
        <v>915</v>
      </c>
      <c r="C433" s="749"/>
      <c r="D433" s="635"/>
      <c r="E433" s="635"/>
      <c r="F433" s="635"/>
      <c r="G433" s="635"/>
      <c r="H433" s="635"/>
      <c r="I433" s="635"/>
      <c r="J433" s="635"/>
      <c r="K433" s="635"/>
      <c r="L433" s="635"/>
      <c r="M433" s="635"/>
      <c r="N433" s="635"/>
      <c r="O433" s="635"/>
      <c r="P433" s="635"/>
      <c r="Q433" s="635"/>
      <c r="R433" s="635"/>
      <c r="S433" s="635"/>
      <c r="T433" s="777"/>
    </row>
    <row r="434" spans="1:20" ht="15.75">
      <c r="A434" s="635"/>
      <c r="B434" s="748"/>
      <c r="C434" s="749"/>
      <c r="D434" s="635"/>
      <c r="E434" s="635"/>
      <c r="F434" s="635"/>
      <c r="G434" s="635"/>
      <c r="H434" s="635"/>
      <c r="I434" s="635"/>
      <c r="J434" s="635"/>
      <c r="K434" s="635"/>
      <c r="L434" s="635"/>
      <c r="M434" s="635"/>
      <c r="N434" s="635"/>
      <c r="O434" s="635"/>
      <c r="P434" s="635"/>
      <c r="Q434" s="635"/>
      <c r="R434" s="635"/>
      <c r="S434" s="635"/>
      <c r="T434" s="777"/>
    </row>
    <row r="435" spans="1:20" ht="15.75">
      <c r="A435" s="635"/>
      <c r="B435" s="748"/>
      <c r="C435" s="749"/>
      <c r="D435" s="635"/>
      <c r="E435" s="635"/>
      <c r="F435" s="635"/>
      <c r="G435" s="635"/>
      <c r="H435" s="635"/>
      <c r="I435" s="635"/>
      <c r="J435" s="635"/>
      <c r="K435" s="635"/>
      <c r="L435" s="635"/>
      <c r="M435" s="635"/>
      <c r="N435" s="635"/>
      <c r="O435" s="635"/>
      <c r="P435" s="635"/>
      <c r="Q435" s="635"/>
      <c r="R435" s="635"/>
      <c r="S435" s="635"/>
      <c r="T435" s="777"/>
    </row>
    <row r="436" spans="1:20" ht="15.75">
      <c r="A436" s="635"/>
      <c r="B436" s="748" t="s">
        <v>916</v>
      </c>
      <c r="C436" s="749"/>
      <c r="D436" s="635"/>
      <c r="E436" s="635"/>
      <c r="F436" s="635"/>
      <c r="G436" s="635"/>
      <c r="H436" s="635"/>
      <c r="I436" s="635"/>
      <c r="J436" s="635"/>
      <c r="K436" s="635"/>
      <c r="L436" s="635"/>
      <c r="M436" s="635"/>
      <c r="N436" s="635"/>
      <c r="O436" s="635"/>
      <c r="P436" s="635"/>
      <c r="Q436" s="635"/>
      <c r="R436" s="635"/>
      <c r="S436" s="635"/>
      <c r="T436" s="777">
        <f>+T398</f>
        <v>1125798</v>
      </c>
    </row>
    <row r="437" spans="1:20" ht="15.75">
      <c r="A437" s="635"/>
      <c r="B437" s="748" t="s">
        <v>917</v>
      </c>
      <c r="C437" s="749"/>
      <c r="D437" s="635"/>
      <c r="E437" s="635"/>
      <c r="F437" s="635"/>
      <c r="G437" s="635"/>
      <c r="H437" s="635"/>
      <c r="I437" s="635"/>
      <c r="J437" s="635"/>
      <c r="K437" s="635"/>
      <c r="L437" s="635"/>
      <c r="M437" s="635"/>
      <c r="N437" s="635"/>
      <c r="O437" s="635"/>
      <c r="P437" s="635"/>
      <c r="Q437" s="635"/>
      <c r="R437" s="635"/>
      <c r="S437" s="635"/>
      <c r="T437" s="777">
        <f>+T423</f>
        <v>28127</v>
      </c>
    </row>
    <row r="438" spans="1:20" ht="16.5" thickBot="1">
      <c r="A438" s="635"/>
      <c r="B438" s="755"/>
      <c r="C438" s="756"/>
      <c r="D438" s="635"/>
      <c r="E438" s="635"/>
      <c r="F438" s="635"/>
      <c r="G438" s="635"/>
      <c r="H438" s="635"/>
      <c r="I438" s="635"/>
      <c r="J438" s="635"/>
      <c r="K438" s="635"/>
      <c r="L438" s="635"/>
      <c r="M438" s="635"/>
      <c r="N438" s="635"/>
      <c r="O438" s="635"/>
      <c r="P438" s="635"/>
      <c r="Q438" s="635"/>
      <c r="R438" s="635"/>
      <c r="S438" s="635"/>
      <c r="T438" s="780"/>
    </row>
    <row r="439" spans="1:20" ht="16.5" thickBot="1">
      <c r="A439" s="635"/>
      <c r="B439" s="752" t="s">
        <v>918</v>
      </c>
      <c r="C439" s="753"/>
      <c r="D439" s="635"/>
      <c r="E439" s="635"/>
      <c r="F439" s="635"/>
      <c r="G439" s="635"/>
      <c r="H439" s="635"/>
      <c r="I439" s="635"/>
      <c r="J439" s="635"/>
      <c r="K439" s="635"/>
      <c r="L439" s="635"/>
      <c r="M439" s="635"/>
      <c r="N439" s="635"/>
      <c r="O439" s="635"/>
      <c r="P439" s="635"/>
      <c r="Q439" s="635"/>
      <c r="R439" s="635"/>
      <c r="S439" s="635"/>
      <c r="T439" s="779">
        <f>SUM(T436:T438)</f>
        <v>1153925</v>
      </c>
    </row>
    <row r="440" spans="1:20" ht="16.5" thickBot="1">
      <c r="A440" s="635"/>
      <c r="B440" s="635"/>
      <c r="C440" s="635"/>
      <c r="D440" s="635"/>
      <c r="E440" s="635"/>
      <c r="F440" s="635"/>
      <c r="G440" s="635"/>
      <c r="H440" s="635"/>
      <c r="I440" s="635"/>
      <c r="J440" s="635"/>
      <c r="K440" s="635"/>
      <c r="L440" s="635"/>
      <c r="M440" s="635"/>
      <c r="N440" s="635"/>
      <c r="O440" s="635"/>
      <c r="P440" s="635"/>
      <c r="Q440" s="635"/>
      <c r="R440" s="635"/>
      <c r="S440" s="635"/>
      <c r="T440" s="783"/>
    </row>
    <row r="441" spans="1:20" ht="16.5" thickBot="1">
      <c r="A441" s="635"/>
      <c r="B441" s="746" t="s">
        <v>127</v>
      </c>
      <c r="C441" s="747" t="s">
        <v>919</v>
      </c>
      <c r="D441" s="635"/>
      <c r="E441" s="635"/>
      <c r="F441" s="635"/>
      <c r="G441" s="635"/>
      <c r="H441" s="635"/>
      <c r="I441" s="635"/>
      <c r="J441" s="635"/>
      <c r="K441" s="635"/>
      <c r="L441" s="635"/>
      <c r="M441" s="635"/>
      <c r="N441" s="635"/>
      <c r="O441" s="635"/>
      <c r="P441" s="635"/>
      <c r="Q441" s="635"/>
      <c r="R441" s="635"/>
      <c r="S441" s="635"/>
      <c r="T441" s="776" t="s">
        <v>919</v>
      </c>
    </row>
    <row r="442" spans="1:20" ht="15.75">
      <c r="A442" s="635"/>
      <c r="B442" s="748" t="s">
        <v>884</v>
      </c>
      <c r="C442" s="749"/>
      <c r="D442" s="635"/>
      <c r="E442" s="635"/>
      <c r="F442" s="635"/>
      <c r="G442" s="635"/>
      <c r="H442" s="635"/>
      <c r="I442" s="635"/>
      <c r="J442" s="635"/>
      <c r="K442" s="635"/>
      <c r="L442" s="635"/>
      <c r="M442" s="635"/>
      <c r="N442" s="635"/>
      <c r="O442" s="635"/>
      <c r="P442" s="635"/>
      <c r="Q442" s="635"/>
      <c r="R442" s="635"/>
      <c r="S442" s="635"/>
      <c r="T442" s="777"/>
    </row>
    <row r="443" spans="1:20" ht="15.75">
      <c r="A443" s="635"/>
      <c r="B443" s="750"/>
      <c r="C443" s="751" t="s">
        <v>287</v>
      </c>
      <c r="D443" s="635"/>
      <c r="E443" s="635"/>
      <c r="F443" s="635"/>
      <c r="G443" s="635"/>
      <c r="H443" s="635"/>
      <c r="I443" s="635"/>
      <c r="J443" s="635"/>
      <c r="K443" s="635"/>
      <c r="L443" s="635"/>
      <c r="M443" s="635"/>
      <c r="N443" s="635"/>
      <c r="O443" s="635"/>
      <c r="P443" s="635"/>
      <c r="Q443" s="635"/>
      <c r="R443" s="635"/>
      <c r="S443" s="635"/>
      <c r="T443" s="778">
        <f>+$T$21</f>
        <v>1128382.8333333333</v>
      </c>
    </row>
    <row r="444" spans="1:20" ht="15.75">
      <c r="A444" s="635"/>
      <c r="B444" s="750"/>
      <c r="C444" s="751" t="s">
        <v>465</v>
      </c>
      <c r="D444" s="635"/>
      <c r="E444" s="635"/>
      <c r="F444" s="635"/>
      <c r="G444" s="635"/>
      <c r="H444" s="635"/>
      <c r="I444" s="635"/>
      <c r="J444" s="635"/>
      <c r="K444" s="635"/>
      <c r="L444" s="635"/>
      <c r="M444" s="635"/>
      <c r="N444" s="635"/>
      <c r="O444" s="635"/>
      <c r="P444" s="635"/>
      <c r="Q444" s="635"/>
      <c r="R444" s="635"/>
      <c r="S444" s="635"/>
      <c r="T444" s="778">
        <f>+$T$48</f>
        <v>484.41666666666669</v>
      </c>
    </row>
    <row r="445" spans="1:20" ht="16.5" thickBot="1">
      <c r="A445" s="635"/>
      <c r="B445" s="752"/>
      <c r="C445" s="753" t="s">
        <v>746</v>
      </c>
      <c r="D445" s="635"/>
      <c r="E445" s="635"/>
      <c r="F445" s="635"/>
      <c r="G445" s="635"/>
      <c r="H445" s="635"/>
      <c r="I445" s="635"/>
      <c r="J445" s="635"/>
      <c r="K445" s="635"/>
      <c r="L445" s="635"/>
      <c r="M445" s="635"/>
      <c r="N445" s="635"/>
      <c r="O445" s="635"/>
      <c r="P445" s="635"/>
      <c r="Q445" s="635"/>
      <c r="R445" s="635"/>
      <c r="S445" s="635"/>
      <c r="T445" s="779">
        <f>+$T$66</f>
        <v>1</v>
      </c>
    </row>
    <row r="446" spans="1:20" ht="15.75">
      <c r="A446" s="635"/>
      <c r="B446" s="750"/>
      <c r="C446" s="751" t="s">
        <v>92</v>
      </c>
      <c r="D446" s="635"/>
      <c r="E446" s="635"/>
      <c r="F446" s="635"/>
      <c r="G446" s="635"/>
      <c r="H446" s="635"/>
      <c r="I446" s="635"/>
      <c r="J446" s="635"/>
      <c r="K446" s="635"/>
      <c r="L446" s="635"/>
      <c r="M446" s="635"/>
      <c r="N446" s="635"/>
      <c r="O446" s="635"/>
      <c r="P446" s="635"/>
      <c r="Q446" s="635"/>
      <c r="R446" s="635"/>
      <c r="S446" s="635"/>
      <c r="T446" s="778">
        <f>SUM(T443:T445)</f>
        <v>1128868.25</v>
      </c>
    </row>
    <row r="447" spans="1:20" ht="15.75">
      <c r="A447" s="635"/>
      <c r="B447" s="750"/>
      <c r="C447" s="751"/>
      <c r="D447" s="635"/>
      <c r="E447" s="635"/>
      <c r="F447" s="635"/>
      <c r="G447" s="635"/>
      <c r="H447" s="635"/>
      <c r="I447" s="635"/>
      <c r="J447" s="635"/>
      <c r="K447" s="635"/>
      <c r="L447" s="635"/>
      <c r="M447" s="635"/>
      <c r="N447" s="635"/>
      <c r="O447" s="635"/>
      <c r="P447" s="635"/>
      <c r="Q447" s="635"/>
      <c r="R447" s="635"/>
      <c r="S447" s="635"/>
      <c r="T447" s="778"/>
    </row>
    <row r="448" spans="1:20" ht="15.75">
      <c r="A448" s="635"/>
      <c r="B448" s="748" t="s">
        <v>888</v>
      </c>
      <c r="C448" s="749"/>
      <c r="D448" s="635"/>
      <c r="E448" s="635"/>
      <c r="F448" s="635"/>
      <c r="G448" s="635"/>
      <c r="H448" s="635"/>
      <c r="I448" s="635"/>
      <c r="J448" s="635"/>
      <c r="K448" s="635"/>
      <c r="L448" s="635"/>
      <c r="M448" s="635"/>
      <c r="N448" s="635"/>
      <c r="O448" s="635"/>
      <c r="P448" s="635"/>
      <c r="Q448" s="635"/>
      <c r="R448" s="635"/>
      <c r="S448" s="635"/>
      <c r="T448" s="777"/>
    </row>
    <row r="449" spans="1:20" ht="16.5" thickBot="1">
      <c r="A449" s="635"/>
      <c r="B449" s="752"/>
      <c r="C449" s="753" t="s">
        <v>624</v>
      </c>
      <c r="D449" s="635"/>
      <c r="E449" s="635"/>
      <c r="F449" s="635"/>
      <c r="G449" s="635"/>
      <c r="H449" s="635"/>
      <c r="I449" s="635"/>
      <c r="J449" s="635"/>
      <c r="K449" s="635"/>
      <c r="L449" s="635"/>
      <c r="M449" s="635"/>
      <c r="N449" s="635"/>
      <c r="O449" s="635"/>
      <c r="P449" s="635"/>
      <c r="Q449" s="635"/>
      <c r="R449" s="635"/>
      <c r="S449" s="635"/>
      <c r="T449" s="779">
        <f>+$T$102</f>
        <v>18</v>
      </c>
    </row>
    <row r="450" spans="1:20" ht="15.75">
      <c r="A450" s="635"/>
      <c r="B450" s="750"/>
      <c r="C450" s="751" t="s">
        <v>93</v>
      </c>
      <c r="D450" s="635"/>
      <c r="E450" s="635"/>
      <c r="F450" s="635"/>
      <c r="G450" s="635"/>
      <c r="H450" s="635"/>
      <c r="I450" s="635"/>
      <c r="J450" s="635"/>
      <c r="K450" s="635"/>
      <c r="L450" s="635"/>
      <c r="M450" s="635"/>
      <c r="N450" s="635"/>
      <c r="O450" s="635"/>
      <c r="P450" s="635"/>
      <c r="Q450" s="635"/>
      <c r="R450" s="635"/>
      <c r="S450" s="635"/>
      <c r="T450" s="778">
        <f>SUM(T449:T449)</f>
        <v>18</v>
      </c>
    </row>
    <row r="451" spans="1:20" ht="15.75">
      <c r="A451" s="635"/>
      <c r="B451" s="750"/>
      <c r="C451" s="751"/>
      <c r="D451" s="635"/>
      <c r="E451" s="635"/>
      <c r="F451" s="635"/>
      <c r="G451" s="635"/>
      <c r="H451" s="635"/>
      <c r="I451" s="635"/>
      <c r="J451" s="635"/>
      <c r="K451" s="635"/>
      <c r="L451" s="635"/>
      <c r="M451" s="635"/>
      <c r="N451" s="635"/>
      <c r="O451" s="635"/>
      <c r="P451" s="635"/>
      <c r="Q451" s="635"/>
      <c r="R451" s="635"/>
      <c r="S451" s="635"/>
      <c r="T451" s="778"/>
    </row>
    <row r="452" spans="1:20" ht="15.75">
      <c r="A452" s="635"/>
      <c r="B452" s="748"/>
      <c r="C452" s="751" t="s">
        <v>634</v>
      </c>
      <c r="D452" s="635"/>
      <c r="E452" s="635"/>
      <c r="F452" s="635"/>
      <c r="G452" s="635"/>
      <c r="H452" s="635"/>
      <c r="I452" s="635"/>
      <c r="J452" s="635"/>
      <c r="K452" s="635"/>
      <c r="L452" s="635"/>
      <c r="M452" s="635"/>
      <c r="N452" s="635"/>
      <c r="O452" s="635"/>
      <c r="P452" s="635"/>
      <c r="Q452" s="635"/>
      <c r="R452" s="635"/>
      <c r="S452" s="635"/>
      <c r="T452" s="778"/>
    </row>
    <row r="453" spans="1:20" ht="16.5" thickBot="1">
      <c r="A453" s="635"/>
      <c r="B453" s="748"/>
      <c r="C453" s="753" t="s">
        <v>103</v>
      </c>
      <c r="D453" s="635"/>
      <c r="E453" s="635"/>
      <c r="F453" s="635"/>
      <c r="G453" s="635"/>
      <c r="H453" s="635"/>
      <c r="I453" s="635"/>
      <c r="J453" s="635"/>
      <c r="K453" s="635"/>
      <c r="L453" s="635"/>
      <c r="M453" s="635"/>
      <c r="N453" s="635"/>
      <c r="O453" s="635"/>
      <c r="P453" s="635"/>
      <c r="Q453" s="635"/>
      <c r="R453" s="635"/>
      <c r="S453" s="635"/>
      <c r="T453" s="779"/>
    </row>
    <row r="454" spans="1:20" ht="15.75">
      <c r="A454" s="635"/>
      <c r="B454" s="754"/>
      <c r="C454" s="751" t="s">
        <v>904</v>
      </c>
      <c r="D454" s="635"/>
      <c r="E454" s="635"/>
      <c r="F454" s="635"/>
      <c r="G454" s="635"/>
      <c r="H454" s="635"/>
      <c r="I454" s="635"/>
      <c r="J454" s="635"/>
      <c r="K454" s="635"/>
      <c r="L454" s="635"/>
      <c r="M454" s="635"/>
      <c r="N454" s="635"/>
      <c r="O454" s="635"/>
      <c r="P454" s="635"/>
      <c r="Q454" s="635"/>
      <c r="R454" s="635"/>
      <c r="S454" s="635"/>
      <c r="T454" s="778"/>
    </row>
    <row r="455" spans="1:20" ht="15.75">
      <c r="A455" s="635"/>
      <c r="B455" s="748"/>
      <c r="C455" s="749"/>
      <c r="D455" s="635"/>
      <c r="E455" s="635"/>
      <c r="F455" s="635"/>
      <c r="G455" s="635"/>
      <c r="H455" s="635"/>
      <c r="I455" s="635"/>
      <c r="J455" s="635"/>
      <c r="K455" s="635"/>
      <c r="L455" s="635"/>
      <c r="M455" s="635"/>
      <c r="N455" s="635"/>
      <c r="O455" s="635"/>
      <c r="P455" s="635"/>
      <c r="Q455" s="635"/>
      <c r="R455" s="635"/>
      <c r="S455" s="635"/>
      <c r="T455" s="777"/>
    </row>
    <row r="456" spans="1:20" ht="15.75">
      <c r="A456" s="635"/>
      <c r="B456" s="748" t="s">
        <v>892</v>
      </c>
      <c r="C456" s="749"/>
      <c r="D456" s="635"/>
      <c r="E456" s="635"/>
      <c r="F456" s="635"/>
      <c r="G456" s="635"/>
      <c r="H456" s="635"/>
      <c r="I456" s="635"/>
      <c r="J456" s="635"/>
      <c r="K456" s="635"/>
      <c r="L456" s="635"/>
      <c r="M456" s="635"/>
      <c r="N456" s="635"/>
      <c r="O456" s="635"/>
      <c r="P456" s="635"/>
      <c r="Q456" s="635"/>
      <c r="R456" s="635"/>
      <c r="S456" s="635"/>
      <c r="T456" s="777"/>
    </row>
    <row r="457" spans="1:20" ht="15.75">
      <c r="A457" s="635"/>
      <c r="B457" s="748"/>
      <c r="C457" s="749" t="s">
        <v>821</v>
      </c>
      <c r="D457" s="635"/>
      <c r="E457" s="635"/>
      <c r="F457" s="635"/>
      <c r="G457" s="635"/>
      <c r="H457" s="635"/>
      <c r="I457" s="635"/>
      <c r="J457" s="635"/>
      <c r="K457" s="635"/>
      <c r="L457" s="635"/>
      <c r="M457" s="635"/>
      <c r="N457" s="635"/>
      <c r="O457" s="635"/>
      <c r="P457" s="635"/>
      <c r="Q457" s="635"/>
      <c r="R457" s="635"/>
      <c r="S457" s="635"/>
      <c r="T457" s="777">
        <f>+$T$129</f>
        <v>8</v>
      </c>
    </row>
    <row r="458" spans="1:20" ht="15.75">
      <c r="A458" s="635"/>
      <c r="B458" s="748"/>
      <c r="C458" s="749" t="s">
        <v>895</v>
      </c>
      <c r="D458" s="635"/>
      <c r="E458" s="635"/>
      <c r="F458" s="635"/>
      <c r="G458" s="635"/>
      <c r="H458" s="635"/>
      <c r="I458" s="635"/>
      <c r="J458" s="635"/>
      <c r="K458" s="635"/>
      <c r="L458" s="635"/>
      <c r="M458" s="635"/>
      <c r="N458" s="635"/>
      <c r="O458" s="635"/>
      <c r="P458" s="635"/>
      <c r="Q458" s="635"/>
      <c r="R458" s="635"/>
      <c r="S458" s="635"/>
      <c r="T458" s="777">
        <f>+$T$138</f>
        <v>0</v>
      </c>
    </row>
    <row r="459" spans="1:20" ht="15.75">
      <c r="A459" s="635"/>
      <c r="B459" s="748"/>
      <c r="C459" s="749" t="s">
        <v>517</v>
      </c>
      <c r="D459" s="635"/>
      <c r="E459" s="635"/>
      <c r="F459" s="635"/>
      <c r="G459" s="635"/>
      <c r="H459" s="635"/>
      <c r="I459" s="635"/>
      <c r="J459" s="635"/>
      <c r="K459" s="635"/>
      <c r="L459" s="635"/>
      <c r="M459" s="635"/>
      <c r="N459" s="635"/>
      <c r="O459" s="635"/>
      <c r="P459" s="635"/>
      <c r="Q459" s="635"/>
      <c r="R459" s="635"/>
      <c r="S459" s="635"/>
      <c r="T459" s="777">
        <f>+$T$156</f>
        <v>0</v>
      </c>
    </row>
    <row r="460" spans="1:20" ht="15.75">
      <c r="A460" s="635"/>
      <c r="B460" s="748"/>
      <c r="C460" s="749" t="s">
        <v>516</v>
      </c>
      <c r="D460" s="635"/>
      <c r="E460" s="635"/>
      <c r="F460" s="635"/>
      <c r="G460" s="635"/>
      <c r="H460" s="635"/>
      <c r="I460" s="635"/>
      <c r="J460" s="635"/>
      <c r="K460" s="635"/>
      <c r="L460" s="635"/>
      <c r="M460" s="635"/>
      <c r="N460" s="635"/>
      <c r="O460" s="635"/>
      <c r="P460" s="635"/>
      <c r="Q460" s="635"/>
      <c r="R460" s="635"/>
      <c r="S460" s="635"/>
      <c r="T460" s="777">
        <f>+$T$183</f>
        <v>0</v>
      </c>
    </row>
    <row r="461" spans="1:20" ht="15.75">
      <c r="A461" s="635"/>
      <c r="B461" s="748"/>
      <c r="C461" s="749" t="s">
        <v>636</v>
      </c>
      <c r="D461" s="635"/>
      <c r="E461" s="635"/>
      <c r="F461" s="635"/>
      <c r="G461" s="635"/>
      <c r="H461" s="635"/>
      <c r="I461" s="635"/>
      <c r="J461" s="635"/>
      <c r="K461" s="635"/>
      <c r="L461" s="635"/>
      <c r="M461" s="635"/>
      <c r="N461" s="635"/>
      <c r="O461" s="635"/>
      <c r="P461" s="635"/>
      <c r="Q461" s="635"/>
      <c r="R461" s="635"/>
      <c r="S461" s="635"/>
      <c r="T461" s="777">
        <f>+$T$147</f>
        <v>1</v>
      </c>
    </row>
    <row r="462" spans="1:20" ht="15.75">
      <c r="A462" s="635"/>
      <c r="B462" s="748"/>
      <c r="C462" s="749" t="s">
        <v>625</v>
      </c>
      <c r="D462" s="635"/>
      <c r="E462" s="635"/>
      <c r="F462" s="635"/>
      <c r="G462" s="635"/>
      <c r="H462" s="635"/>
      <c r="I462" s="635"/>
      <c r="J462" s="635"/>
      <c r="K462" s="635"/>
      <c r="L462" s="635"/>
      <c r="M462" s="635"/>
      <c r="N462" s="635"/>
      <c r="O462" s="635"/>
      <c r="P462" s="635"/>
      <c r="Q462" s="635"/>
      <c r="R462" s="635"/>
      <c r="S462" s="635"/>
      <c r="T462" s="777">
        <f>+$T$165</f>
        <v>1148.5</v>
      </c>
    </row>
    <row r="463" spans="1:20" ht="16.5" thickBot="1">
      <c r="A463" s="635"/>
      <c r="B463" s="755"/>
      <c r="C463" s="756" t="s">
        <v>829</v>
      </c>
      <c r="D463" s="635"/>
      <c r="E463" s="635"/>
      <c r="F463" s="635"/>
      <c r="G463" s="635"/>
      <c r="H463" s="635"/>
      <c r="I463" s="635"/>
      <c r="J463" s="635"/>
      <c r="K463" s="635"/>
      <c r="L463" s="635"/>
      <c r="M463" s="635"/>
      <c r="N463" s="635"/>
      <c r="O463" s="635"/>
      <c r="P463" s="635"/>
      <c r="Q463" s="635"/>
      <c r="R463" s="635"/>
      <c r="S463" s="635"/>
      <c r="T463" s="780">
        <f>+$T$174</f>
        <v>0</v>
      </c>
    </row>
    <row r="464" spans="1:20" ht="15.75">
      <c r="A464" s="635"/>
      <c r="B464" s="750"/>
      <c r="C464" s="751" t="s">
        <v>94</v>
      </c>
      <c r="D464" s="635"/>
      <c r="E464" s="635"/>
      <c r="F464" s="635"/>
      <c r="G464" s="635"/>
      <c r="H464" s="635"/>
      <c r="I464" s="635"/>
      <c r="J464" s="635"/>
      <c r="K464" s="635"/>
      <c r="L464" s="635"/>
      <c r="M464" s="635"/>
      <c r="N464" s="635"/>
      <c r="O464" s="635"/>
      <c r="P464" s="635"/>
      <c r="Q464" s="635"/>
      <c r="R464" s="635"/>
      <c r="S464" s="635"/>
      <c r="T464" s="778">
        <f>SUM(T457:T463)</f>
        <v>1157.5</v>
      </c>
    </row>
    <row r="465" spans="1:20" ht="15.75">
      <c r="A465" s="635"/>
      <c r="B465" s="748"/>
      <c r="C465" s="749"/>
      <c r="D465" s="635"/>
      <c r="E465" s="635"/>
      <c r="F465" s="635"/>
      <c r="G465" s="635"/>
      <c r="H465" s="635"/>
      <c r="I465" s="635"/>
      <c r="J465" s="635"/>
      <c r="K465" s="635"/>
      <c r="L465" s="635"/>
      <c r="M465" s="635"/>
      <c r="N465" s="635"/>
      <c r="O465" s="635"/>
      <c r="P465" s="635"/>
      <c r="Q465" s="635"/>
      <c r="R465" s="635"/>
      <c r="S465" s="635"/>
      <c r="T465" s="777"/>
    </row>
    <row r="466" spans="1:20" ht="15.75">
      <c r="A466" s="635"/>
      <c r="B466" s="750"/>
      <c r="C466" s="751" t="s">
        <v>905</v>
      </c>
      <c r="D466" s="635"/>
      <c r="E466" s="635"/>
      <c r="F466" s="635"/>
      <c r="G466" s="635"/>
      <c r="H466" s="635"/>
      <c r="I466" s="635"/>
      <c r="J466" s="635"/>
      <c r="K466" s="635"/>
      <c r="L466" s="635"/>
      <c r="M466" s="635"/>
      <c r="N466" s="635"/>
      <c r="O466" s="635"/>
      <c r="P466" s="635"/>
      <c r="Q466" s="635"/>
      <c r="R466" s="635"/>
      <c r="S466" s="635"/>
      <c r="T466" s="778">
        <f>+T464+T454+T446+T450</f>
        <v>1130043.75</v>
      </c>
    </row>
    <row r="467" spans="1:20" ht="16.5" thickBot="1">
      <c r="A467" s="635"/>
      <c r="B467" s="755"/>
      <c r="C467" s="756"/>
      <c r="D467" s="635"/>
      <c r="E467" s="635"/>
      <c r="F467" s="635"/>
      <c r="G467" s="635"/>
      <c r="H467" s="635"/>
      <c r="I467" s="635"/>
      <c r="J467" s="635"/>
      <c r="K467" s="635"/>
      <c r="L467" s="635"/>
      <c r="M467" s="635"/>
      <c r="N467" s="635"/>
      <c r="O467" s="635"/>
      <c r="P467" s="635"/>
      <c r="Q467" s="635"/>
      <c r="R467" s="635"/>
      <c r="S467" s="635"/>
      <c r="T467" s="780"/>
    </row>
    <row r="468" spans="1:20" ht="16.5" thickBot="1">
      <c r="A468" s="635"/>
      <c r="B468" s="750"/>
      <c r="C468" s="751"/>
      <c r="D468" s="635"/>
      <c r="E468" s="635"/>
      <c r="F468" s="635"/>
      <c r="G468" s="635"/>
      <c r="H468" s="635"/>
      <c r="I468" s="635"/>
      <c r="J468" s="635"/>
      <c r="K468" s="635"/>
      <c r="L468" s="635"/>
      <c r="M468" s="635"/>
      <c r="N468" s="635"/>
      <c r="O468" s="635"/>
      <c r="P468" s="635"/>
      <c r="Q468" s="635"/>
      <c r="R468" s="635"/>
      <c r="S468" s="635"/>
      <c r="T468" s="778"/>
    </row>
    <row r="469" spans="1:20" ht="15.75">
      <c r="A469" s="635"/>
      <c r="B469" s="757" t="s">
        <v>906</v>
      </c>
      <c r="C469" s="758"/>
      <c r="D469" s="635"/>
      <c r="E469" s="635"/>
      <c r="F469" s="635"/>
      <c r="G469" s="635"/>
      <c r="H469" s="635"/>
      <c r="I469" s="635"/>
      <c r="J469" s="635"/>
      <c r="K469" s="635"/>
      <c r="L469" s="635"/>
      <c r="M469" s="635"/>
      <c r="N469" s="635"/>
      <c r="O469" s="635"/>
      <c r="P469" s="635"/>
      <c r="Q469" s="635"/>
      <c r="R469" s="635"/>
      <c r="S469" s="635"/>
      <c r="T469" s="781"/>
    </row>
    <row r="470" spans="1:20" ht="16.5" thickBot="1">
      <c r="A470" s="635"/>
      <c r="B470" s="759" t="s">
        <v>884</v>
      </c>
      <c r="C470" s="760"/>
      <c r="D470" s="635"/>
      <c r="E470" s="635"/>
      <c r="F470" s="635"/>
      <c r="G470" s="635"/>
      <c r="H470" s="635"/>
      <c r="I470" s="635"/>
      <c r="J470" s="635"/>
      <c r="K470" s="635"/>
      <c r="L470" s="635"/>
      <c r="M470" s="635"/>
      <c r="N470" s="635"/>
      <c r="O470" s="635"/>
      <c r="P470" s="635"/>
      <c r="Q470" s="635"/>
      <c r="R470" s="635"/>
      <c r="S470" s="635"/>
      <c r="T470" s="782"/>
    </row>
    <row r="471" spans="1:20" ht="15.75">
      <c r="A471" s="635"/>
      <c r="B471" s="750"/>
      <c r="C471" s="751" t="s">
        <v>907</v>
      </c>
      <c r="D471" s="635"/>
      <c r="E471" s="635"/>
      <c r="F471" s="635"/>
      <c r="G471" s="635"/>
      <c r="H471" s="635"/>
      <c r="I471" s="635"/>
      <c r="J471" s="635"/>
      <c r="K471" s="635"/>
      <c r="L471" s="635"/>
      <c r="M471" s="635"/>
      <c r="N471" s="635"/>
      <c r="O471" s="635"/>
      <c r="P471" s="635"/>
      <c r="Q471" s="635"/>
      <c r="R471" s="635"/>
      <c r="S471" s="635"/>
      <c r="T471" s="778">
        <f>+$T$244</f>
        <v>28084.416666666668</v>
      </c>
    </row>
    <row r="472" spans="1:20" ht="15.75">
      <c r="A472" s="635"/>
      <c r="B472" s="750"/>
      <c r="C472" s="751" t="s">
        <v>465</v>
      </c>
      <c r="D472" s="635"/>
      <c r="E472" s="635"/>
      <c r="F472" s="635"/>
      <c r="G472" s="635"/>
      <c r="H472" s="635"/>
      <c r="I472" s="635"/>
      <c r="J472" s="635"/>
      <c r="K472" s="635"/>
      <c r="L472" s="635"/>
      <c r="M472" s="635"/>
      <c r="N472" s="635"/>
      <c r="O472" s="635"/>
      <c r="P472" s="635"/>
      <c r="Q472" s="635"/>
      <c r="R472" s="635"/>
      <c r="S472" s="635"/>
      <c r="T472" s="778">
        <f>+$T$253</f>
        <v>27.833333333333332</v>
      </c>
    </row>
    <row r="473" spans="1:20" ht="16.5" thickBot="1">
      <c r="A473" s="635"/>
      <c r="B473" s="752"/>
      <c r="C473" s="753" t="s">
        <v>746</v>
      </c>
      <c r="D473" s="635"/>
      <c r="E473" s="635"/>
      <c r="F473" s="635"/>
      <c r="G473" s="635"/>
      <c r="H473" s="635"/>
      <c r="I473" s="635"/>
      <c r="J473" s="635"/>
      <c r="K473" s="635"/>
      <c r="L473" s="635"/>
      <c r="M473" s="635"/>
      <c r="N473" s="635"/>
      <c r="O473" s="635"/>
      <c r="P473" s="635"/>
      <c r="Q473" s="635"/>
      <c r="R473" s="635"/>
      <c r="S473" s="635"/>
      <c r="T473" s="779">
        <f>+$T$262</f>
        <v>1</v>
      </c>
    </row>
    <row r="474" spans="1:20" ht="15.75">
      <c r="A474" s="635"/>
      <c r="B474" s="750"/>
      <c r="C474" s="751" t="s">
        <v>95</v>
      </c>
      <c r="D474" s="635"/>
      <c r="E474" s="635"/>
      <c r="F474" s="635"/>
      <c r="G474" s="635"/>
      <c r="H474" s="635"/>
      <c r="I474" s="635"/>
      <c r="J474" s="635"/>
      <c r="K474" s="635"/>
      <c r="L474" s="635"/>
      <c r="M474" s="635"/>
      <c r="N474" s="635"/>
      <c r="O474" s="635"/>
      <c r="P474" s="635"/>
      <c r="Q474" s="635"/>
      <c r="R474" s="635"/>
      <c r="S474" s="635"/>
      <c r="T474" s="778">
        <f>SUM(T471:T473)</f>
        <v>28113.25</v>
      </c>
    </row>
    <row r="475" spans="1:20" ht="15.75">
      <c r="A475" s="635"/>
      <c r="B475" s="750"/>
      <c r="C475" s="751"/>
      <c r="D475" s="635"/>
      <c r="E475" s="635"/>
      <c r="F475" s="635"/>
      <c r="G475" s="635"/>
      <c r="H475" s="635"/>
      <c r="I475" s="635"/>
      <c r="J475" s="635"/>
      <c r="K475" s="635"/>
      <c r="L475" s="635"/>
      <c r="M475" s="635"/>
      <c r="N475" s="635"/>
      <c r="O475" s="635"/>
      <c r="P475" s="635"/>
      <c r="Q475" s="635"/>
      <c r="R475" s="635"/>
      <c r="S475" s="635"/>
      <c r="T475" s="778"/>
    </row>
    <row r="476" spans="1:20" ht="15.75">
      <c r="A476" s="635"/>
      <c r="B476" s="748"/>
      <c r="C476" s="751" t="s">
        <v>634</v>
      </c>
      <c r="D476" s="635"/>
      <c r="E476" s="635"/>
      <c r="F476" s="635"/>
      <c r="G476" s="635"/>
      <c r="H476" s="635"/>
      <c r="I476" s="635"/>
      <c r="J476" s="635"/>
      <c r="K476" s="635"/>
      <c r="L476" s="635"/>
      <c r="M476" s="635"/>
      <c r="N476" s="635"/>
      <c r="O476" s="635"/>
      <c r="P476" s="635"/>
      <c r="Q476" s="635"/>
      <c r="R476" s="635"/>
      <c r="S476" s="635"/>
      <c r="T476" s="778"/>
    </row>
    <row r="477" spans="1:20" ht="16.5" thickBot="1">
      <c r="A477" s="635"/>
      <c r="B477" s="748"/>
      <c r="C477" s="753" t="s">
        <v>103</v>
      </c>
      <c r="D477" s="635"/>
      <c r="E477" s="635"/>
      <c r="F477" s="635"/>
      <c r="G477" s="635"/>
      <c r="H477" s="635"/>
      <c r="I477" s="635"/>
      <c r="J477" s="635"/>
      <c r="K477" s="635"/>
      <c r="L477" s="635"/>
      <c r="M477" s="635"/>
      <c r="N477" s="635"/>
      <c r="O477" s="635"/>
      <c r="P477" s="635"/>
      <c r="Q477" s="635"/>
      <c r="R477" s="635"/>
      <c r="S477" s="635"/>
      <c r="T477" s="779"/>
    </row>
    <row r="478" spans="1:20" ht="15.75">
      <c r="A478" s="635"/>
      <c r="B478" s="754"/>
      <c r="C478" s="751" t="s">
        <v>904</v>
      </c>
      <c r="D478" s="635"/>
      <c r="E478" s="635"/>
      <c r="F478" s="635"/>
      <c r="G478" s="635"/>
      <c r="H478" s="635"/>
      <c r="I478" s="635"/>
      <c r="J478" s="635"/>
      <c r="K478" s="635"/>
      <c r="L478" s="635"/>
      <c r="M478" s="635"/>
      <c r="N478" s="635"/>
      <c r="O478" s="635"/>
      <c r="P478" s="635"/>
      <c r="Q478" s="635"/>
      <c r="R478" s="635"/>
      <c r="S478" s="635"/>
      <c r="T478" s="778"/>
    </row>
    <row r="479" spans="1:20" ht="15.75">
      <c r="A479" s="635"/>
      <c r="B479" s="748"/>
      <c r="C479" s="749"/>
      <c r="D479" s="635"/>
      <c r="E479" s="635"/>
      <c r="F479" s="635"/>
      <c r="G479" s="635"/>
      <c r="H479" s="635"/>
      <c r="I479" s="635"/>
      <c r="J479" s="635"/>
      <c r="K479" s="635"/>
      <c r="L479" s="635"/>
      <c r="M479" s="635"/>
      <c r="N479" s="635"/>
      <c r="O479" s="635"/>
      <c r="P479" s="635"/>
      <c r="Q479" s="635"/>
      <c r="R479" s="635"/>
      <c r="S479" s="635"/>
      <c r="T479" s="777"/>
    </row>
    <row r="480" spans="1:20" ht="15.75">
      <c r="A480" s="635"/>
      <c r="B480" s="748"/>
      <c r="C480" s="749"/>
      <c r="D480" s="635"/>
      <c r="E480" s="635"/>
      <c r="F480" s="635"/>
      <c r="G480" s="635"/>
      <c r="H480" s="635"/>
      <c r="I480" s="635"/>
      <c r="J480" s="635"/>
      <c r="K480" s="635"/>
      <c r="L480" s="635"/>
      <c r="M480" s="635"/>
      <c r="N480" s="635"/>
      <c r="O480" s="635"/>
      <c r="P480" s="635"/>
      <c r="Q480" s="635"/>
      <c r="R480" s="635"/>
      <c r="S480" s="635"/>
      <c r="T480" s="777"/>
    </row>
    <row r="481" spans="1:20" ht="15.75">
      <c r="A481" s="635"/>
      <c r="B481" s="748" t="s">
        <v>888</v>
      </c>
      <c r="C481" s="749"/>
      <c r="D481" s="635"/>
      <c r="E481" s="635"/>
      <c r="F481" s="635"/>
      <c r="G481" s="635"/>
      <c r="H481" s="635"/>
      <c r="I481" s="635"/>
      <c r="J481" s="635"/>
      <c r="K481" s="635"/>
      <c r="L481" s="635"/>
      <c r="M481" s="635"/>
      <c r="N481" s="635"/>
      <c r="O481" s="635"/>
      <c r="P481" s="635"/>
      <c r="Q481" s="635"/>
      <c r="R481" s="635"/>
      <c r="S481" s="635"/>
      <c r="T481" s="777"/>
    </row>
    <row r="482" spans="1:20" ht="15.75">
      <c r="A482" s="635"/>
      <c r="B482" s="748"/>
      <c r="C482" s="751" t="s">
        <v>908</v>
      </c>
      <c r="D482" s="635"/>
      <c r="E482" s="635"/>
      <c r="F482" s="635"/>
      <c r="G482" s="635"/>
      <c r="H482" s="635"/>
      <c r="I482" s="635"/>
      <c r="J482" s="635"/>
      <c r="K482" s="635"/>
      <c r="L482" s="635"/>
      <c r="M482" s="635"/>
      <c r="N482" s="635"/>
      <c r="O482" s="635"/>
      <c r="P482" s="635"/>
      <c r="Q482" s="635"/>
      <c r="R482" s="635"/>
      <c r="S482" s="635"/>
      <c r="T482" s="778">
        <f>+$T$289</f>
        <v>0</v>
      </c>
    </row>
    <row r="483" spans="1:20" ht="16.5" thickBot="1">
      <c r="A483" s="635"/>
      <c r="B483" s="752"/>
      <c r="C483" s="753" t="s">
        <v>624</v>
      </c>
      <c r="D483" s="635"/>
      <c r="E483" s="635"/>
      <c r="F483" s="635"/>
      <c r="G483" s="635"/>
      <c r="H483" s="635"/>
      <c r="I483" s="635"/>
      <c r="J483" s="635"/>
      <c r="K483" s="635"/>
      <c r="L483" s="635"/>
      <c r="M483" s="635"/>
      <c r="N483" s="635"/>
      <c r="O483" s="635"/>
      <c r="P483" s="635"/>
      <c r="Q483" s="635"/>
      <c r="R483" s="635"/>
      <c r="S483" s="635"/>
      <c r="T483" s="779">
        <f>+$T$280</f>
        <v>4</v>
      </c>
    </row>
    <row r="484" spans="1:20" ht="15.75">
      <c r="A484" s="635"/>
      <c r="B484" s="750"/>
      <c r="C484" s="751" t="s">
        <v>96</v>
      </c>
      <c r="D484" s="635"/>
      <c r="E484" s="635"/>
      <c r="F484" s="635"/>
      <c r="G484" s="635"/>
      <c r="H484" s="635"/>
      <c r="I484" s="635"/>
      <c r="J484" s="635"/>
      <c r="K484" s="635"/>
      <c r="L484" s="635"/>
      <c r="M484" s="635"/>
      <c r="N484" s="635"/>
      <c r="O484" s="635"/>
      <c r="P484" s="635"/>
      <c r="Q484" s="635"/>
      <c r="R484" s="635"/>
      <c r="S484" s="635"/>
      <c r="T484" s="778">
        <f>SUM(T482:T483)</f>
        <v>4</v>
      </c>
    </row>
    <row r="485" spans="1:20" ht="15.75">
      <c r="A485" s="635"/>
      <c r="B485" s="750"/>
      <c r="C485" s="751"/>
      <c r="D485" s="635"/>
      <c r="E485" s="635"/>
      <c r="F485" s="635"/>
      <c r="G485" s="635"/>
      <c r="H485" s="635"/>
      <c r="I485" s="635"/>
      <c r="J485" s="635"/>
      <c r="K485" s="635"/>
      <c r="L485" s="635"/>
      <c r="M485" s="635"/>
      <c r="N485" s="635"/>
      <c r="O485" s="635"/>
      <c r="P485" s="635"/>
      <c r="Q485" s="635"/>
      <c r="R485" s="635"/>
      <c r="S485" s="635"/>
      <c r="T485" s="778"/>
    </row>
    <row r="486" spans="1:20" ht="15.75">
      <c r="A486" s="635"/>
      <c r="B486" s="748" t="s">
        <v>892</v>
      </c>
      <c r="C486" s="749"/>
      <c r="D486" s="635"/>
      <c r="E486" s="635"/>
      <c r="F486" s="635"/>
      <c r="G486" s="635"/>
      <c r="H486" s="635"/>
      <c r="I486" s="635"/>
      <c r="J486" s="635"/>
      <c r="K486" s="635"/>
      <c r="L486" s="635"/>
      <c r="M486" s="635"/>
      <c r="N486" s="635"/>
      <c r="O486" s="635"/>
      <c r="P486" s="635"/>
      <c r="Q486" s="635"/>
      <c r="R486" s="635"/>
      <c r="S486" s="635"/>
      <c r="T486" s="777"/>
    </row>
    <row r="487" spans="1:20" ht="15.75">
      <c r="A487" s="635"/>
      <c r="B487" s="748"/>
      <c r="C487" s="749" t="s">
        <v>909</v>
      </c>
      <c r="D487" s="635"/>
      <c r="E487" s="635"/>
      <c r="F487" s="635"/>
      <c r="G487" s="635"/>
      <c r="H487" s="635"/>
      <c r="I487" s="635"/>
      <c r="J487" s="635"/>
      <c r="K487" s="635"/>
      <c r="L487" s="635"/>
      <c r="M487" s="635"/>
      <c r="N487" s="635"/>
      <c r="O487" s="635"/>
      <c r="P487" s="635"/>
      <c r="Q487" s="635"/>
      <c r="R487" s="635"/>
      <c r="S487" s="635"/>
      <c r="T487" s="777">
        <f>+$T$316</f>
        <v>2</v>
      </c>
    </row>
    <row r="488" spans="1:20" ht="16.5" thickBot="1">
      <c r="A488" s="635"/>
      <c r="B488" s="755"/>
      <c r="C488" s="756" t="s">
        <v>80</v>
      </c>
      <c r="D488" s="635"/>
      <c r="E488" s="635"/>
      <c r="F488" s="635"/>
      <c r="G488" s="635"/>
      <c r="H488" s="635"/>
      <c r="I488" s="635"/>
      <c r="J488" s="635"/>
      <c r="K488" s="635"/>
      <c r="L488" s="635"/>
      <c r="M488" s="635"/>
      <c r="N488" s="635"/>
      <c r="O488" s="635"/>
      <c r="P488" s="635"/>
      <c r="Q488" s="635"/>
      <c r="R488" s="635"/>
      <c r="S488" s="635"/>
      <c r="T488" s="780">
        <f>+$T$307</f>
        <v>3</v>
      </c>
    </row>
    <row r="489" spans="1:20" ht="15.75">
      <c r="A489" s="635"/>
      <c r="B489" s="748"/>
      <c r="C489" s="749" t="s">
        <v>97</v>
      </c>
      <c r="D489" s="635"/>
      <c r="E489" s="635"/>
      <c r="F489" s="635"/>
      <c r="G489" s="635"/>
      <c r="H489" s="635"/>
      <c r="I489" s="635"/>
      <c r="J489" s="635"/>
      <c r="K489" s="635"/>
      <c r="L489" s="635"/>
      <c r="M489" s="635"/>
      <c r="N489" s="635"/>
      <c r="O489" s="635"/>
      <c r="P489" s="635"/>
      <c r="Q489" s="635"/>
      <c r="R489" s="635"/>
      <c r="S489" s="635"/>
      <c r="T489" s="777">
        <f>SUM(T487:T488)</f>
        <v>5</v>
      </c>
    </row>
    <row r="490" spans="1:20" ht="15.75">
      <c r="A490" s="635"/>
      <c r="B490" s="748"/>
      <c r="C490" s="749"/>
      <c r="D490" s="635"/>
      <c r="E490" s="635"/>
      <c r="F490" s="635"/>
      <c r="G490" s="635"/>
      <c r="H490" s="635"/>
      <c r="I490" s="635"/>
      <c r="J490" s="635"/>
      <c r="K490" s="635"/>
      <c r="L490" s="635"/>
      <c r="M490" s="635"/>
      <c r="N490" s="635"/>
      <c r="O490" s="635"/>
      <c r="P490" s="635"/>
      <c r="Q490" s="635"/>
      <c r="R490" s="635"/>
      <c r="S490" s="635"/>
      <c r="T490" s="777"/>
    </row>
    <row r="491" spans="1:20" ht="15.75">
      <c r="A491" s="635"/>
      <c r="B491" s="750"/>
      <c r="C491" s="751" t="s">
        <v>910</v>
      </c>
      <c r="D491" s="635"/>
      <c r="E491" s="635"/>
      <c r="F491" s="635"/>
      <c r="G491" s="635"/>
      <c r="H491" s="635"/>
      <c r="I491" s="635"/>
      <c r="J491" s="635"/>
      <c r="K491" s="635"/>
      <c r="L491" s="635"/>
      <c r="M491" s="635"/>
      <c r="N491" s="635"/>
      <c r="O491" s="635"/>
      <c r="P491" s="635"/>
      <c r="Q491" s="635"/>
      <c r="R491" s="635"/>
      <c r="S491" s="635"/>
      <c r="T491" s="778">
        <f>+T489+T484+T474+T478</f>
        <v>28122.25</v>
      </c>
    </row>
    <row r="492" spans="1:20" ht="16.5" thickBot="1">
      <c r="A492" s="635"/>
      <c r="B492" s="752"/>
      <c r="C492" s="753"/>
      <c r="D492" s="635"/>
      <c r="E492" s="635"/>
      <c r="F492" s="635"/>
      <c r="G492" s="635"/>
      <c r="H492" s="635"/>
      <c r="I492" s="635"/>
      <c r="J492" s="635"/>
      <c r="K492" s="635"/>
      <c r="L492" s="635"/>
      <c r="M492" s="635"/>
      <c r="N492" s="635"/>
      <c r="O492" s="635"/>
      <c r="P492" s="635"/>
      <c r="Q492" s="635"/>
      <c r="R492" s="635"/>
      <c r="S492" s="635"/>
      <c r="T492" s="779"/>
    </row>
    <row r="493" spans="1:20" ht="15.75">
      <c r="A493" s="635"/>
      <c r="B493" s="750"/>
      <c r="C493" s="751"/>
      <c r="D493" s="635"/>
      <c r="E493" s="635"/>
      <c r="F493" s="635"/>
      <c r="G493" s="635"/>
      <c r="H493" s="635"/>
      <c r="I493" s="635"/>
      <c r="J493" s="635"/>
      <c r="K493" s="635"/>
      <c r="L493" s="635"/>
      <c r="M493" s="635"/>
      <c r="N493" s="635"/>
      <c r="O493" s="635"/>
      <c r="P493" s="635"/>
      <c r="Q493" s="635"/>
      <c r="R493" s="635"/>
      <c r="S493" s="635"/>
      <c r="T493" s="778"/>
    </row>
    <row r="494" spans="1:20" ht="15.75">
      <c r="A494" s="635"/>
      <c r="B494" s="748" t="s">
        <v>911</v>
      </c>
      <c r="C494" s="749"/>
      <c r="D494" s="635"/>
      <c r="E494" s="635"/>
      <c r="F494" s="635"/>
      <c r="G494" s="635"/>
      <c r="H494" s="635"/>
      <c r="I494" s="635"/>
      <c r="J494" s="635"/>
      <c r="K494" s="635"/>
      <c r="L494" s="635"/>
      <c r="M494" s="635"/>
      <c r="N494" s="635"/>
      <c r="O494" s="635"/>
      <c r="P494" s="635"/>
      <c r="Q494" s="635"/>
      <c r="R494" s="635"/>
      <c r="S494" s="635"/>
      <c r="T494" s="777">
        <f>+T489+T484+T474+T464+T446</f>
        <v>1158148</v>
      </c>
    </row>
    <row r="495" spans="1:20" ht="15.75">
      <c r="A495" s="635"/>
      <c r="B495" s="748" t="s">
        <v>912</v>
      </c>
      <c r="C495" s="749"/>
      <c r="D495" s="635"/>
      <c r="E495" s="635"/>
      <c r="F495" s="635"/>
      <c r="G495" s="635"/>
      <c r="H495" s="635"/>
      <c r="I495" s="635"/>
      <c r="J495" s="635"/>
      <c r="K495" s="635"/>
      <c r="L495" s="635"/>
      <c r="M495" s="635"/>
      <c r="N495" s="635"/>
      <c r="O495" s="635"/>
      <c r="P495" s="635"/>
      <c r="Q495" s="635"/>
      <c r="R495" s="635"/>
      <c r="S495" s="635"/>
      <c r="T495" s="777">
        <f>+T471+T443</f>
        <v>1156467.25</v>
      </c>
    </row>
    <row r="496" spans="1:20" ht="15.75">
      <c r="A496" s="635"/>
      <c r="B496" s="748" t="s">
        <v>808</v>
      </c>
      <c r="C496" s="749"/>
      <c r="D496" s="635"/>
      <c r="E496" s="635"/>
      <c r="F496" s="635"/>
      <c r="G496" s="635"/>
      <c r="H496" s="635"/>
      <c r="I496" s="635"/>
      <c r="J496" s="635"/>
      <c r="K496" s="635"/>
      <c r="L496" s="635"/>
      <c r="M496" s="635"/>
      <c r="N496" s="635"/>
      <c r="O496" s="635"/>
      <c r="P496" s="635"/>
      <c r="Q496" s="635"/>
      <c r="R496" s="635"/>
      <c r="S496" s="635"/>
      <c r="T496" s="777">
        <f>+T507-T495</f>
        <v>1698.75</v>
      </c>
    </row>
    <row r="497" spans="1:20" ht="15.75">
      <c r="A497" s="635"/>
      <c r="B497" s="748" t="s">
        <v>809</v>
      </c>
      <c r="C497" s="749"/>
      <c r="D497" s="635"/>
      <c r="E497" s="635"/>
      <c r="F497" s="635"/>
      <c r="G497" s="635"/>
      <c r="H497" s="635"/>
      <c r="I497" s="635"/>
      <c r="J497" s="635"/>
      <c r="K497" s="635"/>
      <c r="L497" s="635"/>
      <c r="M497" s="635"/>
      <c r="N497" s="635"/>
      <c r="O497" s="635"/>
      <c r="P497" s="635"/>
      <c r="Q497" s="635"/>
      <c r="R497" s="635"/>
      <c r="S497" s="635"/>
      <c r="T497" s="777">
        <f>+T446+T474</f>
        <v>1156981.5</v>
      </c>
    </row>
    <row r="498" spans="1:20" ht="15.75">
      <c r="A498" s="635"/>
      <c r="B498" s="748" t="s">
        <v>913</v>
      </c>
      <c r="C498" s="749"/>
      <c r="D498" s="635"/>
      <c r="E498" s="635"/>
      <c r="F498" s="635"/>
      <c r="G498" s="635"/>
      <c r="H498" s="635"/>
      <c r="I498" s="635"/>
      <c r="J498" s="635"/>
      <c r="K498" s="635"/>
      <c r="L498" s="635"/>
      <c r="M498" s="635"/>
      <c r="N498" s="635"/>
      <c r="O498" s="635"/>
      <c r="P498" s="635"/>
      <c r="Q498" s="635"/>
      <c r="R498" s="635"/>
      <c r="S498" s="635"/>
      <c r="T498" s="777">
        <f>+T484+T450</f>
        <v>22</v>
      </c>
    </row>
    <row r="499" spans="1:20" ht="15.75">
      <c r="A499" s="635"/>
      <c r="B499" s="748" t="s">
        <v>810</v>
      </c>
      <c r="C499" s="749"/>
      <c r="D499" s="635"/>
      <c r="E499" s="635"/>
      <c r="F499" s="635"/>
      <c r="G499" s="635"/>
      <c r="H499" s="635"/>
      <c r="I499" s="635"/>
      <c r="J499" s="635"/>
      <c r="K499" s="635"/>
      <c r="L499" s="635"/>
      <c r="M499" s="635"/>
      <c r="N499" s="635"/>
      <c r="O499" s="635"/>
      <c r="P499" s="635"/>
      <c r="Q499" s="635"/>
      <c r="R499" s="635"/>
      <c r="S499" s="635"/>
      <c r="T499" s="777">
        <f>+T489+T464</f>
        <v>1162.5</v>
      </c>
    </row>
    <row r="500" spans="1:20" ht="15.75">
      <c r="A500" s="635"/>
      <c r="B500" s="748" t="s">
        <v>914</v>
      </c>
      <c r="C500" s="749"/>
      <c r="D500" s="635"/>
      <c r="E500" s="635"/>
      <c r="F500" s="635"/>
      <c r="G500" s="635"/>
      <c r="H500" s="635"/>
      <c r="I500" s="635"/>
      <c r="J500" s="635"/>
      <c r="K500" s="635"/>
      <c r="L500" s="635"/>
      <c r="M500" s="635"/>
      <c r="N500" s="635"/>
      <c r="O500" s="635"/>
      <c r="P500" s="635"/>
      <c r="Q500" s="635"/>
      <c r="R500" s="635"/>
      <c r="S500" s="635"/>
      <c r="T500" s="777"/>
    </row>
    <row r="501" spans="1:20" ht="15.75">
      <c r="A501" s="635"/>
      <c r="B501" s="748" t="s">
        <v>915</v>
      </c>
      <c r="C501" s="749"/>
      <c r="D501" s="635"/>
      <c r="E501" s="635"/>
      <c r="F501" s="635"/>
      <c r="G501" s="635"/>
      <c r="H501" s="635"/>
      <c r="I501" s="635"/>
      <c r="J501" s="635"/>
      <c r="K501" s="635"/>
      <c r="L501" s="635"/>
      <c r="M501" s="635"/>
      <c r="N501" s="635"/>
      <c r="O501" s="635"/>
      <c r="P501" s="635"/>
      <c r="Q501" s="635"/>
      <c r="R501" s="635"/>
      <c r="S501" s="635"/>
      <c r="T501" s="777"/>
    </row>
    <row r="502" spans="1:20" ht="15.75">
      <c r="A502" s="635"/>
      <c r="B502" s="748"/>
      <c r="C502" s="749"/>
      <c r="D502" s="635"/>
      <c r="E502" s="635"/>
      <c r="F502" s="635"/>
      <c r="G502" s="635"/>
      <c r="H502" s="635"/>
      <c r="I502" s="635"/>
      <c r="J502" s="635"/>
      <c r="K502" s="635"/>
      <c r="L502" s="635"/>
      <c r="M502" s="635"/>
      <c r="N502" s="635"/>
      <c r="O502" s="635"/>
      <c r="P502" s="635"/>
      <c r="Q502" s="635"/>
      <c r="R502" s="635"/>
      <c r="S502" s="635"/>
      <c r="T502" s="777"/>
    </row>
    <row r="503" spans="1:20" ht="15.75">
      <c r="A503" s="635"/>
      <c r="B503" s="748"/>
      <c r="C503" s="749"/>
      <c r="D503" s="635"/>
      <c r="E503" s="635"/>
      <c r="F503" s="635"/>
      <c r="G503" s="635"/>
      <c r="H503" s="635"/>
      <c r="I503" s="635"/>
      <c r="J503" s="635"/>
      <c r="K503" s="635"/>
      <c r="L503" s="635"/>
      <c r="M503" s="635"/>
      <c r="N503" s="635"/>
      <c r="O503" s="635"/>
      <c r="P503" s="635"/>
      <c r="Q503" s="635"/>
      <c r="R503" s="635"/>
      <c r="S503" s="635"/>
      <c r="T503" s="777"/>
    </row>
    <row r="504" spans="1:20" ht="15.75">
      <c r="A504" s="635"/>
      <c r="B504" s="748" t="s">
        <v>916</v>
      </c>
      <c r="C504" s="749"/>
      <c r="D504" s="635"/>
      <c r="E504" s="635"/>
      <c r="F504" s="635"/>
      <c r="G504" s="635"/>
      <c r="H504" s="635"/>
      <c r="I504" s="635"/>
      <c r="J504" s="635"/>
      <c r="K504" s="635"/>
      <c r="L504" s="635"/>
      <c r="M504" s="635"/>
      <c r="N504" s="635"/>
      <c r="O504" s="635"/>
      <c r="P504" s="635"/>
      <c r="Q504" s="635"/>
      <c r="R504" s="635"/>
      <c r="S504" s="635"/>
      <c r="T504" s="777">
        <f>+T466</f>
        <v>1130043.75</v>
      </c>
    </row>
    <row r="505" spans="1:20" ht="15.75">
      <c r="A505" s="635"/>
      <c r="B505" s="748" t="s">
        <v>917</v>
      </c>
      <c r="C505" s="749"/>
      <c r="D505" s="635"/>
      <c r="E505" s="635"/>
      <c r="F505" s="635"/>
      <c r="G505" s="635"/>
      <c r="H505" s="635"/>
      <c r="I505" s="635"/>
      <c r="J505" s="635"/>
      <c r="K505" s="635"/>
      <c r="L505" s="635"/>
      <c r="M505" s="635"/>
      <c r="N505" s="635"/>
      <c r="O505" s="635"/>
      <c r="P505" s="635"/>
      <c r="Q505" s="635"/>
      <c r="R505" s="635"/>
      <c r="S505" s="635"/>
      <c r="T505" s="777">
        <f>+T491</f>
        <v>28122.25</v>
      </c>
    </row>
    <row r="506" spans="1:20" ht="16.5" thickBot="1">
      <c r="A506" s="635"/>
      <c r="B506" s="755"/>
      <c r="C506" s="756"/>
      <c r="D506" s="635"/>
      <c r="E506" s="635"/>
      <c r="F506" s="635"/>
      <c r="G506" s="635"/>
      <c r="H506" s="635"/>
      <c r="I506" s="635"/>
      <c r="J506" s="635"/>
      <c r="K506" s="635"/>
      <c r="L506" s="635"/>
      <c r="M506" s="635"/>
      <c r="N506" s="635"/>
      <c r="O506" s="635"/>
      <c r="P506" s="635"/>
      <c r="Q506" s="635"/>
      <c r="R506" s="635"/>
      <c r="S506" s="635"/>
      <c r="T506" s="780"/>
    </row>
    <row r="507" spans="1:20" ht="16.5" thickBot="1">
      <c r="A507" s="635"/>
      <c r="B507" s="752" t="s">
        <v>918</v>
      </c>
      <c r="C507" s="753"/>
      <c r="D507" s="635"/>
      <c r="E507" s="635"/>
      <c r="F507" s="635"/>
      <c r="G507" s="635"/>
      <c r="H507" s="635"/>
      <c r="I507" s="635"/>
      <c r="J507" s="635"/>
      <c r="K507" s="635"/>
      <c r="L507" s="635"/>
      <c r="M507" s="635"/>
      <c r="N507" s="635"/>
      <c r="O507" s="635"/>
      <c r="P507" s="635"/>
      <c r="Q507" s="635"/>
      <c r="R507" s="635"/>
      <c r="S507" s="635"/>
      <c r="T507" s="779">
        <f>SUM(T504:T506)</f>
        <v>1158166</v>
      </c>
    </row>
    <row r="508" spans="1:20" ht="15.75">
      <c r="A508" s="635"/>
      <c r="B508" s="635"/>
      <c r="C508" s="635"/>
      <c r="D508" s="635"/>
      <c r="E508" s="635"/>
      <c r="F508" s="635"/>
      <c r="G508" s="635"/>
      <c r="H508" s="635"/>
      <c r="I508" s="635"/>
      <c r="J508" s="635"/>
      <c r="K508" s="635"/>
      <c r="L508" s="635"/>
      <c r="M508" s="635"/>
      <c r="N508" s="635"/>
      <c r="O508" s="635"/>
      <c r="P508" s="635"/>
      <c r="Q508" s="635"/>
      <c r="R508" s="635"/>
      <c r="T508" s="784"/>
    </row>
    <row r="509" spans="1:20" ht="15.75">
      <c r="A509" s="635"/>
      <c r="B509" s="635"/>
      <c r="C509" s="635"/>
      <c r="D509" s="635"/>
      <c r="E509" s="635"/>
      <c r="F509" s="635"/>
      <c r="G509" s="635"/>
      <c r="H509" s="635"/>
      <c r="I509" s="635"/>
      <c r="J509" s="635"/>
      <c r="K509" s="635"/>
      <c r="L509" s="635"/>
      <c r="M509" s="635"/>
      <c r="N509" s="635"/>
      <c r="O509" s="635"/>
      <c r="P509" s="635"/>
      <c r="Q509" s="635"/>
      <c r="R509" s="635"/>
      <c r="T509" s="784"/>
    </row>
    <row r="510" spans="1:20" ht="15.75">
      <c r="A510" s="635"/>
      <c r="B510" s="635"/>
      <c r="C510" s="635"/>
      <c r="D510" s="635"/>
      <c r="E510" s="635"/>
      <c r="F510" s="635"/>
      <c r="G510" s="635"/>
      <c r="H510" s="635"/>
      <c r="I510" s="635"/>
      <c r="J510" s="635"/>
      <c r="K510" s="635"/>
      <c r="L510" s="635"/>
      <c r="M510" s="635"/>
      <c r="N510" s="635"/>
      <c r="O510" s="635"/>
      <c r="P510" s="635"/>
      <c r="Q510" s="635"/>
      <c r="R510" s="635"/>
      <c r="T510" s="784"/>
    </row>
    <row r="511" spans="1:20" ht="15.75">
      <c r="A511" s="635"/>
      <c r="B511" s="635"/>
      <c r="C511" s="635"/>
      <c r="D511" s="635"/>
      <c r="E511" s="635"/>
      <c r="F511" s="635"/>
      <c r="G511" s="635"/>
      <c r="H511" s="635"/>
      <c r="I511" s="635"/>
      <c r="J511" s="635"/>
      <c r="K511" s="635"/>
      <c r="L511" s="635"/>
      <c r="M511" s="635"/>
      <c r="N511" s="635"/>
      <c r="O511" s="635"/>
      <c r="P511" s="635"/>
      <c r="Q511" s="635"/>
      <c r="R511" s="635"/>
      <c r="T511" s="784"/>
    </row>
    <row r="512" spans="1:20" ht="15.75">
      <c r="A512" s="635"/>
      <c r="B512" s="635"/>
      <c r="C512" s="635"/>
      <c r="D512" s="635"/>
      <c r="E512" s="635"/>
      <c r="F512" s="635"/>
      <c r="G512" s="635"/>
      <c r="H512" s="635"/>
      <c r="I512" s="635"/>
      <c r="J512" s="635"/>
      <c r="K512" s="635"/>
      <c r="L512" s="635"/>
      <c r="M512" s="635"/>
      <c r="N512" s="635"/>
      <c r="O512" s="635"/>
      <c r="P512" s="635"/>
      <c r="Q512" s="635"/>
      <c r="R512" s="635"/>
      <c r="T512" s="784"/>
    </row>
    <row r="513" spans="1:20" ht="15.75">
      <c r="A513" s="635"/>
      <c r="B513" s="635"/>
      <c r="C513" s="635"/>
      <c r="D513" s="635"/>
      <c r="E513" s="635"/>
      <c r="F513" s="635"/>
      <c r="G513" s="635"/>
      <c r="H513" s="635"/>
      <c r="I513" s="635"/>
      <c r="J513" s="635"/>
      <c r="K513" s="635"/>
      <c r="L513" s="635"/>
      <c r="M513" s="635"/>
      <c r="N513" s="635"/>
      <c r="O513" s="635"/>
      <c r="P513" s="635"/>
      <c r="Q513" s="635"/>
      <c r="R513" s="635"/>
      <c r="T513" s="784"/>
    </row>
    <row r="514" spans="1:20" ht="15.75">
      <c r="A514" s="635"/>
      <c r="B514" s="635"/>
      <c r="C514" s="635"/>
      <c r="D514" s="635"/>
      <c r="E514" s="635"/>
      <c r="F514" s="635"/>
      <c r="G514" s="635"/>
      <c r="H514" s="635"/>
      <c r="I514" s="635"/>
      <c r="J514" s="635"/>
      <c r="K514" s="635"/>
      <c r="L514" s="635"/>
      <c r="M514" s="635"/>
      <c r="N514" s="635"/>
      <c r="O514" s="635"/>
      <c r="P514" s="635"/>
      <c r="Q514" s="635"/>
      <c r="R514" s="635"/>
      <c r="T514" s="784"/>
    </row>
    <row r="515" spans="1:20" ht="15.75">
      <c r="A515" s="635"/>
      <c r="B515" s="635"/>
      <c r="C515" s="635"/>
      <c r="D515" s="635"/>
      <c r="E515" s="635"/>
      <c r="F515" s="635"/>
      <c r="G515" s="635"/>
      <c r="H515" s="635"/>
      <c r="I515" s="635"/>
      <c r="J515" s="635"/>
      <c r="K515" s="635"/>
      <c r="L515" s="635"/>
      <c r="M515" s="635"/>
      <c r="N515" s="635"/>
      <c r="O515" s="635"/>
      <c r="P515" s="635"/>
      <c r="Q515" s="635"/>
      <c r="R515" s="635"/>
      <c r="T515" s="784"/>
    </row>
    <row r="516" spans="1:20" ht="15.75">
      <c r="A516" s="635"/>
      <c r="B516" s="635"/>
      <c r="C516" s="635"/>
      <c r="D516" s="635"/>
      <c r="E516" s="635"/>
      <c r="F516" s="635"/>
      <c r="G516" s="635"/>
      <c r="H516" s="635"/>
      <c r="I516" s="635"/>
      <c r="J516" s="635"/>
      <c r="K516" s="635"/>
      <c r="L516" s="635"/>
      <c r="M516" s="635"/>
      <c r="N516" s="635"/>
      <c r="O516" s="635"/>
      <c r="P516" s="635"/>
      <c r="Q516" s="635"/>
      <c r="R516" s="635"/>
      <c r="T516" s="784"/>
    </row>
    <row r="517" spans="1:20" ht="15.75">
      <c r="A517" s="635"/>
      <c r="B517" s="635"/>
      <c r="C517" s="635"/>
      <c r="D517" s="635"/>
      <c r="E517" s="635"/>
      <c r="F517" s="635"/>
      <c r="G517" s="635"/>
      <c r="H517" s="635"/>
      <c r="I517" s="635"/>
      <c r="J517" s="635"/>
      <c r="K517" s="635"/>
      <c r="L517" s="635"/>
      <c r="M517" s="635"/>
      <c r="N517" s="635"/>
      <c r="O517" s="635"/>
      <c r="P517" s="635"/>
      <c r="Q517" s="635"/>
      <c r="R517" s="635"/>
      <c r="T517" s="784"/>
    </row>
    <row r="518" spans="1:20">
      <c r="T518" s="784"/>
    </row>
    <row r="519" spans="1:20">
      <c r="T519" s="784"/>
    </row>
    <row r="520" spans="1:20">
      <c r="T520" s="784"/>
    </row>
    <row r="521" spans="1:20">
      <c r="T521" s="784"/>
    </row>
    <row r="522" spans="1:20">
      <c r="T522" s="784"/>
    </row>
  </sheetData>
  <pageMargins left="0.7" right="0.7" top="0.75" bottom="0.75" header="0.3" footer="0.3"/>
  <pageSetup scale="24" fitToHeight="3" orientation="landscape" r:id="rId1"/>
  <colBreaks count="1" manualBreakCount="1">
    <brk id="20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8">
    <tabColor rgb="FFFFFF00"/>
    <pageSetUpPr fitToPage="1"/>
  </sheetPr>
  <dimension ref="A1:W148"/>
  <sheetViews>
    <sheetView zoomScale="80" zoomScaleNormal="80" workbookViewId="0">
      <selection activeCell="L10" sqref="L10"/>
    </sheetView>
  </sheetViews>
  <sheetFormatPr defaultColWidth="9.140625" defaultRowHeight="12.75"/>
  <cols>
    <col min="1" max="1" width="5.7109375" customWidth="1"/>
    <col min="2" max="2" width="15.7109375" customWidth="1"/>
    <col min="3" max="4" width="5.7109375" customWidth="1"/>
    <col min="5" max="5" width="25.7109375" customWidth="1"/>
    <col min="6" max="7" width="16" customWidth="1"/>
    <col min="8" max="8" width="15.85546875" customWidth="1"/>
    <col min="9" max="9" width="3.5703125" customWidth="1"/>
    <col min="10" max="14" width="15.85546875" customWidth="1"/>
    <col min="15" max="15" width="4.5703125" customWidth="1"/>
    <col min="16" max="16" width="1.85546875" customWidth="1"/>
    <col min="17" max="18" width="12.7109375" customWidth="1"/>
    <col min="19" max="19" width="4.7109375" customWidth="1"/>
    <col min="20" max="20" width="12.7109375" customWidth="1"/>
    <col min="21" max="21" width="16.140625" customWidth="1"/>
    <col min="22" max="23" width="12.7109375" hidden="1" customWidth="1"/>
    <col min="24" max="24" width="18.42578125" customWidth="1"/>
    <col min="25" max="25" width="6.140625" customWidth="1"/>
    <col min="26" max="27" width="5.7109375" customWidth="1"/>
    <col min="28" max="28" width="25.7109375" customWidth="1"/>
    <col min="29" max="29" width="4.85546875" customWidth="1"/>
    <col min="30" max="30" width="12.7109375" customWidth="1"/>
    <col min="31" max="31" width="1.42578125" customWidth="1"/>
    <col min="32" max="32" width="15.7109375" bestFit="1" customWidth="1"/>
    <col min="33" max="33" width="13.7109375" customWidth="1"/>
    <col min="34" max="35" width="5.140625" customWidth="1"/>
    <col min="36" max="36" width="6.140625" customWidth="1"/>
    <col min="37" max="38" width="5.7109375" customWidth="1"/>
    <col min="39" max="39" width="25.7109375" customWidth="1"/>
    <col min="41" max="43" width="12.7109375" customWidth="1"/>
  </cols>
  <sheetData>
    <row r="1" spans="1:14">
      <c r="B1" s="12" t="s">
        <v>615</v>
      </c>
      <c r="C1" s="53"/>
      <c r="D1" s="53"/>
      <c r="E1" s="53"/>
      <c r="F1" s="53"/>
      <c r="G1" s="53"/>
    </row>
    <row r="2" spans="1:14">
      <c r="B2" s="53" t="str">
        <f>'Control Panel'!$B$1</f>
        <v>Dominion Energy</v>
      </c>
      <c r="C2" s="53"/>
      <c r="D2" s="53"/>
      <c r="E2" s="53"/>
      <c r="F2" s="53"/>
      <c r="G2" s="53"/>
    </row>
    <row r="3" spans="1:14">
      <c r="B3" s="12" t="str">
        <f>'Control Panel'!$B$2</f>
        <v>Utah - June 2023 Adjusted Avg Results</v>
      </c>
      <c r="C3" s="15"/>
      <c r="D3" s="14"/>
      <c r="E3" s="53"/>
      <c r="F3" s="53"/>
      <c r="G3" s="53"/>
    </row>
    <row r="4" spans="1:14">
      <c r="B4" s="12" t="str">
        <f>'Control Panel'!$B$3</f>
        <v>12 Months Ended : Jun-2023</v>
      </c>
      <c r="C4" s="15"/>
      <c r="D4" s="15"/>
      <c r="E4" s="15"/>
      <c r="F4" s="53"/>
      <c r="G4" s="53"/>
      <c r="H4" s="51"/>
    </row>
    <row r="5" spans="1:14">
      <c r="B5" s="45"/>
      <c r="C5" s="15"/>
      <c r="D5" s="15"/>
      <c r="E5" s="15"/>
      <c r="F5" s="47"/>
      <c r="G5" s="47"/>
    </row>
    <row r="6" spans="1:14">
      <c r="B6" s="3"/>
      <c r="C6" s="15"/>
      <c r="D6" s="15"/>
      <c r="E6" s="15"/>
      <c r="F6" s="53"/>
      <c r="G6" s="53"/>
      <c r="J6" s="4" t="s">
        <v>712</v>
      </c>
      <c r="K6" s="4" t="s">
        <v>501</v>
      </c>
      <c r="L6">
        <v>1</v>
      </c>
    </row>
    <row r="7" spans="1:14" ht="36" customHeight="1">
      <c r="A7" s="329"/>
      <c r="B7" s="349"/>
      <c r="C7" s="350"/>
      <c r="D7" s="350"/>
      <c r="E7" s="350"/>
      <c r="F7" s="350"/>
      <c r="G7" s="350"/>
      <c r="H7" s="351" t="s">
        <v>1496</v>
      </c>
      <c r="I7" s="218"/>
      <c r="J7" s="351" t="s">
        <v>1496</v>
      </c>
      <c r="K7" s="379"/>
      <c r="L7">
        <v>2</v>
      </c>
    </row>
    <row r="8" spans="1:14">
      <c r="B8" s="116"/>
      <c r="C8" s="53"/>
      <c r="D8" s="53"/>
      <c r="E8" s="53"/>
      <c r="F8" s="53"/>
      <c r="G8" s="53"/>
      <c r="H8" s="4"/>
      <c r="L8">
        <f t="shared" ref="L8:L66" si="0">+L7+1</f>
        <v>3</v>
      </c>
    </row>
    <row r="9" spans="1:14" ht="13.5" thickBot="1">
      <c r="B9" s="134" t="s">
        <v>775</v>
      </c>
      <c r="C9" s="135"/>
      <c r="D9" s="1111" t="s">
        <v>776</v>
      </c>
      <c r="E9" s="1111"/>
      <c r="F9" s="135"/>
      <c r="G9" s="135"/>
      <c r="H9" s="20"/>
      <c r="J9" s="20"/>
      <c r="K9" s="20"/>
      <c r="L9">
        <f t="shared" si="0"/>
        <v>4</v>
      </c>
    </row>
    <row r="10" spans="1:14">
      <c r="A10">
        <v>369</v>
      </c>
      <c r="B10" s="116" t="s">
        <v>142</v>
      </c>
      <c r="C10" s="47"/>
      <c r="D10" s="47"/>
      <c r="E10" s="47"/>
      <c r="F10" s="47"/>
      <c r="G10" s="47"/>
      <c r="H10" s="412"/>
      <c r="J10" s="7"/>
      <c r="K10" s="7"/>
      <c r="L10">
        <f t="shared" si="0"/>
        <v>5</v>
      </c>
    </row>
    <row r="11" spans="1:14">
      <c r="A11">
        <v>370</v>
      </c>
      <c r="B11" s="136"/>
      <c r="C11" s="47"/>
      <c r="D11" s="47"/>
      <c r="E11" s="47"/>
      <c r="F11" s="47"/>
      <c r="G11" s="47"/>
      <c r="H11" s="412"/>
      <c r="J11" s="7"/>
      <c r="K11" s="7"/>
      <c r="L11">
        <f t="shared" si="0"/>
        <v>6</v>
      </c>
    </row>
    <row r="12" spans="1:14">
      <c r="A12">
        <v>371</v>
      </c>
      <c r="B12" s="137"/>
      <c r="C12" s="47"/>
      <c r="D12" s="47"/>
      <c r="E12" s="47"/>
      <c r="F12" s="47"/>
      <c r="G12" s="47"/>
      <c r="H12" s="419"/>
      <c r="J12" s="138"/>
      <c r="K12" s="138"/>
      <c r="L12">
        <f t="shared" si="0"/>
        <v>7</v>
      </c>
    </row>
    <row r="13" spans="1:14">
      <c r="A13">
        <v>372</v>
      </c>
      <c r="B13" s="137"/>
      <c r="C13" s="47"/>
      <c r="D13" s="47"/>
      <c r="E13" s="47"/>
      <c r="F13" s="47"/>
      <c r="G13" s="47"/>
      <c r="H13" s="412"/>
      <c r="J13" s="7"/>
      <c r="K13" s="7"/>
      <c r="L13">
        <f t="shared" si="0"/>
        <v>8</v>
      </c>
    </row>
    <row r="14" spans="1:14">
      <c r="A14">
        <v>373</v>
      </c>
      <c r="B14" s="137">
        <v>483</v>
      </c>
      <c r="C14" s="152" t="s">
        <v>392</v>
      </c>
      <c r="D14" s="47"/>
      <c r="E14" s="47"/>
      <c r="F14" s="47"/>
      <c r="G14" s="47"/>
      <c r="H14" s="412"/>
      <c r="J14" s="7"/>
      <c r="K14" s="7"/>
      <c r="L14">
        <f t="shared" si="0"/>
        <v>9</v>
      </c>
    </row>
    <row r="15" spans="1:14">
      <c r="A15">
        <v>374</v>
      </c>
      <c r="B15" s="137"/>
      <c r="C15" s="47"/>
      <c r="D15" s="47" t="s">
        <v>12</v>
      </c>
      <c r="E15" s="47"/>
      <c r="F15" s="192" t="s">
        <v>509</v>
      </c>
      <c r="G15" s="192"/>
      <c r="H15" s="301">
        <f>[35]XNV!$S$13</f>
        <v>1439043.0260929998</v>
      </c>
      <c r="J15" s="7">
        <f>HLOOKUP($J$7,OtherRevScenarios,L14,FALSE)</f>
        <v>1439043.0260929998</v>
      </c>
      <c r="K15" s="7">
        <f t="shared" ref="K15:K46" si="1">+J15-H15</f>
        <v>0</v>
      </c>
      <c r="L15">
        <f t="shared" si="0"/>
        <v>10</v>
      </c>
      <c r="N15" s="301">
        <v>716809.81605200004</v>
      </c>
    </row>
    <row r="16" spans="1:14">
      <c r="A16">
        <v>375</v>
      </c>
      <c r="B16" s="137"/>
      <c r="C16" s="47"/>
      <c r="D16" s="47" t="s">
        <v>23</v>
      </c>
      <c r="E16" s="47"/>
      <c r="F16" s="192" t="s">
        <v>509</v>
      </c>
      <c r="G16" s="192"/>
      <c r="H16" s="511">
        <f>[35]XNV!$S$14</f>
        <v>43729.583906999993</v>
      </c>
      <c r="J16" s="7">
        <f t="shared" ref="J16:J46" si="2">HLOOKUP($J$7,OtherRevScenarios,L15,FALSE)</f>
        <v>43729.583906999993</v>
      </c>
      <c r="K16" s="7">
        <f t="shared" si="1"/>
        <v>0</v>
      </c>
      <c r="L16">
        <f t="shared" si="0"/>
        <v>11</v>
      </c>
      <c r="N16" s="511">
        <v>25509.673947999971</v>
      </c>
    </row>
    <row r="17" spans="1:14">
      <c r="A17">
        <v>376</v>
      </c>
      <c r="B17" s="137"/>
      <c r="C17" s="47"/>
      <c r="D17" s="47" t="s">
        <v>145</v>
      </c>
      <c r="E17" s="47"/>
      <c r="F17" s="192"/>
      <c r="G17" s="192"/>
      <c r="H17" s="301">
        <f>[35]XNV!$S$15</f>
        <v>1482772.61</v>
      </c>
      <c r="J17" s="140">
        <f t="shared" si="2"/>
        <v>1482772.61</v>
      </c>
      <c r="K17" s="140">
        <f t="shared" si="1"/>
        <v>0</v>
      </c>
      <c r="L17">
        <f t="shared" si="0"/>
        <v>12</v>
      </c>
      <c r="N17" s="301">
        <v>742319.49</v>
      </c>
    </row>
    <row r="18" spans="1:14">
      <c r="A18">
        <v>377</v>
      </c>
      <c r="B18" s="137"/>
      <c r="C18" s="47"/>
      <c r="D18" s="47"/>
      <c r="E18" s="47"/>
      <c r="F18" s="192"/>
      <c r="G18" s="192"/>
      <c r="H18" s="301"/>
      <c r="J18" s="7">
        <f t="shared" si="2"/>
        <v>0</v>
      </c>
      <c r="K18" s="7">
        <f t="shared" si="1"/>
        <v>0</v>
      </c>
      <c r="L18">
        <f t="shared" si="0"/>
        <v>13</v>
      </c>
      <c r="N18" s="301"/>
    </row>
    <row r="19" spans="1:14">
      <c r="A19">
        <v>378</v>
      </c>
      <c r="B19" s="137">
        <v>487</v>
      </c>
      <c r="C19" s="47" t="s">
        <v>148</v>
      </c>
      <c r="D19" s="47"/>
      <c r="E19" s="47"/>
      <c r="F19" s="192"/>
      <c r="G19" s="192"/>
      <c r="H19" s="301"/>
      <c r="J19" s="7">
        <f t="shared" si="2"/>
        <v>0</v>
      </c>
      <c r="K19" s="7">
        <f t="shared" si="1"/>
        <v>0</v>
      </c>
      <c r="L19">
        <f t="shared" si="0"/>
        <v>14</v>
      </c>
      <c r="N19" s="301"/>
    </row>
    <row r="20" spans="1:14">
      <c r="A20">
        <v>379</v>
      </c>
      <c r="B20" s="137"/>
      <c r="C20" s="47"/>
      <c r="D20" s="47" t="s">
        <v>12</v>
      </c>
      <c r="E20" s="47"/>
      <c r="F20" s="192" t="s">
        <v>510</v>
      </c>
      <c r="G20" s="192"/>
      <c r="H20" s="301">
        <f>[35]XNV!$S$18</f>
        <v>3903242.1837379998</v>
      </c>
      <c r="J20" s="7">
        <f t="shared" si="2"/>
        <v>3903242.1837379998</v>
      </c>
      <c r="K20" s="7">
        <f t="shared" si="1"/>
        <v>0</v>
      </c>
      <c r="L20">
        <f t="shared" si="0"/>
        <v>15</v>
      </c>
      <c r="N20" s="301">
        <v>1069706.8995150002</v>
      </c>
    </row>
    <row r="21" spans="1:14">
      <c r="A21">
        <v>380</v>
      </c>
      <c r="B21" s="137"/>
      <c r="C21" s="47"/>
      <c r="D21" s="47" t="s">
        <v>23</v>
      </c>
      <c r="E21" s="47"/>
      <c r="F21" s="192" t="s">
        <v>510</v>
      </c>
      <c r="G21" s="192"/>
      <c r="H21" s="511">
        <f>[35]XNV!$S$19</f>
        <v>136038.94626200001</v>
      </c>
      <c r="J21" s="7">
        <f t="shared" si="2"/>
        <v>136038.94626200001</v>
      </c>
      <c r="K21" s="7">
        <f t="shared" si="1"/>
        <v>0</v>
      </c>
      <c r="L21">
        <f t="shared" si="0"/>
        <v>16</v>
      </c>
      <c r="N21" s="301">
        <v>36975.240484999951</v>
      </c>
    </row>
    <row r="22" spans="1:14">
      <c r="A22">
        <v>381</v>
      </c>
      <c r="B22" s="137"/>
      <c r="C22" s="47"/>
      <c r="D22" s="47" t="s">
        <v>145</v>
      </c>
      <c r="E22" s="47"/>
      <c r="F22" s="192"/>
      <c r="G22" s="192"/>
      <c r="H22" s="301">
        <f>[35]XNV!$S$20</f>
        <v>4039281.1300000004</v>
      </c>
      <c r="J22" s="140">
        <f t="shared" si="2"/>
        <v>4039281.1300000004</v>
      </c>
      <c r="K22" s="140">
        <f t="shared" si="1"/>
        <v>0</v>
      </c>
      <c r="L22">
        <f t="shared" si="0"/>
        <v>17</v>
      </c>
      <c r="N22" s="1045">
        <v>1106682.1399999999</v>
      </c>
    </row>
    <row r="23" spans="1:14">
      <c r="A23">
        <v>382</v>
      </c>
      <c r="B23" s="137"/>
      <c r="C23" s="47"/>
      <c r="D23" s="47"/>
      <c r="E23" s="47"/>
      <c r="F23" s="192"/>
      <c r="G23" s="192"/>
      <c r="H23" s="301"/>
      <c r="J23" s="7">
        <f t="shared" si="2"/>
        <v>0</v>
      </c>
      <c r="K23" s="7">
        <f t="shared" si="1"/>
        <v>0</v>
      </c>
      <c r="L23">
        <f t="shared" si="0"/>
        <v>18</v>
      </c>
      <c r="N23" s="301"/>
    </row>
    <row r="24" spans="1:14">
      <c r="A24">
        <v>383</v>
      </c>
      <c r="B24" s="137" t="s">
        <v>166</v>
      </c>
      <c r="C24" s="47" t="s">
        <v>279</v>
      </c>
      <c r="D24" s="47"/>
      <c r="E24" s="47"/>
      <c r="F24" s="192"/>
      <c r="G24" s="192"/>
      <c r="H24" s="301"/>
      <c r="J24" s="7">
        <f t="shared" si="2"/>
        <v>0</v>
      </c>
      <c r="K24" s="7">
        <f t="shared" si="1"/>
        <v>0</v>
      </c>
      <c r="L24">
        <f t="shared" si="0"/>
        <v>19</v>
      </c>
      <c r="N24" s="301"/>
    </row>
    <row r="25" spans="1:14">
      <c r="A25">
        <v>384</v>
      </c>
      <c r="B25" s="137"/>
      <c r="C25" s="47"/>
      <c r="D25" s="47" t="s">
        <v>12</v>
      </c>
      <c r="E25" s="47"/>
      <c r="F25" s="192" t="s">
        <v>510</v>
      </c>
      <c r="G25" s="192"/>
      <c r="H25" s="301">
        <f>[35]XNV!$S$23</f>
        <v>2859151.3418999999</v>
      </c>
      <c r="J25" s="7">
        <f t="shared" si="2"/>
        <v>2859151.3418999999</v>
      </c>
      <c r="K25" s="7">
        <f t="shared" si="1"/>
        <v>0</v>
      </c>
      <c r="L25">
        <f t="shared" si="0"/>
        <v>20</v>
      </c>
      <c r="N25" s="301">
        <v>2590573.2291999999</v>
      </c>
    </row>
    <row r="26" spans="1:14">
      <c r="A26">
        <v>385</v>
      </c>
      <c r="B26" s="137"/>
      <c r="C26" s="47"/>
      <c r="D26" s="47" t="s">
        <v>23</v>
      </c>
      <c r="E26" s="47"/>
      <c r="F26" s="192" t="s">
        <v>510</v>
      </c>
      <c r="G26" s="192"/>
      <c r="H26" s="511">
        <f>[35]XNV!$S$24</f>
        <v>93683.658100000059</v>
      </c>
      <c r="J26" s="7">
        <f t="shared" si="2"/>
        <v>93683.658100000059</v>
      </c>
      <c r="K26" s="7">
        <f t="shared" si="1"/>
        <v>0</v>
      </c>
      <c r="L26">
        <f t="shared" si="0"/>
        <v>21</v>
      </c>
      <c r="N26" s="301">
        <v>92339.770799999969</v>
      </c>
    </row>
    <row r="27" spans="1:14">
      <c r="A27">
        <v>386</v>
      </c>
      <c r="B27" s="137"/>
      <c r="C27" s="47"/>
      <c r="D27" s="47" t="s">
        <v>145</v>
      </c>
      <c r="E27" s="47"/>
      <c r="F27" s="192"/>
      <c r="G27" s="192"/>
      <c r="H27" s="301">
        <f>[35]XNV!S25</f>
        <v>2952835</v>
      </c>
      <c r="J27" s="140">
        <f t="shared" si="2"/>
        <v>2952835</v>
      </c>
      <c r="K27" s="140">
        <f t="shared" si="1"/>
        <v>0</v>
      </c>
      <c r="L27">
        <f t="shared" si="0"/>
        <v>22</v>
      </c>
      <c r="N27" s="1045">
        <v>2682913</v>
      </c>
    </row>
    <row r="28" spans="1:14">
      <c r="A28">
        <v>387</v>
      </c>
      <c r="B28" s="137"/>
      <c r="C28" s="47"/>
      <c r="D28" s="47"/>
      <c r="E28" s="47"/>
      <c r="F28" s="192"/>
      <c r="G28" s="192"/>
      <c r="H28" s="301"/>
      <c r="J28" s="7">
        <f t="shared" si="2"/>
        <v>0</v>
      </c>
      <c r="K28" s="7">
        <f t="shared" si="1"/>
        <v>0</v>
      </c>
      <c r="L28">
        <f t="shared" si="0"/>
        <v>23</v>
      </c>
      <c r="N28" s="301"/>
    </row>
    <row r="29" spans="1:14">
      <c r="A29">
        <v>388</v>
      </c>
      <c r="B29" s="137" t="s">
        <v>167</v>
      </c>
      <c r="C29" s="47" t="s">
        <v>280</v>
      </c>
      <c r="D29" s="47"/>
      <c r="E29" s="47"/>
      <c r="F29" s="192"/>
      <c r="G29" s="192"/>
      <c r="H29" s="301"/>
      <c r="J29" s="7">
        <f t="shared" si="2"/>
        <v>0</v>
      </c>
      <c r="K29" s="7">
        <f t="shared" si="1"/>
        <v>0</v>
      </c>
      <c r="L29">
        <f t="shared" si="0"/>
        <v>24</v>
      </c>
      <c r="N29" s="301"/>
    </row>
    <row r="30" spans="1:14">
      <c r="A30">
        <v>389</v>
      </c>
      <c r="B30" s="137"/>
      <c r="C30" s="47"/>
      <c r="D30" s="47" t="s">
        <v>12</v>
      </c>
      <c r="E30" s="47"/>
      <c r="F30" s="192" t="s">
        <v>510</v>
      </c>
      <c r="G30" s="192"/>
      <c r="H30" s="301">
        <f>[35]XNV!$S$28</f>
        <v>0</v>
      </c>
      <c r="J30" s="7">
        <f t="shared" si="2"/>
        <v>0</v>
      </c>
      <c r="K30" s="7">
        <f t="shared" si="1"/>
        <v>0</v>
      </c>
      <c r="L30">
        <f t="shared" si="0"/>
        <v>25</v>
      </c>
      <c r="N30" s="301">
        <v>0</v>
      </c>
    </row>
    <row r="31" spans="1:14">
      <c r="A31">
        <v>390</v>
      </c>
      <c r="B31" s="137"/>
      <c r="C31" s="47"/>
      <c r="D31" s="47" t="s">
        <v>23</v>
      </c>
      <c r="E31" s="47"/>
      <c r="F31" s="192" t="s">
        <v>510</v>
      </c>
      <c r="G31" s="192"/>
      <c r="H31" s="301">
        <f>[35]XNV!$S$29</f>
        <v>0</v>
      </c>
      <c r="J31" s="7">
        <f t="shared" si="2"/>
        <v>0</v>
      </c>
      <c r="K31" s="7">
        <f t="shared" si="1"/>
        <v>0</v>
      </c>
      <c r="L31">
        <f t="shared" si="0"/>
        <v>26</v>
      </c>
      <c r="N31" s="301">
        <v>0</v>
      </c>
    </row>
    <row r="32" spans="1:14">
      <c r="A32">
        <v>391</v>
      </c>
      <c r="B32" s="137"/>
      <c r="C32" s="47"/>
      <c r="D32" s="47" t="s">
        <v>145</v>
      </c>
      <c r="E32" s="47"/>
      <c r="F32" s="192"/>
      <c r="G32" s="192"/>
      <c r="H32" s="323">
        <f>[35]XNV!$S$30</f>
        <v>0</v>
      </c>
      <c r="J32" s="140">
        <f t="shared" si="2"/>
        <v>0</v>
      </c>
      <c r="K32" s="140">
        <f t="shared" si="1"/>
        <v>0</v>
      </c>
      <c r="L32">
        <f t="shared" si="0"/>
        <v>27</v>
      </c>
      <c r="N32" s="1045">
        <v>0</v>
      </c>
    </row>
    <row r="33" spans="1:14">
      <c r="A33">
        <v>392</v>
      </c>
      <c r="B33" s="137"/>
      <c r="C33" s="47"/>
      <c r="D33" s="47"/>
      <c r="E33" s="47"/>
      <c r="F33" s="192"/>
      <c r="G33" s="192"/>
      <c r="H33" s="301"/>
      <c r="J33" s="7">
        <f t="shared" si="2"/>
        <v>0</v>
      </c>
      <c r="K33" s="7">
        <f t="shared" si="1"/>
        <v>0</v>
      </c>
      <c r="L33">
        <f t="shared" si="0"/>
        <v>28</v>
      </c>
      <c r="N33" s="301"/>
    </row>
    <row r="34" spans="1:14">
      <c r="A34">
        <v>393</v>
      </c>
      <c r="B34" s="137" t="s">
        <v>168</v>
      </c>
      <c r="C34" s="47" t="s">
        <v>281</v>
      </c>
      <c r="D34" s="47"/>
      <c r="E34" s="47"/>
      <c r="F34" s="192"/>
      <c r="G34" s="192"/>
      <c r="H34" s="301"/>
      <c r="J34" s="7">
        <f t="shared" si="2"/>
        <v>0</v>
      </c>
      <c r="K34" s="7">
        <f t="shared" si="1"/>
        <v>0</v>
      </c>
      <c r="L34">
        <f t="shared" si="0"/>
        <v>29</v>
      </c>
      <c r="N34" s="301"/>
    </row>
    <row r="35" spans="1:14">
      <c r="A35">
        <v>394</v>
      </c>
      <c r="B35" s="137"/>
      <c r="C35" s="47"/>
      <c r="D35" s="47" t="s">
        <v>12</v>
      </c>
      <c r="E35" s="47"/>
      <c r="F35" s="192" t="s">
        <v>510</v>
      </c>
      <c r="G35" s="192"/>
      <c r="H35" s="301">
        <f>[35]XNV!$S$33</f>
        <v>0</v>
      </c>
      <c r="J35" s="7">
        <f t="shared" si="2"/>
        <v>0</v>
      </c>
      <c r="K35" s="7">
        <f t="shared" si="1"/>
        <v>0</v>
      </c>
      <c r="L35">
        <f t="shared" si="0"/>
        <v>30</v>
      </c>
      <c r="N35" s="301">
        <v>0</v>
      </c>
    </row>
    <row r="36" spans="1:14">
      <c r="A36">
        <v>395</v>
      </c>
      <c r="B36" s="137"/>
      <c r="C36" s="47"/>
      <c r="D36" s="47" t="s">
        <v>23</v>
      </c>
      <c r="E36" s="47"/>
      <c r="F36" s="192" t="s">
        <v>510</v>
      </c>
      <c r="G36" s="192"/>
      <c r="H36" s="301">
        <f>[35]XNV!$S$34</f>
        <v>0</v>
      </c>
      <c r="J36" s="7">
        <f t="shared" si="2"/>
        <v>0</v>
      </c>
      <c r="K36" s="7">
        <f t="shared" si="1"/>
        <v>0</v>
      </c>
      <c r="L36">
        <f t="shared" si="0"/>
        <v>31</v>
      </c>
      <c r="N36" s="301">
        <v>0</v>
      </c>
    </row>
    <row r="37" spans="1:14">
      <c r="A37">
        <v>396</v>
      </c>
      <c r="B37" s="137"/>
      <c r="C37" s="47"/>
      <c r="D37" s="47" t="s">
        <v>145</v>
      </c>
      <c r="E37" s="47"/>
      <c r="F37" s="192"/>
      <c r="G37" s="192"/>
      <c r="H37" s="323">
        <f>[35]XNV!$S$35</f>
        <v>0</v>
      </c>
      <c r="J37" s="140">
        <f t="shared" si="2"/>
        <v>0</v>
      </c>
      <c r="K37" s="140">
        <f t="shared" si="1"/>
        <v>0</v>
      </c>
      <c r="L37">
        <f t="shared" si="0"/>
        <v>32</v>
      </c>
      <c r="N37" s="1045">
        <v>0</v>
      </c>
    </row>
    <row r="38" spans="1:14">
      <c r="A38">
        <v>397</v>
      </c>
      <c r="B38" s="137"/>
      <c r="C38" s="47"/>
      <c r="D38" s="47"/>
      <c r="E38" s="47"/>
      <c r="F38" s="192"/>
      <c r="G38" s="192"/>
      <c r="H38" s="301"/>
      <c r="J38" s="7">
        <f t="shared" si="2"/>
        <v>0</v>
      </c>
      <c r="K38" s="7">
        <f t="shared" si="1"/>
        <v>0</v>
      </c>
      <c r="L38">
        <f t="shared" si="0"/>
        <v>33</v>
      </c>
      <c r="N38" s="301"/>
    </row>
    <row r="39" spans="1:14">
      <c r="A39">
        <v>398</v>
      </c>
      <c r="B39" s="173" t="s">
        <v>369</v>
      </c>
      <c r="C39" s="49" t="s">
        <v>282</v>
      </c>
      <c r="D39" s="49"/>
      <c r="E39" s="49"/>
      <c r="F39" s="192"/>
      <c r="G39" s="192"/>
      <c r="H39" s="301"/>
      <c r="J39" s="7">
        <f t="shared" si="2"/>
        <v>0</v>
      </c>
      <c r="K39" s="7">
        <f t="shared" si="1"/>
        <v>0</v>
      </c>
      <c r="L39">
        <f t="shared" si="0"/>
        <v>34</v>
      </c>
      <c r="N39" s="301"/>
    </row>
    <row r="40" spans="1:14">
      <c r="A40">
        <v>399</v>
      </c>
      <c r="B40" s="173"/>
      <c r="C40" s="49"/>
      <c r="D40" s="49" t="s">
        <v>12</v>
      </c>
      <c r="E40" s="49"/>
      <c r="F40" s="192" t="s">
        <v>510</v>
      </c>
      <c r="G40" s="192"/>
      <c r="H40" s="301">
        <f>[35]XNV!$S$38</f>
        <v>0</v>
      </c>
      <c r="J40" s="7">
        <f t="shared" si="2"/>
        <v>0</v>
      </c>
      <c r="K40" s="7">
        <f t="shared" si="1"/>
        <v>0</v>
      </c>
      <c r="L40">
        <f t="shared" si="0"/>
        <v>35</v>
      </c>
      <c r="N40" s="301">
        <v>0</v>
      </c>
    </row>
    <row r="41" spans="1:14">
      <c r="A41">
        <v>400</v>
      </c>
      <c r="B41" s="173"/>
      <c r="C41" s="49"/>
      <c r="D41" s="49" t="s">
        <v>23</v>
      </c>
      <c r="E41" s="49"/>
      <c r="F41" s="192" t="s">
        <v>510</v>
      </c>
      <c r="G41" s="192"/>
      <c r="H41" s="301">
        <f>[35]XNV!$S$39</f>
        <v>0</v>
      </c>
      <c r="J41" s="7">
        <f t="shared" si="2"/>
        <v>0</v>
      </c>
      <c r="K41" s="7">
        <f t="shared" si="1"/>
        <v>0</v>
      </c>
      <c r="L41">
        <f t="shared" si="0"/>
        <v>36</v>
      </c>
      <c r="N41" s="301">
        <v>0</v>
      </c>
    </row>
    <row r="42" spans="1:14">
      <c r="A42">
        <v>401</v>
      </c>
      <c r="B42" s="173"/>
      <c r="C42" s="49"/>
      <c r="D42" s="49" t="s">
        <v>145</v>
      </c>
      <c r="E42" s="49"/>
      <c r="F42" s="192"/>
      <c r="G42" s="192"/>
      <c r="H42" s="323">
        <f>[35]XNV!$S$40</f>
        <v>0</v>
      </c>
      <c r="J42" s="140">
        <f t="shared" si="2"/>
        <v>0</v>
      </c>
      <c r="K42" s="140">
        <f t="shared" si="1"/>
        <v>0</v>
      </c>
      <c r="L42">
        <f t="shared" si="0"/>
        <v>37</v>
      </c>
      <c r="N42" s="1045">
        <v>0</v>
      </c>
    </row>
    <row r="43" spans="1:14">
      <c r="A43">
        <v>402</v>
      </c>
      <c r="B43" s="173"/>
      <c r="C43" s="49"/>
      <c r="D43" s="49"/>
      <c r="E43" s="49"/>
      <c r="F43" s="192"/>
      <c r="G43" s="192"/>
      <c r="H43" s="301"/>
      <c r="J43" s="7">
        <f t="shared" si="2"/>
        <v>0</v>
      </c>
      <c r="K43" s="7">
        <f t="shared" si="1"/>
        <v>0</v>
      </c>
      <c r="L43">
        <f t="shared" si="0"/>
        <v>38</v>
      </c>
      <c r="N43" s="301"/>
    </row>
    <row r="44" spans="1:14">
      <c r="A44">
        <v>403</v>
      </c>
      <c r="B44" s="173" t="s">
        <v>370</v>
      </c>
      <c r="C44" s="49" t="s">
        <v>283</v>
      </c>
      <c r="D44" s="49"/>
      <c r="E44" s="49"/>
      <c r="F44" s="192"/>
      <c r="G44" s="192"/>
      <c r="H44" s="301"/>
      <c r="J44" s="7">
        <f t="shared" si="2"/>
        <v>0</v>
      </c>
      <c r="K44" s="7">
        <f t="shared" si="1"/>
        <v>0</v>
      </c>
      <c r="L44">
        <f t="shared" si="0"/>
        <v>39</v>
      </c>
      <c r="N44" s="301"/>
    </row>
    <row r="45" spans="1:14">
      <c r="A45">
        <v>404</v>
      </c>
      <c r="B45" s="173"/>
      <c r="C45" s="49"/>
      <c r="D45" s="49" t="s">
        <v>12</v>
      </c>
      <c r="E45" s="49"/>
      <c r="F45" s="192" t="s">
        <v>510</v>
      </c>
      <c r="G45" s="192"/>
      <c r="H45" s="301">
        <f>[35]XNV!$S$43</f>
        <v>0</v>
      </c>
      <c r="J45" s="7">
        <f t="shared" si="2"/>
        <v>0</v>
      </c>
      <c r="K45" s="7">
        <f t="shared" si="1"/>
        <v>0</v>
      </c>
      <c r="L45">
        <f t="shared" si="0"/>
        <v>40</v>
      </c>
      <c r="N45" s="301">
        <v>0</v>
      </c>
    </row>
    <row r="46" spans="1:14">
      <c r="A46">
        <v>405</v>
      </c>
      <c r="B46" s="173"/>
      <c r="C46" s="49"/>
      <c r="D46" s="49" t="s">
        <v>23</v>
      </c>
      <c r="E46" s="49"/>
      <c r="F46" s="192" t="s">
        <v>510</v>
      </c>
      <c r="G46" s="192"/>
      <c r="H46" s="301">
        <f>[35]XNV!$S$44</f>
        <v>0</v>
      </c>
      <c r="J46" s="7">
        <f t="shared" si="2"/>
        <v>0</v>
      </c>
      <c r="K46" s="7">
        <f t="shared" si="1"/>
        <v>0</v>
      </c>
      <c r="L46">
        <f t="shared" si="0"/>
        <v>41</v>
      </c>
      <c r="N46" s="301">
        <v>0</v>
      </c>
    </row>
    <row r="47" spans="1:14">
      <c r="A47">
        <v>406</v>
      </c>
      <c r="B47" s="173"/>
      <c r="C47" s="49"/>
      <c r="D47" s="49" t="s">
        <v>145</v>
      </c>
      <c r="E47" s="49"/>
      <c r="F47" s="192"/>
      <c r="G47" s="192"/>
      <c r="H47" s="323">
        <f>[35]XNV!$S$45</f>
        <v>0</v>
      </c>
      <c r="J47" s="140">
        <f t="shared" ref="J47:J78" si="3">HLOOKUP($J$7,OtherRevScenarios,L46,FALSE)</f>
        <v>0</v>
      </c>
      <c r="K47" s="140">
        <f t="shared" ref="K47:K78" si="4">+J47-H47</f>
        <v>0</v>
      </c>
      <c r="L47">
        <f t="shared" si="0"/>
        <v>42</v>
      </c>
      <c r="N47" s="1045">
        <v>0</v>
      </c>
    </row>
    <row r="48" spans="1:14">
      <c r="A48">
        <v>407</v>
      </c>
      <c r="B48" s="173"/>
      <c r="C48" s="49"/>
      <c r="D48" s="49"/>
      <c r="E48" s="49"/>
      <c r="F48" s="192"/>
      <c r="G48" s="192"/>
      <c r="H48" s="301"/>
      <c r="J48" s="7">
        <f t="shared" si="3"/>
        <v>0</v>
      </c>
      <c r="K48" s="7">
        <f t="shared" si="4"/>
        <v>0</v>
      </c>
      <c r="L48">
        <f t="shared" si="0"/>
        <v>43</v>
      </c>
      <c r="N48" s="301"/>
    </row>
    <row r="49" spans="1:14">
      <c r="A49">
        <v>408</v>
      </c>
      <c r="B49" s="173" t="s">
        <v>371</v>
      </c>
      <c r="C49" s="49" t="s">
        <v>284</v>
      </c>
      <c r="D49" s="49"/>
      <c r="E49" s="49"/>
      <c r="F49" s="192"/>
      <c r="G49" s="192"/>
      <c r="H49" s="301"/>
      <c r="J49" s="7">
        <f t="shared" si="3"/>
        <v>0</v>
      </c>
      <c r="K49" s="7">
        <f t="shared" si="4"/>
        <v>0</v>
      </c>
      <c r="L49">
        <f t="shared" si="0"/>
        <v>44</v>
      </c>
      <c r="N49" s="301"/>
    </row>
    <row r="50" spans="1:14">
      <c r="A50">
        <v>409</v>
      </c>
      <c r="B50" s="173"/>
      <c r="C50" s="49"/>
      <c r="D50" s="49" t="s">
        <v>12</v>
      </c>
      <c r="E50" s="49"/>
      <c r="F50" s="192" t="s">
        <v>510</v>
      </c>
      <c r="G50" s="192"/>
      <c r="H50" s="301">
        <f>[35]XNV!$S$48</f>
        <v>0</v>
      </c>
      <c r="J50" s="7">
        <f t="shared" si="3"/>
        <v>0</v>
      </c>
      <c r="K50" s="7">
        <f t="shared" si="4"/>
        <v>0</v>
      </c>
      <c r="L50">
        <f t="shared" si="0"/>
        <v>45</v>
      </c>
      <c r="N50" s="301">
        <v>0</v>
      </c>
    </row>
    <row r="51" spans="1:14">
      <c r="A51">
        <v>410</v>
      </c>
      <c r="B51" s="173"/>
      <c r="C51" s="49"/>
      <c r="D51" s="49" t="s">
        <v>23</v>
      </c>
      <c r="E51" s="49"/>
      <c r="F51" s="192" t="s">
        <v>510</v>
      </c>
      <c r="G51" s="192"/>
      <c r="H51" s="301">
        <f>[35]XNV!$S$49</f>
        <v>0</v>
      </c>
      <c r="J51" s="7">
        <f t="shared" si="3"/>
        <v>0</v>
      </c>
      <c r="K51" s="7">
        <f t="shared" si="4"/>
        <v>0</v>
      </c>
      <c r="L51">
        <f t="shared" si="0"/>
        <v>46</v>
      </c>
      <c r="N51" s="301">
        <v>0</v>
      </c>
    </row>
    <row r="52" spans="1:14">
      <c r="A52">
        <v>411</v>
      </c>
      <c r="B52" s="173"/>
      <c r="C52" s="49"/>
      <c r="D52" s="49" t="s">
        <v>145</v>
      </c>
      <c r="E52" s="49"/>
      <c r="F52" s="192"/>
      <c r="G52" s="192"/>
      <c r="H52" s="323">
        <f>[35]XNV!$S$50</f>
        <v>0</v>
      </c>
      <c r="J52" s="140">
        <f t="shared" si="3"/>
        <v>0</v>
      </c>
      <c r="K52" s="140">
        <f t="shared" si="4"/>
        <v>0</v>
      </c>
      <c r="L52">
        <f t="shared" si="0"/>
        <v>47</v>
      </c>
      <c r="N52" s="1045">
        <v>0</v>
      </c>
    </row>
    <row r="53" spans="1:14">
      <c r="A53">
        <v>412</v>
      </c>
      <c r="B53" s="173"/>
      <c r="C53" s="49"/>
      <c r="D53" s="49"/>
      <c r="E53" s="49"/>
      <c r="F53" s="192"/>
      <c r="G53" s="192"/>
      <c r="H53" s="301"/>
      <c r="J53" s="7">
        <f t="shared" si="3"/>
        <v>0</v>
      </c>
      <c r="K53" s="7">
        <f t="shared" si="4"/>
        <v>0</v>
      </c>
      <c r="L53">
        <f t="shared" si="0"/>
        <v>48</v>
      </c>
      <c r="N53" s="301"/>
    </row>
    <row r="54" spans="1:14">
      <c r="A54">
        <v>413</v>
      </c>
      <c r="B54" s="173" t="s">
        <v>372</v>
      </c>
      <c r="C54" s="49" t="s">
        <v>373</v>
      </c>
      <c r="D54" s="49"/>
      <c r="E54" s="49"/>
      <c r="F54" s="192"/>
      <c r="G54" s="192"/>
      <c r="H54" s="301"/>
      <c r="J54" s="7">
        <f t="shared" si="3"/>
        <v>0</v>
      </c>
      <c r="K54" s="7">
        <f t="shared" si="4"/>
        <v>0</v>
      </c>
      <c r="L54">
        <f t="shared" si="0"/>
        <v>49</v>
      </c>
      <c r="N54" s="301"/>
    </row>
    <row r="55" spans="1:14">
      <c r="A55">
        <v>414</v>
      </c>
      <c r="B55" s="173"/>
      <c r="C55" s="49"/>
      <c r="D55" s="49" t="s">
        <v>12</v>
      </c>
      <c r="E55" s="49"/>
      <c r="F55" s="192" t="s">
        <v>510</v>
      </c>
      <c r="G55" s="192"/>
      <c r="H55" s="301">
        <f>[35]XNV!$S$53</f>
        <v>0</v>
      </c>
      <c r="J55" s="7">
        <f t="shared" si="3"/>
        <v>0</v>
      </c>
      <c r="K55" s="7">
        <f t="shared" si="4"/>
        <v>0</v>
      </c>
      <c r="L55">
        <f t="shared" si="0"/>
        <v>50</v>
      </c>
      <c r="N55" s="301">
        <v>0</v>
      </c>
    </row>
    <row r="56" spans="1:14">
      <c r="A56">
        <v>415</v>
      </c>
      <c r="B56" s="173"/>
      <c r="C56" s="49"/>
      <c r="D56" s="49" t="s">
        <v>23</v>
      </c>
      <c r="E56" s="49"/>
      <c r="F56" s="192" t="s">
        <v>510</v>
      </c>
      <c r="G56" s="192"/>
      <c r="H56" s="301">
        <f>[35]XNV!$S$54</f>
        <v>0</v>
      </c>
      <c r="J56" s="7">
        <f t="shared" si="3"/>
        <v>0</v>
      </c>
      <c r="K56" s="7">
        <f t="shared" si="4"/>
        <v>0</v>
      </c>
      <c r="L56">
        <f t="shared" si="0"/>
        <v>51</v>
      </c>
      <c r="N56" s="301">
        <v>0</v>
      </c>
    </row>
    <row r="57" spans="1:14">
      <c r="A57">
        <v>416</v>
      </c>
      <c r="B57" s="173"/>
      <c r="C57" s="49"/>
      <c r="D57" s="49" t="s">
        <v>145</v>
      </c>
      <c r="E57" s="49"/>
      <c r="F57" s="192"/>
      <c r="G57" s="192"/>
      <c r="H57" s="323">
        <f>[35]XNV!$S$55</f>
        <v>0</v>
      </c>
      <c r="J57" s="140">
        <f t="shared" si="3"/>
        <v>0</v>
      </c>
      <c r="K57" s="140">
        <f t="shared" si="4"/>
        <v>0</v>
      </c>
      <c r="L57">
        <f t="shared" si="0"/>
        <v>52</v>
      </c>
      <c r="N57" s="1045">
        <v>0</v>
      </c>
    </row>
    <row r="58" spans="1:14">
      <c r="A58">
        <v>417</v>
      </c>
      <c r="B58" s="173"/>
      <c r="C58" s="49"/>
      <c r="D58" s="49"/>
      <c r="E58" s="49"/>
      <c r="F58" s="192"/>
      <c r="G58" s="192"/>
      <c r="H58" s="301"/>
      <c r="J58" s="7">
        <f t="shared" si="3"/>
        <v>0</v>
      </c>
      <c r="K58" s="7">
        <f t="shared" si="4"/>
        <v>0</v>
      </c>
      <c r="L58">
        <f t="shared" si="0"/>
        <v>53</v>
      </c>
      <c r="N58" s="301"/>
    </row>
    <row r="59" spans="1:14">
      <c r="A59">
        <v>418</v>
      </c>
      <c r="B59" s="173" t="s">
        <v>374</v>
      </c>
      <c r="C59" s="49" t="s">
        <v>285</v>
      </c>
      <c r="D59" s="49"/>
      <c r="E59" s="49"/>
      <c r="F59" s="192"/>
      <c r="G59" s="192"/>
      <c r="H59" s="301"/>
      <c r="J59" s="7">
        <f t="shared" si="3"/>
        <v>0</v>
      </c>
      <c r="K59" s="7">
        <f t="shared" si="4"/>
        <v>0</v>
      </c>
      <c r="L59">
        <f t="shared" si="0"/>
        <v>54</v>
      </c>
      <c r="N59" s="301"/>
    </row>
    <row r="60" spans="1:14">
      <c r="A60">
        <v>419</v>
      </c>
      <c r="B60" s="173"/>
      <c r="C60" s="49"/>
      <c r="D60" s="49" t="s">
        <v>12</v>
      </c>
      <c r="E60" s="49"/>
      <c r="F60" s="192" t="s">
        <v>510</v>
      </c>
      <c r="G60" s="192"/>
      <c r="H60" s="301">
        <f>[35]XNV!$S$58</f>
        <v>0</v>
      </c>
      <c r="J60" s="7">
        <f t="shared" si="3"/>
        <v>0</v>
      </c>
      <c r="K60" s="7">
        <f t="shared" si="4"/>
        <v>0</v>
      </c>
      <c r="L60">
        <f t="shared" si="0"/>
        <v>55</v>
      </c>
      <c r="N60" s="301">
        <v>0</v>
      </c>
    </row>
    <row r="61" spans="1:14">
      <c r="A61">
        <v>420</v>
      </c>
      <c r="B61" s="173"/>
      <c r="C61" s="49"/>
      <c r="D61" s="49" t="s">
        <v>23</v>
      </c>
      <c r="E61" s="49"/>
      <c r="F61" s="192" t="s">
        <v>510</v>
      </c>
      <c r="G61" s="192"/>
      <c r="H61" s="301">
        <f>[35]XNV!$S$59</f>
        <v>0</v>
      </c>
      <c r="J61" s="7">
        <f t="shared" si="3"/>
        <v>0</v>
      </c>
      <c r="K61" s="7">
        <f t="shared" si="4"/>
        <v>0</v>
      </c>
      <c r="L61">
        <f t="shared" si="0"/>
        <v>56</v>
      </c>
      <c r="N61" s="301">
        <v>0</v>
      </c>
    </row>
    <row r="62" spans="1:14">
      <c r="A62">
        <v>421</v>
      </c>
      <c r="B62" s="173"/>
      <c r="C62" s="49"/>
      <c r="D62" s="49" t="s">
        <v>145</v>
      </c>
      <c r="E62" s="49"/>
      <c r="F62" s="192"/>
      <c r="G62" s="192"/>
      <c r="H62" s="323">
        <f>[35]XNV!$S$60</f>
        <v>0</v>
      </c>
      <c r="J62" s="140">
        <f t="shared" si="3"/>
        <v>0</v>
      </c>
      <c r="K62" s="140">
        <f t="shared" si="4"/>
        <v>0</v>
      </c>
      <c r="L62">
        <f t="shared" si="0"/>
        <v>57</v>
      </c>
      <c r="N62" s="1045">
        <v>0</v>
      </c>
    </row>
    <row r="63" spans="1:14">
      <c r="A63">
        <v>422</v>
      </c>
      <c r="B63" s="173"/>
      <c r="C63" s="49"/>
      <c r="D63" s="49"/>
      <c r="E63" s="49"/>
      <c r="F63" s="192"/>
      <c r="G63" s="192"/>
      <c r="H63" s="301"/>
      <c r="J63" s="7">
        <f t="shared" si="3"/>
        <v>0</v>
      </c>
      <c r="K63" s="7">
        <f t="shared" si="4"/>
        <v>0</v>
      </c>
      <c r="L63">
        <f t="shared" si="0"/>
        <v>58</v>
      </c>
      <c r="N63" s="301"/>
    </row>
    <row r="64" spans="1:14">
      <c r="A64">
        <v>423</v>
      </c>
      <c r="B64" s="174" t="s">
        <v>375</v>
      </c>
      <c r="C64" s="49" t="s">
        <v>286</v>
      </c>
      <c r="D64" s="49"/>
      <c r="E64" s="49"/>
      <c r="F64" s="192"/>
      <c r="G64" s="192"/>
      <c r="H64" s="301"/>
      <c r="J64" s="7">
        <f t="shared" si="3"/>
        <v>0</v>
      </c>
      <c r="K64" s="7">
        <f t="shared" si="4"/>
        <v>0</v>
      </c>
      <c r="L64">
        <f t="shared" si="0"/>
        <v>59</v>
      </c>
      <c r="N64" s="301"/>
    </row>
    <row r="65" spans="1:14">
      <c r="A65">
        <v>424</v>
      </c>
      <c r="B65" s="173"/>
      <c r="C65" s="49"/>
      <c r="D65" s="49" t="s">
        <v>12</v>
      </c>
      <c r="E65" s="49"/>
      <c r="F65" s="192" t="s">
        <v>510</v>
      </c>
      <c r="G65" s="192"/>
      <c r="H65" s="301">
        <f>[35]XNV!$S$63</f>
        <v>0</v>
      </c>
      <c r="J65" s="7">
        <f t="shared" si="3"/>
        <v>0</v>
      </c>
      <c r="K65" s="7">
        <f t="shared" si="4"/>
        <v>0</v>
      </c>
      <c r="L65">
        <f t="shared" si="0"/>
        <v>60</v>
      </c>
      <c r="N65" s="301">
        <v>0</v>
      </c>
    </row>
    <row r="66" spans="1:14">
      <c r="A66">
        <v>425</v>
      </c>
      <c r="B66" s="173"/>
      <c r="C66" s="49"/>
      <c r="D66" s="49" t="s">
        <v>23</v>
      </c>
      <c r="E66" s="49"/>
      <c r="F66" s="192" t="s">
        <v>510</v>
      </c>
      <c r="G66" s="192"/>
      <c r="H66" s="301">
        <f>[35]XNV!$S$64</f>
        <v>0</v>
      </c>
      <c r="J66" s="7">
        <f t="shared" si="3"/>
        <v>0</v>
      </c>
      <c r="K66" s="7">
        <f t="shared" si="4"/>
        <v>0</v>
      </c>
      <c r="L66">
        <f t="shared" si="0"/>
        <v>61</v>
      </c>
      <c r="N66" s="301">
        <v>0</v>
      </c>
    </row>
    <row r="67" spans="1:14">
      <c r="A67">
        <v>426</v>
      </c>
      <c r="B67" s="173"/>
      <c r="C67" s="49"/>
      <c r="D67" s="49" t="s">
        <v>145</v>
      </c>
      <c r="E67" s="49"/>
      <c r="F67" s="192"/>
      <c r="G67" s="192"/>
      <c r="H67" s="323">
        <f>[35]XNV!$S$65</f>
        <v>0</v>
      </c>
      <c r="J67" s="140">
        <f t="shared" si="3"/>
        <v>0</v>
      </c>
      <c r="K67" s="140">
        <f t="shared" si="4"/>
        <v>0</v>
      </c>
      <c r="L67">
        <f t="shared" ref="L67:L130" si="5">+L66+1</f>
        <v>62</v>
      </c>
      <c r="N67" s="1045">
        <v>0</v>
      </c>
    </row>
    <row r="68" spans="1:14">
      <c r="A68">
        <v>427</v>
      </c>
      <c r="B68" s="173"/>
      <c r="C68" s="49"/>
      <c r="D68" s="49"/>
      <c r="E68" s="49"/>
      <c r="F68" s="192"/>
      <c r="G68" s="192"/>
      <c r="H68" s="301"/>
      <c r="J68" s="7">
        <f t="shared" si="3"/>
        <v>0</v>
      </c>
      <c r="K68" s="7">
        <f t="shared" si="4"/>
        <v>0</v>
      </c>
      <c r="L68">
        <f t="shared" si="5"/>
        <v>63</v>
      </c>
      <c r="N68" s="301"/>
    </row>
    <row r="69" spans="1:14">
      <c r="A69">
        <v>428</v>
      </c>
      <c r="B69" s="173" t="s">
        <v>376</v>
      </c>
      <c r="C69" s="49" t="s">
        <v>288</v>
      </c>
      <c r="D69" s="49"/>
      <c r="E69" s="49"/>
      <c r="F69" s="192"/>
      <c r="G69" s="192"/>
      <c r="H69" s="301"/>
      <c r="J69" s="7">
        <f t="shared" si="3"/>
        <v>0</v>
      </c>
      <c r="K69" s="7">
        <f t="shared" si="4"/>
        <v>0</v>
      </c>
      <c r="L69">
        <f t="shared" si="5"/>
        <v>64</v>
      </c>
      <c r="N69" s="301"/>
    </row>
    <row r="70" spans="1:14">
      <c r="A70">
        <v>429</v>
      </c>
      <c r="B70" s="173"/>
      <c r="C70" s="49"/>
      <c r="D70" s="49" t="s">
        <v>12</v>
      </c>
      <c r="E70" s="49"/>
      <c r="F70" s="192" t="s">
        <v>510</v>
      </c>
      <c r="G70" s="192"/>
      <c r="H70" s="301">
        <f>[35]XNV!$S$68</f>
        <v>0</v>
      </c>
      <c r="J70" s="7">
        <f t="shared" si="3"/>
        <v>0</v>
      </c>
      <c r="K70" s="7">
        <f t="shared" si="4"/>
        <v>0</v>
      </c>
      <c r="L70">
        <f t="shared" si="5"/>
        <v>65</v>
      </c>
      <c r="N70" s="301">
        <v>0</v>
      </c>
    </row>
    <row r="71" spans="1:14">
      <c r="A71">
        <v>430</v>
      </c>
      <c r="B71" s="173"/>
      <c r="C71" s="49"/>
      <c r="D71" s="49" t="s">
        <v>23</v>
      </c>
      <c r="E71" s="49"/>
      <c r="F71" s="192" t="s">
        <v>510</v>
      </c>
      <c r="G71" s="192"/>
      <c r="H71" s="301">
        <f>[35]XNV!$S$69</f>
        <v>0</v>
      </c>
      <c r="J71" s="7">
        <f t="shared" si="3"/>
        <v>0</v>
      </c>
      <c r="K71" s="7">
        <f t="shared" si="4"/>
        <v>0</v>
      </c>
      <c r="L71">
        <f t="shared" si="5"/>
        <v>66</v>
      </c>
      <c r="N71" s="301">
        <v>0</v>
      </c>
    </row>
    <row r="72" spans="1:14">
      <c r="A72">
        <v>431</v>
      </c>
      <c r="B72" s="173"/>
      <c r="C72" s="49"/>
      <c r="D72" s="49" t="s">
        <v>145</v>
      </c>
      <c r="E72" s="49"/>
      <c r="F72" s="192"/>
      <c r="G72" s="192"/>
      <c r="H72" s="323">
        <f>[35]XNV!$S$70</f>
        <v>0</v>
      </c>
      <c r="J72" s="140">
        <f t="shared" si="3"/>
        <v>0</v>
      </c>
      <c r="K72" s="140">
        <f t="shared" si="4"/>
        <v>0</v>
      </c>
      <c r="L72">
        <f t="shared" si="5"/>
        <v>67</v>
      </c>
      <c r="N72" s="1045">
        <v>0</v>
      </c>
    </row>
    <row r="73" spans="1:14">
      <c r="A73">
        <v>432</v>
      </c>
      <c r="B73" s="173"/>
      <c r="C73" s="49"/>
      <c r="D73" s="49"/>
      <c r="E73" s="49"/>
      <c r="F73" s="192"/>
      <c r="G73" s="192"/>
      <c r="H73" s="301"/>
      <c r="J73" s="7">
        <f t="shared" si="3"/>
        <v>0</v>
      </c>
      <c r="K73" s="7">
        <f t="shared" si="4"/>
        <v>0</v>
      </c>
      <c r="L73">
        <f t="shared" si="5"/>
        <v>68</v>
      </c>
      <c r="N73" s="301"/>
    </row>
    <row r="74" spans="1:14">
      <c r="A74">
        <v>433</v>
      </c>
      <c r="B74" s="173" t="s">
        <v>377</v>
      </c>
      <c r="C74" s="49" t="s">
        <v>289</v>
      </c>
      <c r="D74" s="49"/>
      <c r="E74" s="49"/>
      <c r="F74" s="192"/>
      <c r="G74" s="192"/>
      <c r="H74" s="301"/>
      <c r="J74" s="7">
        <f t="shared" si="3"/>
        <v>0</v>
      </c>
      <c r="K74" s="7">
        <f t="shared" si="4"/>
        <v>0</v>
      </c>
      <c r="L74">
        <f t="shared" si="5"/>
        <v>69</v>
      </c>
      <c r="N74" s="301"/>
    </row>
    <row r="75" spans="1:14">
      <c r="A75">
        <v>434</v>
      </c>
      <c r="B75" s="173"/>
      <c r="C75" s="49"/>
      <c r="D75" s="49" t="s">
        <v>12</v>
      </c>
      <c r="E75" s="49"/>
      <c r="F75" s="192" t="s">
        <v>510</v>
      </c>
      <c r="G75" s="192"/>
      <c r="H75" s="301">
        <f>[35]XNV!$S$73</f>
        <v>0</v>
      </c>
      <c r="J75" s="7">
        <f t="shared" si="3"/>
        <v>0</v>
      </c>
      <c r="K75" s="7">
        <f t="shared" si="4"/>
        <v>0</v>
      </c>
      <c r="L75">
        <f t="shared" si="5"/>
        <v>70</v>
      </c>
      <c r="N75" s="301">
        <v>0</v>
      </c>
    </row>
    <row r="76" spans="1:14">
      <c r="A76">
        <v>435</v>
      </c>
      <c r="B76" s="173"/>
      <c r="C76" s="49"/>
      <c r="D76" s="49" t="s">
        <v>23</v>
      </c>
      <c r="E76" s="49"/>
      <c r="F76" s="192" t="s">
        <v>510</v>
      </c>
      <c r="G76" s="192"/>
      <c r="H76" s="301">
        <f>[35]XNV!$S$74</f>
        <v>0</v>
      </c>
      <c r="J76" s="7">
        <f t="shared" si="3"/>
        <v>0</v>
      </c>
      <c r="K76" s="7">
        <f t="shared" si="4"/>
        <v>0</v>
      </c>
      <c r="L76">
        <f t="shared" si="5"/>
        <v>71</v>
      </c>
      <c r="N76" s="301">
        <v>0</v>
      </c>
    </row>
    <row r="77" spans="1:14">
      <c r="A77">
        <v>436</v>
      </c>
      <c r="B77" s="173"/>
      <c r="C77" s="49"/>
      <c r="D77" s="49" t="s">
        <v>145</v>
      </c>
      <c r="E77" s="49"/>
      <c r="F77" s="192"/>
      <c r="G77" s="192"/>
      <c r="H77" s="323">
        <f>[35]XNV!$S$75</f>
        <v>0</v>
      </c>
      <c r="J77" s="140">
        <f t="shared" si="3"/>
        <v>0</v>
      </c>
      <c r="K77" s="140">
        <f t="shared" si="4"/>
        <v>0</v>
      </c>
      <c r="L77">
        <f t="shared" si="5"/>
        <v>72</v>
      </c>
      <c r="N77" s="1045">
        <v>0</v>
      </c>
    </row>
    <row r="78" spans="1:14">
      <c r="A78">
        <v>437</v>
      </c>
      <c r="B78" s="173"/>
      <c r="C78" s="49"/>
      <c r="D78" s="49"/>
      <c r="E78" s="49"/>
      <c r="F78" s="192"/>
      <c r="G78" s="192"/>
      <c r="H78" s="301"/>
      <c r="J78" s="7">
        <f t="shared" si="3"/>
        <v>0</v>
      </c>
      <c r="K78" s="7">
        <f t="shared" si="4"/>
        <v>0</v>
      </c>
      <c r="L78">
        <f t="shared" si="5"/>
        <v>73</v>
      </c>
      <c r="N78" s="301"/>
    </row>
    <row r="79" spans="1:14">
      <c r="A79">
        <v>438</v>
      </c>
      <c r="B79" s="173" t="s">
        <v>378</v>
      </c>
      <c r="C79" s="49" t="s">
        <v>290</v>
      </c>
      <c r="D79" s="49"/>
      <c r="E79" s="49"/>
      <c r="F79" s="192"/>
      <c r="G79" s="192"/>
      <c r="H79" s="301"/>
      <c r="J79" s="7">
        <f t="shared" ref="J79:J110" si="6">HLOOKUP($J$7,OtherRevScenarios,L78,FALSE)</f>
        <v>0</v>
      </c>
      <c r="K79" s="7">
        <f t="shared" ref="K79:K110" si="7">+J79-H79</f>
        <v>0</v>
      </c>
      <c r="L79">
        <f t="shared" si="5"/>
        <v>74</v>
      </c>
      <c r="N79" s="301"/>
    </row>
    <row r="80" spans="1:14">
      <c r="A80">
        <v>439</v>
      </c>
      <c r="B80" s="173"/>
      <c r="C80" s="49"/>
      <c r="D80" s="49" t="s">
        <v>12</v>
      </c>
      <c r="E80" s="49"/>
      <c r="F80" s="192" t="s">
        <v>510</v>
      </c>
      <c r="G80" s="192"/>
      <c r="H80" s="301">
        <f>[35]XNV!$S$78</f>
        <v>0</v>
      </c>
      <c r="J80" s="7">
        <f t="shared" si="6"/>
        <v>0</v>
      </c>
      <c r="K80" s="7">
        <f t="shared" si="7"/>
        <v>0</v>
      </c>
      <c r="L80">
        <f t="shared" si="5"/>
        <v>75</v>
      </c>
      <c r="N80" s="301">
        <v>0</v>
      </c>
    </row>
    <row r="81" spans="1:14">
      <c r="A81">
        <v>440</v>
      </c>
      <c r="B81" s="173"/>
      <c r="C81" s="49"/>
      <c r="D81" s="49" t="s">
        <v>23</v>
      </c>
      <c r="E81" s="49"/>
      <c r="F81" s="192" t="s">
        <v>510</v>
      </c>
      <c r="G81" s="192"/>
      <c r="H81" s="301">
        <f>[35]XNV!$S$79</f>
        <v>0</v>
      </c>
      <c r="J81" s="7">
        <f t="shared" si="6"/>
        <v>0</v>
      </c>
      <c r="K81" s="7">
        <f t="shared" si="7"/>
        <v>0</v>
      </c>
      <c r="L81">
        <f t="shared" si="5"/>
        <v>76</v>
      </c>
      <c r="N81" s="301">
        <v>0</v>
      </c>
    </row>
    <row r="82" spans="1:14">
      <c r="A82">
        <v>441</v>
      </c>
      <c r="B82" s="173"/>
      <c r="C82" s="49"/>
      <c r="D82" s="49" t="s">
        <v>145</v>
      </c>
      <c r="E82" s="49"/>
      <c r="F82" s="192"/>
      <c r="G82" s="192"/>
      <c r="H82" s="323">
        <f>[35]XNV!$S$80</f>
        <v>0</v>
      </c>
      <c r="J82" s="140">
        <f t="shared" si="6"/>
        <v>0</v>
      </c>
      <c r="K82" s="140">
        <f t="shared" si="7"/>
        <v>0</v>
      </c>
      <c r="L82">
        <f t="shared" si="5"/>
        <v>77</v>
      </c>
      <c r="N82" s="1045">
        <v>0</v>
      </c>
    </row>
    <row r="83" spans="1:14">
      <c r="A83">
        <v>442</v>
      </c>
      <c r="B83" s="173"/>
      <c r="C83" s="49"/>
      <c r="D83" s="49"/>
      <c r="E83" s="49"/>
      <c r="F83" s="192"/>
      <c r="G83" s="192"/>
      <c r="H83" s="301"/>
      <c r="J83" s="7">
        <f t="shared" si="6"/>
        <v>0</v>
      </c>
      <c r="K83" s="7">
        <f t="shared" si="7"/>
        <v>0</v>
      </c>
      <c r="L83">
        <f t="shared" si="5"/>
        <v>78</v>
      </c>
      <c r="N83" s="301"/>
    </row>
    <row r="84" spans="1:14">
      <c r="A84">
        <v>443</v>
      </c>
      <c r="B84" s="173" t="s">
        <v>379</v>
      </c>
      <c r="C84" s="49" t="s">
        <v>291</v>
      </c>
      <c r="D84" s="49"/>
      <c r="E84" s="49"/>
      <c r="F84" s="192"/>
      <c r="G84" s="192"/>
      <c r="H84" s="301"/>
      <c r="J84" s="7">
        <f t="shared" si="6"/>
        <v>0</v>
      </c>
      <c r="K84" s="7">
        <f t="shared" si="7"/>
        <v>0</v>
      </c>
      <c r="L84">
        <f t="shared" si="5"/>
        <v>79</v>
      </c>
      <c r="N84" s="301"/>
    </row>
    <row r="85" spans="1:14">
      <c r="A85">
        <v>444</v>
      </c>
      <c r="B85" s="173"/>
      <c r="C85" s="49"/>
      <c r="D85" s="49" t="s">
        <v>12</v>
      </c>
      <c r="E85" s="49"/>
      <c r="F85" s="192" t="s">
        <v>510</v>
      </c>
      <c r="G85" s="192"/>
      <c r="H85" s="301">
        <f>[35]XNV!$S$83</f>
        <v>0</v>
      </c>
      <c r="J85" s="7">
        <f t="shared" si="6"/>
        <v>0</v>
      </c>
      <c r="K85" s="7">
        <f t="shared" si="7"/>
        <v>0</v>
      </c>
      <c r="L85">
        <f t="shared" si="5"/>
        <v>80</v>
      </c>
      <c r="N85" s="301">
        <v>0</v>
      </c>
    </row>
    <row r="86" spans="1:14">
      <c r="A86">
        <v>445</v>
      </c>
      <c r="B86" s="173"/>
      <c r="C86" s="49"/>
      <c r="D86" s="49" t="s">
        <v>23</v>
      </c>
      <c r="E86" s="49"/>
      <c r="F86" s="192" t="s">
        <v>510</v>
      </c>
      <c r="G86" s="192"/>
      <c r="H86" s="301">
        <f>[35]XNV!$S$84</f>
        <v>0</v>
      </c>
      <c r="J86" s="7">
        <f t="shared" si="6"/>
        <v>0</v>
      </c>
      <c r="K86" s="7">
        <f t="shared" si="7"/>
        <v>0</v>
      </c>
      <c r="L86">
        <f t="shared" si="5"/>
        <v>81</v>
      </c>
      <c r="N86" s="301">
        <v>0</v>
      </c>
    </row>
    <row r="87" spans="1:14">
      <c r="A87">
        <v>446</v>
      </c>
      <c r="B87" s="173"/>
      <c r="C87" s="49"/>
      <c r="D87" s="49" t="s">
        <v>145</v>
      </c>
      <c r="E87" s="49"/>
      <c r="F87" s="192"/>
      <c r="G87" s="192"/>
      <c r="H87" s="323">
        <f>[35]XNV!$S$85</f>
        <v>0</v>
      </c>
      <c r="J87" s="140">
        <f t="shared" si="6"/>
        <v>0</v>
      </c>
      <c r="K87" s="140">
        <f t="shared" si="7"/>
        <v>0</v>
      </c>
      <c r="L87">
        <f t="shared" si="5"/>
        <v>82</v>
      </c>
      <c r="N87" s="1045">
        <v>0</v>
      </c>
    </row>
    <row r="88" spans="1:14">
      <c r="A88">
        <v>447</v>
      </c>
      <c r="B88" s="137"/>
      <c r="C88" s="47"/>
      <c r="D88" s="47"/>
      <c r="E88" s="47"/>
      <c r="F88" s="192"/>
      <c r="G88" s="192"/>
      <c r="H88" s="301"/>
      <c r="J88" s="7">
        <f t="shared" si="6"/>
        <v>0</v>
      </c>
      <c r="K88" s="7">
        <f t="shared" si="7"/>
        <v>0</v>
      </c>
      <c r="L88">
        <f t="shared" si="5"/>
        <v>83</v>
      </c>
      <c r="N88" s="301"/>
    </row>
    <row r="89" spans="1:14">
      <c r="A89">
        <v>448</v>
      </c>
      <c r="B89" s="137">
        <v>4891</v>
      </c>
      <c r="C89" s="47" t="s">
        <v>292</v>
      </c>
      <c r="D89" s="47"/>
      <c r="E89" s="47"/>
      <c r="F89" s="192"/>
      <c r="G89" s="192"/>
      <c r="H89" s="301"/>
      <c r="J89" s="7">
        <f t="shared" si="6"/>
        <v>0</v>
      </c>
      <c r="K89" s="7">
        <f t="shared" si="7"/>
        <v>0</v>
      </c>
      <c r="L89">
        <f t="shared" si="5"/>
        <v>84</v>
      </c>
      <c r="N89" s="301"/>
    </row>
    <row r="90" spans="1:14">
      <c r="A90">
        <v>449</v>
      </c>
      <c r="B90" s="137"/>
      <c r="C90" s="47"/>
      <c r="D90" s="47" t="s">
        <v>12</v>
      </c>
      <c r="E90" s="47"/>
      <c r="F90" s="192" t="s">
        <v>510</v>
      </c>
      <c r="G90" s="192"/>
      <c r="H90" s="301">
        <f>[35]XNV!$S$88</f>
        <v>299540.81</v>
      </c>
      <c r="J90" s="7">
        <f t="shared" si="6"/>
        <v>299540.81</v>
      </c>
      <c r="K90" s="7">
        <f t="shared" si="7"/>
        <v>0</v>
      </c>
      <c r="L90">
        <f t="shared" si="5"/>
        <v>85</v>
      </c>
      <c r="N90" s="301">
        <v>492835.29000000004</v>
      </c>
    </row>
    <row r="91" spans="1:14">
      <c r="A91">
        <v>450</v>
      </c>
      <c r="B91" s="137"/>
      <c r="C91" s="47"/>
      <c r="D91" s="47" t="s">
        <v>23</v>
      </c>
      <c r="E91" s="47"/>
      <c r="F91" s="192" t="s">
        <v>510</v>
      </c>
      <c r="G91" s="192"/>
      <c r="H91" s="511">
        <f>[35]XNV!$S$89</f>
        <v>0</v>
      </c>
      <c r="J91" s="7">
        <f t="shared" si="6"/>
        <v>0</v>
      </c>
      <c r="K91" s="7">
        <f t="shared" si="7"/>
        <v>0</v>
      </c>
      <c r="L91">
        <f t="shared" si="5"/>
        <v>86</v>
      </c>
      <c r="N91" s="301">
        <v>0</v>
      </c>
    </row>
    <row r="92" spans="1:14">
      <c r="A92">
        <v>451</v>
      </c>
      <c r="B92" s="137"/>
      <c r="C92" s="47"/>
      <c r="D92" s="47" t="s">
        <v>145</v>
      </c>
      <c r="E92" s="47"/>
      <c r="F92" s="192"/>
      <c r="G92" s="192"/>
      <c r="H92" s="301">
        <f>[35]XNV!$S$90</f>
        <v>299540.81</v>
      </c>
      <c r="J92" s="140">
        <f t="shared" si="6"/>
        <v>299540.81</v>
      </c>
      <c r="K92" s="140">
        <f t="shared" si="7"/>
        <v>0</v>
      </c>
      <c r="L92">
        <f t="shared" si="5"/>
        <v>87</v>
      </c>
      <c r="N92" s="1045">
        <v>492835.29000000004</v>
      </c>
    </row>
    <row r="93" spans="1:14">
      <c r="A93">
        <v>452</v>
      </c>
      <c r="B93" s="137"/>
      <c r="C93" s="47"/>
      <c r="D93" s="47"/>
      <c r="E93" s="47"/>
      <c r="F93" s="192"/>
      <c r="G93" s="192"/>
      <c r="H93" s="301"/>
      <c r="J93" s="7">
        <f t="shared" si="6"/>
        <v>0</v>
      </c>
      <c r="K93" s="7">
        <f t="shared" si="7"/>
        <v>0</v>
      </c>
      <c r="L93">
        <f t="shared" si="5"/>
        <v>88</v>
      </c>
      <c r="N93" s="301"/>
    </row>
    <row r="94" spans="1:14">
      <c r="A94">
        <v>453</v>
      </c>
      <c r="B94" s="137">
        <v>490</v>
      </c>
      <c r="C94" s="47" t="s">
        <v>293</v>
      </c>
      <c r="D94" s="47"/>
      <c r="E94" s="47"/>
      <c r="F94" s="192"/>
      <c r="G94" s="192"/>
      <c r="H94" s="301"/>
      <c r="J94" s="7">
        <f t="shared" si="6"/>
        <v>0</v>
      </c>
      <c r="K94" s="7">
        <f t="shared" si="7"/>
        <v>0</v>
      </c>
      <c r="L94">
        <f t="shared" si="5"/>
        <v>89</v>
      </c>
      <c r="N94" s="301"/>
    </row>
    <row r="95" spans="1:14">
      <c r="A95">
        <v>454</v>
      </c>
      <c r="B95" s="137"/>
      <c r="C95" s="47"/>
      <c r="D95" s="47" t="s">
        <v>12</v>
      </c>
      <c r="E95" s="47"/>
      <c r="F95" s="192" t="s">
        <v>509</v>
      </c>
      <c r="G95" s="192"/>
      <c r="H95" s="301">
        <f>[35]XNV!$S$93</f>
        <v>9041974.5519639999</v>
      </c>
      <c r="J95" s="7">
        <f t="shared" si="6"/>
        <v>9041974.5519639999</v>
      </c>
      <c r="K95" s="7">
        <f t="shared" si="7"/>
        <v>0</v>
      </c>
      <c r="L95">
        <f t="shared" si="5"/>
        <v>90</v>
      </c>
      <c r="N95" s="301">
        <v>3695124.2242249995</v>
      </c>
    </row>
    <row r="96" spans="1:14">
      <c r="A96">
        <v>455</v>
      </c>
      <c r="B96" s="137"/>
      <c r="C96" s="47"/>
      <c r="D96" s="47" t="s">
        <v>23</v>
      </c>
      <c r="E96" s="47"/>
      <c r="F96" s="192" t="s">
        <v>509</v>
      </c>
      <c r="G96" s="192"/>
      <c r="H96" s="511">
        <f>[35]XNV!$S$94</f>
        <v>290585.04803599993</v>
      </c>
      <c r="J96" s="7">
        <f t="shared" si="6"/>
        <v>290585.04803599993</v>
      </c>
      <c r="K96" s="7">
        <f t="shared" si="7"/>
        <v>0</v>
      </c>
      <c r="L96">
        <f t="shared" si="5"/>
        <v>91</v>
      </c>
      <c r="N96" s="301">
        <v>129832.33577500001</v>
      </c>
    </row>
    <row r="97" spans="1:14">
      <c r="A97">
        <v>456</v>
      </c>
      <c r="B97" s="137"/>
      <c r="C97" s="47"/>
      <c r="D97" s="47" t="s">
        <v>145</v>
      </c>
      <c r="E97" s="47"/>
      <c r="F97" s="192"/>
      <c r="G97" s="192"/>
      <c r="H97" s="301">
        <f>[35]XNV!$S$95</f>
        <v>9332559.5999999996</v>
      </c>
      <c r="J97" s="140">
        <f t="shared" si="6"/>
        <v>9332559.5999999996</v>
      </c>
      <c r="K97" s="140">
        <f t="shared" si="7"/>
        <v>0</v>
      </c>
      <c r="L97">
        <f t="shared" si="5"/>
        <v>92</v>
      </c>
      <c r="N97" s="1045">
        <v>3824956.56</v>
      </c>
    </row>
    <row r="98" spans="1:14">
      <c r="A98">
        <v>457</v>
      </c>
      <c r="B98" s="137"/>
      <c r="C98" s="47"/>
      <c r="D98" s="47"/>
      <c r="E98" s="47"/>
      <c r="F98" s="192"/>
      <c r="G98" s="192"/>
      <c r="H98" s="301"/>
      <c r="J98" s="7">
        <f t="shared" si="6"/>
        <v>0</v>
      </c>
      <c r="K98" s="7">
        <f t="shared" si="7"/>
        <v>0</v>
      </c>
      <c r="L98">
        <f t="shared" si="5"/>
        <v>93</v>
      </c>
      <c r="N98" s="301"/>
    </row>
    <row r="99" spans="1:14">
      <c r="A99">
        <v>458</v>
      </c>
      <c r="B99" s="137">
        <v>491</v>
      </c>
      <c r="C99" s="47" t="s">
        <v>294</v>
      </c>
      <c r="D99" s="47"/>
      <c r="E99" s="47"/>
      <c r="F99" s="192"/>
      <c r="G99" s="192"/>
      <c r="H99" s="301"/>
      <c r="J99" s="7">
        <f t="shared" si="6"/>
        <v>0</v>
      </c>
      <c r="K99" s="7">
        <f t="shared" si="7"/>
        <v>0</v>
      </c>
      <c r="L99">
        <f t="shared" si="5"/>
        <v>94</v>
      </c>
      <c r="N99" s="301"/>
    </row>
    <row r="100" spans="1:14">
      <c r="A100">
        <v>459</v>
      </c>
      <c r="B100" s="137"/>
      <c r="C100" s="47"/>
      <c r="D100" s="47" t="s">
        <v>12</v>
      </c>
      <c r="E100" s="47"/>
      <c r="F100" s="192" t="s">
        <v>509</v>
      </c>
      <c r="G100" s="192"/>
      <c r="H100" s="301">
        <f>[35]XNV!$S$98</f>
        <v>0</v>
      </c>
      <c r="J100" s="7">
        <f t="shared" si="6"/>
        <v>0</v>
      </c>
      <c r="K100" s="7">
        <f t="shared" si="7"/>
        <v>0</v>
      </c>
      <c r="L100">
        <f t="shared" si="5"/>
        <v>95</v>
      </c>
      <c r="N100" s="301">
        <v>0</v>
      </c>
    </row>
    <row r="101" spans="1:14">
      <c r="A101">
        <v>460</v>
      </c>
      <c r="B101" s="137"/>
      <c r="C101" s="47"/>
      <c r="D101" s="47" t="s">
        <v>23</v>
      </c>
      <c r="E101" s="47"/>
      <c r="F101" s="192" t="s">
        <v>510</v>
      </c>
      <c r="G101" s="192"/>
      <c r="H101" s="511">
        <f>[35]XNV!$S$99</f>
        <v>0</v>
      </c>
      <c r="J101" s="7">
        <f t="shared" si="6"/>
        <v>0</v>
      </c>
      <c r="K101" s="7">
        <f t="shared" si="7"/>
        <v>0</v>
      </c>
      <c r="L101">
        <f t="shared" si="5"/>
        <v>96</v>
      </c>
      <c r="N101" s="301">
        <v>0</v>
      </c>
    </row>
    <row r="102" spans="1:14">
      <c r="A102">
        <v>461</v>
      </c>
      <c r="B102" s="137"/>
      <c r="C102" s="47"/>
      <c r="D102" s="47" t="s">
        <v>145</v>
      </c>
      <c r="E102" s="47"/>
      <c r="F102" s="192"/>
      <c r="G102" s="192"/>
      <c r="H102" s="301">
        <f>[35]XNV!$S$100</f>
        <v>0</v>
      </c>
      <c r="J102" s="140">
        <f t="shared" si="6"/>
        <v>0</v>
      </c>
      <c r="K102" s="140">
        <f t="shared" si="7"/>
        <v>0</v>
      </c>
      <c r="L102">
        <f t="shared" si="5"/>
        <v>97</v>
      </c>
      <c r="N102" s="1045">
        <v>0</v>
      </c>
    </row>
    <row r="103" spans="1:14">
      <c r="A103">
        <v>462</v>
      </c>
      <c r="B103" s="137"/>
      <c r="C103" s="47"/>
      <c r="D103" s="47"/>
      <c r="E103" s="47"/>
      <c r="F103" s="192"/>
      <c r="G103" s="192"/>
      <c r="H103" s="301"/>
      <c r="J103" s="7">
        <f t="shared" si="6"/>
        <v>0</v>
      </c>
      <c r="K103" s="7">
        <f t="shared" si="7"/>
        <v>0</v>
      </c>
      <c r="L103">
        <f t="shared" si="5"/>
        <v>98</v>
      </c>
      <c r="N103" s="301"/>
    </row>
    <row r="104" spans="1:14">
      <c r="A104">
        <v>463</v>
      </c>
      <c r="B104" s="137">
        <v>492</v>
      </c>
      <c r="C104" s="47" t="s">
        <v>295</v>
      </c>
      <c r="D104" s="47"/>
      <c r="E104" s="47"/>
      <c r="F104" s="192"/>
      <c r="G104" s="192"/>
      <c r="H104" s="301"/>
      <c r="J104" s="7">
        <f t="shared" si="6"/>
        <v>0</v>
      </c>
      <c r="K104" s="7">
        <f t="shared" si="7"/>
        <v>0</v>
      </c>
      <c r="L104">
        <f t="shared" si="5"/>
        <v>99</v>
      </c>
      <c r="N104" s="301"/>
    </row>
    <row r="105" spans="1:14">
      <c r="A105">
        <v>464</v>
      </c>
      <c r="B105" s="137"/>
      <c r="C105" s="47"/>
      <c r="D105" s="47" t="s">
        <v>12</v>
      </c>
      <c r="E105" s="47"/>
      <c r="F105" s="192" t="s">
        <v>509</v>
      </c>
      <c r="G105" s="192"/>
      <c r="H105" s="301">
        <f>[35]XNV!$S$103</f>
        <v>2837920.045318</v>
      </c>
      <c r="J105" s="7">
        <f t="shared" si="6"/>
        <v>2837920.045318</v>
      </c>
      <c r="K105" s="7">
        <f t="shared" si="7"/>
        <v>0</v>
      </c>
      <c r="L105">
        <f t="shared" si="5"/>
        <v>100</v>
      </c>
      <c r="N105" s="301">
        <v>1887457.7148500001</v>
      </c>
    </row>
    <row r="106" spans="1:14">
      <c r="A106">
        <v>465</v>
      </c>
      <c r="B106" s="137"/>
      <c r="C106" s="47"/>
      <c r="D106" s="47" t="s">
        <v>23</v>
      </c>
      <c r="E106" s="47"/>
      <c r="F106" s="192" t="s">
        <v>509</v>
      </c>
      <c r="G106" s="192"/>
      <c r="H106" s="511">
        <f>[35]XNV!$S$104</f>
        <v>92075.514682000008</v>
      </c>
      <c r="J106" s="7">
        <f t="shared" si="6"/>
        <v>92075.514682000008</v>
      </c>
      <c r="K106" s="7">
        <f t="shared" si="7"/>
        <v>0</v>
      </c>
      <c r="L106">
        <f t="shared" si="5"/>
        <v>101</v>
      </c>
      <c r="N106" s="301">
        <v>65989.745149999988</v>
      </c>
    </row>
    <row r="107" spans="1:14">
      <c r="A107">
        <v>466</v>
      </c>
      <c r="B107" s="137"/>
      <c r="C107" s="47"/>
      <c r="D107" s="47" t="s">
        <v>145</v>
      </c>
      <c r="E107" s="47"/>
      <c r="F107" s="192"/>
      <c r="G107" s="192"/>
      <c r="H107" s="301">
        <f>[35]XNV!$S$105</f>
        <v>2929995.5600000005</v>
      </c>
      <c r="J107" s="140">
        <f t="shared" si="6"/>
        <v>2929995.5600000005</v>
      </c>
      <c r="K107" s="140">
        <f t="shared" si="7"/>
        <v>0</v>
      </c>
      <c r="L107">
        <f t="shared" si="5"/>
        <v>102</v>
      </c>
      <c r="N107" s="1045">
        <v>1953447.46</v>
      </c>
    </row>
    <row r="108" spans="1:14">
      <c r="A108">
        <v>467</v>
      </c>
      <c r="B108" s="137"/>
      <c r="C108" s="47"/>
      <c r="D108" s="47"/>
      <c r="E108" s="47"/>
      <c r="F108" s="192"/>
      <c r="G108" s="192"/>
      <c r="H108" s="301"/>
      <c r="J108" s="7">
        <f t="shared" si="6"/>
        <v>0</v>
      </c>
      <c r="K108" s="7">
        <f t="shared" si="7"/>
        <v>0</v>
      </c>
      <c r="L108">
        <f t="shared" si="5"/>
        <v>103</v>
      </c>
      <c r="N108" s="301"/>
    </row>
    <row r="109" spans="1:14">
      <c r="A109">
        <v>468</v>
      </c>
      <c r="B109" s="137">
        <v>493</v>
      </c>
      <c r="C109" s="47" t="s">
        <v>296</v>
      </c>
      <c r="D109" s="47"/>
      <c r="E109" s="47"/>
      <c r="F109" s="192"/>
      <c r="G109" s="192"/>
      <c r="H109" s="301"/>
      <c r="J109" s="7">
        <f t="shared" si="6"/>
        <v>0</v>
      </c>
      <c r="K109" s="7">
        <f t="shared" si="7"/>
        <v>0</v>
      </c>
      <c r="L109">
        <f t="shared" si="5"/>
        <v>104</v>
      </c>
      <c r="N109" s="301"/>
    </row>
    <row r="110" spans="1:14">
      <c r="A110">
        <v>469</v>
      </c>
      <c r="B110" s="137"/>
      <c r="C110" s="47"/>
      <c r="D110" s="47" t="s">
        <v>12</v>
      </c>
      <c r="E110" s="47"/>
      <c r="F110" s="192" t="s">
        <v>509</v>
      </c>
      <c r="G110" s="192"/>
      <c r="H110" s="301">
        <f>[35]XNV!$S$108</f>
        <v>0</v>
      </c>
      <c r="J110" s="7">
        <f t="shared" si="6"/>
        <v>0</v>
      </c>
      <c r="K110" s="7">
        <f t="shared" si="7"/>
        <v>0</v>
      </c>
      <c r="L110">
        <f t="shared" si="5"/>
        <v>105</v>
      </c>
      <c r="N110" s="301">
        <v>0</v>
      </c>
    </row>
    <row r="111" spans="1:14">
      <c r="A111">
        <v>470</v>
      </c>
      <c r="B111" s="137"/>
      <c r="C111" s="47"/>
      <c r="D111" s="47" t="s">
        <v>23</v>
      </c>
      <c r="E111" s="47"/>
      <c r="F111" s="192" t="s">
        <v>510</v>
      </c>
      <c r="G111" s="192"/>
      <c r="H111" s="511">
        <f>[35]XNV!$S$109</f>
        <v>0</v>
      </c>
      <c r="J111" s="7">
        <f t="shared" ref="J111:J142" si="8">HLOOKUP($J$7,OtherRevScenarios,L110,FALSE)</f>
        <v>0</v>
      </c>
      <c r="K111" s="7">
        <f t="shared" ref="K111:K134" si="9">+J111-H111</f>
        <v>0</v>
      </c>
      <c r="L111">
        <f t="shared" si="5"/>
        <v>106</v>
      </c>
      <c r="N111" s="301">
        <v>0</v>
      </c>
    </row>
    <row r="112" spans="1:14">
      <c r="A112">
        <v>471</v>
      </c>
      <c r="B112" s="137"/>
      <c r="C112" s="47"/>
      <c r="D112" s="47" t="s">
        <v>145</v>
      </c>
      <c r="E112" s="47"/>
      <c r="F112" s="192"/>
      <c r="G112" s="192"/>
      <c r="H112" s="301">
        <f>[35]XNV!$S$110</f>
        <v>0</v>
      </c>
      <c r="J112" s="140">
        <f t="shared" si="8"/>
        <v>0</v>
      </c>
      <c r="K112" s="140">
        <f t="shared" si="9"/>
        <v>0</v>
      </c>
      <c r="L112">
        <f t="shared" si="5"/>
        <v>107</v>
      </c>
      <c r="N112" s="1045">
        <v>0</v>
      </c>
    </row>
    <row r="113" spans="1:14">
      <c r="A113">
        <v>472</v>
      </c>
      <c r="B113" s="137"/>
      <c r="C113" s="47"/>
      <c r="D113" s="47"/>
      <c r="E113" s="47"/>
      <c r="F113" s="192"/>
      <c r="G113" s="192"/>
      <c r="H113" s="301"/>
      <c r="J113" s="7">
        <f t="shared" si="8"/>
        <v>0</v>
      </c>
      <c r="K113" s="7">
        <f t="shared" si="9"/>
        <v>0</v>
      </c>
      <c r="L113">
        <f t="shared" si="5"/>
        <v>108</v>
      </c>
      <c r="N113" s="301"/>
    </row>
    <row r="114" spans="1:14">
      <c r="A114">
        <v>473</v>
      </c>
      <c r="B114" s="137">
        <v>495</v>
      </c>
      <c r="C114" s="47" t="s">
        <v>299</v>
      </c>
      <c r="D114" s="47"/>
      <c r="E114" s="47"/>
      <c r="F114" s="192"/>
      <c r="G114" s="192"/>
      <c r="H114" s="301"/>
      <c r="J114" s="7">
        <f t="shared" si="8"/>
        <v>0</v>
      </c>
      <c r="K114" s="7">
        <f t="shared" si="9"/>
        <v>0</v>
      </c>
      <c r="L114">
        <f t="shared" si="5"/>
        <v>109</v>
      </c>
      <c r="N114" s="301"/>
    </row>
    <row r="115" spans="1:14">
      <c r="A115">
        <v>474</v>
      </c>
      <c r="B115" s="137"/>
      <c r="C115" s="47"/>
      <c r="D115" s="47" t="s">
        <v>12</v>
      </c>
      <c r="E115" s="47"/>
      <c r="F115" s="192" t="s">
        <v>509</v>
      </c>
      <c r="G115" s="192"/>
      <c r="H115" s="301">
        <f>[35]XNV!$S$113</f>
        <v>3072685.9793730006</v>
      </c>
      <c r="J115" s="7">
        <f t="shared" si="8"/>
        <v>3072685.9793730006</v>
      </c>
      <c r="K115" s="7">
        <f t="shared" si="9"/>
        <v>0</v>
      </c>
      <c r="L115">
        <f t="shared" si="5"/>
        <v>110</v>
      </c>
      <c r="N115" s="301">
        <v>2837103.9197789999</v>
      </c>
    </row>
    <row r="116" spans="1:14">
      <c r="A116">
        <v>475</v>
      </c>
      <c r="B116" s="137"/>
      <c r="C116" s="47"/>
      <c r="D116" s="47" t="s">
        <v>23</v>
      </c>
      <c r="E116" s="47"/>
      <c r="F116" s="192" t="s">
        <v>510</v>
      </c>
      <c r="G116" s="192"/>
      <c r="H116" s="511">
        <f>[35]XNV!$S$114</f>
        <v>94637.490626999992</v>
      </c>
      <c r="J116" s="7">
        <f t="shared" si="8"/>
        <v>94637.490626999992</v>
      </c>
      <c r="K116" s="7">
        <f t="shared" si="9"/>
        <v>0</v>
      </c>
      <c r="L116">
        <f t="shared" si="5"/>
        <v>111</v>
      </c>
      <c r="N116" s="301">
        <v>108577.65022100011</v>
      </c>
    </row>
    <row r="117" spans="1:14">
      <c r="A117">
        <v>476</v>
      </c>
      <c r="B117" s="137"/>
      <c r="C117" s="47"/>
      <c r="D117" s="47" t="s">
        <v>145</v>
      </c>
      <c r="E117" s="47"/>
      <c r="F117" s="192"/>
      <c r="G117" s="192"/>
      <c r="H117" s="301">
        <f>[35]XNV!$S$115</f>
        <v>3167323.47</v>
      </c>
      <c r="J117" s="140">
        <f t="shared" si="8"/>
        <v>3167323.47</v>
      </c>
      <c r="K117" s="140">
        <f t="shared" si="9"/>
        <v>0</v>
      </c>
      <c r="L117">
        <f t="shared" si="5"/>
        <v>112</v>
      </c>
      <c r="N117" s="1045">
        <v>2945681.57</v>
      </c>
    </row>
    <row r="118" spans="1:14">
      <c r="A118">
        <v>477</v>
      </c>
      <c r="B118" s="137"/>
      <c r="C118" s="47"/>
      <c r="D118" s="47"/>
      <c r="E118" s="47"/>
      <c r="F118" s="192"/>
      <c r="G118" s="192"/>
      <c r="H118" s="301"/>
      <c r="J118" s="7">
        <f t="shared" si="8"/>
        <v>0</v>
      </c>
      <c r="K118" s="7">
        <f t="shared" si="9"/>
        <v>0</v>
      </c>
      <c r="L118">
        <f t="shared" si="5"/>
        <v>113</v>
      </c>
      <c r="N118" s="301"/>
    </row>
    <row r="119" spans="1:14">
      <c r="A119">
        <v>478</v>
      </c>
      <c r="B119" s="137">
        <v>4951</v>
      </c>
      <c r="C119" s="47" t="s">
        <v>300</v>
      </c>
      <c r="D119" s="47"/>
      <c r="E119" s="47"/>
      <c r="F119" s="192"/>
      <c r="G119" s="192"/>
      <c r="H119" s="301"/>
      <c r="J119" s="7">
        <f t="shared" si="8"/>
        <v>0</v>
      </c>
      <c r="K119" s="7">
        <f t="shared" si="9"/>
        <v>0</v>
      </c>
      <c r="L119">
        <f t="shared" si="5"/>
        <v>114</v>
      </c>
      <c r="N119" s="301"/>
    </row>
    <row r="120" spans="1:14">
      <c r="A120">
        <v>479</v>
      </c>
      <c r="B120" s="137"/>
      <c r="C120" s="47"/>
      <c r="D120" s="47" t="s">
        <v>12</v>
      </c>
      <c r="E120" s="47"/>
      <c r="F120" s="192" t="s">
        <v>509</v>
      </c>
      <c r="G120" s="192"/>
      <c r="H120" s="301">
        <f>[35]XNV!$S$118</f>
        <v>19808531.901145</v>
      </c>
      <c r="J120" s="7">
        <f t="shared" si="8"/>
        <v>19808531.901145</v>
      </c>
      <c r="K120" s="7">
        <f t="shared" si="9"/>
        <v>0</v>
      </c>
      <c r="L120">
        <f t="shared" si="5"/>
        <v>115</v>
      </c>
      <c r="N120" s="301">
        <v>7059246.8125800006</v>
      </c>
    </row>
    <row r="121" spans="1:14">
      <c r="A121">
        <v>480</v>
      </c>
      <c r="B121" s="137"/>
      <c r="C121" s="47"/>
      <c r="D121" s="47" t="s">
        <v>23</v>
      </c>
      <c r="E121" s="47"/>
      <c r="F121" s="192" t="s">
        <v>509</v>
      </c>
      <c r="G121" s="192"/>
      <c r="H121" s="511">
        <f>[35]XNV!$S$119</f>
        <v>673061.90885499981</v>
      </c>
      <c r="J121" s="7">
        <f t="shared" si="8"/>
        <v>673061.90885499981</v>
      </c>
      <c r="K121" s="7">
        <f t="shared" si="9"/>
        <v>0</v>
      </c>
      <c r="L121">
        <f t="shared" si="5"/>
        <v>116</v>
      </c>
      <c r="N121" s="301">
        <v>259709.86741999979</v>
      </c>
    </row>
    <row r="122" spans="1:14">
      <c r="A122">
        <v>481</v>
      </c>
      <c r="B122" s="137"/>
      <c r="C122" s="47"/>
      <c r="D122" s="47" t="s">
        <v>145</v>
      </c>
      <c r="E122" s="47"/>
      <c r="F122" s="192"/>
      <c r="G122" s="192"/>
      <c r="H122" s="301">
        <f>[35]XNV!$S$120</f>
        <v>20481593.809999999</v>
      </c>
      <c r="J122" s="140">
        <f t="shared" si="8"/>
        <v>20481593.809999999</v>
      </c>
      <c r="K122" s="140">
        <f t="shared" si="9"/>
        <v>0</v>
      </c>
      <c r="L122">
        <f t="shared" si="5"/>
        <v>117</v>
      </c>
      <c r="N122" s="1045">
        <v>7318956.6799999997</v>
      </c>
    </row>
    <row r="123" spans="1:14">
      <c r="A123">
        <v>482</v>
      </c>
      <c r="B123" s="137"/>
      <c r="C123" s="47"/>
      <c r="D123" s="47"/>
      <c r="E123" s="47"/>
      <c r="F123" s="192"/>
      <c r="G123" s="192"/>
      <c r="H123" s="301"/>
      <c r="J123" s="7">
        <f t="shared" si="8"/>
        <v>0</v>
      </c>
      <c r="K123" s="7">
        <f t="shared" si="9"/>
        <v>0</v>
      </c>
      <c r="L123">
        <f t="shared" si="5"/>
        <v>118</v>
      </c>
      <c r="N123" s="301"/>
    </row>
    <row r="124" spans="1:14">
      <c r="A124">
        <v>483</v>
      </c>
      <c r="B124" s="137">
        <v>4952</v>
      </c>
      <c r="C124" s="47" t="s">
        <v>301</v>
      </c>
      <c r="D124" s="47"/>
      <c r="E124" s="47"/>
      <c r="F124" s="192"/>
      <c r="G124" s="192"/>
      <c r="H124" s="301"/>
      <c r="J124" s="7">
        <f t="shared" si="8"/>
        <v>0</v>
      </c>
      <c r="K124" s="7">
        <f t="shared" si="9"/>
        <v>0</v>
      </c>
      <c r="L124">
        <f t="shared" si="5"/>
        <v>119</v>
      </c>
      <c r="N124" s="301"/>
    </row>
    <row r="125" spans="1:14">
      <c r="A125">
        <v>484</v>
      </c>
      <c r="B125" s="137"/>
      <c r="C125" s="47"/>
      <c r="D125" s="47" t="s">
        <v>12</v>
      </c>
      <c r="E125" s="47"/>
      <c r="F125" s="192" t="s">
        <v>509</v>
      </c>
      <c r="G125" s="192"/>
      <c r="H125" s="301">
        <f>[35]XNV!$S$123</f>
        <v>2004233.3545000001</v>
      </c>
      <c r="J125" s="7">
        <f t="shared" si="8"/>
        <v>2004233.3545000001</v>
      </c>
      <c r="K125" s="7">
        <f t="shared" si="9"/>
        <v>0</v>
      </c>
      <c r="L125">
        <f t="shared" si="5"/>
        <v>120</v>
      </c>
      <c r="N125" s="301">
        <v>168568.50210000001</v>
      </c>
    </row>
    <row r="126" spans="1:14">
      <c r="A126">
        <v>485</v>
      </c>
      <c r="B126" s="137"/>
      <c r="C126" s="47"/>
      <c r="D126" s="47" t="s">
        <v>23</v>
      </c>
      <c r="E126" s="47"/>
      <c r="F126" s="192" t="s">
        <v>509</v>
      </c>
      <c r="G126" s="192"/>
      <c r="H126" s="511">
        <f>[35]XNV!$S$124</f>
        <v>63217.645499999955</v>
      </c>
      <c r="J126" s="7">
        <f t="shared" si="8"/>
        <v>63217.645499999955</v>
      </c>
      <c r="K126" s="7">
        <f t="shared" si="9"/>
        <v>0</v>
      </c>
      <c r="L126">
        <f t="shared" si="5"/>
        <v>121</v>
      </c>
      <c r="N126" s="301">
        <v>5242.4978999999994</v>
      </c>
    </row>
    <row r="127" spans="1:14">
      <c r="A127">
        <v>486</v>
      </c>
      <c r="B127" s="137"/>
      <c r="C127" s="47"/>
      <c r="D127" s="47" t="s">
        <v>145</v>
      </c>
      <c r="E127" s="47"/>
      <c r="F127" s="192"/>
      <c r="G127" s="192"/>
      <c r="H127" s="301">
        <f>[35]XNV!$S$125</f>
        <v>2067451</v>
      </c>
      <c r="J127" s="140">
        <f t="shared" si="8"/>
        <v>2067451</v>
      </c>
      <c r="K127" s="140">
        <f t="shared" si="9"/>
        <v>0</v>
      </c>
      <c r="L127">
        <f t="shared" si="5"/>
        <v>122</v>
      </c>
      <c r="N127" s="1045">
        <v>173811</v>
      </c>
    </row>
    <row r="128" spans="1:14">
      <c r="A128">
        <v>487</v>
      </c>
      <c r="B128" s="137"/>
      <c r="C128" s="47"/>
      <c r="D128" s="47"/>
      <c r="E128" s="47"/>
      <c r="F128" s="192"/>
      <c r="G128" s="192"/>
      <c r="H128" s="301"/>
      <c r="J128" s="7">
        <f t="shared" si="8"/>
        <v>0</v>
      </c>
      <c r="K128" s="7">
        <f t="shared" si="9"/>
        <v>0</v>
      </c>
      <c r="L128">
        <f t="shared" si="5"/>
        <v>123</v>
      </c>
      <c r="N128" s="301"/>
    </row>
    <row r="129" spans="1:14">
      <c r="A129">
        <v>488</v>
      </c>
      <c r="B129" s="137">
        <v>4974</v>
      </c>
      <c r="C129" s="47" t="s">
        <v>305</v>
      </c>
      <c r="D129" s="47"/>
      <c r="E129" s="47"/>
      <c r="F129" s="192"/>
      <c r="G129" s="192"/>
      <c r="H129" s="301"/>
      <c r="J129" s="7">
        <f t="shared" si="8"/>
        <v>0</v>
      </c>
      <c r="K129" s="7">
        <f t="shared" si="9"/>
        <v>0</v>
      </c>
      <c r="L129">
        <f t="shared" si="5"/>
        <v>124</v>
      </c>
      <c r="N129" s="301"/>
    </row>
    <row r="130" spans="1:14">
      <c r="A130">
        <v>489</v>
      </c>
      <c r="B130" s="136"/>
      <c r="C130" s="47"/>
      <c r="D130" s="47" t="s">
        <v>12</v>
      </c>
      <c r="E130" s="47"/>
      <c r="F130" s="192" t="s">
        <v>510</v>
      </c>
      <c r="G130" s="192"/>
      <c r="H130" s="301">
        <f>[35]XNV!$S$128</f>
        <v>0</v>
      </c>
      <c r="J130" s="7">
        <f t="shared" si="8"/>
        <v>0</v>
      </c>
      <c r="K130" s="7">
        <f t="shared" si="9"/>
        <v>0</v>
      </c>
      <c r="L130">
        <f t="shared" si="5"/>
        <v>125</v>
      </c>
      <c r="N130" s="301">
        <v>0</v>
      </c>
    </row>
    <row r="131" spans="1:14">
      <c r="A131">
        <v>490</v>
      </c>
      <c r="B131" s="136"/>
      <c r="C131" s="47"/>
      <c r="D131" s="47" t="s">
        <v>23</v>
      </c>
      <c r="E131" s="47"/>
      <c r="F131" s="192" t="s">
        <v>510</v>
      </c>
      <c r="G131" s="192"/>
      <c r="H131" s="301">
        <f>[35]XNV!$S$129</f>
        <v>0</v>
      </c>
      <c r="J131" s="7">
        <f t="shared" si="8"/>
        <v>0</v>
      </c>
      <c r="K131" s="7">
        <f t="shared" si="9"/>
        <v>0</v>
      </c>
      <c r="L131">
        <f t="shared" ref="L131:L148" si="10">+L130+1</f>
        <v>126</v>
      </c>
      <c r="N131" s="301">
        <v>0</v>
      </c>
    </row>
    <row r="132" spans="1:14">
      <c r="A132">
        <v>491</v>
      </c>
      <c r="B132" s="136"/>
      <c r="C132" s="47"/>
      <c r="D132" s="47" t="s">
        <v>145</v>
      </c>
      <c r="E132" s="47"/>
      <c r="F132" s="47"/>
      <c r="G132" s="47"/>
      <c r="H132" s="323">
        <f>[35]XNV!$S$130</f>
        <v>0</v>
      </c>
      <c r="J132" s="140">
        <f t="shared" si="8"/>
        <v>0</v>
      </c>
      <c r="K132" s="140">
        <f t="shared" si="9"/>
        <v>0</v>
      </c>
      <c r="L132">
        <f t="shared" si="10"/>
        <v>127</v>
      </c>
      <c r="N132" s="1045">
        <v>0</v>
      </c>
    </row>
    <row r="133" spans="1:14" ht="13.5" thickBot="1">
      <c r="A133">
        <v>492</v>
      </c>
      <c r="B133" s="136"/>
      <c r="C133" s="47"/>
      <c r="D133" s="47"/>
      <c r="E133" s="47"/>
      <c r="F133" s="47"/>
      <c r="G133" s="47"/>
      <c r="H133" s="470"/>
      <c r="J133" s="24">
        <f t="shared" si="8"/>
        <v>0</v>
      </c>
      <c r="K133" s="24">
        <f t="shared" si="9"/>
        <v>0</v>
      </c>
      <c r="L133">
        <f t="shared" si="10"/>
        <v>128</v>
      </c>
      <c r="N133" s="470"/>
    </row>
    <row r="134" spans="1:14" ht="13.5" thickTop="1">
      <c r="A134">
        <v>493</v>
      </c>
      <c r="B134" s="116" t="s">
        <v>499</v>
      </c>
      <c r="C134" s="47"/>
      <c r="D134" s="47"/>
      <c r="E134" s="47"/>
      <c r="F134" s="47"/>
      <c r="G134" s="47"/>
      <c r="H134" s="301">
        <f>[35]XNV!$S$132</f>
        <v>0</v>
      </c>
      <c r="J134" s="7">
        <f t="shared" si="8"/>
        <v>0</v>
      </c>
      <c r="K134" s="7">
        <f t="shared" si="9"/>
        <v>0</v>
      </c>
      <c r="L134">
        <f t="shared" si="10"/>
        <v>129</v>
      </c>
      <c r="N134" s="301">
        <v>0</v>
      </c>
    </row>
    <row r="135" spans="1:14">
      <c r="A135">
        <v>494</v>
      </c>
      <c r="B135" s="136"/>
      <c r="C135" s="53" t="s">
        <v>502</v>
      </c>
      <c r="D135" s="47"/>
      <c r="E135" s="47"/>
      <c r="F135" s="47"/>
      <c r="G135" s="47"/>
      <c r="H135" s="301"/>
      <c r="J135" s="7"/>
      <c r="K135" s="7"/>
      <c r="L135">
        <f t="shared" si="10"/>
        <v>130</v>
      </c>
      <c r="N135" s="301"/>
    </row>
    <row r="136" spans="1:14">
      <c r="A136">
        <v>495</v>
      </c>
      <c r="B136" s="136"/>
      <c r="C136" s="47"/>
      <c r="D136" s="47" t="s">
        <v>503</v>
      </c>
      <c r="E136" s="47"/>
      <c r="F136" s="47"/>
      <c r="G136" s="47"/>
      <c r="H136" s="301">
        <f>H15+H95+H100+H105+H110+H115+H120+H125</f>
        <v>38204388.858393006</v>
      </c>
      <c r="J136" s="301">
        <f t="shared" si="8"/>
        <v>38204388.858393006</v>
      </c>
      <c r="K136" s="301">
        <f>+J136-H136</f>
        <v>0</v>
      </c>
      <c r="L136">
        <f t="shared" si="10"/>
        <v>131</v>
      </c>
      <c r="N136" s="301">
        <v>16364310.989586001</v>
      </c>
    </row>
    <row r="137" spans="1:14">
      <c r="A137">
        <v>496</v>
      </c>
      <c r="B137" s="136"/>
      <c r="C137" s="47"/>
      <c r="D137" s="47" t="s">
        <v>504</v>
      </c>
      <c r="E137" s="47"/>
      <c r="F137" s="47"/>
      <c r="G137" s="47"/>
      <c r="H137" s="302">
        <f>+H130+H90+H85+H80+H75+H70+H65+H60+H55+H50+H45+H40+H35+H30+H25+H20</f>
        <v>7061934.3356379997</v>
      </c>
      <c r="J137" s="302">
        <f t="shared" si="8"/>
        <v>7061934.3356379997</v>
      </c>
      <c r="K137" s="302">
        <f>+J137-H137</f>
        <v>0</v>
      </c>
      <c r="L137">
        <f t="shared" si="10"/>
        <v>132</v>
      </c>
      <c r="N137" s="302">
        <v>4153115.4187150002</v>
      </c>
    </row>
    <row r="138" spans="1:14">
      <c r="A138">
        <v>497</v>
      </c>
      <c r="B138" s="136"/>
      <c r="C138" s="47"/>
      <c r="D138" s="53" t="s">
        <v>505</v>
      </c>
      <c r="E138" s="47"/>
      <c r="F138" s="47"/>
      <c r="G138" s="47"/>
      <c r="H138" s="140">
        <f>H15+H20+H25+H30+H35+H40+H45+H50+H55+H60+H65+H70+H75+H80+H85+H90+H95+H100+H105+H110+H115+H120+H125+H130</f>
        <v>45266323.194031008</v>
      </c>
      <c r="J138" s="140">
        <f t="shared" si="8"/>
        <v>45266323.194031008</v>
      </c>
      <c r="K138" s="140">
        <f>+J138-H138</f>
        <v>0</v>
      </c>
      <c r="L138">
        <f t="shared" si="10"/>
        <v>133</v>
      </c>
      <c r="N138" s="1046">
        <v>20517426.408301</v>
      </c>
    </row>
    <row r="139" spans="1:14">
      <c r="A139">
        <v>498</v>
      </c>
      <c r="B139" s="136"/>
      <c r="C139" s="53" t="s">
        <v>506</v>
      </c>
      <c r="D139" s="47"/>
      <c r="E139" s="47"/>
      <c r="F139" s="47"/>
      <c r="G139" s="47"/>
      <c r="H139" s="29"/>
      <c r="J139" s="29"/>
      <c r="K139" s="29"/>
      <c r="L139">
        <f t="shared" si="10"/>
        <v>134</v>
      </c>
      <c r="N139" s="29"/>
    </row>
    <row r="140" spans="1:14">
      <c r="A140">
        <v>499</v>
      </c>
      <c r="B140" s="136"/>
      <c r="C140" s="47"/>
      <c r="D140" s="47" t="s">
        <v>503</v>
      </c>
      <c r="E140" s="47"/>
      <c r="F140" s="47"/>
      <c r="G140" s="47"/>
      <c r="H140" s="302">
        <f>+H126+H121+H106+H96+H16</f>
        <v>1162669.7009799997</v>
      </c>
      <c r="J140" s="302">
        <f t="shared" si="8"/>
        <v>1162669.7009799997</v>
      </c>
      <c r="K140" s="302">
        <f>+J140-H140</f>
        <v>0</v>
      </c>
      <c r="L140">
        <f t="shared" si="10"/>
        <v>135</v>
      </c>
      <c r="N140" s="302">
        <v>486284.12019299972</v>
      </c>
    </row>
    <row r="141" spans="1:14">
      <c r="A141">
        <v>500</v>
      </c>
      <c r="B141" s="136"/>
      <c r="C141" s="47"/>
      <c r="D141" s="47" t="s">
        <v>504</v>
      </c>
      <c r="E141" s="47"/>
      <c r="F141" s="47"/>
      <c r="G141" s="47"/>
      <c r="H141" s="302">
        <f>+H131+H116+H111+H101+H91+H86+H81+H66+H61+H56+H51+H46+H41+H36+H31+H26+H21</f>
        <v>324360.09498900006</v>
      </c>
      <c r="J141" s="302">
        <f t="shared" si="8"/>
        <v>324360.09498900006</v>
      </c>
      <c r="K141" s="302">
        <f>+J141-H141</f>
        <v>0</v>
      </c>
      <c r="L141">
        <f t="shared" si="10"/>
        <v>136</v>
      </c>
      <c r="N141" s="302">
        <v>237892.66150600003</v>
      </c>
    </row>
    <row r="142" spans="1:14">
      <c r="A142">
        <v>501</v>
      </c>
      <c r="B142" s="136"/>
      <c r="C142" s="47"/>
      <c r="D142" s="53" t="s">
        <v>507</v>
      </c>
      <c r="E142" s="47"/>
      <c r="F142" s="47"/>
      <c r="G142" s="47"/>
      <c r="H142" s="140">
        <f>H16+H21+H26+H31+H36+H41+H46+H51+H56+H61+H66+H71+H76+H81+H86+H91+H96+H101+H106+H111+H116+H121+H126+H131</f>
        <v>1487029.7959689999</v>
      </c>
      <c r="J142" s="140">
        <f t="shared" si="8"/>
        <v>1487029.7959689999</v>
      </c>
      <c r="K142" s="140">
        <f>+J142-H142</f>
        <v>0</v>
      </c>
      <c r="L142">
        <f t="shared" si="10"/>
        <v>137</v>
      </c>
      <c r="N142" s="1046">
        <v>724176.78169899969</v>
      </c>
    </row>
    <row r="143" spans="1:14" ht="13.5" thickBot="1">
      <c r="A143">
        <v>502</v>
      </c>
      <c r="B143" s="136"/>
      <c r="C143" s="47"/>
      <c r="D143" s="47"/>
      <c r="E143" s="47"/>
      <c r="F143" s="47"/>
      <c r="G143" s="47"/>
      <c r="H143" s="154"/>
      <c r="J143" s="154"/>
      <c r="K143" s="154"/>
      <c r="L143">
        <f t="shared" si="10"/>
        <v>138</v>
      </c>
      <c r="N143" s="154"/>
    </row>
    <row r="144" spans="1:14">
      <c r="A144">
        <v>503</v>
      </c>
      <c r="B144" s="136"/>
      <c r="C144" s="141" t="s">
        <v>508</v>
      </c>
      <c r="D144" s="47"/>
      <c r="E144" s="47"/>
      <c r="F144" s="47"/>
      <c r="G144" s="47"/>
      <c r="H144" s="7">
        <f>H17+H22+H27+H32+H37+H42+H47+H52+H57+H62+H67+H72+H77+H82+H87+H92+H97+H102+H107+H112+H117+H122+H127+H132</f>
        <v>46753352.989999995</v>
      </c>
      <c r="J144" s="7">
        <f>J17+J22+J27+J32+J37+J42+J47+J52+J57+J62+J67+J72+J77+J82+J87+J92+J97+J102+J107+J112+J117+J122+J127+J132</f>
        <v>46753352.989999995</v>
      </c>
      <c r="K144" s="7">
        <f>+J144-H144</f>
        <v>0</v>
      </c>
      <c r="L144">
        <f t="shared" si="10"/>
        <v>139</v>
      </c>
      <c r="N144" s="7">
        <v>21241603.190000001</v>
      </c>
    </row>
    <row r="145" spans="3:14">
      <c r="J145" s="7"/>
      <c r="K145" s="7"/>
      <c r="L145">
        <f t="shared" si="10"/>
        <v>140</v>
      </c>
    </row>
    <row r="146" spans="3:14">
      <c r="C146" s="141" t="s">
        <v>448</v>
      </c>
      <c r="H146" s="1">
        <f>+H137+H141</f>
        <v>7386294.4306269996</v>
      </c>
      <c r="J146" s="302"/>
      <c r="K146" s="302"/>
      <c r="L146">
        <f t="shared" si="10"/>
        <v>141</v>
      </c>
      <c r="N146" s="1">
        <v>4391008.0802210001</v>
      </c>
    </row>
    <row r="147" spans="3:14">
      <c r="L147">
        <f t="shared" si="10"/>
        <v>142</v>
      </c>
    </row>
    <row r="148" spans="3:14">
      <c r="L148">
        <f t="shared" si="10"/>
        <v>143</v>
      </c>
    </row>
  </sheetData>
  <mergeCells count="1">
    <mergeCell ref="D9:E9"/>
  </mergeCells>
  <phoneticPr fontId="0" type="noConversion"/>
  <pageMargins left="0.35" right="0.75" top="0.41" bottom="0.43" header="0.2" footer="0.28000000000000003"/>
  <pageSetup scale="55" fitToWidth="2" fitToHeight="2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3">
    <tabColor rgb="FFFFFF00"/>
    <pageSetUpPr fitToPage="1"/>
  </sheetPr>
  <dimension ref="A1:AZ60"/>
  <sheetViews>
    <sheetView zoomScale="70" zoomScaleNormal="70" workbookViewId="0">
      <selection activeCell="L43" sqref="L43"/>
    </sheetView>
  </sheetViews>
  <sheetFormatPr defaultColWidth="9.140625" defaultRowHeight="12.75"/>
  <cols>
    <col min="1" max="1" width="5.140625" style="489" customWidth="1"/>
    <col min="2" max="2" width="56.28515625" style="486" bestFit="1" customWidth="1"/>
    <col min="3" max="3" width="12.85546875" style="486" customWidth="1"/>
    <col min="4" max="4" width="11.7109375" style="486" customWidth="1"/>
    <col min="5" max="5" width="15.7109375" style="486" customWidth="1"/>
    <col min="6" max="6" width="3" style="486" bestFit="1" customWidth="1"/>
    <col min="7" max="8" width="9.140625" style="486"/>
    <col min="9" max="9" width="7.42578125" customWidth="1"/>
    <col min="10" max="10" width="78.28515625" bestFit="1" customWidth="1"/>
    <col min="11" max="11" width="12.28515625" customWidth="1"/>
    <col min="12" max="12" width="24.7109375" bestFit="1" customWidth="1"/>
    <col min="13" max="13" width="14.5703125" bestFit="1" customWidth="1"/>
    <col min="14" max="14" width="7.42578125" customWidth="1"/>
    <col min="15" max="15" width="33.5703125" customWidth="1"/>
    <col min="16" max="16" width="23.28515625" customWidth="1"/>
    <col min="17" max="17" width="26.28515625" customWidth="1"/>
    <col min="18" max="18" width="15.140625" customWidth="1"/>
    <col min="19" max="19" width="19.5703125" customWidth="1"/>
    <col min="20" max="21" width="3.5703125" customWidth="1"/>
    <col min="22" max="22" width="20.85546875" bestFit="1" customWidth="1"/>
    <col min="23" max="23" width="3.5703125" customWidth="1"/>
    <col min="24" max="24" width="21.140625" bestFit="1" customWidth="1"/>
    <col min="25" max="25" width="3.5703125" customWidth="1"/>
    <col min="26" max="26" width="19.5703125" customWidth="1"/>
    <col min="27" max="28" width="3.5703125" customWidth="1"/>
    <col min="29" max="52" width="8.85546875" customWidth="1"/>
    <col min="53" max="16384" width="9.140625" style="486"/>
  </cols>
  <sheetData>
    <row r="1" spans="1:52" s="485" customFormat="1" ht="15">
      <c r="A1" s="200"/>
      <c r="B1" s="200"/>
      <c r="C1" s="200"/>
      <c r="D1" s="486"/>
      <c r="E1" s="200"/>
      <c r="I1" s="681"/>
      <c r="J1" s="842"/>
      <c r="K1" s="842"/>
      <c r="L1" s="842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52" ht="15.75">
      <c r="A2" s="12"/>
      <c r="B2" s="48"/>
      <c r="C2" s="487"/>
      <c r="E2" s="487"/>
      <c r="I2" s="681"/>
      <c r="J2" s="843" t="s">
        <v>942</v>
      </c>
      <c r="K2" s="843"/>
      <c r="L2" s="842"/>
    </row>
    <row r="3" spans="1:52" ht="15.75">
      <c r="A3" s="12" t="str">
        <f>'Control Panel'!B1</f>
        <v>Dominion Energy</v>
      </c>
      <c r="B3" s="48"/>
      <c r="C3" s="487"/>
      <c r="E3" s="487"/>
      <c r="I3" s="681"/>
      <c r="J3" s="846" t="str">
        <f>"12 Mos " &amp; TEXT(J5,"mmm-yyy")</f>
        <v>12 Mos Dec-2022</v>
      </c>
      <c r="K3" s="889"/>
      <c r="L3" s="844"/>
    </row>
    <row r="4" spans="1:52" ht="15">
      <c r="A4" s="12" t="str">
        <f>'Control Panel'!B2</f>
        <v>Utah - June 2023 Adjusted Avg Results</v>
      </c>
      <c r="B4" s="48"/>
      <c r="C4" s="487"/>
      <c r="E4" s="487"/>
      <c r="I4" s="842"/>
      <c r="J4" s="842"/>
      <c r="K4" s="842"/>
      <c r="L4" s="842"/>
    </row>
    <row r="5" spans="1:52" ht="15.75">
      <c r="A5" s="488"/>
      <c r="C5" s="487"/>
      <c r="E5" s="487"/>
      <c r="I5" s="681"/>
      <c r="J5" s="845">
        <v>44896</v>
      </c>
      <c r="K5" s="890"/>
      <c r="L5" s="890"/>
    </row>
    <row r="6" spans="1:52" ht="15.75">
      <c r="I6" s="681">
        <v>1</v>
      </c>
      <c r="J6" s="846"/>
      <c r="K6" s="842"/>
      <c r="L6" s="843"/>
    </row>
    <row r="7" spans="1:52" ht="15.75">
      <c r="B7" s="487"/>
      <c r="C7" s="487"/>
      <c r="E7" s="487"/>
      <c r="I7" s="681">
        <f t="shared" ref="I7:I49" si="0">+I6+1</f>
        <v>2</v>
      </c>
      <c r="J7" s="842"/>
      <c r="K7" s="842"/>
      <c r="L7" s="843" t="s">
        <v>145</v>
      </c>
    </row>
    <row r="8" spans="1:52" ht="15.75">
      <c r="A8" s="486"/>
      <c r="B8" s="490" t="s">
        <v>812</v>
      </c>
      <c r="I8" s="681">
        <f t="shared" si="0"/>
        <v>3</v>
      </c>
      <c r="J8" s="843" t="s">
        <v>928</v>
      </c>
      <c r="K8" s="842"/>
      <c r="L8" s="843" t="s">
        <v>929</v>
      </c>
    </row>
    <row r="9" spans="1:52" ht="16.5" thickBot="1">
      <c r="C9" s="331" t="s">
        <v>1049</v>
      </c>
      <c r="E9" s="331" t="str">
        <f>'Control Panel'!B39</f>
        <v xml:space="preserve"> Labor Adj </v>
      </c>
      <c r="F9" s="486">
        <v>1</v>
      </c>
      <c r="I9" s="681">
        <f t="shared" si="0"/>
        <v>4</v>
      </c>
      <c r="J9" s="881" t="s">
        <v>930</v>
      </c>
      <c r="K9" s="842"/>
      <c r="L9" s="843" t="s">
        <v>613</v>
      </c>
    </row>
    <row r="10" spans="1:52" ht="15">
      <c r="B10" s="491"/>
      <c r="C10" s="492"/>
      <c r="E10" s="492" t="s">
        <v>712</v>
      </c>
      <c r="F10" s="486">
        <f>+F9+1</f>
        <v>2</v>
      </c>
      <c r="I10" s="681">
        <f t="shared" si="0"/>
        <v>5</v>
      </c>
      <c r="J10" s="842" t="s">
        <v>943</v>
      </c>
      <c r="K10" s="842"/>
      <c r="L10" s="900">
        <f>[31]Summary!$J$12</f>
        <v>35609366.380000003</v>
      </c>
      <c r="Q10" s="1067"/>
    </row>
    <row r="11" spans="1:52" ht="15">
      <c r="B11" s="487"/>
      <c r="C11" s="493"/>
      <c r="E11" s="493"/>
      <c r="F11" s="486">
        <f t="shared" ref="F11:F60" si="1">+F10+1</f>
        <v>3</v>
      </c>
      <c r="I11" s="681">
        <f t="shared" si="0"/>
        <v>6</v>
      </c>
      <c r="J11" s="842" t="s">
        <v>944</v>
      </c>
      <c r="K11" s="842"/>
      <c r="L11" s="847">
        <f>[31]Summary!$J$14</f>
        <v>790768.94</v>
      </c>
      <c r="Q11" s="1"/>
    </row>
    <row r="12" spans="1:52" ht="15">
      <c r="B12" s="487"/>
      <c r="C12" s="494"/>
      <c r="D12" s="494"/>
      <c r="E12" s="494"/>
      <c r="F12" s="486">
        <f t="shared" si="1"/>
        <v>4</v>
      </c>
      <c r="I12" s="681">
        <f t="shared" si="0"/>
        <v>7</v>
      </c>
      <c r="J12" s="842" t="s">
        <v>115</v>
      </c>
      <c r="K12" s="842"/>
      <c r="L12" s="847">
        <f>[31]Summary!$J$18</f>
        <v>37539133.770000003</v>
      </c>
      <c r="Q12" s="1"/>
    </row>
    <row r="13" spans="1:52" ht="15.75" thickBot="1">
      <c r="B13" s="487"/>
      <c r="C13" s="494"/>
      <c r="D13" s="494"/>
      <c r="E13" s="495"/>
      <c r="F13" s="486">
        <f t="shared" si="1"/>
        <v>5</v>
      </c>
      <c r="I13" s="681">
        <f t="shared" si="0"/>
        <v>8</v>
      </c>
      <c r="J13" s="882" t="s">
        <v>945</v>
      </c>
      <c r="K13" s="681"/>
      <c r="L13" s="847">
        <f>[31]Summary!$J$16</f>
        <v>2457227.4400000004</v>
      </c>
      <c r="Q13" s="1"/>
    </row>
    <row r="14" spans="1:52" ht="15">
      <c r="B14" s="487"/>
      <c r="C14" s="494"/>
      <c r="D14" s="494"/>
      <c r="E14" s="496">
        <f t="shared" ref="E14" si="2">HLOOKUP($E$9,LABORSCENARIO,F14,FALSE)</f>
        <v>0</v>
      </c>
      <c r="F14" s="486">
        <f t="shared" si="1"/>
        <v>6</v>
      </c>
      <c r="I14" s="681">
        <f t="shared" si="0"/>
        <v>9</v>
      </c>
      <c r="J14" s="842" t="s">
        <v>946</v>
      </c>
      <c r="K14" s="842"/>
      <c r="L14" s="1006">
        <f>SUM(L10:L13)</f>
        <v>76396496.530000001</v>
      </c>
      <c r="Q14" s="1067"/>
    </row>
    <row r="15" spans="1:52" ht="16.5" thickBot="1">
      <c r="A15" s="489">
        <v>1</v>
      </c>
      <c r="B15" s="497" t="s">
        <v>40</v>
      </c>
      <c r="C15" s="498">
        <f>L46</f>
        <v>3196310.6610036939</v>
      </c>
      <c r="E15" s="499">
        <f>HLOOKUP($E$9,LABORSCENARIO,F15,FALSE)</f>
        <v>3196310.6610036939</v>
      </c>
      <c r="F15" s="486">
        <f t="shared" si="1"/>
        <v>7</v>
      </c>
      <c r="I15" s="681">
        <f t="shared" si="0"/>
        <v>10</v>
      </c>
      <c r="J15" s="843"/>
      <c r="K15" s="842"/>
      <c r="L15" s="842"/>
    </row>
    <row r="16" spans="1:52" ht="15.75" thickTop="1">
      <c r="A16" s="489">
        <v>2</v>
      </c>
      <c r="B16" s="497" t="s">
        <v>12</v>
      </c>
      <c r="C16" s="496">
        <f>C15*C21</f>
        <v>3101887.17018387</v>
      </c>
      <c r="E16" s="496">
        <f>HLOOKUP($E$9,LABORSCENARIO,F16,FALSE)</f>
        <v>3101887.17018387</v>
      </c>
      <c r="F16" s="486">
        <f t="shared" si="1"/>
        <v>8</v>
      </c>
      <c r="I16" s="681">
        <f t="shared" si="0"/>
        <v>11</v>
      </c>
      <c r="J16" s="882" t="s">
        <v>8</v>
      </c>
      <c r="K16" s="842"/>
      <c r="L16" s="883">
        <f>[31]Summary!$J$22+[31]Summary!$J$23+[31]Summary!$J$25</f>
        <v>6222772.1399999997</v>
      </c>
      <c r="Q16" s="10"/>
    </row>
    <row r="17" spans="1:17" ht="15.75">
      <c r="A17" s="489">
        <v>3</v>
      </c>
      <c r="B17" s="497" t="s">
        <v>23</v>
      </c>
      <c r="C17" s="496">
        <f>C15*C22</f>
        <v>94423.490819824146</v>
      </c>
      <c r="E17" s="496">
        <f>HLOOKUP($E$9,LABORSCENARIO,F17,FALSE)</f>
        <v>94423.490819824146</v>
      </c>
      <c r="F17" s="486">
        <f t="shared" si="1"/>
        <v>9</v>
      </c>
      <c r="I17" s="681">
        <f t="shared" si="0"/>
        <v>12</v>
      </c>
      <c r="J17" s="635" t="s">
        <v>931</v>
      </c>
      <c r="K17" s="635"/>
      <c r="L17" s="1007">
        <f>L14+L16</f>
        <v>82619268.670000002</v>
      </c>
      <c r="Q17" s="1067"/>
    </row>
    <row r="18" spans="1:17" ht="15">
      <c r="A18" s="489">
        <v>4</v>
      </c>
      <c r="E18" s="496"/>
      <c r="F18" s="486">
        <f t="shared" si="1"/>
        <v>10</v>
      </c>
      <c r="I18" s="681">
        <f t="shared" si="0"/>
        <v>13</v>
      </c>
      <c r="J18" s="842"/>
      <c r="K18" s="842"/>
      <c r="L18" s="842"/>
    </row>
    <row r="19" spans="1:17" ht="15">
      <c r="A19" s="489">
        <v>5</v>
      </c>
      <c r="B19" s="497"/>
      <c r="E19" s="496"/>
      <c r="F19" s="486">
        <f t="shared" si="1"/>
        <v>11</v>
      </c>
      <c r="I19" s="681">
        <f t="shared" si="0"/>
        <v>14</v>
      </c>
      <c r="J19" s="842" t="s">
        <v>115</v>
      </c>
      <c r="K19" s="842"/>
      <c r="L19" s="883">
        <f>[31]Summary!$J$18</f>
        <v>37539133.770000003</v>
      </c>
      <c r="Q19" s="10"/>
    </row>
    <row r="20" spans="1:17" ht="15">
      <c r="A20" s="489">
        <v>6</v>
      </c>
      <c r="B20" s="497"/>
      <c r="E20" s="496"/>
      <c r="F20" s="486">
        <f t="shared" si="1"/>
        <v>12</v>
      </c>
      <c r="I20" s="681">
        <f t="shared" si="0"/>
        <v>15</v>
      </c>
      <c r="J20" s="842" t="s">
        <v>947</v>
      </c>
      <c r="K20" s="842"/>
      <c r="L20" s="883">
        <f>[31]Summary!$J$22+[31]Summary!$J$25</f>
        <v>3380238.8899999997</v>
      </c>
      <c r="Q20" s="10"/>
    </row>
    <row r="21" spans="1:17" ht="15">
      <c r="A21" s="489">
        <v>7</v>
      </c>
      <c r="B21" s="497" t="s">
        <v>957</v>
      </c>
      <c r="C21" s="891">
        <f>(SUM(EXPENSES!F380,EXPENSES!F323,EXPENSES!F295,EXPENSES!F241))/EXPENSES!F383</f>
        <v>0.97045860029444897</v>
      </c>
      <c r="E21" s="496"/>
      <c r="F21" s="486">
        <f t="shared" si="1"/>
        <v>13</v>
      </c>
      <c r="I21" s="681">
        <f t="shared" si="0"/>
        <v>16</v>
      </c>
      <c r="J21" s="842" t="s">
        <v>945</v>
      </c>
      <c r="K21" s="842"/>
      <c r="L21" s="883">
        <v>0</v>
      </c>
      <c r="Q21" s="10"/>
    </row>
    <row r="22" spans="1:17" ht="15.75">
      <c r="A22" s="489">
        <v>8</v>
      </c>
      <c r="B22" s="497" t="s">
        <v>958</v>
      </c>
      <c r="C22" s="891">
        <f>1-C21</f>
        <v>2.954139970555103E-2</v>
      </c>
      <c r="F22" s="486">
        <f t="shared" si="1"/>
        <v>14</v>
      </c>
      <c r="I22" s="681">
        <f t="shared" si="0"/>
        <v>17</v>
      </c>
      <c r="J22" s="635" t="s">
        <v>948</v>
      </c>
      <c r="K22" s="635"/>
      <c r="L22" s="1008">
        <f>SUM(L19:L21)</f>
        <v>40919372.660000004</v>
      </c>
      <c r="Q22" s="10"/>
    </row>
    <row r="23" spans="1:17" ht="15">
      <c r="A23" s="489">
        <v>9</v>
      </c>
      <c r="B23" s="497"/>
      <c r="E23" s="496"/>
      <c r="F23" s="486">
        <f t="shared" si="1"/>
        <v>15</v>
      </c>
      <c r="I23" s="681">
        <f t="shared" si="0"/>
        <v>18</v>
      </c>
      <c r="J23" s="842"/>
      <c r="K23" s="842"/>
      <c r="L23" s="842"/>
    </row>
    <row r="24" spans="1:17" ht="15">
      <c r="A24" s="489">
        <v>10</v>
      </c>
      <c r="B24" s="497"/>
      <c r="E24" s="496"/>
      <c r="F24" s="486">
        <f t="shared" si="1"/>
        <v>16</v>
      </c>
      <c r="I24" s="681">
        <f t="shared" si="0"/>
        <v>19</v>
      </c>
      <c r="K24" s="842"/>
      <c r="L24" s="842"/>
    </row>
    <row r="25" spans="1:17" ht="15.75">
      <c r="A25" s="489">
        <v>11</v>
      </c>
      <c r="B25" s="497"/>
      <c r="E25" s="496"/>
      <c r="F25" s="486">
        <f t="shared" si="1"/>
        <v>17</v>
      </c>
      <c r="I25" s="681">
        <f t="shared" si="0"/>
        <v>20</v>
      </c>
      <c r="J25" s="843" t="s">
        <v>932</v>
      </c>
      <c r="K25" s="842"/>
      <c r="L25" s="842"/>
    </row>
    <row r="26" spans="1:17" ht="16.5" thickBot="1">
      <c r="A26" s="489">
        <v>12</v>
      </c>
      <c r="F26" s="486">
        <f t="shared" si="1"/>
        <v>18</v>
      </c>
      <c r="I26" s="681">
        <f t="shared" si="0"/>
        <v>21</v>
      </c>
      <c r="J26" s="848" t="s">
        <v>949</v>
      </c>
      <c r="K26" s="842"/>
      <c r="L26" s="842"/>
    </row>
    <row r="27" spans="1:17" ht="15">
      <c r="A27" s="489">
        <v>13</v>
      </c>
      <c r="F27" s="486">
        <f t="shared" si="1"/>
        <v>19</v>
      </c>
      <c r="I27" s="681">
        <f t="shared" si="0"/>
        <v>22</v>
      </c>
      <c r="J27" s="849" t="s">
        <v>933</v>
      </c>
      <c r="K27" s="842"/>
      <c r="L27" s="847">
        <f>[31]Summary!$J$39</f>
        <v>-16188115</v>
      </c>
      <c r="Q27" s="1"/>
    </row>
    <row r="28" spans="1:17" ht="15">
      <c r="A28" s="489">
        <v>14</v>
      </c>
      <c r="F28" s="486">
        <f t="shared" si="1"/>
        <v>20</v>
      </c>
      <c r="I28" s="681">
        <f t="shared" si="0"/>
        <v>23</v>
      </c>
      <c r="J28" s="849" t="s">
        <v>950</v>
      </c>
      <c r="K28" s="842"/>
      <c r="L28" s="847">
        <f>[31]Summary!$J$40</f>
        <v>11484357.759999998</v>
      </c>
      <c r="Q28" s="1"/>
    </row>
    <row r="29" spans="1:17" ht="15">
      <c r="A29" s="486"/>
      <c r="F29" s="486">
        <f t="shared" si="1"/>
        <v>21</v>
      </c>
      <c r="I29" s="681">
        <f t="shared" si="0"/>
        <v>24</v>
      </c>
      <c r="J29" s="849" t="s">
        <v>951</v>
      </c>
      <c r="K29" s="842"/>
      <c r="L29" s="847">
        <f>[31]Summary!$J$41</f>
        <v>2837848.68</v>
      </c>
      <c r="Q29" s="1"/>
    </row>
    <row r="30" spans="1:17" ht="15">
      <c r="A30" s="486"/>
      <c r="F30" s="486">
        <f t="shared" si="1"/>
        <v>22</v>
      </c>
      <c r="I30" s="681">
        <f t="shared" si="0"/>
        <v>25</v>
      </c>
      <c r="J30" s="849" t="s">
        <v>952</v>
      </c>
      <c r="K30" s="842"/>
      <c r="L30" s="847">
        <f>[31]Summary!$J$42</f>
        <v>-2455676</v>
      </c>
      <c r="Q30" s="1"/>
    </row>
    <row r="31" spans="1:17" ht="15">
      <c r="A31" s="486"/>
      <c r="F31" s="486">
        <f t="shared" si="1"/>
        <v>23</v>
      </c>
      <c r="I31" s="681">
        <f t="shared" si="0"/>
        <v>26</v>
      </c>
      <c r="J31" s="849" t="s">
        <v>953</v>
      </c>
      <c r="K31" s="842"/>
      <c r="L31" s="847">
        <f>[31]Summary!$J$44</f>
        <v>615414</v>
      </c>
      <c r="Q31" s="1"/>
    </row>
    <row r="32" spans="1:17" ht="15">
      <c r="A32" s="486"/>
      <c r="F32" s="486">
        <f t="shared" si="1"/>
        <v>24</v>
      </c>
      <c r="I32" s="681">
        <f t="shared" si="0"/>
        <v>27</v>
      </c>
      <c r="J32" s="849" t="s">
        <v>945</v>
      </c>
      <c r="K32" s="842"/>
      <c r="L32" s="847">
        <f>[31]Summary!$J$45</f>
        <v>2259591.17</v>
      </c>
      <c r="Q32" s="1"/>
    </row>
    <row r="33" spans="1:17" ht="15.75">
      <c r="A33" s="486"/>
      <c r="F33" s="486">
        <f t="shared" si="1"/>
        <v>25</v>
      </c>
      <c r="I33" s="681">
        <f t="shared" si="0"/>
        <v>28</v>
      </c>
      <c r="J33" s="635" t="s">
        <v>934</v>
      </c>
      <c r="K33" s="635"/>
      <c r="L33" s="884">
        <f>SUM(L27:L32)</f>
        <v>-1446579.3900000025</v>
      </c>
      <c r="Q33" s="74"/>
    </row>
    <row r="34" spans="1:17" ht="15">
      <c r="A34" s="486"/>
      <c r="F34" s="486">
        <f t="shared" si="1"/>
        <v>26</v>
      </c>
      <c r="I34" s="681">
        <f t="shared" si="0"/>
        <v>29</v>
      </c>
      <c r="J34" s="842"/>
      <c r="K34" s="842"/>
      <c r="L34" s="842"/>
    </row>
    <row r="35" spans="1:17" ht="15.75">
      <c r="A35" s="486"/>
      <c r="F35" s="486">
        <f t="shared" si="1"/>
        <v>27</v>
      </c>
      <c r="I35" s="681">
        <f t="shared" si="0"/>
        <v>30</v>
      </c>
      <c r="J35" s="635" t="s">
        <v>954</v>
      </c>
      <c r="K35" s="842"/>
      <c r="L35" s="850">
        <f>'[15]Labor Adjustment ROO'!$L$35</f>
        <v>1643807.2799999993</v>
      </c>
      <c r="Q35" s="74"/>
    </row>
    <row r="36" spans="1:17" ht="15.75">
      <c r="A36" s="486"/>
      <c r="F36" s="486">
        <f t="shared" si="1"/>
        <v>28</v>
      </c>
      <c r="I36" s="681">
        <f t="shared" si="0"/>
        <v>31</v>
      </c>
      <c r="J36" s="635"/>
      <c r="K36" s="842"/>
      <c r="L36" s="850"/>
      <c r="Q36" s="74"/>
    </row>
    <row r="37" spans="1:17" ht="15.75">
      <c r="A37" s="486"/>
      <c r="F37" s="486">
        <f t="shared" si="1"/>
        <v>29</v>
      </c>
      <c r="I37" s="681">
        <f t="shared" si="0"/>
        <v>32</v>
      </c>
      <c r="J37" s="635" t="s">
        <v>955</v>
      </c>
      <c r="K37" s="842"/>
      <c r="L37" s="885">
        <f>'[15]Labor Adjustment ROO'!$L$37</f>
        <v>86691646.24999997</v>
      </c>
      <c r="Q37" s="74"/>
    </row>
    <row r="38" spans="1:17" ht="15.75">
      <c r="A38" s="486"/>
      <c r="F38" s="486">
        <f t="shared" si="1"/>
        <v>30</v>
      </c>
      <c r="I38" s="681">
        <f t="shared" si="0"/>
        <v>33</v>
      </c>
      <c r="J38" s="842"/>
      <c r="K38" s="842"/>
      <c r="L38" s="770"/>
      <c r="Q38" s="10"/>
    </row>
    <row r="39" spans="1:17" ht="15.75">
      <c r="A39" s="486"/>
      <c r="F39" s="486">
        <f t="shared" si="1"/>
        <v>31</v>
      </c>
      <c r="I39" s="681">
        <f t="shared" si="0"/>
        <v>34</v>
      </c>
      <c r="J39" s="635" t="s">
        <v>956</v>
      </c>
      <c r="K39" s="842"/>
      <c r="L39" s="886">
        <f>'[15]Labor Adjustment ROO'!$L$39</f>
        <v>41335779.179999977</v>
      </c>
      <c r="Q39" s="74"/>
    </row>
    <row r="40" spans="1:17" ht="15">
      <c r="A40" s="486"/>
      <c r="F40" s="486">
        <f t="shared" si="1"/>
        <v>32</v>
      </c>
      <c r="I40" s="681">
        <f t="shared" si="0"/>
        <v>35</v>
      </c>
      <c r="J40" s="842"/>
      <c r="K40" s="842"/>
      <c r="L40" s="842"/>
    </row>
    <row r="41" spans="1:17" ht="15">
      <c r="A41" s="486"/>
      <c r="F41" s="486">
        <f t="shared" si="1"/>
        <v>33</v>
      </c>
      <c r="I41" s="681">
        <f t="shared" si="0"/>
        <v>36</v>
      </c>
      <c r="J41" s="852" t="s">
        <v>935</v>
      </c>
      <c r="K41" s="842"/>
    </row>
    <row r="42" spans="1:17" ht="15.75">
      <c r="F42" s="486">
        <f t="shared" si="1"/>
        <v>34</v>
      </c>
      <c r="I42" s="681">
        <f t="shared" si="0"/>
        <v>37</v>
      </c>
      <c r="J42" s="853" t="s">
        <v>1278</v>
      </c>
      <c r="K42" s="854">
        <f>[31]Summary!$J$84</f>
        <v>0.51143803924713371</v>
      </c>
      <c r="L42" s="887">
        <f>L37*K42</f>
        <v>44337405.57720612</v>
      </c>
      <c r="P42" s="81"/>
      <c r="Q42" s="367"/>
    </row>
    <row r="43" spans="1:17" ht="15.75">
      <c r="F43" s="486">
        <f t="shared" si="1"/>
        <v>35</v>
      </c>
      <c r="I43" s="681">
        <f t="shared" si="0"/>
        <v>38</v>
      </c>
      <c r="J43" s="853" t="s">
        <v>1280</v>
      </c>
      <c r="K43" s="854">
        <f>[31]Summary!$J$82</f>
        <v>0.47456815847700479</v>
      </c>
      <c r="L43" s="887">
        <f>L37*K43</f>
        <v>41141094.916202426</v>
      </c>
      <c r="P43" s="81"/>
      <c r="Q43" s="367"/>
    </row>
    <row r="44" spans="1:17" ht="15.75">
      <c r="F44" s="486">
        <f t="shared" si="1"/>
        <v>36</v>
      </c>
      <c r="I44" s="681">
        <f t="shared" si="0"/>
        <v>39</v>
      </c>
      <c r="K44" s="842"/>
      <c r="L44" s="887"/>
      <c r="Q44" s="367"/>
    </row>
    <row r="45" spans="1:17" ht="15.75">
      <c r="F45" s="486">
        <f t="shared" si="1"/>
        <v>37</v>
      </c>
      <c r="I45" s="681">
        <f t="shared" si="0"/>
        <v>40</v>
      </c>
      <c r="K45" s="842"/>
      <c r="L45" s="887"/>
      <c r="Q45" s="367"/>
    </row>
    <row r="46" spans="1:17" ht="15.75">
      <c r="F46" s="486">
        <f t="shared" si="1"/>
        <v>38</v>
      </c>
      <c r="I46" s="681">
        <f t="shared" si="0"/>
        <v>41</v>
      </c>
      <c r="J46" s="635" t="s">
        <v>813</v>
      </c>
      <c r="K46" s="842"/>
      <c r="L46" s="888">
        <f>L42-L43</f>
        <v>3196310.6610036939</v>
      </c>
      <c r="Q46" s="367"/>
    </row>
    <row r="47" spans="1:17" ht="15.75">
      <c r="F47" s="486">
        <f t="shared" si="1"/>
        <v>39</v>
      </c>
      <c r="I47" s="681">
        <f t="shared" si="0"/>
        <v>42</v>
      </c>
      <c r="J47" s="842"/>
      <c r="L47" s="851"/>
      <c r="Q47" s="74"/>
    </row>
    <row r="48" spans="1:17" ht="15">
      <c r="F48" s="486">
        <f t="shared" si="1"/>
        <v>40</v>
      </c>
      <c r="I48" s="681">
        <f t="shared" si="0"/>
        <v>43</v>
      </c>
      <c r="J48" s="497" t="s">
        <v>12</v>
      </c>
      <c r="K48" s="973">
        <f>C21</f>
        <v>0.97045860029444897</v>
      </c>
      <c r="L48" s="883">
        <f>C16</f>
        <v>3101887.17018387</v>
      </c>
      <c r="P48" s="81"/>
      <c r="Q48" s="10"/>
    </row>
    <row r="49" spans="6:17" ht="15">
      <c r="F49" s="486">
        <f t="shared" si="1"/>
        <v>41</v>
      </c>
      <c r="I49" s="681">
        <f t="shared" si="0"/>
        <v>44</v>
      </c>
      <c r="J49" s="497" t="s">
        <v>23</v>
      </c>
      <c r="K49" s="973">
        <f>C22</f>
        <v>2.954139970555103E-2</v>
      </c>
      <c r="L49" s="883">
        <f>C17</f>
        <v>94423.490819824146</v>
      </c>
      <c r="P49" s="81"/>
      <c r="Q49" s="10"/>
    </row>
    <row r="50" spans="6:17" ht="15">
      <c r="F50" s="486">
        <f t="shared" si="1"/>
        <v>42</v>
      </c>
      <c r="I50" s="681"/>
      <c r="J50" s="842"/>
      <c r="K50" s="842"/>
      <c r="L50" s="883"/>
    </row>
    <row r="51" spans="6:17" ht="15">
      <c r="F51" s="486">
        <f t="shared" si="1"/>
        <v>43</v>
      </c>
      <c r="I51" s="681"/>
    </row>
    <row r="52" spans="6:17">
      <c r="F52" s="486">
        <f t="shared" si="1"/>
        <v>44</v>
      </c>
    </row>
    <row r="53" spans="6:17">
      <c r="F53" s="486">
        <f t="shared" si="1"/>
        <v>45</v>
      </c>
    </row>
    <row r="54" spans="6:17">
      <c r="F54" s="486">
        <f t="shared" si="1"/>
        <v>46</v>
      </c>
    </row>
    <row r="55" spans="6:17">
      <c r="F55" s="486">
        <f t="shared" si="1"/>
        <v>47</v>
      </c>
      <c r="J55" t="s">
        <v>1279</v>
      </c>
    </row>
    <row r="56" spans="6:17">
      <c r="F56" s="486">
        <f t="shared" si="1"/>
        <v>48</v>
      </c>
    </row>
    <row r="57" spans="6:17">
      <c r="F57" s="486">
        <f t="shared" si="1"/>
        <v>49</v>
      </c>
    </row>
    <row r="58" spans="6:17">
      <c r="F58" s="486">
        <f t="shared" si="1"/>
        <v>50</v>
      </c>
    </row>
    <row r="59" spans="6:17">
      <c r="F59" s="486">
        <f t="shared" si="1"/>
        <v>51</v>
      </c>
    </row>
    <row r="60" spans="6:17">
      <c r="F60" s="486">
        <f t="shared" si="1"/>
        <v>52</v>
      </c>
    </row>
  </sheetData>
  <pageMargins left="0.75" right="0.75" top="1" bottom="1" header="0.5" footer="0.5"/>
  <pageSetup scale="74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0000"/>
  </sheetPr>
  <dimension ref="A1:R54"/>
  <sheetViews>
    <sheetView zoomScale="80" zoomScaleNormal="80" workbookViewId="0">
      <selection activeCell="F6" sqref="F6"/>
    </sheetView>
  </sheetViews>
  <sheetFormatPr defaultRowHeight="12.75"/>
  <cols>
    <col min="2" max="2" width="36.140625" bestFit="1" customWidth="1"/>
    <col min="3" max="3" width="9.7109375" bestFit="1" customWidth="1"/>
    <col min="5" max="5" width="10.28515625" bestFit="1" customWidth="1"/>
    <col min="6" max="6" width="15.140625" bestFit="1" customWidth="1"/>
    <col min="7" max="7" width="9.7109375" bestFit="1" customWidth="1"/>
    <col min="8" max="8" width="10.28515625" bestFit="1" customWidth="1"/>
    <col min="12" max="12" width="39.85546875" customWidth="1"/>
    <col min="13" max="13" width="9.7109375" bestFit="1" customWidth="1"/>
    <col min="15" max="15" width="11.140625" customWidth="1"/>
    <col min="16" max="16" width="12.140625" bestFit="1" customWidth="1"/>
    <col min="17" max="17" width="10.5703125" bestFit="1" customWidth="1"/>
    <col min="18" max="18" width="17.140625" customWidth="1"/>
  </cols>
  <sheetData>
    <row r="1" spans="1:18">
      <c r="A1" s="281"/>
    </row>
    <row r="2" spans="1:18">
      <c r="A2" s="12" t="str">
        <f>'Control Panel'!$B$2</f>
        <v>Utah - June 2023 Adjusted Avg Results</v>
      </c>
      <c r="L2" t="s">
        <v>990</v>
      </c>
    </row>
    <row r="3" spans="1:18">
      <c r="A3" s="12" t="str">
        <f>'Control Panel'!$B$3</f>
        <v>12 Months Ended : Jun-2023</v>
      </c>
      <c r="L3" t="s">
        <v>1069</v>
      </c>
    </row>
    <row r="4" spans="1:18">
      <c r="A4" s="12" t="str">
        <f>'Control Panel'!$B$4</f>
        <v>Capital Structure : AVG CAP STR</v>
      </c>
      <c r="L4" t="s">
        <v>1070</v>
      </c>
    </row>
    <row r="5" spans="1:18" ht="15.75">
      <c r="L5" t="s">
        <v>1071</v>
      </c>
      <c r="N5" s="990" t="s">
        <v>1072</v>
      </c>
      <c r="Q5" s="990" t="s">
        <v>991</v>
      </c>
    </row>
    <row r="6" spans="1:18" ht="15">
      <c r="C6" s="996" t="s">
        <v>1066</v>
      </c>
      <c r="F6" s="997">
        <f>P54</f>
        <v>16001772.390000001</v>
      </c>
      <c r="L6" s="991" t="s">
        <v>992</v>
      </c>
      <c r="M6" s="992" t="s">
        <v>1072</v>
      </c>
      <c r="N6" s="992" t="s">
        <v>993</v>
      </c>
      <c r="O6" s="992" t="s">
        <v>994</v>
      </c>
      <c r="P6" s="992" t="s">
        <v>995</v>
      </c>
      <c r="Q6" s="992" t="s">
        <v>993</v>
      </c>
      <c r="R6" s="992" t="s">
        <v>994</v>
      </c>
    </row>
    <row r="7" spans="1:18">
      <c r="C7" s="998" t="s">
        <v>1041</v>
      </c>
      <c r="F7" s="997">
        <f>-P35</f>
        <v>-2833483.6</v>
      </c>
      <c r="L7" s="993" t="s">
        <v>996</v>
      </c>
      <c r="M7" s="994">
        <v>0</v>
      </c>
      <c r="N7" s="994">
        <v>0</v>
      </c>
      <c r="O7" s="994">
        <v>0</v>
      </c>
      <c r="P7" s="994">
        <v>408.48</v>
      </c>
      <c r="Q7" s="994">
        <v>0</v>
      </c>
      <c r="R7" s="994">
        <v>-408.48</v>
      </c>
    </row>
    <row r="8" spans="1:18" ht="13.5" thickBot="1">
      <c r="C8" s="998" t="s">
        <v>1042</v>
      </c>
      <c r="F8" s="999">
        <f>SUM(F6:F7)</f>
        <v>13168288.790000001</v>
      </c>
      <c r="L8" s="993" t="s">
        <v>997</v>
      </c>
      <c r="M8" s="994">
        <v>0</v>
      </c>
      <c r="N8" s="994">
        <v>0</v>
      </c>
      <c r="O8" s="994">
        <v>0</v>
      </c>
      <c r="P8" s="994">
        <v>41.27</v>
      </c>
      <c r="Q8" s="994">
        <v>0</v>
      </c>
      <c r="R8" s="994">
        <v>-41.27</v>
      </c>
    </row>
    <row r="9" spans="1:18" ht="13.5" thickTop="1">
      <c r="L9" s="993" t="s">
        <v>998</v>
      </c>
      <c r="M9" s="994">
        <v>-80853.89</v>
      </c>
      <c r="N9" s="994">
        <v>0</v>
      </c>
      <c r="O9" s="994">
        <v>80853.89</v>
      </c>
      <c r="P9" s="994">
        <v>-200329.54</v>
      </c>
      <c r="Q9" s="994">
        <v>0</v>
      </c>
      <c r="R9" s="994">
        <v>200329.54</v>
      </c>
    </row>
    <row r="10" spans="1:18">
      <c r="L10" s="993" t="s">
        <v>999</v>
      </c>
      <c r="M10" s="994">
        <v>14875.38</v>
      </c>
      <c r="N10" s="994">
        <v>0</v>
      </c>
      <c r="O10" s="994">
        <v>-14875.38</v>
      </c>
      <c r="P10" s="994">
        <v>107619.05</v>
      </c>
      <c r="Q10" s="994">
        <v>0</v>
      </c>
      <c r="R10" s="994">
        <v>-107619.05</v>
      </c>
    </row>
    <row r="11" spans="1:18">
      <c r="L11" s="993" t="s">
        <v>1000</v>
      </c>
      <c r="M11" s="994">
        <v>1221.29</v>
      </c>
      <c r="N11" s="994">
        <v>0</v>
      </c>
      <c r="O11" s="994">
        <v>-1221.29</v>
      </c>
      <c r="P11" s="994">
        <v>4611.9399999999996</v>
      </c>
      <c r="Q11" s="994">
        <v>0</v>
      </c>
      <c r="R11" s="994">
        <v>-4611.9399999999996</v>
      </c>
    </row>
    <row r="12" spans="1:18">
      <c r="E12" s="1000" t="s">
        <v>957</v>
      </c>
      <c r="F12" s="891">
        <f>SUM(EXPENSES!$F$380,EXPENSES!$F$323,EXPENSES!$F$295,EXPENSES!$F$241)/EXPENSES!$F$383</f>
        <v>0.97045860029444897</v>
      </c>
      <c r="L12" s="993" t="s">
        <v>1001</v>
      </c>
      <c r="M12" s="994">
        <v>2211.5300000000002</v>
      </c>
      <c r="N12" s="994">
        <v>0</v>
      </c>
      <c r="O12" s="994">
        <v>-2211.5300000000002</v>
      </c>
      <c r="P12" s="994">
        <v>8638.44</v>
      </c>
      <c r="Q12" s="994">
        <v>0</v>
      </c>
      <c r="R12" s="994">
        <v>-8638.44</v>
      </c>
    </row>
    <row r="13" spans="1:18">
      <c r="E13" s="1000" t="s">
        <v>958</v>
      </c>
      <c r="F13" s="891">
        <f>1-F12</f>
        <v>2.954139970555103E-2</v>
      </c>
      <c r="L13" s="993" t="s">
        <v>1002</v>
      </c>
      <c r="M13" s="994">
        <v>3599.87</v>
      </c>
      <c r="N13" s="994">
        <v>0</v>
      </c>
      <c r="O13" s="994">
        <v>-3599.87</v>
      </c>
      <c r="P13" s="994">
        <v>6074.77</v>
      </c>
      <c r="Q13" s="994">
        <v>0</v>
      </c>
      <c r="R13" s="994">
        <v>-6074.77</v>
      </c>
    </row>
    <row r="14" spans="1:18">
      <c r="L14" s="993" t="s">
        <v>1003</v>
      </c>
      <c r="M14" s="994">
        <v>3648.42</v>
      </c>
      <c r="N14" s="994">
        <v>0</v>
      </c>
      <c r="O14" s="994">
        <v>-3648.42</v>
      </c>
      <c r="P14" s="994">
        <v>58410.69</v>
      </c>
      <c r="Q14" s="994">
        <v>0</v>
      </c>
      <c r="R14" s="994">
        <v>-58410.69</v>
      </c>
    </row>
    <row r="15" spans="1:18">
      <c r="L15" s="993" t="s">
        <v>1004</v>
      </c>
      <c r="M15" s="994">
        <v>0</v>
      </c>
      <c r="N15" s="994">
        <v>0</v>
      </c>
      <c r="O15" s="994">
        <v>0</v>
      </c>
      <c r="P15" s="994">
        <v>29018.03</v>
      </c>
      <c r="Q15" s="994">
        <v>0</v>
      </c>
      <c r="R15" s="994">
        <v>-29018.03</v>
      </c>
    </row>
    <row r="16" spans="1:18">
      <c r="E16" s="65" t="s">
        <v>1068</v>
      </c>
      <c r="F16" s="1001">
        <v>13168288.790000001</v>
      </c>
      <c r="L16" s="993" t="s">
        <v>1005</v>
      </c>
      <c r="M16" s="994">
        <v>75067.42</v>
      </c>
      <c r="N16" s="994">
        <v>0</v>
      </c>
      <c r="O16" s="994">
        <v>-75067.42</v>
      </c>
      <c r="P16" s="994">
        <v>414550.89</v>
      </c>
      <c r="Q16" s="994">
        <v>0</v>
      </c>
      <c r="R16" s="994">
        <v>-414550.89</v>
      </c>
    </row>
    <row r="17" spans="2:18">
      <c r="L17" s="993" t="s">
        <v>1006</v>
      </c>
      <c r="M17" s="994">
        <v>32166.14</v>
      </c>
      <c r="N17" s="994">
        <v>0</v>
      </c>
      <c r="O17" s="994">
        <v>-32166.14</v>
      </c>
      <c r="P17" s="994">
        <v>146470.46</v>
      </c>
      <c r="Q17" s="994">
        <v>0</v>
      </c>
      <c r="R17" s="994">
        <v>-146470.46</v>
      </c>
    </row>
    <row r="18" spans="2:18">
      <c r="B18" s="63"/>
      <c r="E18" s="65" t="s">
        <v>40</v>
      </c>
      <c r="F18" s="246">
        <f>F16</f>
        <v>13168288.790000001</v>
      </c>
      <c r="L18" s="993" t="s">
        <v>1007</v>
      </c>
      <c r="M18" s="994">
        <v>102737.37</v>
      </c>
      <c r="N18" s="994">
        <v>0</v>
      </c>
      <c r="O18" s="994">
        <v>-102737.37</v>
      </c>
      <c r="P18" s="994">
        <v>423378.76</v>
      </c>
      <c r="Q18" s="994">
        <v>0</v>
      </c>
      <c r="R18" s="994">
        <v>-423378.76</v>
      </c>
    </row>
    <row r="19" spans="2:18">
      <c r="B19" s="63"/>
      <c r="D19" s="98"/>
      <c r="F19" s="80"/>
      <c r="L19" s="993" t="s">
        <v>1008</v>
      </c>
      <c r="M19" s="994">
        <v>215247.5</v>
      </c>
      <c r="N19" s="994">
        <v>0</v>
      </c>
      <c r="O19" s="994">
        <v>-215247.5</v>
      </c>
      <c r="P19" s="994">
        <v>1051547.04</v>
      </c>
      <c r="Q19" s="994">
        <v>0</v>
      </c>
      <c r="R19" s="994">
        <v>-1051547.04</v>
      </c>
    </row>
    <row r="20" spans="2:18">
      <c r="B20" s="63"/>
      <c r="D20" s="98"/>
      <c r="F20" s="80"/>
      <c r="L20" s="993" t="s">
        <v>1073</v>
      </c>
      <c r="M20" s="994">
        <v>0</v>
      </c>
      <c r="N20" s="994">
        <v>0</v>
      </c>
      <c r="O20" s="994">
        <v>0</v>
      </c>
      <c r="P20" s="994">
        <v>0</v>
      </c>
      <c r="Q20" s="994">
        <v>0</v>
      </c>
      <c r="R20" s="994">
        <v>0</v>
      </c>
    </row>
    <row r="21" spans="2:18">
      <c r="B21" s="63"/>
      <c r="D21" s="63"/>
      <c r="F21" s="80"/>
      <c r="L21" s="993" t="s">
        <v>1074</v>
      </c>
      <c r="M21" s="994">
        <v>0</v>
      </c>
      <c r="N21" s="994">
        <v>0</v>
      </c>
      <c r="O21" s="994">
        <v>0</v>
      </c>
      <c r="P21" s="994">
        <v>0</v>
      </c>
      <c r="Q21" s="994">
        <v>0</v>
      </c>
      <c r="R21" s="994">
        <v>0</v>
      </c>
    </row>
    <row r="22" spans="2:18">
      <c r="D22" s="70">
        <v>921</v>
      </c>
      <c r="F22" s="246"/>
      <c r="L22" s="993" t="s">
        <v>1009</v>
      </c>
      <c r="M22" s="994">
        <v>1155.53</v>
      </c>
      <c r="N22" s="994">
        <v>0</v>
      </c>
      <c r="O22" s="994">
        <v>-1155.53</v>
      </c>
      <c r="P22" s="994">
        <v>13798.57</v>
      </c>
      <c r="Q22" s="994">
        <v>0</v>
      </c>
      <c r="R22" s="994">
        <v>-13798.57</v>
      </c>
    </row>
    <row r="23" spans="2:18">
      <c r="D23" s="65" t="s">
        <v>12</v>
      </c>
      <c r="E23" s="70"/>
      <c r="F23" s="246">
        <f>F18*F12</f>
        <v>12779279.107416485</v>
      </c>
      <c r="L23" s="993" t="s">
        <v>1010</v>
      </c>
      <c r="M23" s="994">
        <v>29793.57</v>
      </c>
      <c r="N23" s="994">
        <v>0</v>
      </c>
      <c r="O23" s="994">
        <v>-29793.57</v>
      </c>
      <c r="P23" s="994">
        <v>108205.1</v>
      </c>
      <c r="Q23" s="994">
        <v>0</v>
      </c>
      <c r="R23" s="994">
        <v>-108205.1</v>
      </c>
    </row>
    <row r="24" spans="2:18">
      <c r="D24" s="65" t="s">
        <v>23</v>
      </c>
      <c r="E24" s="70"/>
      <c r="F24" s="246">
        <f>F18*F13</f>
        <v>389009.68258351699</v>
      </c>
      <c r="L24" s="993" t="s">
        <v>1011</v>
      </c>
      <c r="M24" s="994">
        <v>2905.88</v>
      </c>
      <c r="N24" s="994">
        <v>0</v>
      </c>
      <c r="O24" s="994">
        <v>-2905.88</v>
      </c>
      <c r="P24" s="994">
        <v>22933.58</v>
      </c>
      <c r="Q24" s="994">
        <v>0</v>
      </c>
      <c r="R24" s="994">
        <v>-22933.58</v>
      </c>
    </row>
    <row r="25" spans="2:18">
      <c r="L25" s="993" t="s">
        <v>1075</v>
      </c>
      <c r="M25" s="994">
        <v>0</v>
      </c>
      <c r="N25" s="994">
        <v>0</v>
      </c>
      <c r="O25" s="994">
        <v>0</v>
      </c>
      <c r="P25" s="994">
        <v>0</v>
      </c>
      <c r="Q25" s="994">
        <v>0</v>
      </c>
      <c r="R25" s="994">
        <v>0</v>
      </c>
    </row>
    <row r="26" spans="2:18">
      <c r="L26" s="993" t="s">
        <v>1012</v>
      </c>
      <c r="M26" s="994">
        <v>147199.01</v>
      </c>
      <c r="N26" s="994">
        <v>418684</v>
      </c>
      <c r="O26" s="994">
        <v>271484.99</v>
      </c>
      <c r="P26" s="994">
        <v>668399.57999999996</v>
      </c>
      <c r="Q26" s="994">
        <v>2512107</v>
      </c>
      <c r="R26" s="994">
        <v>1843707.42</v>
      </c>
    </row>
    <row r="27" spans="2:18">
      <c r="L27" s="993" t="s">
        <v>1013</v>
      </c>
      <c r="M27" s="994">
        <v>13525.77</v>
      </c>
      <c r="N27" s="994">
        <v>0</v>
      </c>
      <c r="O27" s="994">
        <v>-13525.77</v>
      </c>
      <c r="P27" s="994">
        <v>68913.36</v>
      </c>
      <c r="Q27" s="994">
        <v>0</v>
      </c>
      <c r="R27" s="994">
        <v>-68913.36</v>
      </c>
    </row>
    <row r="28" spans="2:18">
      <c r="L28" s="993" t="s">
        <v>1014</v>
      </c>
      <c r="M28" s="994">
        <v>21965.49</v>
      </c>
      <c r="N28" s="994">
        <v>0</v>
      </c>
      <c r="O28" s="994">
        <v>-21965.49</v>
      </c>
      <c r="P28" s="994">
        <v>84714.06</v>
      </c>
      <c r="Q28" s="994">
        <v>0</v>
      </c>
      <c r="R28" s="994">
        <v>-84714.06</v>
      </c>
    </row>
    <row r="29" spans="2:18">
      <c r="L29" s="993" t="s">
        <v>1015</v>
      </c>
      <c r="M29" s="994">
        <v>127923.2</v>
      </c>
      <c r="N29" s="994">
        <v>0</v>
      </c>
      <c r="O29" s="994">
        <v>-127923.2</v>
      </c>
      <c r="P29" s="994">
        <v>1074843.6200000001</v>
      </c>
      <c r="Q29" s="994">
        <v>0</v>
      </c>
      <c r="R29" s="994">
        <v>-1074843.6200000001</v>
      </c>
    </row>
    <row r="30" spans="2:18">
      <c r="L30" s="993" t="s">
        <v>1016</v>
      </c>
      <c r="M30" s="994">
        <v>2793.46</v>
      </c>
      <c r="N30" s="994">
        <v>0</v>
      </c>
      <c r="O30" s="994">
        <v>-2793.46</v>
      </c>
      <c r="P30" s="994">
        <v>10787.98</v>
      </c>
      <c r="Q30" s="994">
        <v>0</v>
      </c>
      <c r="R30" s="994">
        <v>-10787.98</v>
      </c>
    </row>
    <row r="31" spans="2:18">
      <c r="L31" s="993" t="s">
        <v>1017</v>
      </c>
      <c r="M31" s="994">
        <v>653.29999999999995</v>
      </c>
      <c r="N31" s="994">
        <v>0</v>
      </c>
      <c r="O31" s="994">
        <v>-653.29999999999995</v>
      </c>
      <c r="P31" s="994">
        <v>5787.18</v>
      </c>
      <c r="Q31" s="994">
        <v>0</v>
      </c>
      <c r="R31" s="994">
        <v>-5787.18</v>
      </c>
    </row>
    <row r="32" spans="2:18">
      <c r="L32" s="993" t="s">
        <v>1018</v>
      </c>
      <c r="M32" s="994">
        <v>-196.44</v>
      </c>
      <c r="N32" s="994">
        <v>0</v>
      </c>
      <c r="O32" s="994">
        <v>196.44</v>
      </c>
      <c r="P32" s="994">
        <v>-280.8</v>
      </c>
      <c r="Q32" s="994">
        <v>0</v>
      </c>
      <c r="R32" s="994">
        <v>280.8</v>
      </c>
    </row>
    <row r="33" spans="12:18">
      <c r="L33" s="993" t="s">
        <v>1019</v>
      </c>
      <c r="M33" s="994">
        <v>1208.82</v>
      </c>
      <c r="N33" s="994">
        <v>0</v>
      </c>
      <c r="O33" s="994">
        <v>-1208.82</v>
      </c>
      <c r="P33" s="994">
        <v>5573.86</v>
      </c>
      <c r="Q33" s="994">
        <v>0</v>
      </c>
      <c r="R33" s="994">
        <v>-5573.86</v>
      </c>
    </row>
    <row r="34" spans="12:18">
      <c r="L34" s="993" t="s">
        <v>1020</v>
      </c>
      <c r="M34" s="994">
        <v>26984.48</v>
      </c>
      <c r="N34" s="994">
        <v>0</v>
      </c>
      <c r="O34" s="994">
        <v>-26984.48</v>
      </c>
      <c r="P34" s="994">
        <v>440835.33</v>
      </c>
      <c r="Q34" s="994">
        <v>0</v>
      </c>
      <c r="R34" s="994">
        <v>-440835.33</v>
      </c>
    </row>
    <row r="35" spans="12:18">
      <c r="L35" s="993" t="s">
        <v>1021</v>
      </c>
      <c r="M35" s="994">
        <v>319588.62</v>
      </c>
      <c r="N35" s="994">
        <v>0</v>
      </c>
      <c r="O35" s="994">
        <v>-319588.62</v>
      </c>
      <c r="P35" s="995">
        <v>2833483.6</v>
      </c>
      <c r="Q35" s="994">
        <v>0</v>
      </c>
      <c r="R35" s="994">
        <v>-2833483.6</v>
      </c>
    </row>
    <row r="36" spans="12:18">
      <c r="L36" s="993" t="s">
        <v>1022</v>
      </c>
      <c r="M36" s="994">
        <v>95084.58</v>
      </c>
      <c r="N36" s="994">
        <v>0</v>
      </c>
      <c r="O36" s="994">
        <v>-95084.58</v>
      </c>
      <c r="P36" s="994">
        <v>531937.56000000006</v>
      </c>
      <c r="Q36" s="994">
        <v>0</v>
      </c>
      <c r="R36" s="994">
        <v>-531937.56000000006</v>
      </c>
    </row>
    <row r="37" spans="12:18">
      <c r="L37" s="993" t="s">
        <v>1023</v>
      </c>
      <c r="M37" s="994">
        <v>31579.29</v>
      </c>
      <c r="N37" s="994">
        <v>0</v>
      </c>
      <c r="O37" s="994">
        <v>-31579.29</v>
      </c>
      <c r="P37" s="994">
        <v>864374.29</v>
      </c>
      <c r="Q37" s="994">
        <v>0</v>
      </c>
      <c r="R37" s="994">
        <v>-864374.29</v>
      </c>
    </row>
    <row r="38" spans="12:18">
      <c r="L38" s="993" t="s">
        <v>1024</v>
      </c>
      <c r="M38" s="994">
        <v>48770.22</v>
      </c>
      <c r="N38" s="994">
        <v>0</v>
      </c>
      <c r="O38" s="994">
        <v>-48770.22</v>
      </c>
      <c r="P38" s="994">
        <v>331719.63</v>
      </c>
      <c r="Q38" s="994">
        <v>0</v>
      </c>
      <c r="R38" s="994">
        <v>-331719.63</v>
      </c>
    </row>
    <row r="39" spans="12:18">
      <c r="L39" s="993" t="s">
        <v>1025</v>
      </c>
      <c r="M39" s="994">
        <v>2.0499999999999998</v>
      </c>
      <c r="N39" s="994">
        <v>0</v>
      </c>
      <c r="O39" s="994">
        <v>-2.0499999999999998</v>
      </c>
      <c r="P39" s="994">
        <v>99.74</v>
      </c>
      <c r="Q39" s="994">
        <v>0</v>
      </c>
      <c r="R39" s="994">
        <v>-99.74</v>
      </c>
    </row>
    <row r="40" spans="12:18">
      <c r="L40" s="993" t="s">
        <v>1026</v>
      </c>
      <c r="M40" s="994">
        <v>210912.33</v>
      </c>
      <c r="N40" s="994">
        <v>0</v>
      </c>
      <c r="O40" s="994">
        <v>-210912.33</v>
      </c>
      <c r="P40" s="994">
        <v>1090918.72</v>
      </c>
      <c r="Q40" s="994">
        <v>0</v>
      </c>
      <c r="R40" s="994">
        <v>-1090918.72</v>
      </c>
    </row>
    <row r="41" spans="12:18">
      <c r="L41" s="993" t="s">
        <v>1027</v>
      </c>
      <c r="M41" s="994">
        <v>127632.09</v>
      </c>
      <c r="N41" s="994">
        <v>0</v>
      </c>
      <c r="O41" s="994">
        <v>-127632.09</v>
      </c>
      <c r="P41" s="994">
        <v>663788.94999999995</v>
      </c>
      <c r="Q41" s="994">
        <v>0</v>
      </c>
      <c r="R41" s="994">
        <v>-663788.94999999995</v>
      </c>
    </row>
    <row r="42" spans="12:18">
      <c r="L42" s="993" t="s">
        <v>1028</v>
      </c>
      <c r="M42" s="994">
        <v>-99052.52</v>
      </c>
      <c r="N42" s="994">
        <v>0</v>
      </c>
      <c r="O42" s="994">
        <v>99052.52</v>
      </c>
      <c r="P42" s="994">
        <v>-567202.82999999996</v>
      </c>
      <c r="Q42" s="994">
        <v>0</v>
      </c>
      <c r="R42" s="994">
        <v>567202.82999999996</v>
      </c>
    </row>
    <row r="43" spans="12:18">
      <c r="L43" s="993" t="s">
        <v>1029</v>
      </c>
      <c r="M43" s="994">
        <v>139996.24</v>
      </c>
      <c r="N43" s="994">
        <v>0</v>
      </c>
      <c r="O43" s="994">
        <v>-139996.24</v>
      </c>
      <c r="P43" s="994">
        <v>852037.7</v>
      </c>
      <c r="Q43" s="994">
        <v>0</v>
      </c>
      <c r="R43" s="994">
        <v>-852037.7</v>
      </c>
    </row>
    <row r="44" spans="12:18">
      <c r="L44" s="993" t="s">
        <v>1030</v>
      </c>
      <c r="M44" s="994">
        <v>39360.35</v>
      </c>
      <c r="N44" s="994">
        <v>0</v>
      </c>
      <c r="O44" s="994">
        <v>-39360.35</v>
      </c>
      <c r="P44" s="994">
        <v>339262.7</v>
      </c>
      <c r="Q44" s="994">
        <v>0</v>
      </c>
      <c r="R44" s="994">
        <v>-339262.7</v>
      </c>
    </row>
    <row r="45" spans="12:18">
      <c r="L45" s="993" t="s">
        <v>1031</v>
      </c>
      <c r="M45" s="994">
        <v>-19.88</v>
      </c>
      <c r="N45" s="994">
        <v>0</v>
      </c>
      <c r="O45" s="994">
        <v>19.88</v>
      </c>
      <c r="P45" s="994">
        <v>2173.8000000000002</v>
      </c>
      <c r="Q45" s="994">
        <v>0</v>
      </c>
      <c r="R45" s="994">
        <v>-2173.8000000000002</v>
      </c>
    </row>
    <row r="46" spans="12:18">
      <c r="L46" s="993" t="s">
        <v>1032</v>
      </c>
      <c r="M46" s="994">
        <v>-4151.42</v>
      </c>
      <c r="N46" s="994">
        <v>0</v>
      </c>
      <c r="O46" s="994">
        <v>4151.42</v>
      </c>
      <c r="P46" s="994">
        <v>13129.61</v>
      </c>
      <c r="Q46" s="994">
        <v>0</v>
      </c>
      <c r="R46" s="994">
        <v>-13129.61</v>
      </c>
    </row>
    <row r="47" spans="12:18">
      <c r="L47" s="993" t="s">
        <v>1033</v>
      </c>
      <c r="M47" s="994">
        <v>84177.84</v>
      </c>
      <c r="N47" s="994">
        <v>0</v>
      </c>
      <c r="O47" s="994">
        <v>-84177.84</v>
      </c>
      <c r="P47" s="994">
        <v>702149.08</v>
      </c>
      <c r="Q47" s="994">
        <v>0</v>
      </c>
      <c r="R47" s="994">
        <v>-702149.08</v>
      </c>
    </row>
    <row r="48" spans="12:18">
      <c r="L48" s="993" t="s">
        <v>1034</v>
      </c>
      <c r="M48" s="994">
        <v>205692.82</v>
      </c>
      <c r="N48" s="994">
        <v>0</v>
      </c>
      <c r="O48" s="994">
        <v>-205692.82</v>
      </c>
      <c r="P48" s="994">
        <v>849511.95</v>
      </c>
      <c r="Q48" s="994">
        <v>0</v>
      </c>
      <c r="R48" s="994">
        <v>-849511.95</v>
      </c>
    </row>
    <row r="49" spans="12:18">
      <c r="L49" s="993" t="s">
        <v>1035</v>
      </c>
      <c r="M49" s="994">
        <v>0</v>
      </c>
      <c r="N49" s="994">
        <v>0</v>
      </c>
      <c r="O49" s="994">
        <v>0</v>
      </c>
      <c r="P49" s="994">
        <v>-1270113.74</v>
      </c>
      <c r="Q49" s="994">
        <v>0</v>
      </c>
      <c r="R49" s="994">
        <v>1270113.74</v>
      </c>
    </row>
    <row r="50" spans="12:18">
      <c r="L50" s="993" t="s">
        <v>1036</v>
      </c>
      <c r="M50" s="994">
        <v>0</v>
      </c>
      <c r="N50" s="994">
        <v>0</v>
      </c>
      <c r="O50" s="994">
        <v>0</v>
      </c>
      <c r="P50" s="994">
        <v>-481386.85</v>
      </c>
      <c r="Q50" s="994">
        <v>0</v>
      </c>
      <c r="R50" s="994">
        <v>481386.85</v>
      </c>
    </row>
    <row r="51" spans="12:18">
      <c r="L51" s="993" t="s">
        <v>1037</v>
      </c>
      <c r="M51" s="994">
        <v>0</v>
      </c>
      <c r="N51" s="994">
        <v>0</v>
      </c>
      <c r="O51" s="994">
        <v>0</v>
      </c>
      <c r="P51" s="994">
        <v>-474834.58</v>
      </c>
      <c r="Q51" s="994">
        <v>0</v>
      </c>
      <c r="R51" s="994">
        <v>474834.58</v>
      </c>
    </row>
    <row r="52" spans="12:18">
      <c r="L52" s="993" t="s">
        <v>1038</v>
      </c>
      <c r="M52" s="994">
        <v>0</v>
      </c>
      <c r="N52" s="994">
        <v>0</v>
      </c>
      <c r="O52" s="994">
        <v>0</v>
      </c>
      <c r="P52" s="994">
        <v>-629612.44999999995</v>
      </c>
      <c r="Q52" s="994">
        <v>0</v>
      </c>
      <c r="R52" s="994">
        <v>629612.44999999995</v>
      </c>
    </row>
    <row r="53" spans="12:18">
      <c r="L53" s="993" t="s">
        <v>1039</v>
      </c>
      <c r="M53" s="994">
        <v>1012098.59</v>
      </c>
      <c r="N53" s="994">
        <v>0</v>
      </c>
      <c r="O53" s="994">
        <v>-1012098.59</v>
      </c>
      <c r="P53" s="994">
        <v>5795383.8099999996</v>
      </c>
      <c r="Q53" s="994">
        <v>0</v>
      </c>
      <c r="R53" s="994">
        <v>-5795383.8099999996</v>
      </c>
    </row>
    <row r="54" spans="12:18">
      <c r="L54" s="993" t="s">
        <v>1040</v>
      </c>
      <c r="M54" s="994">
        <v>2957504.3</v>
      </c>
      <c r="N54" s="994">
        <v>418684</v>
      </c>
      <c r="O54" s="994">
        <v>-2538820.2999999998</v>
      </c>
      <c r="P54" s="994">
        <v>16001772.390000001</v>
      </c>
      <c r="Q54" s="994">
        <v>2512107</v>
      </c>
      <c r="R54" s="994">
        <v>-13489665.390000001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3">
    <tabColor rgb="FFFFFF00"/>
  </sheetPr>
  <dimension ref="A1:CY47"/>
  <sheetViews>
    <sheetView zoomScale="85" zoomScaleNormal="85" zoomScaleSheetLayoutView="115" workbookViewId="0">
      <selection activeCell="T14" sqref="T14"/>
    </sheetView>
  </sheetViews>
  <sheetFormatPr defaultColWidth="9.140625" defaultRowHeight="12.75"/>
  <cols>
    <col min="1" max="1" width="4.85546875" customWidth="1"/>
    <col min="3" max="3" width="47.140625" customWidth="1"/>
    <col min="4" max="4" width="14.42578125" customWidth="1"/>
    <col min="5" max="5" width="3" hidden="1" customWidth="1"/>
    <col min="6" max="6" width="14.42578125" hidden="1" customWidth="1"/>
    <col min="7" max="7" width="3.28515625" customWidth="1"/>
    <col min="8" max="8" width="9.140625" hidden="1" customWidth="1"/>
    <col min="9" max="9" width="6.85546875" customWidth="1"/>
    <col min="10" max="14" width="13.85546875" customWidth="1"/>
    <col min="15" max="15" width="17.140625" customWidth="1"/>
    <col min="16" max="16" width="19.42578125" customWidth="1"/>
    <col min="17" max="17" width="19.5703125" customWidth="1"/>
    <col min="18" max="18" width="15.28515625" bestFit="1" customWidth="1"/>
    <col min="19" max="19" width="13.85546875" customWidth="1"/>
    <col min="20" max="21" width="8.85546875"/>
    <col min="22" max="22" width="16.5703125" customWidth="1"/>
    <col min="23" max="23" width="10.140625" bestFit="1" customWidth="1"/>
    <col min="24" max="24" width="59.5703125" customWidth="1"/>
    <col min="25" max="25" width="18" customWidth="1"/>
    <col min="26" max="26" width="16" customWidth="1"/>
    <col min="27" max="27" width="15" bestFit="1" customWidth="1"/>
    <col min="28" max="28" width="16.140625" customWidth="1"/>
    <col min="29" max="29" width="18" bestFit="1" customWidth="1"/>
    <col min="30" max="30" width="16.140625" customWidth="1"/>
    <col min="31" max="31" width="15.5703125" bestFit="1" customWidth="1"/>
    <col min="32" max="32" width="15.28515625" customWidth="1"/>
    <col min="33" max="33" width="13.85546875" customWidth="1"/>
    <col min="34" max="103" width="8.85546875" customWidth="1"/>
  </cols>
  <sheetData>
    <row r="1" spans="1:103">
      <c r="A1" s="281" t="s">
        <v>139</v>
      </c>
      <c r="J1" s="281" t="s">
        <v>139</v>
      </c>
    </row>
    <row r="2" spans="1:103">
      <c r="A2" s="12" t="str">
        <f>'Control Panel'!$B$2</f>
        <v>Utah - June 2023 Adjusted Avg Results</v>
      </c>
      <c r="J2" s="12" t="str">
        <f>'Control Panel'!$B$2</f>
        <v>Utah - June 2023 Adjusted Avg Results</v>
      </c>
    </row>
    <row r="3" spans="1:103">
      <c r="A3" s="12" t="str">
        <f>'Control Panel'!$B$3</f>
        <v>12 Months Ended : Jun-2023</v>
      </c>
      <c r="J3" s="12" t="str">
        <f>'Control Panel'!$B$3</f>
        <v>12 Months Ended : Jun-2023</v>
      </c>
    </row>
    <row r="4" spans="1:103" ht="18" customHeight="1">
      <c r="A4" s="12" t="str">
        <f>'Control Panel'!$B$4</f>
        <v>Capital Structure : AVG CAP STR</v>
      </c>
      <c r="F4" t="s">
        <v>712</v>
      </c>
      <c r="J4" s="12" t="str">
        <f>'Control Panel'!$B$4</f>
        <v>Capital Structure : AVG CAP STR</v>
      </c>
    </row>
    <row r="5" spans="1:103" s="218" customFormat="1" ht="13.5" thickBot="1">
      <c r="D5" s="331" t="s">
        <v>859</v>
      </c>
      <c r="E5" s="331"/>
      <c r="F5" s="331" t="str">
        <f>+'Control Panel'!B33</f>
        <v>Bad Debt</v>
      </c>
      <c r="G5" s="331"/>
      <c r="H5" s="218">
        <v>1</v>
      </c>
      <c r="I5" s="218">
        <v>1</v>
      </c>
      <c r="J5" s="70" t="s">
        <v>1204</v>
      </c>
      <c r="M5" s="418" t="s">
        <v>732</v>
      </c>
      <c r="N5"/>
      <c r="O5" s="418" t="s">
        <v>733</v>
      </c>
      <c r="P5" s="418" t="s">
        <v>734</v>
      </c>
      <c r="Q5" s="418" t="s">
        <v>735</v>
      </c>
      <c r="R5" s="418" t="s">
        <v>720</v>
      </c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</row>
    <row r="6" spans="1:103">
      <c r="D6" s="142"/>
      <c r="E6" s="142"/>
      <c r="F6" s="142"/>
      <c r="G6" s="142"/>
      <c r="H6">
        <f>+H5+1</f>
        <v>2</v>
      </c>
      <c r="I6">
        <f>+I5+1</f>
        <v>2</v>
      </c>
      <c r="M6" s="142">
        <f>Report!F8</f>
        <v>45107</v>
      </c>
      <c r="O6" s="142" t="s">
        <v>40</v>
      </c>
      <c r="P6" s="1"/>
    </row>
    <row r="7" spans="1:103">
      <c r="H7">
        <f t="shared" ref="H7:I42" si="0">+H6+1</f>
        <v>3</v>
      </c>
      <c r="I7">
        <f t="shared" si="0"/>
        <v>3</v>
      </c>
      <c r="M7" s="2" t="s">
        <v>162</v>
      </c>
      <c r="O7" s="2"/>
      <c r="P7" s="1"/>
    </row>
    <row r="8" spans="1:103">
      <c r="D8" s="2" t="s">
        <v>163</v>
      </c>
      <c r="E8" s="2"/>
      <c r="F8" s="2" t="str">
        <f>HLOOKUP($F$5,BadDebtScenario,H8,FALSE)</f>
        <v xml:space="preserve">Bad Debt </v>
      </c>
      <c r="G8" s="2"/>
      <c r="H8">
        <f t="shared" si="0"/>
        <v>4</v>
      </c>
      <c r="I8">
        <f t="shared" si="0"/>
        <v>4</v>
      </c>
      <c r="M8" s="2" t="s">
        <v>163</v>
      </c>
      <c r="O8" s="2"/>
      <c r="P8" s="7"/>
    </row>
    <row r="9" spans="1:103" ht="13.5" thickBot="1">
      <c r="D9" s="2" t="s">
        <v>164</v>
      </c>
      <c r="E9" s="2"/>
      <c r="F9" s="2" t="str">
        <f>HLOOKUP($F$5,BadDebtScenario,H9,FALSE)</f>
        <v>Ratio</v>
      </c>
      <c r="G9" s="2"/>
      <c r="H9">
        <f t="shared" si="0"/>
        <v>5</v>
      </c>
      <c r="I9">
        <f t="shared" si="0"/>
        <v>5</v>
      </c>
      <c r="M9" s="2" t="s">
        <v>164</v>
      </c>
      <c r="O9" s="2"/>
      <c r="P9" s="1"/>
      <c r="V9" s="602">
        <v>3.7068850476274693E-3</v>
      </c>
    </row>
    <row r="10" spans="1:103">
      <c r="D10" s="2" t="s">
        <v>40</v>
      </c>
      <c r="E10" s="2"/>
      <c r="F10" s="2" t="str">
        <f>HLOOKUP($F$5,BadDebtScenario,H10,FALSE)</f>
        <v>Adjustment</v>
      </c>
      <c r="G10" s="2"/>
      <c r="H10">
        <f t="shared" si="0"/>
        <v>6</v>
      </c>
      <c r="I10">
        <f t="shared" si="0"/>
        <v>6</v>
      </c>
      <c r="M10" s="2" t="s">
        <v>40</v>
      </c>
      <c r="O10" s="2"/>
      <c r="P10" s="1"/>
    </row>
    <row r="11" spans="1:103">
      <c r="C11" s="47"/>
      <c r="H11">
        <f t="shared" si="0"/>
        <v>7</v>
      </c>
      <c r="I11">
        <f t="shared" si="0"/>
        <v>7</v>
      </c>
      <c r="J11" s="137">
        <v>904</v>
      </c>
      <c r="K11" s="47" t="s">
        <v>365</v>
      </c>
      <c r="L11" s="47"/>
      <c r="P11" s="7"/>
    </row>
    <row r="12" spans="1:103">
      <c r="A12">
        <v>1</v>
      </c>
      <c r="C12" s="47" t="s">
        <v>12</v>
      </c>
      <c r="D12" s="1">
        <f>Q44</f>
        <v>197298.66307491087</v>
      </c>
      <c r="E12" s="1"/>
      <c r="F12" s="1">
        <f>HLOOKUP($F$5,BadDebtScenario,H12,FALSE)</f>
        <v>197298.66307491087</v>
      </c>
      <c r="G12" s="1"/>
      <c r="H12">
        <f t="shared" si="0"/>
        <v>8</v>
      </c>
      <c r="I12">
        <f t="shared" si="0"/>
        <v>8</v>
      </c>
      <c r="J12" s="149"/>
      <c r="K12" s="47"/>
      <c r="L12" s="47" t="s">
        <v>12</v>
      </c>
      <c r="M12" s="1">
        <f>+Q44</f>
        <v>197298.66307491087</v>
      </c>
      <c r="O12" s="1">
        <f>+M12</f>
        <v>197298.66307491087</v>
      </c>
      <c r="P12" s="1"/>
    </row>
    <row r="13" spans="1:103" ht="13.5" thickBot="1">
      <c r="A13">
        <f t="shared" ref="A13:A14" si="1">A12+1</f>
        <v>2</v>
      </c>
      <c r="C13" s="47" t="s">
        <v>23</v>
      </c>
      <c r="D13" s="97">
        <f>Q45</f>
        <v>-65820.193299322476</v>
      </c>
      <c r="E13" s="97"/>
      <c r="F13" s="97">
        <f>HLOOKUP($F$5,BadDebtScenario,H13,FALSE)</f>
        <v>-65820.193299322476</v>
      </c>
      <c r="G13" s="1"/>
      <c r="H13">
        <f t="shared" si="0"/>
        <v>9</v>
      </c>
      <c r="I13">
        <f t="shared" si="0"/>
        <v>9</v>
      </c>
      <c r="J13" s="149"/>
      <c r="K13" s="47"/>
      <c r="L13" s="47" t="s">
        <v>23</v>
      </c>
      <c r="M13" s="97">
        <f>+Q45</f>
        <v>-65820.193299322476</v>
      </c>
      <c r="O13" s="97">
        <f>+M13</f>
        <v>-65820.193299322476</v>
      </c>
      <c r="P13" s="1"/>
    </row>
    <row r="14" spans="1:103" ht="13.5" thickTop="1">
      <c r="A14">
        <f t="shared" si="1"/>
        <v>3</v>
      </c>
      <c r="C14" s="47" t="s">
        <v>145</v>
      </c>
      <c r="D14" s="7">
        <f>SUM(D12:D13)</f>
        <v>131478.4697755884</v>
      </c>
      <c r="E14" s="7"/>
      <c r="F14" s="7">
        <f>SUM(F12:F13)</f>
        <v>131478.4697755884</v>
      </c>
      <c r="G14" s="7"/>
      <c r="H14">
        <f t="shared" si="0"/>
        <v>10</v>
      </c>
      <c r="I14">
        <f t="shared" si="0"/>
        <v>10</v>
      </c>
      <c r="J14" s="149"/>
      <c r="K14" s="47"/>
      <c r="L14" s="47" t="s">
        <v>145</v>
      </c>
      <c r="M14" s="7">
        <f>SUM(M12:M13)</f>
        <v>131478.4697755884</v>
      </c>
      <c r="O14" s="7">
        <f>SUM(O12:O13)</f>
        <v>131478.4697755884</v>
      </c>
      <c r="P14" s="7"/>
    </row>
    <row r="15" spans="1:103">
      <c r="A15">
        <f>A14+1</f>
        <v>4</v>
      </c>
      <c r="H15">
        <f t="shared" si="0"/>
        <v>11</v>
      </c>
      <c r="I15">
        <f t="shared" si="0"/>
        <v>11</v>
      </c>
      <c r="J15" s="149"/>
      <c r="K15" s="47"/>
      <c r="L15" s="47"/>
      <c r="P15" s="7"/>
    </row>
    <row r="16" spans="1:103" ht="13.5" thickBot="1">
      <c r="A16">
        <f t="shared" ref="A16:A33" si="2">A15+1</f>
        <v>5</v>
      </c>
      <c r="H16">
        <f t="shared" si="0"/>
        <v>12</v>
      </c>
      <c r="I16">
        <f t="shared" si="0"/>
        <v>12</v>
      </c>
    </row>
    <row r="17" spans="1:19" ht="13.5" thickBot="1">
      <c r="A17">
        <f t="shared" si="2"/>
        <v>6</v>
      </c>
      <c r="C17" s="329" t="s">
        <v>828</v>
      </c>
      <c r="D17" s="81">
        <f>R31</f>
        <v>2.1165001451361365E-3</v>
      </c>
      <c r="E17" s="805" t="s">
        <v>411</v>
      </c>
      <c r="F17" s="81">
        <f>HLOOKUP($F$5,BadDebtScenario,H17,FALSE)</f>
        <v>2.1165001451361365E-3</v>
      </c>
      <c r="G17" s="63" t="s">
        <v>411</v>
      </c>
      <c r="H17">
        <f>+H16+1</f>
        <v>13</v>
      </c>
      <c r="I17">
        <f>+I16+1</f>
        <v>13</v>
      </c>
      <c r="J17" s="286" t="s">
        <v>354</v>
      </c>
      <c r="K17" s="239"/>
      <c r="L17" s="239"/>
      <c r="M17" s="239"/>
      <c r="N17" s="239"/>
      <c r="O17" s="376" t="s">
        <v>715</v>
      </c>
      <c r="P17" s="376" t="s">
        <v>715</v>
      </c>
      <c r="Q17" s="376" t="s">
        <v>715</v>
      </c>
      <c r="R17" s="374"/>
    </row>
    <row r="18" spans="1:19">
      <c r="A18">
        <f t="shared" si="2"/>
        <v>7</v>
      </c>
      <c r="H18">
        <f t="shared" si="0"/>
        <v>14</v>
      </c>
      <c r="I18">
        <f t="shared" si="0"/>
        <v>14</v>
      </c>
      <c r="J18" s="286" t="s">
        <v>467</v>
      </c>
      <c r="K18" s="239"/>
      <c r="L18" s="239"/>
      <c r="M18" s="239"/>
      <c r="N18" s="239"/>
      <c r="O18" s="376">
        <v>2020</v>
      </c>
      <c r="P18" s="376">
        <v>2021</v>
      </c>
      <c r="Q18" s="376">
        <v>2022</v>
      </c>
      <c r="R18" s="374" t="s">
        <v>714</v>
      </c>
    </row>
    <row r="19" spans="1:19">
      <c r="A19">
        <f t="shared" si="2"/>
        <v>8</v>
      </c>
      <c r="H19">
        <f t="shared" si="0"/>
        <v>15</v>
      </c>
      <c r="I19">
        <f t="shared" si="0"/>
        <v>15</v>
      </c>
      <c r="J19" s="110"/>
      <c r="R19" s="111"/>
    </row>
    <row r="20" spans="1:19" ht="13.5" thickBot="1">
      <c r="A20">
        <f t="shared" si="2"/>
        <v>9</v>
      </c>
      <c r="B20" s="135" t="s">
        <v>802</v>
      </c>
      <c r="C20" s="135"/>
      <c r="D20" s="135"/>
      <c r="E20" s="135"/>
      <c r="F20" s="135"/>
      <c r="G20" s="106"/>
      <c r="H20">
        <f t="shared" si="0"/>
        <v>16</v>
      </c>
      <c r="I20">
        <f t="shared" si="0"/>
        <v>16</v>
      </c>
      <c r="J20" s="110"/>
      <c r="R20" s="111"/>
    </row>
    <row r="21" spans="1:19">
      <c r="A21">
        <f t="shared" si="2"/>
        <v>10</v>
      </c>
      <c r="C21" s="422"/>
      <c r="D21" s="49"/>
      <c r="E21" s="49"/>
      <c r="F21" s="49"/>
      <c r="G21" s="49"/>
      <c r="H21">
        <f>+H20+1</f>
        <v>17</v>
      </c>
      <c r="I21">
        <f>+I20+1</f>
        <v>17</v>
      </c>
      <c r="J21" s="110"/>
      <c r="R21" s="111"/>
    </row>
    <row r="22" spans="1:19">
      <c r="A22">
        <f t="shared" si="2"/>
        <v>11</v>
      </c>
      <c r="D22" t="s">
        <v>91</v>
      </c>
      <c r="F22" t="s">
        <v>91</v>
      </c>
      <c r="H22">
        <f t="shared" si="0"/>
        <v>18</v>
      </c>
      <c r="I22">
        <f t="shared" si="0"/>
        <v>18</v>
      </c>
      <c r="J22" s="273" t="s">
        <v>463</v>
      </c>
      <c r="K22" s="49"/>
      <c r="N22" s="7"/>
      <c r="O22" s="1">
        <f>'[15]Utah Bad Debt'!$P$22</f>
        <v>2926856.31</v>
      </c>
      <c r="P22" s="1">
        <f>[36]Summary!$H$14</f>
        <v>3156952.86</v>
      </c>
      <c r="Q22" s="1">
        <f>[36]Summary!$J$14</f>
        <v>3944654.7700000037</v>
      </c>
      <c r="R22" s="235">
        <f>AVERAGE(O22:Q22)</f>
        <v>3342821.3133333344</v>
      </c>
    </row>
    <row r="23" spans="1:19" ht="13.5" thickBot="1">
      <c r="A23">
        <f t="shared" si="2"/>
        <v>12</v>
      </c>
      <c r="B23" s="44">
        <v>904.1</v>
      </c>
      <c r="C23" s="49" t="s">
        <v>365</v>
      </c>
      <c r="H23">
        <f t="shared" si="0"/>
        <v>19</v>
      </c>
      <c r="I23">
        <f t="shared" si="0"/>
        <v>19</v>
      </c>
      <c r="J23" s="273" t="s">
        <v>464</v>
      </c>
      <c r="N23" s="7"/>
      <c r="O23" s="94">
        <f>'[15]Utah Bad Debt'!$P$23</f>
        <v>-1412100.84</v>
      </c>
      <c r="P23" s="94">
        <f>[36]Summary!$H$15</f>
        <v>-1576399.16</v>
      </c>
      <c r="Q23" s="94">
        <f>[36]Summary!$J$15</f>
        <v>-1498079.8200000008</v>
      </c>
      <c r="R23" s="274">
        <f>AVERAGE(O23:Q23)</f>
        <v>-1495526.6066666667</v>
      </c>
    </row>
    <row r="24" spans="1:19">
      <c r="A24">
        <f t="shared" si="2"/>
        <v>13</v>
      </c>
      <c r="C24" s="49" t="s">
        <v>12</v>
      </c>
      <c r="D24" s="1">
        <f>-EXPENSES!$I$279</f>
        <v>-201407.35999999999</v>
      </c>
      <c r="E24" s="1"/>
      <c r="F24" s="1">
        <f>HLOOKUP($F$5,BadDebtScenario,H24,FALSE)</f>
        <v>-201407.35999999999</v>
      </c>
      <c r="G24" s="1"/>
      <c r="H24">
        <f t="shared" si="0"/>
        <v>20</v>
      </c>
      <c r="I24">
        <f t="shared" si="0"/>
        <v>20</v>
      </c>
      <c r="J24" s="273" t="s">
        <v>138</v>
      </c>
      <c r="N24" s="7"/>
      <c r="O24" s="1">
        <f>SUM(O22:O23)</f>
        <v>1514755.47</v>
      </c>
      <c r="P24" s="1">
        <f>SUM(P22:P23)</f>
        <v>1580553.7</v>
      </c>
      <c r="Q24" s="1">
        <f>SUM(Q22:Q23)</f>
        <v>2446574.950000003</v>
      </c>
      <c r="R24" s="235">
        <f>AVERAGE(O24:Q24)</f>
        <v>1847294.7066666677</v>
      </c>
    </row>
    <row r="25" spans="1:19">
      <c r="A25">
        <f t="shared" si="2"/>
        <v>14</v>
      </c>
      <c r="C25" s="49" t="s">
        <v>23</v>
      </c>
      <c r="D25" s="1">
        <f>-EXPENSES!$I$280</f>
        <v>0</v>
      </c>
      <c r="E25" s="1"/>
      <c r="F25" s="1">
        <f>HLOOKUP($F$5,BadDebtScenario,H25,FALSE)</f>
        <v>0</v>
      </c>
      <c r="G25" s="1"/>
      <c r="H25">
        <f t="shared" si="0"/>
        <v>21</v>
      </c>
      <c r="I25">
        <f t="shared" si="0"/>
        <v>21</v>
      </c>
      <c r="J25" s="110"/>
      <c r="R25" s="235"/>
    </row>
    <row r="26" spans="1:19">
      <c r="A26">
        <f t="shared" si="2"/>
        <v>15</v>
      </c>
      <c r="C26" s="49" t="s">
        <v>145</v>
      </c>
      <c r="D26" s="1">
        <f>SUM(D24:D25)</f>
        <v>-201407.35999999999</v>
      </c>
      <c r="E26" s="1"/>
      <c r="F26" s="1">
        <f>HLOOKUP($F$5,BadDebtScenario,H26,FALSE)</f>
        <v>-201407.35999999999</v>
      </c>
      <c r="G26" s="1"/>
      <c r="H26">
        <f t="shared" si="0"/>
        <v>22</v>
      </c>
      <c r="I26">
        <f t="shared" si="0"/>
        <v>22</v>
      </c>
      <c r="J26" s="283" t="s">
        <v>466</v>
      </c>
      <c r="K26" s="49"/>
      <c r="L26" s="49"/>
      <c r="M26" s="49"/>
      <c r="N26" s="29"/>
      <c r="O26" s="1">
        <f>'[15]Utah Bad Debt'!$O$26</f>
        <v>837382921.35000002</v>
      </c>
      <c r="P26" s="1">
        <f>'[15]Utah Bad Debt'!$P$26</f>
        <v>868628076.74000001</v>
      </c>
      <c r="Q26" s="1">
        <f>'[15]Utah Bad Debt'!$Q$26</f>
        <v>912407967.16999996</v>
      </c>
      <c r="R26" s="235">
        <f>AVERAGE(O26:Q26)</f>
        <v>872806321.75333345</v>
      </c>
    </row>
    <row r="27" spans="1:19">
      <c r="A27">
        <f t="shared" si="2"/>
        <v>16</v>
      </c>
      <c r="H27">
        <f t="shared" si="0"/>
        <v>23</v>
      </c>
      <c r="I27">
        <f t="shared" si="0"/>
        <v>23</v>
      </c>
      <c r="J27" s="273" t="s">
        <v>138</v>
      </c>
      <c r="K27" s="49"/>
      <c r="N27" s="1"/>
      <c r="O27" s="1">
        <f>O24</f>
        <v>1514755.47</v>
      </c>
      <c r="P27" s="1">
        <f>P24</f>
        <v>1580553.7</v>
      </c>
      <c r="Q27" s="1">
        <f>Q24</f>
        <v>2446574.950000003</v>
      </c>
      <c r="R27" s="235">
        <f>AVERAGE(O27:Q27)</f>
        <v>1847294.7066666677</v>
      </c>
    </row>
    <row r="28" spans="1:19">
      <c r="A28">
        <f t="shared" si="2"/>
        <v>17</v>
      </c>
      <c r="B28" s="44">
        <v>904.2</v>
      </c>
      <c r="C28" s="49" t="s">
        <v>365</v>
      </c>
      <c r="D28" s="3" t="s">
        <v>132</v>
      </c>
      <c r="E28" s="3"/>
      <c r="F28" s="3" t="s">
        <v>132</v>
      </c>
      <c r="G28" s="3"/>
      <c r="H28">
        <f t="shared" si="0"/>
        <v>24</v>
      </c>
      <c r="I28">
        <f t="shared" si="0"/>
        <v>24</v>
      </c>
      <c r="J28" s="110"/>
      <c r="R28" s="111"/>
    </row>
    <row r="29" spans="1:19">
      <c r="A29">
        <f t="shared" si="2"/>
        <v>18</v>
      </c>
      <c r="C29" s="49" t="s">
        <v>12</v>
      </c>
      <c r="D29" s="1">
        <f>-EXPENSES!$I$284</f>
        <v>-1836475.2000000002</v>
      </c>
      <c r="E29" s="1"/>
      <c r="F29" s="1">
        <f>HLOOKUP($F$5,BadDebtScenario,H29,FALSE)</f>
        <v>-1836475.2000000002</v>
      </c>
      <c r="G29" s="1"/>
      <c r="H29">
        <f t="shared" si="0"/>
        <v>25</v>
      </c>
      <c r="I29">
        <f t="shared" si="0"/>
        <v>25</v>
      </c>
      <c r="J29" s="236" t="s">
        <v>452</v>
      </c>
      <c r="O29" s="270">
        <f>O27/O26</f>
        <v>1.808916125919983E-3</v>
      </c>
      <c r="P29" s="270">
        <f>P27/P26</f>
        <v>1.8195977568810447E-3</v>
      </c>
      <c r="Q29" s="270">
        <f>Q27/Q26</f>
        <v>2.6814484726481536E-3</v>
      </c>
      <c r="R29" s="259">
        <f>R27/R26</f>
        <v>2.1165001451361365E-3</v>
      </c>
      <c r="S29" s="3"/>
    </row>
    <row r="30" spans="1:19">
      <c r="A30">
        <f t="shared" si="2"/>
        <v>19</v>
      </c>
      <c r="C30" s="49" t="s">
        <v>23</v>
      </c>
      <c r="D30" s="1">
        <f>-EXPENSES!$I$285</f>
        <v>0</v>
      </c>
      <c r="E30" s="1"/>
      <c r="F30" s="1">
        <f>HLOOKUP($F$5,BadDebtScenario,H30,FALSE)</f>
        <v>0</v>
      </c>
      <c r="G30" s="1"/>
      <c r="H30">
        <f t="shared" si="0"/>
        <v>26</v>
      </c>
      <c r="I30">
        <f t="shared" si="0"/>
        <v>26</v>
      </c>
      <c r="J30" s="110" t="s">
        <v>787</v>
      </c>
      <c r="R30" s="259"/>
      <c r="S30" s="322"/>
    </row>
    <row r="31" spans="1:19" ht="13.5" thickBot="1">
      <c r="A31">
        <f t="shared" si="2"/>
        <v>20</v>
      </c>
      <c r="C31" s="49" t="s">
        <v>145</v>
      </c>
      <c r="D31" s="1">
        <f>SUM(D29:D30)</f>
        <v>-1836475.2000000002</v>
      </c>
      <c r="E31" s="1"/>
      <c r="F31" s="1">
        <f>HLOOKUP($F$5,BadDebtScenario,H31,FALSE)</f>
        <v>-1836475.2000000002</v>
      </c>
      <c r="G31" s="1"/>
      <c r="H31">
        <f t="shared" si="0"/>
        <v>27</v>
      </c>
      <c r="I31">
        <f t="shared" si="0"/>
        <v>27</v>
      </c>
      <c r="J31" s="113" t="s">
        <v>356</v>
      </c>
      <c r="K31" s="75"/>
      <c r="L31" s="75"/>
      <c r="M31" s="75"/>
      <c r="N31" s="75"/>
      <c r="O31" s="75"/>
      <c r="P31" s="75"/>
      <c r="Q31" s="75"/>
      <c r="R31" s="368">
        <f>SUM(R29:R30)</f>
        <v>2.1165001451361365E-3</v>
      </c>
      <c r="S31" s="3"/>
    </row>
    <row r="32" spans="1:19">
      <c r="A32">
        <f t="shared" si="2"/>
        <v>21</v>
      </c>
      <c r="H32">
        <f t="shared" si="0"/>
        <v>28</v>
      </c>
      <c r="I32">
        <f t="shared" si="0"/>
        <v>28</v>
      </c>
      <c r="J32" s="110"/>
      <c r="Q32" s="111"/>
    </row>
    <row r="33" spans="1:19">
      <c r="A33">
        <f t="shared" si="2"/>
        <v>22</v>
      </c>
      <c r="B33" s="63" t="s">
        <v>799</v>
      </c>
      <c r="D33" s="1">
        <f>D31+D26+D14</f>
        <v>-1906404.0902244116</v>
      </c>
      <c r="E33" s="1"/>
      <c r="F33" s="1">
        <f>F31+F26+F14</f>
        <v>-1906404.0902244116</v>
      </c>
      <c r="G33" s="1"/>
      <c r="H33">
        <f t="shared" si="0"/>
        <v>29</v>
      </c>
      <c r="I33">
        <f t="shared" si="0"/>
        <v>29</v>
      </c>
      <c r="J33" s="1130"/>
      <c r="K33" s="1131"/>
      <c r="L33" s="1131"/>
      <c r="M33" s="1131"/>
      <c r="N33" s="1131"/>
      <c r="Q33" s="111"/>
    </row>
    <row r="34" spans="1:19">
      <c r="H34">
        <f t="shared" si="0"/>
        <v>30</v>
      </c>
      <c r="I34">
        <f t="shared" si="0"/>
        <v>30</v>
      </c>
      <c r="J34" s="110"/>
      <c r="M34" s="268"/>
      <c r="N34" s="268"/>
      <c r="O34" s="63" t="s">
        <v>825</v>
      </c>
      <c r="Q34" s="235">
        <f>'ROR-Model'!F200</f>
        <v>484023984.32579243</v>
      </c>
      <c r="S34" s="100"/>
    </row>
    <row r="35" spans="1:19">
      <c r="H35">
        <f t="shared" si="0"/>
        <v>31</v>
      </c>
      <c r="I35">
        <f t="shared" si="0"/>
        <v>31</v>
      </c>
      <c r="J35" s="110"/>
      <c r="M35" s="214"/>
      <c r="N35" s="214"/>
      <c r="O35" s="63" t="s">
        <v>826</v>
      </c>
      <c r="Q35" s="235">
        <f>Revenue!F322</f>
        <v>13521452.746622313</v>
      </c>
      <c r="S35" s="1"/>
    </row>
    <row r="36" spans="1:19" ht="13.5" thickBot="1">
      <c r="H36">
        <f t="shared" si="0"/>
        <v>32</v>
      </c>
      <c r="I36">
        <f t="shared" si="0"/>
        <v>32</v>
      </c>
      <c r="J36" s="110"/>
      <c r="N36" s="214"/>
      <c r="O36" t="s">
        <v>752</v>
      </c>
      <c r="Q36" s="287">
        <f>R31</f>
        <v>2.1165001451361365E-3</v>
      </c>
      <c r="S36" s="1"/>
    </row>
    <row r="37" spans="1:19">
      <c r="B37" s="63"/>
      <c r="H37">
        <f t="shared" si="0"/>
        <v>33</v>
      </c>
      <c r="I37">
        <f t="shared" si="0"/>
        <v>33</v>
      </c>
      <c r="J37" s="110"/>
      <c r="M37" s="2"/>
      <c r="N37" s="2"/>
      <c r="O37" s="128" t="s">
        <v>824</v>
      </c>
      <c r="Q37" s="120">
        <f>Q34*Q36</f>
        <v>1024436.8330749108</v>
      </c>
      <c r="S37" s="1"/>
    </row>
    <row r="38" spans="1:19">
      <c r="H38">
        <f t="shared" si="0"/>
        <v>34</v>
      </c>
      <c r="I38">
        <f t="shared" si="0"/>
        <v>34</v>
      </c>
      <c r="J38" s="284"/>
      <c r="K38" s="49"/>
      <c r="L38" s="49"/>
      <c r="M38" s="49"/>
      <c r="N38" s="2"/>
      <c r="O38" t="s">
        <v>827</v>
      </c>
      <c r="Q38" s="634">
        <f>Q35*Q36</f>
        <v>28618.156700677537</v>
      </c>
      <c r="S38" s="1"/>
    </row>
    <row r="39" spans="1:19">
      <c r="H39">
        <f t="shared" si="0"/>
        <v>35</v>
      </c>
      <c r="I39">
        <f t="shared" si="0"/>
        <v>35</v>
      </c>
      <c r="J39" s="288"/>
      <c r="K39" s="49"/>
      <c r="L39" s="49"/>
      <c r="M39" s="100"/>
      <c r="N39" s="289"/>
      <c r="Q39" s="634"/>
      <c r="S39" s="1"/>
    </row>
    <row r="40" spans="1:19">
      <c r="H40">
        <f t="shared" si="0"/>
        <v>36</v>
      </c>
      <c r="I40">
        <f t="shared" si="0"/>
        <v>36</v>
      </c>
      <c r="J40" s="288"/>
      <c r="K40" s="49"/>
      <c r="L40" s="49"/>
      <c r="M40" s="100"/>
      <c r="N40" s="289"/>
      <c r="O40" s="128" t="s">
        <v>822</v>
      </c>
      <c r="Q40" s="235">
        <f>'ROR-Model'!F783</f>
        <v>827138.16999999993</v>
      </c>
      <c r="S40" s="1"/>
    </row>
    <row r="41" spans="1:19" ht="13.5" thickBot="1">
      <c r="H41">
        <f t="shared" si="0"/>
        <v>37</v>
      </c>
      <c r="I41">
        <f t="shared" si="0"/>
        <v>37</v>
      </c>
      <c r="J41" s="288"/>
      <c r="K41" s="49"/>
      <c r="L41" s="49"/>
      <c r="M41" s="325"/>
      <c r="O41" t="s">
        <v>823</v>
      </c>
      <c r="Q41" s="274">
        <f>'ROR-Model'!F784</f>
        <v>94438.35</v>
      </c>
      <c r="S41" s="100"/>
    </row>
    <row r="42" spans="1:19">
      <c r="H42">
        <f t="shared" si="0"/>
        <v>38</v>
      </c>
      <c r="I42">
        <f t="shared" si="0"/>
        <v>38</v>
      </c>
      <c r="J42" s="288"/>
      <c r="K42" s="49"/>
      <c r="L42" s="49"/>
      <c r="M42" s="7"/>
      <c r="O42" t="s">
        <v>753</v>
      </c>
      <c r="Q42" s="235">
        <f>SUM(Q40:Q41)</f>
        <v>921576.5199999999</v>
      </c>
      <c r="S42" s="100"/>
    </row>
    <row r="43" spans="1:19">
      <c r="I43">
        <f t="shared" ref="I43" si="3">+I42+1</f>
        <v>39</v>
      </c>
      <c r="J43" s="110"/>
      <c r="N43" s="1"/>
      <c r="Q43" s="111"/>
      <c r="R43" s="1"/>
      <c r="S43" s="1"/>
    </row>
    <row r="44" spans="1:19">
      <c r="I44">
        <f t="shared" ref="I44" si="4">+I43+1</f>
        <v>40</v>
      </c>
      <c r="J44" s="110"/>
      <c r="M44" s="1"/>
      <c r="O44" s="63" t="s">
        <v>152</v>
      </c>
      <c r="Q44" s="235">
        <f>Q37-Q40</f>
        <v>197298.66307491087</v>
      </c>
      <c r="R44" s="356"/>
      <c r="S44" s="1"/>
    </row>
    <row r="45" spans="1:19" ht="13.5" thickBot="1">
      <c r="I45">
        <f t="shared" ref="I45" si="5">+I44+1</f>
        <v>41</v>
      </c>
      <c r="J45" s="110"/>
      <c r="O45" t="s">
        <v>23</v>
      </c>
      <c r="Q45" s="274">
        <f>Q38-Q41</f>
        <v>-65820.193299322476</v>
      </c>
      <c r="R45" s="356"/>
      <c r="S45" s="1"/>
    </row>
    <row r="46" spans="1:19">
      <c r="I46">
        <f t="shared" ref="I46" si="6">+I45+1</f>
        <v>42</v>
      </c>
      <c r="J46" s="110"/>
      <c r="O46" t="s">
        <v>754</v>
      </c>
      <c r="Q46" s="235">
        <f>SUM(Q44:Q45)</f>
        <v>131478.4697755884</v>
      </c>
      <c r="R46" s="356"/>
      <c r="S46" s="1"/>
    </row>
    <row r="47" spans="1:19" ht="13.5" thickBot="1">
      <c r="J47" s="113"/>
      <c r="K47" s="75"/>
      <c r="L47" s="75"/>
      <c r="M47" s="154"/>
      <c r="N47" s="75"/>
      <c r="O47" s="75"/>
      <c r="P47" s="75"/>
      <c r="Q47" s="237"/>
      <c r="R47" s="1"/>
    </row>
  </sheetData>
  <mergeCells count="1">
    <mergeCell ref="J33:N33"/>
  </mergeCells>
  <phoneticPr fontId="0" type="noConversion"/>
  <dataValidations disablePrompts="1" count="1">
    <dataValidation type="list" showInputMessage="1" showErrorMessage="1" sqref="D5" xr:uid="{00000000-0002-0000-1A00-000000000000}">
      <formula1>"UTAH Bad Debt, WYO Bad Debt"</formula1>
    </dataValidation>
  </dataValidations>
  <printOptions horizontalCentered="1"/>
  <pageMargins left="0.24" right="0.75" top="1" bottom="1" header="0.5" footer="0.5"/>
  <pageSetup scale="65" orientation="portrait" r:id="rId1"/>
  <headerFooter alignWithMargins="0"/>
  <colBreaks count="3" manualBreakCount="3">
    <brk id="7" max="47" man="1"/>
    <brk id="18" max="47" man="1"/>
    <brk id="22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0">
    <tabColor rgb="FFFFFF00"/>
    <pageSetUpPr fitToPage="1"/>
  </sheetPr>
  <dimension ref="A1:Q70"/>
  <sheetViews>
    <sheetView zoomScale="80" zoomScaleNormal="80" workbookViewId="0">
      <selection activeCell="D26" sqref="D26"/>
    </sheetView>
  </sheetViews>
  <sheetFormatPr defaultColWidth="9.140625" defaultRowHeight="12.75"/>
  <cols>
    <col min="2" max="2" width="38.28515625" customWidth="1"/>
    <col min="3" max="3" width="17.28515625" bestFit="1" customWidth="1"/>
    <col min="4" max="4" width="21" bestFit="1" customWidth="1"/>
    <col min="5" max="7" width="19" customWidth="1"/>
    <col min="8" max="8" width="18.28515625" customWidth="1"/>
    <col min="9" max="9" width="16.140625" customWidth="1"/>
    <col min="10" max="10" width="21" bestFit="1" customWidth="1"/>
    <col min="11" max="11" width="23" customWidth="1"/>
    <col min="12" max="12" width="19" bestFit="1" customWidth="1"/>
    <col min="13" max="13" width="17.7109375" bestFit="1" customWidth="1"/>
    <col min="14" max="14" width="16.28515625" customWidth="1"/>
    <col min="15" max="15" width="23" bestFit="1" customWidth="1"/>
    <col min="16" max="17" width="16.5703125" customWidth="1"/>
    <col min="18" max="18" width="21.5703125" bestFit="1" customWidth="1"/>
    <col min="19" max="24" width="21.140625" customWidth="1"/>
    <col min="25" max="25" width="22.7109375" customWidth="1"/>
    <col min="26" max="26" width="17.28515625" customWidth="1"/>
    <col min="27" max="27" width="15" bestFit="1" customWidth="1"/>
  </cols>
  <sheetData>
    <row r="1" spans="1:10">
      <c r="A1" s="28"/>
      <c r="B1" s="911" t="s">
        <v>614</v>
      </c>
      <c r="C1" s="912"/>
      <c r="D1" s="912"/>
      <c r="E1" s="912"/>
      <c r="F1" s="912"/>
      <c r="G1" s="912"/>
      <c r="H1" s="913"/>
      <c r="I1" s="912"/>
      <c r="J1" s="912"/>
    </row>
    <row r="2" spans="1:10">
      <c r="A2" s="28"/>
      <c r="B2" s="914" t="str">
        <f>+'Control Panel'!B1</f>
        <v>Dominion Energy</v>
      </c>
      <c r="C2" s="28"/>
      <c r="D2" s="28"/>
      <c r="E2" s="28"/>
      <c r="F2" s="28"/>
      <c r="G2" s="28"/>
      <c r="H2" s="915"/>
      <c r="I2" s="28"/>
      <c r="J2" s="28"/>
    </row>
    <row r="3" spans="1:10">
      <c r="A3" s="28"/>
      <c r="B3" s="914" t="str">
        <f>+'Control Panel'!B2</f>
        <v>Utah - June 2023 Adjusted Avg Results</v>
      </c>
      <c r="C3" s="28"/>
      <c r="D3" s="28"/>
      <c r="E3" s="28"/>
      <c r="F3" s="28"/>
      <c r="G3" s="28"/>
      <c r="H3" s="915"/>
      <c r="I3" s="28"/>
      <c r="J3" s="28"/>
    </row>
    <row r="4" spans="1:10">
      <c r="A4" s="28"/>
      <c r="B4" s="914" t="str">
        <f>+'Control Panel'!B3</f>
        <v>12 Months Ended : Jun-2023</v>
      </c>
      <c r="C4" s="28"/>
      <c r="D4" s="916"/>
      <c r="E4" s="917"/>
      <c r="F4" s="917"/>
      <c r="G4" s="917"/>
      <c r="H4" s="918"/>
      <c r="I4" s="28"/>
      <c r="J4" s="916"/>
    </row>
    <row r="5" spans="1:10" ht="39" customHeight="1">
      <c r="A5" s="28"/>
      <c r="B5" s="290"/>
      <c r="C5" s="70"/>
      <c r="D5" s="331" t="str">
        <f>+'Control Panel'!B43</f>
        <v>AVG CAP STR</v>
      </c>
      <c r="E5" s="2"/>
      <c r="F5" s="2"/>
      <c r="G5" s="2"/>
      <c r="H5" s="919" t="s">
        <v>49</v>
      </c>
      <c r="I5" s="70"/>
      <c r="J5" s="331"/>
    </row>
    <row r="6" spans="1:10" ht="13.5" thickBot="1">
      <c r="A6" s="28"/>
      <c r="B6" s="920"/>
      <c r="C6" s="28"/>
      <c r="D6" s="50" t="s">
        <v>50</v>
      </c>
      <c r="E6" s="50" t="s">
        <v>51</v>
      </c>
      <c r="F6" s="974"/>
      <c r="G6" s="974"/>
      <c r="H6" s="921" t="s">
        <v>51</v>
      </c>
      <c r="I6" s="28"/>
      <c r="J6" s="2"/>
    </row>
    <row r="7" spans="1:10">
      <c r="A7" s="28"/>
      <c r="B7" s="920"/>
      <c r="C7" s="28" t="s">
        <v>52</v>
      </c>
      <c r="D7" s="922">
        <f>H24</f>
        <v>0.4459572910494003</v>
      </c>
      <c r="E7" s="922">
        <f>H30</f>
        <v>4.7463418202658376E-2</v>
      </c>
      <c r="F7" s="922"/>
      <c r="G7" s="922"/>
      <c r="H7" s="923">
        <f>+E7*D7</f>
        <v>2.1166657405602324E-2</v>
      </c>
      <c r="I7" s="28"/>
      <c r="J7" s="922"/>
    </row>
    <row r="8" spans="1:10">
      <c r="A8" s="28"/>
      <c r="B8" s="920"/>
      <c r="C8" s="28" t="s">
        <v>723</v>
      </c>
      <c r="D8" s="922">
        <f>H25</f>
        <v>0</v>
      </c>
      <c r="E8" s="922">
        <f>H31</f>
        <v>0</v>
      </c>
      <c r="F8" s="922"/>
      <c r="G8" s="922"/>
      <c r="H8" s="923">
        <f>+E8*D8</f>
        <v>0</v>
      </c>
      <c r="I8" s="28"/>
      <c r="J8" s="922"/>
    </row>
    <row r="9" spans="1:10">
      <c r="A9" s="28"/>
      <c r="B9" s="920"/>
      <c r="C9" s="28" t="s">
        <v>53</v>
      </c>
      <c r="D9" s="922">
        <f>H26</f>
        <v>0.5540427089505997</v>
      </c>
      <c r="E9" s="922">
        <f>H32</f>
        <v>9.6000000000000002E-2</v>
      </c>
      <c r="F9" s="922"/>
      <c r="G9" s="922"/>
      <c r="H9" s="923">
        <f>+E9*D9</f>
        <v>5.3188100059257573E-2</v>
      </c>
      <c r="I9" s="28"/>
      <c r="J9" s="922"/>
    </row>
    <row r="10" spans="1:10">
      <c r="A10" s="28"/>
      <c r="B10" s="920"/>
      <c r="C10" s="28"/>
      <c r="D10" s="924">
        <f>SUM(D7:D9)</f>
        <v>1</v>
      </c>
      <c r="E10" s="924"/>
      <c r="F10" s="924"/>
      <c r="G10" s="1049"/>
      <c r="H10" s="925">
        <f>SUM(H7:H9)</f>
        <v>7.4354757464859894E-2</v>
      </c>
      <c r="I10" s="28"/>
      <c r="J10" s="926"/>
    </row>
    <row r="11" spans="1:10">
      <c r="A11" s="28"/>
      <c r="B11" s="920"/>
      <c r="C11" s="28"/>
      <c r="D11" s="28"/>
      <c r="E11" s="28"/>
      <c r="F11" s="28"/>
      <c r="G11" s="28"/>
      <c r="H11" s="915"/>
      <c r="I11" s="28"/>
      <c r="J11" s="28"/>
    </row>
    <row r="12" spans="1:10">
      <c r="A12" s="28"/>
      <c r="B12" s="920"/>
      <c r="C12" s="43" t="s">
        <v>105</v>
      </c>
      <c r="D12" s="922">
        <f>SUM(D7:D8)</f>
        <v>0.4459572910494003</v>
      </c>
      <c r="E12" s="922"/>
      <c r="F12" s="922"/>
      <c r="G12" s="922"/>
      <c r="H12" s="923">
        <f>SUM(H7:H8)</f>
        <v>2.1166657405602324E-2</v>
      </c>
      <c r="I12" s="43"/>
      <c r="J12" s="922"/>
    </row>
    <row r="13" spans="1:10" ht="13.5" thickBot="1">
      <c r="A13" s="28"/>
      <c r="B13" s="927"/>
      <c r="C13" s="928"/>
      <c r="D13" s="247"/>
      <c r="E13" s="929"/>
      <c r="F13" s="975"/>
      <c r="G13" s="975"/>
      <c r="H13" s="930"/>
      <c r="I13" s="43"/>
      <c r="J13" s="179"/>
    </row>
    <row r="14" spans="1:10">
      <c r="A14" s="28"/>
      <c r="B14" s="28"/>
      <c r="C14" s="43"/>
      <c r="D14" s="179"/>
      <c r="E14" s="28"/>
      <c r="F14" s="28"/>
      <c r="G14" s="28"/>
      <c r="H14" s="28"/>
      <c r="I14" s="43"/>
      <c r="J14" s="179"/>
    </row>
    <row r="15" spans="1:10">
      <c r="A15" s="28"/>
      <c r="B15" s="28"/>
      <c r="D15" s="331"/>
      <c r="E15" s="331"/>
      <c r="F15" s="331"/>
      <c r="G15" s="331"/>
    </row>
    <row r="16" spans="1:10">
      <c r="A16" s="28"/>
      <c r="B16" s="931" t="str">
        <f>+B2</f>
        <v>Dominion Energy</v>
      </c>
      <c r="D16" s="28"/>
      <c r="E16" s="28"/>
      <c r="F16" s="28"/>
      <c r="G16" s="28"/>
    </row>
    <row r="17" spans="1:17">
      <c r="A17" s="28"/>
      <c r="B17" s="931" t="str">
        <f>+B3</f>
        <v>Utah - June 2023 Adjusted Avg Results</v>
      </c>
      <c r="C17" s="28"/>
      <c r="D17" s="28"/>
    </row>
    <row r="18" spans="1:17">
      <c r="A18" s="28"/>
      <c r="B18" s="931" t="str">
        <f>+B4</f>
        <v>12 Months Ended : Jun-2023</v>
      </c>
    </row>
    <row r="19" spans="1:17">
      <c r="A19" s="28"/>
      <c r="B19" s="28"/>
      <c r="C19" s="28"/>
      <c r="E19" s="84"/>
      <c r="F19" s="84"/>
      <c r="G19" s="84"/>
      <c r="I19" s="28"/>
    </row>
    <row r="20" spans="1:17" ht="25.5">
      <c r="A20" s="28"/>
      <c r="B20" s="28"/>
      <c r="C20" s="351" t="s">
        <v>788</v>
      </c>
      <c r="D20" s="351" t="s">
        <v>788</v>
      </c>
      <c r="E20" s="351" t="s">
        <v>1245</v>
      </c>
      <c r="F20" s="351" t="s">
        <v>1243</v>
      </c>
      <c r="G20" s="351" t="s">
        <v>1249</v>
      </c>
      <c r="H20" s="351" t="s">
        <v>712</v>
      </c>
      <c r="I20" s="84"/>
      <c r="J20" s="84"/>
    </row>
    <row r="21" spans="1:17">
      <c r="A21" s="70"/>
      <c r="B21" s="45" t="s">
        <v>1058</v>
      </c>
      <c r="C21" s="70"/>
      <c r="D21" s="63"/>
      <c r="I21" s="70"/>
      <c r="J21" s="63"/>
    </row>
    <row r="22" spans="1:17" ht="42" customHeight="1">
      <c r="A22" s="932"/>
      <c r="B22" s="932"/>
      <c r="C22" s="331" t="s">
        <v>925</v>
      </c>
      <c r="D22" s="331" t="s">
        <v>924</v>
      </c>
      <c r="E22" s="351" t="s">
        <v>1245</v>
      </c>
      <c r="F22" s="351" t="s">
        <v>1243</v>
      </c>
      <c r="G22" s="351" t="s">
        <v>1249</v>
      </c>
      <c r="H22" s="351" t="str">
        <f>'Control Panel'!F43</f>
        <v>AVG CAP STR</v>
      </c>
      <c r="I22">
        <v>1</v>
      </c>
      <c r="K22" s="351" t="s">
        <v>1250</v>
      </c>
    </row>
    <row r="23" spans="1:17">
      <c r="A23" s="28"/>
      <c r="B23" s="28" t="s">
        <v>110</v>
      </c>
      <c r="C23" s="63"/>
      <c r="D23" s="28"/>
      <c r="H23" s="28"/>
      <c r="I23">
        <f>I22+1</f>
        <v>2</v>
      </c>
      <c r="K23" s="252" t="s">
        <v>72</v>
      </c>
      <c r="L23" s="1051" t="s">
        <v>1253</v>
      </c>
      <c r="M23" s="76" t="s">
        <v>462</v>
      </c>
    </row>
    <row r="24" spans="1:17">
      <c r="A24" s="28"/>
      <c r="B24" s="28" t="s">
        <v>52</v>
      </c>
      <c r="C24" s="413">
        <f>1-C26</f>
        <v>0.45776800432282849</v>
      </c>
      <c r="D24" s="413">
        <f>1-D26</f>
        <v>0.4459572910494003</v>
      </c>
      <c r="E24" s="93">
        <v>0.45</v>
      </c>
      <c r="F24" s="413">
        <v>0.45</v>
      </c>
      <c r="G24" s="413">
        <v>0.45</v>
      </c>
      <c r="H24" s="93">
        <f>HLOOKUP($H$22,$C$22:$G$64,I24,FALSE)</f>
        <v>0.4459572910494003</v>
      </c>
      <c r="I24">
        <f t="shared" ref="I24:I64" si="0">I23+1</f>
        <v>3</v>
      </c>
      <c r="K24" s="130">
        <v>152918041</v>
      </c>
      <c r="L24" s="81">
        <f>K24/$K$36</f>
        <v>0.16910007841513927</v>
      </c>
      <c r="M24">
        <f>P24</f>
        <v>9.85</v>
      </c>
      <c r="O24" t="s">
        <v>1251</v>
      </c>
      <c r="P24">
        <v>9.85</v>
      </c>
    </row>
    <row r="25" spans="1:17">
      <c r="A25" s="28"/>
      <c r="B25" s="28" t="s">
        <v>723</v>
      </c>
      <c r="C25" s="413">
        <v>0</v>
      </c>
      <c r="D25" s="93">
        <v>0</v>
      </c>
      <c r="E25" s="93">
        <v>0</v>
      </c>
      <c r="F25" s="413">
        <v>0</v>
      </c>
      <c r="G25" s="413">
        <v>0</v>
      </c>
      <c r="H25" s="93">
        <f>HLOOKUP($H$22,$C$22:$G$64,I25,FALSE)</f>
        <v>0</v>
      </c>
      <c r="I25">
        <f t="shared" si="0"/>
        <v>4</v>
      </c>
      <c r="K25" s="130">
        <v>133381838</v>
      </c>
      <c r="L25" s="81">
        <f t="shared" ref="L25:L35" si="1">K25/$K$36</f>
        <v>0.14749652243423261</v>
      </c>
      <c r="M25">
        <f>P24</f>
        <v>9.85</v>
      </c>
      <c r="O25" t="s">
        <v>1252</v>
      </c>
      <c r="P25">
        <v>9.5</v>
      </c>
    </row>
    <row r="26" spans="1:17">
      <c r="A26" s="28"/>
      <c r="B26" s="28" t="s">
        <v>53</v>
      </c>
      <c r="C26" s="413">
        <f>+C61/C64</f>
        <v>0.54223199567717151</v>
      </c>
      <c r="D26" s="413">
        <f>+D61/D64</f>
        <v>0.5540427089505997</v>
      </c>
      <c r="E26" s="93">
        <v>0.55000000000000004</v>
      </c>
      <c r="F26" s="413">
        <v>0.55000000000000004</v>
      </c>
      <c r="G26" s="413">
        <v>0.55000000000000004</v>
      </c>
      <c r="H26" s="93">
        <f>HLOOKUP($H$22,$C$22:$G$64,I26,FALSE)</f>
        <v>0.5540427089505997</v>
      </c>
      <c r="I26">
        <f t="shared" si="0"/>
        <v>5</v>
      </c>
      <c r="K26" s="130">
        <v>101819633</v>
      </c>
      <c r="L26" s="81">
        <f t="shared" si="1"/>
        <v>0.1125943532359318</v>
      </c>
      <c r="M26">
        <f>$P$25</f>
        <v>9.5</v>
      </c>
    </row>
    <row r="27" spans="1:17">
      <c r="A27" s="28"/>
      <c r="B27" s="28"/>
      <c r="C27" s="933">
        <f>SUM(C24:C26)</f>
        <v>1</v>
      </c>
      <c r="D27" s="934">
        <f>SUM(D24:D26)</f>
        <v>1</v>
      </c>
      <c r="E27" s="934">
        <f>SUM(E24:E26)</f>
        <v>1</v>
      </c>
      <c r="F27" s="933">
        <v>0.99999999999999989</v>
      </c>
      <c r="G27" s="933">
        <v>0.99999999999999989</v>
      </c>
      <c r="H27" s="934">
        <f>HLOOKUP($H$22,$C$22:$G$64,I27,FALSE)</f>
        <v>1</v>
      </c>
      <c r="I27">
        <f t="shared" si="0"/>
        <v>6</v>
      </c>
      <c r="K27" s="130">
        <v>56970525</v>
      </c>
      <c r="L27" s="81">
        <f t="shared" si="1"/>
        <v>6.2999239212406938E-2</v>
      </c>
      <c r="M27">
        <f>M26</f>
        <v>9.5</v>
      </c>
      <c r="O27" t="s">
        <v>1254</v>
      </c>
    </row>
    <row r="28" spans="1:17">
      <c r="A28" s="28"/>
      <c r="B28" s="28"/>
      <c r="C28" s="63"/>
      <c r="D28" s="28"/>
      <c r="E28" s="28"/>
      <c r="F28" s="63"/>
      <c r="G28" s="63"/>
      <c r="H28" s="28"/>
      <c r="I28">
        <f t="shared" si="0"/>
        <v>7</v>
      </c>
      <c r="K28" s="130">
        <v>38739077</v>
      </c>
      <c r="L28" s="81">
        <f t="shared" si="1"/>
        <v>4.2838509541396216E-2</v>
      </c>
      <c r="M28">
        <f t="shared" ref="M28:M35" si="2">M27</f>
        <v>9.5</v>
      </c>
      <c r="O28" t="s">
        <v>1255</v>
      </c>
      <c r="P28" s="81">
        <v>5.2499999999999998E-2</v>
      </c>
      <c r="Q28" s="1052">
        <f>P28*P32</f>
        <v>1.6621321544592026E-2</v>
      </c>
    </row>
    <row r="29" spans="1:17">
      <c r="A29" s="28"/>
      <c r="B29" s="28" t="s">
        <v>111</v>
      </c>
      <c r="C29" s="935"/>
      <c r="D29" s="936"/>
      <c r="E29" s="936"/>
      <c r="F29" s="935"/>
      <c r="G29" s="935"/>
      <c r="H29" s="936"/>
      <c r="I29">
        <f t="shared" si="0"/>
        <v>8</v>
      </c>
      <c r="K29" s="130">
        <v>29482018</v>
      </c>
      <c r="L29" s="81">
        <f t="shared" si="1"/>
        <v>3.2601853404834992E-2</v>
      </c>
      <c r="M29">
        <f t="shared" si="2"/>
        <v>9.5</v>
      </c>
      <c r="O29" t="s">
        <v>1256</v>
      </c>
      <c r="P29" s="81">
        <v>4.3400000000000001E-2</v>
      </c>
      <c r="Q29" s="1053">
        <f>P29*P33</f>
        <v>2.9659707523137263E-2</v>
      </c>
    </row>
    <row r="30" spans="1:17">
      <c r="A30" s="28"/>
      <c r="B30" s="28" t="s">
        <v>52</v>
      </c>
      <c r="C30" s="935">
        <f>C51/C45</f>
        <v>4.0777869940757966E-2</v>
      </c>
      <c r="D30" s="936">
        <f>D51/D45</f>
        <v>4.7463418202658376E-2</v>
      </c>
      <c r="E30" s="935">
        <v>4.3400000000000001E-2</v>
      </c>
      <c r="F30" s="935">
        <v>4.3799999999999999E-2</v>
      </c>
      <c r="G30" s="935">
        <v>4.6281029067729289E-2</v>
      </c>
      <c r="H30" s="93">
        <f>HLOOKUP($H$22,$C$22:$G$64,I30,FALSE)</f>
        <v>4.7463418202658376E-2</v>
      </c>
      <c r="I30">
        <f t="shared" si="0"/>
        <v>9</v>
      </c>
      <c r="K30" s="130">
        <v>26019491</v>
      </c>
      <c r="L30" s="81">
        <f t="shared" si="1"/>
        <v>2.8772916129771831E-2</v>
      </c>
      <c r="M30">
        <f t="shared" si="2"/>
        <v>9.5</v>
      </c>
      <c r="Q30" s="81">
        <f>SUM(Q28:Q29)</f>
        <v>4.6281029067729289E-2</v>
      </c>
    </row>
    <row r="31" spans="1:17">
      <c r="A31" s="28"/>
      <c r="B31" s="28" t="s">
        <v>723</v>
      </c>
      <c r="C31" s="935">
        <v>0</v>
      </c>
      <c r="D31" s="936">
        <v>0</v>
      </c>
      <c r="E31" s="936">
        <v>0</v>
      </c>
      <c r="F31" s="935">
        <v>0</v>
      </c>
      <c r="G31" s="935">
        <v>0</v>
      </c>
      <c r="H31" s="93">
        <f>HLOOKUP($H$22,$C$22:$G$64,I31,FALSE)</f>
        <v>0</v>
      </c>
      <c r="I31">
        <f t="shared" si="0"/>
        <v>10</v>
      </c>
      <c r="K31" s="130">
        <v>26508732</v>
      </c>
      <c r="L31" s="81">
        <f t="shared" si="1"/>
        <v>2.9313929413246349E-2</v>
      </c>
      <c r="M31">
        <f t="shared" si="2"/>
        <v>9.5</v>
      </c>
      <c r="O31" t="s">
        <v>1257</v>
      </c>
    </row>
    <row r="32" spans="1:17">
      <c r="A32" s="28"/>
      <c r="B32" s="28" t="s">
        <v>53</v>
      </c>
      <c r="C32" s="935">
        <f>+'Control Panel'!$F$19</f>
        <v>9.6000000000000002E-2</v>
      </c>
      <c r="D32" s="936">
        <f>+'Control Panel'!$F$19</f>
        <v>9.6000000000000002E-2</v>
      </c>
      <c r="E32" s="936">
        <f>+'Control Panel'!$F$19</f>
        <v>9.6000000000000002E-2</v>
      </c>
      <c r="F32" s="936">
        <f>+'Control Panel'!$F$19</f>
        <v>9.6000000000000002E-2</v>
      </c>
      <c r="G32" s="936">
        <f>+'Control Panel'!$F$19</f>
        <v>9.6000000000000002E-2</v>
      </c>
      <c r="H32" s="93">
        <f>HLOOKUP($H$22,$C$22:$G$64,I32,FALSE)</f>
        <v>9.6000000000000002E-2</v>
      </c>
      <c r="I32">
        <f t="shared" si="0"/>
        <v>11</v>
      </c>
      <c r="K32" s="130">
        <v>29316392</v>
      </c>
      <c r="L32" s="81">
        <f t="shared" si="1"/>
        <v>3.24187005903964E-2</v>
      </c>
      <c r="M32">
        <f t="shared" si="2"/>
        <v>9.5</v>
      </c>
      <c r="O32" t="s">
        <v>1258</v>
      </c>
      <c r="P32" s="81">
        <f>SUM(L24:L25)</f>
        <v>0.31659660084937191</v>
      </c>
      <c r="Q32">
        <f>P32*M24</f>
        <v>3.1184765183663132</v>
      </c>
    </row>
    <row r="33" spans="1:17">
      <c r="A33" s="28"/>
      <c r="B33" s="28"/>
      <c r="I33">
        <f t="shared" si="0"/>
        <v>12</v>
      </c>
      <c r="K33" s="130">
        <v>55470200</v>
      </c>
      <c r="L33" s="81">
        <f t="shared" si="1"/>
        <v>6.1340147364976103E-2</v>
      </c>
      <c r="M33">
        <f t="shared" si="2"/>
        <v>9.5</v>
      </c>
      <c r="O33" t="s">
        <v>1259</v>
      </c>
      <c r="P33" s="81">
        <f>SUM(L26:L35)</f>
        <v>0.6834033991506282</v>
      </c>
      <c r="Q33" s="76">
        <f>P33*M26</f>
        <v>6.4923322919309676</v>
      </c>
    </row>
    <row r="34" spans="1:17" ht="13.5" thickBot="1">
      <c r="A34" s="28"/>
      <c r="B34" s="929"/>
      <c r="C34" s="937"/>
      <c r="D34" s="929"/>
      <c r="E34" s="42">
        <f>E24*E30</f>
        <v>1.9530000000000002E-2</v>
      </c>
      <c r="I34">
        <f t="shared" si="0"/>
        <v>13</v>
      </c>
      <c r="K34" s="130">
        <v>96641335</v>
      </c>
      <c r="L34" s="81">
        <f t="shared" si="1"/>
        <v>0.10686807926504722</v>
      </c>
      <c r="M34">
        <f t="shared" si="2"/>
        <v>9.5</v>
      </c>
      <c r="Q34" s="1054">
        <f>SUM(Q32:Q33)/100</f>
        <v>9.6108088102972805E-2</v>
      </c>
    </row>
    <row r="35" spans="1:17" ht="12.75" customHeight="1">
      <c r="A35" s="28"/>
      <c r="B35" s="28"/>
      <c r="C35" s="938"/>
      <c r="D35" s="938"/>
      <c r="E35" s="1016">
        <f>E26*E32</f>
        <v>5.2800000000000007E-2</v>
      </c>
      <c r="F35" s="938"/>
      <c r="G35" s="938"/>
      <c r="H35" s="938"/>
      <c r="I35">
        <f t="shared" si="0"/>
        <v>14</v>
      </c>
      <c r="K35" s="252">
        <v>157037686</v>
      </c>
      <c r="L35" s="1051">
        <f t="shared" si="1"/>
        <v>0.17365567099262028</v>
      </c>
      <c r="M35">
        <f t="shared" si="2"/>
        <v>9.5</v>
      </c>
    </row>
    <row r="36" spans="1:17">
      <c r="A36" s="28"/>
      <c r="B36" s="939"/>
      <c r="C36" s="940" t="s">
        <v>789</v>
      </c>
      <c r="D36" s="940" t="s">
        <v>789</v>
      </c>
      <c r="H36" s="51" t="s">
        <v>712</v>
      </c>
      <c r="I36">
        <f t="shared" si="0"/>
        <v>15</v>
      </c>
      <c r="K36" s="130">
        <f>SUM(K24:K35)</f>
        <v>904304968</v>
      </c>
      <c r="L36" s="81">
        <f>SUM(L24:L35)</f>
        <v>1.0000000000000002</v>
      </c>
    </row>
    <row r="37" spans="1:17" ht="37.5" customHeight="1">
      <c r="A37" s="28"/>
      <c r="B37" s="939"/>
      <c r="C37" s="331" t="s">
        <v>925</v>
      </c>
      <c r="D37" s="331" t="s">
        <v>924</v>
      </c>
      <c r="E37" s="331" t="s">
        <v>1241</v>
      </c>
      <c r="F37" s="351" t="s">
        <v>1243</v>
      </c>
      <c r="G37" s="351"/>
      <c r="H37" s="331" t="str">
        <f>+'Control Panel'!F43</f>
        <v>AVG CAP STR</v>
      </c>
      <c r="I37">
        <f t="shared" si="0"/>
        <v>16</v>
      </c>
    </row>
    <row r="38" spans="1:17">
      <c r="A38" s="28"/>
      <c r="B38" s="241"/>
      <c r="C38" s="242"/>
      <c r="D38" s="242"/>
      <c r="E38" s="242"/>
      <c r="F38" s="242"/>
      <c r="G38" s="242"/>
      <c r="H38" s="28"/>
      <c r="I38">
        <f t="shared" si="0"/>
        <v>17</v>
      </c>
    </row>
    <row r="39" spans="1:17" ht="13.5" thickBot="1">
      <c r="A39" s="28"/>
      <c r="B39" s="243" t="s">
        <v>106</v>
      </c>
      <c r="C39" s="941"/>
      <c r="D39" s="941"/>
      <c r="E39" s="941"/>
      <c r="F39" s="976"/>
      <c r="G39" s="976"/>
      <c r="H39" s="941"/>
      <c r="I39">
        <f t="shared" si="0"/>
        <v>18</v>
      </c>
    </row>
    <row r="40" spans="1:17">
      <c r="A40" s="942" t="s">
        <v>120</v>
      </c>
      <c r="B40" s="943" t="s">
        <v>675</v>
      </c>
      <c r="C40" s="265">
        <f>'[15]Capital Str'!$C$40</f>
        <v>0</v>
      </c>
      <c r="D40" s="265">
        <f>'[15]Capital Str'!$D$40</f>
        <v>0</v>
      </c>
      <c r="E40" s="265">
        <f>'[37]Capital Str'!$E$40</f>
        <v>0</v>
      </c>
      <c r="F40" s="265">
        <f>'[38]Capital Str'!$F$40</f>
        <v>0</v>
      </c>
      <c r="G40" s="265">
        <v>0</v>
      </c>
      <c r="H40" s="158">
        <f t="shared" ref="H40:H45" si="3">HLOOKUP($H$22,$C$22:$G$64,I40,FALSE)</f>
        <v>0</v>
      </c>
      <c r="I40">
        <f t="shared" si="0"/>
        <v>19</v>
      </c>
    </row>
    <row r="41" spans="1:17">
      <c r="A41" s="952" t="s">
        <v>976</v>
      </c>
      <c r="B41" s="953" t="s">
        <v>977</v>
      </c>
      <c r="C41" s="265">
        <f>[39]AVERAGE!$D$18</f>
        <v>1250000000</v>
      </c>
      <c r="D41" s="265">
        <f>[39]AVERAGE!$D$20</f>
        <v>1093750000</v>
      </c>
      <c r="E41" s="265">
        <f>'[37]Capital Str'!$E$41</f>
        <v>775805671.91499996</v>
      </c>
      <c r="F41" s="265">
        <f>'[38]Capital Str'!$F$41</f>
        <v>750000000</v>
      </c>
      <c r="G41" s="265">
        <v>775805671.91499996</v>
      </c>
      <c r="H41" s="158">
        <f t="shared" si="3"/>
        <v>1093750000</v>
      </c>
      <c r="I41">
        <f t="shared" si="0"/>
        <v>20</v>
      </c>
    </row>
    <row r="42" spans="1:17">
      <c r="A42" s="942" t="s">
        <v>121</v>
      </c>
      <c r="B42" s="943" t="s">
        <v>676</v>
      </c>
      <c r="C42" s="265">
        <f>[39]AVERAGE!$E$18</f>
        <v>-97838.89</v>
      </c>
      <c r="D42" s="265">
        <f>[39]AVERAGE!$E$20</f>
        <v>-363129.10916666663</v>
      </c>
      <c r="E42" s="265">
        <f>'[37]Capital Str'!$E$42</f>
        <v>-1454534.51</v>
      </c>
      <c r="F42" s="265">
        <f>'[38]Capital Str'!$F$42</f>
        <v>-1719738.72</v>
      </c>
      <c r="G42" s="265">
        <v>-1454534.51</v>
      </c>
      <c r="H42" s="158">
        <f t="shared" si="3"/>
        <v>-363129.10916666663</v>
      </c>
      <c r="I42">
        <f t="shared" si="0"/>
        <v>21</v>
      </c>
    </row>
    <row r="43" spans="1:17">
      <c r="A43" s="942" t="s">
        <v>122</v>
      </c>
      <c r="B43" s="943" t="s">
        <v>677</v>
      </c>
      <c r="C43" s="265">
        <f>[39]AVERAGE!$F$18</f>
        <v>-5010740.5</v>
      </c>
      <c r="D43" s="265">
        <f>[39]AVERAGE!$F$20</f>
        <v>-4707787.0662500001</v>
      </c>
      <c r="E43" s="265">
        <f>'[37]Capital Str'!$E$43</f>
        <v>-4351137.4049999993</v>
      </c>
      <c r="F43" s="265">
        <f>'[38]Capital Str'!$F$43</f>
        <v>-4479683.26</v>
      </c>
      <c r="G43" s="265">
        <v>-4351137.4049999993</v>
      </c>
      <c r="H43" s="158">
        <f t="shared" si="3"/>
        <v>-4707787.0662500001</v>
      </c>
      <c r="I43">
        <f t="shared" si="0"/>
        <v>22</v>
      </c>
    </row>
    <row r="44" spans="1:17">
      <c r="A44" s="944" t="s">
        <v>740</v>
      </c>
      <c r="B44" s="945" t="s">
        <v>741</v>
      </c>
      <c r="C44" s="265">
        <f>'[15]Capital Str'!$C$44</f>
        <v>0</v>
      </c>
      <c r="D44" s="265">
        <f>[39]AVERAGE!$G$20</f>
        <v>-20000000</v>
      </c>
      <c r="E44" s="265">
        <f>'[37]Capital Str'!$E$44</f>
        <v>0</v>
      </c>
      <c r="F44" s="265">
        <f>'[38]Capital Str'!$F$44</f>
        <v>0</v>
      </c>
      <c r="G44" s="265">
        <v>0</v>
      </c>
      <c r="H44" s="158">
        <f t="shared" si="3"/>
        <v>-20000000</v>
      </c>
      <c r="I44">
        <f t="shared" si="0"/>
        <v>23</v>
      </c>
    </row>
    <row r="45" spans="1:17">
      <c r="A45" s="28"/>
      <c r="B45" s="245" t="s">
        <v>108</v>
      </c>
      <c r="C45" s="946">
        <f>SUM(C40:C44)</f>
        <v>1244891420.6099999</v>
      </c>
      <c r="D45" s="946">
        <f>SUM(D40:D44)</f>
        <v>1068679083.8245833</v>
      </c>
      <c r="E45" s="946">
        <f>SUM(E40:E44)</f>
        <v>770000000</v>
      </c>
      <c r="F45" s="946">
        <f>SUM(F40:F44)</f>
        <v>743800578.01999998</v>
      </c>
      <c r="G45" s="1050">
        <v>770000000</v>
      </c>
      <c r="H45" s="946">
        <f t="shared" si="3"/>
        <v>1068679083.8245833</v>
      </c>
      <c r="I45">
        <f t="shared" si="0"/>
        <v>24</v>
      </c>
    </row>
    <row r="46" spans="1:17">
      <c r="A46" s="28"/>
      <c r="B46" s="246"/>
      <c r="C46" s="947"/>
      <c r="D46" s="947"/>
      <c r="E46" s="947"/>
      <c r="F46" s="947"/>
      <c r="G46" s="947"/>
      <c r="H46" s="947"/>
      <c r="I46">
        <f t="shared" si="0"/>
        <v>25</v>
      </c>
    </row>
    <row r="47" spans="1:17">
      <c r="A47" s="28"/>
      <c r="B47" s="28"/>
      <c r="C47" s="265"/>
      <c r="D47" s="265"/>
      <c r="E47" s="265"/>
      <c r="F47" s="265"/>
      <c r="G47" s="265"/>
      <c r="H47" s="158"/>
      <c r="I47">
        <f t="shared" si="0"/>
        <v>26</v>
      </c>
    </row>
    <row r="48" spans="1:17" ht="13.5" thickBot="1">
      <c r="A48" s="28"/>
      <c r="B48" s="243" t="s">
        <v>107</v>
      </c>
      <c r="C48" s="948"/>
      <c r="D48" s="948"/>
      <c r="E48" s="948"/>
      <c r="F48" s="977"/>
      <c r="G48" s="977"/>
      <c r="H48" s="247"/>
      <c r="I48">
        <f t="shared" si="0"/>
        <v>27</v>
      </c>
    </row>
    <row r="49" spans="1:9">
      <c r="A49" s="942" t="s">
        <v>119</v>
      </c>
      <c r="B49" s="945" t="s">
        <v>678</v>
      </c>
      <c r="C49" s="949">
        <f>[39]AVERAGE!$L$18</f>
        <v>49907500.079999998</v>
      </c>
      <c r="D49" s="949">
        <f>[39]AVERAGE!$L$18</f>
        <v>49907500.079999998</v>
      </c>
      <c r="E49" s="949">
        <f>'[37]Capital Str'!$E$49</f>
        <v>32940553.683977142</v>
      </c>
      <c r="F49" s="949">
        <f>'[38]Capital Str'!$F$49</f>
        <v>31845000</v>
      </c>
      <c r="G49" s="949">
        <v>32940553.683977142</v>
      </c>
      <c r="H49" s="158">
        <f>HLOOKUP($H$22,$C$22:$G$64,I49,FALSE)</f>
        <v>49907500.079999998</v>
      </c>
      <c r="I49">
        <f t="shared" si="0"/>
        <v>28</v>
      </c>
    </row>
    <row r="50" spans="1:9">
      <c r="A50" s="942" t="s">
        <v>123</v>
      </c>
      <c r="B50" s="241" t="s">
        <v>679</v>
      </c>
      <c r="C50" s="265">
        <f>'[15]Capital Str'!$C$50</f>
        <v>856520.36</v>
      </c>
      <c r="D50" s="265">
        <f>[39]AVERAGE!$M$18</f>
        <v>815662.20000000007</v>
      </c>
      <c r="E50" s="265">
        <f>'[37]Capital Str'!$E$50</f>
        <v>708446.31602285802</v>
      </c>
      <c r="F50" s="265">
        <f>'[38]Capital Str'!$F$50</f>
        <v>727659.76</v>
      </c>
      <c r="G50" s="265">
        <v>708446.31602285802</v>
      </c>
      <c r="H50" s="158">
        <f>HLOOKUP($H$22,$C$22:$G$64,I50,FALSE)</f>
        <v>815662.20000000007</v>
      </c>
      <c r="I50">
        <f t="shared" si="0"/>
        <v>29</v>
      </c>
    </row>
    <row r="51" spans="1:9">
      <c r="A51" s="28"/>
      <c r="B51" s="245" t="s">
        <v>109</v>
      </c>
      <c r="C51" s="946">
        <f>SUM(C49:C50)</f>
        <v>50764020.439999998</v>
      </c>
      <c r="D51" s="946">
        <f>SUM(D49:D50)</f>
        <v>50723162.280000001</v>
      </c>
      <c r="E51" s="946">
        <f>SUM(E49:E50)</f>
        <v>33649000</v>
      </c>
      <c r="F51" s="946">
        <f>SUM(F49:F50)</f>
        <v>32572659.760000002</v>
      </c>
      <c r="G51" s="1050">
        <v>33649000</v>
      </c>
      <c r="H51" s="946">
        <f>HLOOKUP($H$22,$C$22:$G$64,I51,FALSE)</f>
        <v>50723162.280000001</v>
      </c>
      <c r="I51">
        <f t="shared" si="0"/>
        <v>30</v>
      </c>
    </row>
    <row r="52" spans="1:9">
      <c r="A52" s="28"/>
      <c r="B52" s="28"/>
      <c r="C52" s="256"/>
      <c r="D52" s="256"/>
      <c r="E52" s="256"/>
      <c r="F52" s="256"/>
      <c r="G52" s="256"/>
      <c r="H52" s="188"/>
      <c r="I52">
        <f t="shared" si="0"/>
        <v>31</v>
      </c>
    </row>
    <row r="53" spans="1:9">
      <c r="A53" s="28"/>
      <c r="B53" s="246" t="s">
        <v>480</v>
      </c>
      <c r="C53" s="950">
        <f>+C51/C45</f>
        <v>4.0777869940757966E-2</v>
      </c>
      <c r="D53" s="950">
        <f>+D51/D45</f>
        <v>4.7463418202658376E-2</v>
      </c>
      <c r="E53" s="950">
        <f>+E51/E45</f>
        <v>4.3700000000000003E-2</v>
      </c>
      <c r="F53" s="950">
        <f>+F51/F45</f>
        <v>4.3792194739493952E-2</v>
      </c>
      <c r="G53" s="950">
        <v>4.3700000000000003E-2</v>
      </c>
      <c r="H53" s="950">
        <f>HLOOKUP($H$22,$C$22:$G$64,I53,FALSE)</f>
        <v>4.7463418202658376E-2</v>
      </c>
      <c r="I53">
        <f t="shared" si="0"/>
        <v>32</v>
      </c>
    </row>
    <row r="54" spans="1:9">
      <c r="A54" s="28"/>
      <c r="B54" s="245"/>
      <c r="C54" s="256"/>
      <c r="D54" s="256"/>
      <c r="E54" s="256"/>
      <c r="F54" s="256"/>
      <c r="G54" s="256"/>
      <c r="H54" s="188"/>
      <c r="I54">
        <f t="shared" si="0"/>
        <v>33</v>
      </c>
    </row>
    <row r="55" spans="1:9">
      <c r="A55" s="28"/>
      <c r="B55" s="28"/>
      <c r="C55" s="413"/>
      <c r="D55" s="256"/>
      <c r="E55" s="256"/>
      <c r="F55" s="256"/>
      <c r="G55" s="256"/>
      <c r="H55" s="188"/>
      <c r="I55">
        <f t="shared" si="0"/>
        <v>34</v>
      </c>
    </row>
    <row r="56" spans="1:9" ht="13.5" thickBot="1">
      <c r="A56" s="28"/>
      <c r="B56" s="248" t="s">
        <v>680</v>
      </c>
      <c r="C56" s="948"/>
      <c r="D56" s="948"/>
      <c r="E56" s="948"/>
      <c r="F56" s="977"/>
      <c r="G56" s="977"/>
      <c r="H56" s="247"/>
      <c r="I56">
        <f t="shared" si="0"/>
        <v>35</v>
      </c>
    </row>
    <row r="57" spans="1:9">
      <c r="A57" s="951" t="s">
        <v>124</v>
      </c>
      <c r="B57" s="241" t="s">
        <v>681</v>
      </c>
      <c r="C57" s="265">
        <f>[39]AVERAGE!$H$18</f>
        <v>22974065</v>
      </c>
      <c r="D57" s="265">
        <f>[39]AVERAGE!$H$20</f>
        <v>22974065</v>
      </c>
      <c r="E57" s="265">
        <f>'[37]Capital Str'!$E$57</f>
        <v>22974065</v>
      </c>
      <c r="F57" s="265">
        <f>'[38]Capital Str'!$F$57</f>
        <v>22974065</v>
      </c>
      <c r="G57" s="265">
        <v>22974065</v>
      </c>
      <c r="H57" s="158">
        <f>HLOOKUP($H$22,$C$22:$G$64,I57,FALSE)</f>
        <v>22974065</v>
      </c>
      <c r="I57">
        <f t="shared" si="0"/>
        <v>36</v>
      </c>
    </row>
    <row r="58" spans="1:9">
      <c r="A58" s="951" t="s">
        <v>125</v>
      </c>
      <c r="B58" s="241" t="s">
        <v>682</v>
      </c>
      <c r="C58" s="265">
        <f>[39]AVERAGE!$I$18</f>
        <v>272445462.82999998</v>
      </c>
      <c r="D58" s="265">
        <f>[39]AVERAGE!$I$20</f>
        <v>272445462.82999998</v>
      </c>
      <c r="E58" s="265">
        <f>'[37]Capital Str'!$E$58</f>
        <v>272445462.82999998</v>
      </c>
      <c r="F58" s="265">
        <f>'[38]Capital Str'!$F$58</f>
        <v>272445462.82999998</v>
      </c>
      <c r="G58" s="265">
        <v>272445462.82999998</v>
      </c>
      <c r="H58" s="158">
        <f>HLOOKUP($H$22,$C$22:$G$64,I58,FALSE)</f>
        <v>272445462.82999998</v>
      </c>
      <c r="I58">
        <f t="shared" si="0"/>
        <v>37</v>
      </c>
    </row>
    <row r="59" spans="1:9">
      <c r="A59" s="951" t="s">
        <v>126</v>
      </c>
      <c r="B59" s="241" t="s">
        <v>683</v>
      </c>
      <c r="C59" s="265">
        <f>[39]AVERAGE!$J$18</f>
        <v>875913011.20000005</v>
      </c>
      <c r="D59" s="265">
        <f>[39]AVERAGE!$J$20</f>
        <v>824848534.79041672</v>
      </c>
      <c r="E59" s="265">
        <f>'[37]Capital Str'!$E$60</f>
        <v>660500000</v>
      </c>
      <c r="F59" s="265">
        <f>'[38]Capital Str'!$F$60</f>
        <v>606930109.87</v>
      </c>
      <c r="G59" s="265">
        <v>660500000</v>
      </c>
      <c r="H59" s="158">
        <f>HLOOKUP($H$22,$C$22:$G$64,I59,FALSE)</f>
        <v>824848534.79041672</v>
      </c>
      <c r="I59">
        <f t="shared" si="0"/>
        <v>38</v>
      </c>
    </row>
    <row r="60" spans="1:9">
      <c r="A60" s="951" t="s">
        <v>1172</v>
      </c>
      <c r="B60" s="241" t="s">
        <v>1173</v>
      </c>
      <c r="C60" s="265">
        <f>[39]AVERAGE!$K$18</f>
        <v>303257106.87</v>
      </c>
      <c r="D60" s="265">
        <f>[39]AVERAGE!$K$20</f>
        <v>207423773.53666663</v>
      </c>
      <c r="E60" s="265">
        <f>'[37]Capital Str'!$E$59</f>
        <v>203257106.87</v>
      </c>
      <c r="F60" s="265">
        <f>'[38]Capital Str'!$F$59</f>
        <v>203257106.87</v>
      </c>
      <c r="G60" s="265">
        <v>203257106.87</v>
      </c>
      <c r="H60" s="158">
        <f>HLOOKUP($H$22,$C$22:$G$64,I60,FALSE)</f>
        <v>207423773.53666663</v>
      </c>
      <c r="I60">
        <v>39</v>
      </c>
    </row>
    <row r="61" spans="1:9">
      <c r="A61" s="28"/>
      <c r="B61" s="246" t="s">
        <v>684</v>
      </c>
      <c r="C61" s="946">
        <f>SUM(C57:C60)</f>
        <v>1474589645.9000001</v>
      </c>
      <c r="D61" s="946">
        <f>SUM(D57:D60)</f>
        <v>1327691836.1570833</v>
      </c>
      <c r="E61" s="946">
        <f>SUM(E57:E60)</f>
        <v>1159176634.6999998</v>
      </c>
      <c r="F61" s="946">
        <f>SUM(F57:F60)</f>
        <v>1105606744.5700002</v>
      </c>
      <c r="G61" s="1050">
        <v>1159176634.6999998</v>
      </c>
      <c r="H61" s="946">
        <f>HLOOKUP($H$22,$C$22:$G$64,I61,FALSE)</f>
        <v>1327691836.1570833</v>
      </c>
      <c r="I61">
        <f t="shared" si="0"/>
        <v>40</v>
      </c>
    </row>
    <row r="62" spans="1:9" ht="13.5" thickBot="1">
      <c r="A62" s="28"/>
      <c r="B62" s="249"/>
      <c r="C62" s="424"/>
      <c r="D62" s="424"/>
      <c r="E62" s="424"/>
      <c r="F62" s="424"/>
      <c r="G62" s="424"/>
      <c r="H62" s="250"/>
      <c r="I62">
        <f t="shared" si="0"/>
        <v>41</v>
      </c>
    </row>
    <row r="63" spans="1:9" ht="13.5" thickTop="1">
      <c r="A63" s="28"/>
      <c r="B63" s="246"/>
      <c r="C63" s="265"/>
      <c r="D63" s="265"/>
      <c r="E63" s="265"/>
      <c r="H63" s="158"/>
      <c r="I63">
        <f t="shared" si="0"/>
        <v>42</v>
      </c>
    </row>
    <row r="64" spans="1:9">
      <c r="A64" s="28"/>
      <c r="B64" s="246" t="s">
        <v>685</v>
      </c>
      <c r="C64" s="106">
        <f>+C61+C45</f>
        <v>2719481066.5100002</v>
      </c>
      <c r="D64" s="106">
        <f>+D61+D45</f>
        <v>2396370919.9816666</v>
      </c>
      <c r="E64" s="106">
        <f>+E61+E45</f>
        <v>1929176634.6999998</v>
      </c>
      <c r="F64" s="106">
        <f>+F61+F45</f>
        <v>1849407322.5900002</v>
      </c>
      <c r="G64" s="106">
        <v>1929176634.6999998</v>
      </c>
      <c r="H64" s="106">
        <f>HLOOKUP($H$22,$C$22:$G$64,I64,FALSE)</f>
        <v>2396370919.9816666</v>
      </c>
      <c r="I64">
        <f t="shared" si="0"/>
        <v>43</v>
      </c>
    </row>
    <row r="70" spans="4:4">
      <c r="D70" s="10"/>
    </row>
  </sheetData>
  <phoneticPr fontId="0" type="noConversion"/>
  <dataValidations disablePrompts="1" count="2">
    <dataValidation type="list" showInputMessage="1" showErrorMessage="1" sqref="D15:G15" xr:uid="{00000000-0002-0000-1B00-000000000000}">
      <formula1>"Actual 06/08, Avg 06/08, Actual 12/07, Avg 12/07,Projected Year End 12/08,Projected Avg  12/08, DPU CAP STR,CCS CAP STR,NEW CCS CAP STR,ORDERED CAP STR,QGC CAP STR,Projected Year End 12/09,Pojected Avg 12/09"</formula1>
    </dataValidation>
    <dataValidation type="list" showInputMessage="1" showErrorMessage="1" sqref="C22:D22 C37:D37" xr:uid="{00000000-0002-0000-1B00-000002000000}">
      <formula1>"AVG CAP STR,YE CAP STR"</formula1>
    </dataValidation>
  </dataValidations>
  <printOptions horizontalCentered="1"/>
  <pageMargins left="0.2" right="0.2" top="1" bottom="1" header="0.5" footer="0.5"/>
  <pageSetup scale="73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">
    <tabColor rgb="FF92D050"/>
    <pageSetUpPr fitToPage="1"/>
  </sheetPr>
  <dimension ref="A1:AU48"/>
  <sheetViews>
    <sheetView zoomScale="90" zoomScaleNormal="90" workbookViewId="0">
      <selection activeCell="E10" sqref="E10"/>
    </sheetView>
  </sheetViews>
  <sheetFormatPr defaultColWidth="9.140625" defaultRowHeight="12.75"/>
  <cols>
    <col min="1" max="1" width="46.42578125" customWidth="1"/>
    <col min="2" max="2" width="13.7109375" customWidth="1"/>
    <col min="3" max="3" width="15.7109375" customWidth="1"/>
    <col min="4" max="4" width="14.28515625" bestFit="1" customWidth="1"/>
    <col min="5" max="5" width="13.7109375" customWidth="1"/>
    <col min="6" max="6" width="14.28515625" bestFit="1" customWidth="1"/>
    <col min="7" max="8" width="8.85546875" customWidth="1"/>
    <col min="9" max="9" width="14.85546875" bestFit="1" customWidth="1"/>
    <col min="10" max="10" width="14.28515625" bestFit="1" customWidth="1"/>
    <col min="11" max="11" width="16.5703125" bestFit="1" customWidth="1"/>
    <col min="12" max="12" width="14.28515625" bestFit="1" customWidth="1"/>
    <col min="13" max="13" width="16.5703125" bestFit="1" customWidth="1"/>
    <col min="14" max="15" width="8.85546875" customWidth="1"/>
    <col min="16" max="16" width="14.85546875" bestFit="1" customWidth="1"/>
    <col min="17" max="17" width="14.28515625" bestFit="1" customWidth="1"/>
    <col min="18" max="18" width="16.5703125" bestFit="1" customWidth="1"/>
    <col min="19" max="19" width="14.28515625" bestFit="1" customWidth="1"/>
    <col min="20" max="20" width="16.5703125" bestFit="1" customWidth="1"/>
    <col min="21" max="22" width="8.85546875" customWidth="1"/>
    <col min="23" max="23" width="14.85546875" bestFit="1" customWidth="1"/>
    <col min="24" max="24" width="14.28515625" bestFit="1" customWidth="1"/>
    <col min="25" max="25" width="16.5703125" bestFit="1" customWidth="1"/>
    <col min="26" max="26" width="14.28515625" bestFit="1" customWidth="1"/>
    <col min="27" max="27" width="16.5703125" bestFit="1" customWidth="1"/>
    <col min="28" max="47" width="8.85546875" customWidth="1"/>
  </cols>
  <sheetData>
    <row r="1" spans="1:47">
      <c r="A1" s="12" t="s">
        <v>7</v>
      </c>
      <c r="D1" s="141"/>
      <c r="E1" s="141"/>
      <c r="F1" s="85"/>
    </row>
    <row r="2" spans="1:47">
      <c r="A2" s="12" t="str">
        <f>'Control Panel'!$B$1</f>
        <v>Dominion Energy</v>
      </c>
      <c r="D2" s="141"/>
      <c r="E2" s="141"/>
      <c r="F2" s="65"/>
    </row>
    <row r="3" spans="1:47">
      <c r="A3" s="12" t="str">
        <f>'Control Panel'!$B$2</f>
        <v>Utah - June 2023 Adjusted Avg Results</v>
      </c>
      <c r="D3" s="141"/>
      <c r="E3" s="141"/>
    </row>
    <row r="4" spans="1:47">
      <c r="A4" s="12" t="str">
        <f>'Control Panel'!$B$3</f>
        <v>12 Months Ended : Jun-2023</v>
      </c>
    </row>
    <row r="5" spans="1:47">
      <c r="A5" s="45" t="str">
        <f>IF('Control Panel'!$B$4="","",'Control Panel'!$B$4)</f>
        <v>Capital Structure : AVG CAP STR</v>
      </c>
    </row>
    <row r="6" spans="1:47">
      <c r="A6" s="1122" t="s">
        <v>700</v>
      </c>
      <c r="B6" s="1122"/>
      <c r="C6" s="1122"/>
      <c r="D6" s="1122"/>
      <c r="E6" s="1122"/>
    </row>
    <row r="7" spans="1:47">
      <c r="A7" s="1122" t="s">
        <v>60</v>
      </c>
      <c r="B7" s="1122"/>
      <c r="C7" s="1122"/>
      <c r="D7" s="1122"/>
      <c r="E7" s="1122"/>
    </row>
    <row r="8" spans="1:47">
      <c r="B8" s="130"/>
      <c r="C8" s="130"/>
      <c r="D8" s="130"/>
      <c r="E8" s="130"/>
    </row>
    <row r="9" spans="1:47" ht="13.5" thickBot="1">
      <c r="A9" t="s">
        <v>772</v>
      </c>
      <c r="B9" s="50" t="s">
        <v>544</v>
      </c>
      <c r="C9" s="50" t="s">
        <v>399</v>
      </c>
      <c r="D9" s="50" t="s">
        <v>425</v>
      </c>
      <c r="E9" s="50" t="s">
        <v>424</v>
      </c>
      <c r="F9" s="50" t="s">
        <v>145</v>
      </c>
    </row>
    <row r="10" spans="1:47" s="431" customFormat="1">
      <c r="A10" s="431" t="s">
        <v>426</v>
      </c>
      <c r="B10" s="481"/>
      <c r="C10" s="481">
        <f>'ROR-Model'!I1108+'ROR-Model'!I1119</f>
        <v>74930143.431999996</v>
      </c>
      <c r="D10" s="481">
        <f>'ROR-Model'!I1110+'ROR-Model'!I1121</f>
        <v>3560021998.9116554</v>
      </c>
      <c r="E10" s="481">
        <f>'ROR-Model'!I1109+'ROR-Model'!I1120</f>
        <v>110829637.9025</v>
      </c>
      <c r="F10" s="481">
        <f>SUM(B10:E10)</f>
        <v>3745781780.2461557</v>
      </c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1:47">
      <c r="B11" s="130"/>
      <c r="C11" s="130"/>
      <c r="D11" s="130"/>
      <c r="E11" s="130"/>
      <c r="F11" s="130"/>
    </row>
    <row r="12" spans="1:47" s="431" customFormat="1">
      <c r="A12" s="431" t="s">
        <v>427</v>
      </c>
      <c r="B12" s="481"/>
      <c r="C12" s="481"/>
      <c r="D12" s="481">
        <f>$C10*D46</f>
        <v>72522416.555014685</v>
      </c>
      <c r="E12" s="481">
        <f>$C10*E46</f>
        <v>2407726.8769853157</v>
      </c>
      <c r="F12" s="481">
        <f>SUM(D12:E12)</f>
        <v>74930143.431999996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1:47" ht="13.5" thickBot="1">
      <c r="B13" s="251"/>
      <c r="C13" s="251"/>
      <c r="D13" s="251"/>
      <c r="E13" s="251"/>
      <c r="F13" s="251"/>
    </row>
    <row r="14" spans="1:47" ht="13.5" thickTop="1"/>
    <row r="15" spans="1:47" s="431" customFormat="1">
      <c r="A15" s="431" t="s">
        <v>61</v>
      </c>
      <c r="B15" s="481"/>
      <c r="C15" s="481"/>
      <c r="D15" s="481">
        <f>D10+D12</f>
        <v>3632544415.46667</v>
      </c>
      <c r="E15" s="481">
        <f>E10+E12</f>
        <v>113237364.77948532</v>
      </c>
      <c r="F15" s="481">
        <f>SUM(D15:E15)</f>
        <v>3745781780.2461553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  <row r="16" spans="1:47">
      <c r="B16" s="252"/>
      <c r="C16" s="252"/>
      <c r="D16" s="252"/>
      <c r="E16" s="252"/>
      <c r="F16" s="252"/>
    </row>
    <row r="17" spans="1:47">
      <c r="A17" s="63"/>
      <c r="B17" s="133"/>
      <c r="C17" s="133"/>
      <c r="D17" s="480"/>
      <c r="E17" s="133"/>
      <c r="F17" s="133"/>
    </row>
    <row r="18" spans="1:47">
      <c r="A18" t="s">
        <v>698</v>
      </c>
      <c r="B18" s="133"/>
      <c r="C18" s="133"/>
      <c r="D18" s="480">
        <f>+D$15/$F$15</f>
        <v>0.96976936420144477</v>
      </c>
      <c r="E18" s="480">
        <f>+E$15/$F$15</f>
        <v>3.0230635798555217E-2</v>
      </c>
      <c r="F18" s="133">
        <f>SUM(D18:E18)</f>
        <v>1</v>
      </c>
    </row>
    <row r="19" spans="1:47" ht="13.5" thickBot="1">
      <c r="A19" s="75"/>
      <c r="B19" s="75"/>
      <c r="C19" s="75"/>
      <c r="D19" s="75"/>
      <c r="E19" s="75"/>
      <c r="F19" s="75"/>
    </row>
    <row r="21" spans="1:47">
      <c r="A21" s="1122" t="s">
        <v>701</v>
      </c>
      <c r="B21" s="1122"/>
      <c r="C21" s="1122"/>
      <c r="D21" s="1122"/>
      <c r="E21" s="1122"/>
      <c r="F21" s="1122"/>
    </row>
    <row r="22" spans="1:47">
      <c r="A22" s="1122" t="s">
        <v>428</v>
      </c>
      <c r="B22" s="1122"/>
      <c r="C22" s="1122"/>
      <c r="D22" s="1122"/>
      <c r="E22" s="1122"/>
      <c r="F22" s="1122"/>
    </row>
    <row r="23" spans="1:47">
      <c r="D23" s="130"/>
      <c r="E23" s="130"/>
      <c r="F23" s="130"/>
    </row>
    <row r="24" spans="1:47" ht="13.5" thickBot="1">
      <c r="A24" t="s">
        <v>772</v>
      </c>
      <c r="B24" s="50" t="s">
        <v>544</v>
      </c>
      <c r="C24" s="50" t="s">
        <v>399</v>
      </c>
      <c r="D24" s="50" t="s">
        <v>425</v>
      </c>
      <c r="E24" s="50" t="s">
        <v>424</v>
      </c>
      <c r="F24" s="50" t="s">
        <v>145</v>
      </c>
    </row>
    <row r="25" spans="1:47" s="431" customFormat="1">
      <c r="A25" s="431" t="s">
        <v>62</v>
      </c>
      <c r="B25" s="462">
        <f>'ROR-Model'!I1067+'ROR-Model'!I1078+'ROR-Model'!I1084+'ROR-Model'!I1090+'ROR-Model'!I1101+'ROR-Model'!I1122+'ROR-Model'!I1129+'ROR-Model'!I1136+'ROR-Model'!I1229</f>
        <v>-75848890.850710407</v>
      </c>
      <c r="C25" s="462">
        <f>'ROR-Model'!I1267</f>
        <v>-37672758.833995573</v>
      </c>
      <c r="D25" s="462">
        <f>'ROR-Model'!I1228+'ROR-Model'!I1121+'ROR-Model'!I1128+'ROR-Model'!I1135+'ROR-Model'!I1049+'ROR-Model'!I1054+'ROR-Model'!I1060+'ROR-Model'!I1066+'ROR-Model'!I1072+'ROR-Model'!I1077+'ROR-Model'!I1083+'ROR-Model'!I1089+'ROR-Model'!I1095+'ROR-Model'!I1100+'ROR-Model'!I1110</f>
        <v>2778347567.4415622</v>
      </c>
      <c r="E25" s="462">
        <f>'ROR-Model'!I1227+'ROR-Model'!I1120+'ROR-Model'!I1127+'ROR-Model'!I1134+'ROR-Model'!I1048+'ROR-Model'!I1053+'ROR-Model'!I1059+'ROR-Model'!I1065+'ROR-Model'!I1071+'ROR-Model'!I1076+'ROR-Model'!I1082+'ROR-Model'!I1088+'ROR-Model'!I1094+'ROR-Model'!I1099+'ROR-Model'!I1109</f>
        <v>83671599.999813706</v>
      </c>
      <c r="F25" s="462">
        <f>SUM(B25:E25)</f>
        <v>2748497517.7566695</v>
      </c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</row>
    <row r="26" spans="1:47">
      <c r="B26" s="130"/>
      <c r="C26" s="130"/>
      <c r="D26" s="130"/>
      <c r="E26" s="130"/>
      <c r="F26" s="130"/>
    </row>
    <row r="27" spans="1:47" s="431" customFormat="1">
      <c r="A27" s="431" t="s">
        <v>63</v>
      </c>
      <c r="B27" s="462"/>
      <c r="C27" s="462"/>
      <c r="D27" s="462">
        <f>$B25*D$18</f>
        <v>-73555930.655678213</v>
      </c>
      <c r="E27" s="462">
        <f>$B25*E$18</f>
        <v>-2292960.1950321933</v>
      </c>
      <c r="F27" s="462">
        <f>SUM(B27:E27)</f>
        <v>-75848890.850710407</v>
      </c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</row>
    <row r="28" spans="1:47">
      <c r="B28" s="1"/>
    </row>
    <row r="29" spans="1:47" s="431" customFormat="1">
      <c r="A29" s="431" t="s">
        <v>427</v>
      </c>
      <c r="B29" s="462"/>
      <c r="C29" s="462"/>
      <c r="D29" s="462">
        <f>$C25*D$46</f>
        <v>-36462221.794825032</v>
      </c>
      <c r="E29" s="462">
        <f>$C25*E$46</f>
        <v>-1210537.0391705395</v>
      </c>
      <c r="F29" s="462">
        <f>SUM(B29:E29)</f>
        <v>-37672758.833995573</v>
      </c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</row>
    <row r="30" spans="1:47" ht="13.5" thickBot="1">
      <c r="B30" s="251"/>
      <c r="C30" s="251"/>
      <c r="D30" s="251"/>
      <c r="E30" s="251"/>
      <c r="F30" s="251"/>
    </row>
    <row r="31" spans="1:47" ht="13.5" thickTop="1"/>
    <row r="32" spans="1:47" s="431" customFormat="1">
      <c r="A32" s="431" t="s">
        <v>64</v>
      </c>
      <c r="B32" s="481"/>
      <c r="C32" s="481"/>
      <c r="D32" s="481">
        <f>SUM(D25:D30)</f>
        <v>2668329414.9910588</v>
      </c>
      <c r="E32" s="481">
        <f>SUM(E25:E30)</f>
        <v>80168102.765610978</v>
      </c>
      <c r="F32" s="462">
        <f>SUM(B32:E32)</f>
        <v>2748497517.75667</v>
      </c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</row>
    <row r="33" spans="1:6">
      <c r="B33" s="96"/>
      <c r="C33" s="96"/>
      <c r="D33" s="96"/>
      <c r="E33" s="96"/>
      <c r="F33" s="96"/>
    </row>
    <row r="34" spans="1:6">
      <c r="B34" s="133"/>
      <c r="C34" s="133"/>
      <c r="D34" s="480"/>
      <c r="E34" s="480"/>
      <c r="F34" s="133"/>
    </row>
    <row r="35" spans="1:6">
      <c r="A35" t="s">
        <v>703</v>
      </c>
      <c r="B35" s="133"/>
      <c r="C35" s="133"/>
      <c r="D35" s="480">
        <f>+D$32/$F$32</f>
        <v>0.97083202649895617</v>
      </c>
      <c r="E35" s="480">
        <f>+E$32/$F$32</f>
        <v>2.9167973501043713E-2</v>
      </c>
      <c r="F35" s="133">
        <f>SUM(D35:E35)</f>
        <v>0.99999999999999989</v>
      </c>
    </row>
    <row r="36" spans="1:6" ht="13.5" thickBot="1">
      <c r="A36" s="75"/>
      <c r="B36" s="75"/>
      <c r="C36" s="75"/>
      <c r="D36" s="253"/>
      <c r="E36" s="253"/>
      <c r="F36" s="75"/>
    </row>
    <row r="38" spans="1:6">
      <c r="A38" s="1122" t="s">
        <v>431</v>
      </c>
      <c r="B38" s="1122"/>
      <c r="C38" s="1122"/>
      <c r="D38" s="1122"/>
      <c r="E38" s="1122"/>
    </row>
    <row r="39" spans="1:6">
      <c r="A39" s="1122" t="s">
        <v>430</v>
      </c>
      <c r="B39" s="1122"/>
      <c r="C39" s="1122"/>
      <c r="D39" s="1122"/>
      <c r="E39" s="1122"/>
    </row>
    <row r="40" spans="1:6">
      <c r="A40" s="159" t="s">
        <v>702</v>
      </c>
      <c r="B40" s="2"/>
      <c r="C40" s="2"/>
      <c r="D40" s="130"/>
      <c r="E40" s="130"/>
    </row>
    <row r="41" spans="1:6">
      <c r="A41" s="159"/>
      <c r="B41" s="2"/>
      <c r="C41" s="2"/>
      <c r="D41" s="130"/>
      <c r="E41" s="130"/>
    </row>
    <row r="42" spans="1:6" ht="13.5" thickBot="1">
      <c r="B42" s="50"/>
      <c r="C42" s="50"/>
      <c r="D42" s="50" t="s">
        <v>58</v>
      </c>
      <c r="E42" s="50" t="s">
        <v>59</v>
      </c>
      <c r="F42" s="50" t="s">
        <v>145</v>
      </c>
    </row>
    <row r="43" spans="1:6">
      <c r="A43" t="s">
        <v>55</v>
      </c>
      <c r="B43" s="130"/>
      <c r="C43" s="130"/>
      <c r="D43" s="130">
        <f>'ROR-Model'!I205+'ROR-Model'!I234</f>
        <v>124560167.55600001</v>
      </c>
      <c r="E43" s="130">
        <f>'ROR-Model'!I329+'ROR-Model'!I357</f>
        <v>4135367.7589999996</v>
      </c>
      <c r="F43" s="130">
        <f>SUM(D43:E43)</f>
        <v>128695535.31500001</v>
      </c>
    </row>
    <row r="44" spans="1:6">
      <c r="B44" s="252"/>
      <c r="C44" s="252"/>
      <c r="D44" s="252"/>
      <c r="E44" s="252"/>
      <c r="F44" s="252"/>
    </row>
    <row r="45" spans="1:6">
      <c r="A45" s="63"/>
      <c r="B45" s="133"/>
      <c r="C45" s="133"/>
      <c r="D45" s="480"/>
      <c r="E45" s="133"/>
      <c r="F45" s="133"/>
    </row>
    <row r="46" spans="1:6">
      <c r="A46" t="s">
        <v>699</v>
      </c>
      <c r="B46" s="133"/>
      <c r="C46" s="133"/>
      <c r="D46" s="480">
        <f>D$43/$F$43</f>
        <v>0.96786704566807136</v>
      </c>
      <c r="E46" s="133">
        <f>E$43/$F$43</f>
        <v>3.2132954331928601E-2</v>
      </c>
      <c r="F46" s="133">
        <f>SUM(D46:E46)</f>
        <v>1</v>
      </c>
    </row>
    <row r="48" spans="1:6" ht="13.5" thickBot="1">
      <c r="A48" s="75"/>
      <c r="B48" s="75"/>
      <c r="C48" s="75"/>
      <c r="D48" s="253"/>
      <c r="E48" s="253"/>
      <c r="F48" s="75"/>
    </row>
  </sheetData>
  <mergeCells count="6">
    <mergeCell ref="A38:E38"/>
    <mergeCell ref="A39:E39"/>
    <mergeCell ref="A6:E6"/>
    <mergeCell ref="A7:E7"/>
    <mergeCell ref="A21:F21"/>
    <mergeCell ref="A22:F22"/>
  </mergeCells>
  <phoneticPr fontId="0" type="noConversion"/>
  <pageMargins left="0.75" right="0.75" top="1" bottom="1" header="0.5" footer="0.5"/>
  <pageSetup scale="77" orientation="portrait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8">
    <tabColor rgb="FF92D050"/>
    <pageSetUpPr fitToPage="1"/>
  </sheetPr>
  <dimension ref="A1:AF78"/>
  <sheetViews>
    <sheetView zoomScale="80" zoomScaleNormal="80" zoomScaleSheetLayoutView="85" workbookViewId="0"/>
  </sheetViews>
  <sheetFormatPr defaultColWidth="9.140625" defaultRowHeight="12.75"/>
  <cols>
    <col min="1" max="1" width="41.85546875" bestFit="1" customWidth="1"/>
    <col min="2" max="5" width="21.42578125" customWidth="1"/>
    <col min="6" max="6" width="2.28515625" customWidth="1"/>
    <col min="7" max="7" width="21.42578125" customWidth="1"/>
    <col min="8" max="9" width="4.42578125" style="28" customWidth="1"/>
    <col min="10" max="10" width="3.140625" customWidth="1"/>
    <col min="11" max="11" width="36.5703125" bestFit="1" customWidth="1"/>
    <col min="13" max="13" width="12.28515625" customWidth="1"/>
    <col min="14" max="14" width="24.140625" bestFit="1" customWidth="1"/>
    <col min="15" max="15" width="13.7109375" customWidth="1"/>
    <col min="16" max="16" width="12.7109375" bestFit="1" customWidth="1"/>
    <col min="17" max="17" width="5" customWidth="1"/>
    <col min="18" max="18" width="4.140625" style="642" customWidth="1"/>
    <col min="19" max="19" width="9.140625" style="642"/>
    <col min="20" max="20" width="12.5703125" style="642" customWidth="1"/>
    <col min="21" max="21" width="10" style="642" customWidth="1"/>
    <col min="22" max="22" width="2.7109375" style="642" customWidth="1"/>
    <col min="23" max="23" width="11.7109375" style="642" customWidth="1"/>
    <col min="24" max="24" width="12.7109375" style="642" customWidth="1"/>
    <col min="25" max="25" width="2.7109375" style="642" customWidth="1"/>
    <col min="26" max="26" width="12.7109375" style="642" customWidth="1"/>
    <col min="27" max="27" width="14.7109375" style="642" customWidth="1"/>
    <col min="28" max="28" width="2.7109375" style="642" customWidth="1"/>
    <col min="29" max="29" width="12.7109375" style="642" customWidth="1"/>
    <col min="30" max="30" width="15" style="642" customWidth="1"/>
    <col min="31" max="31" width="2.7109375" style="642" customWidth="1"/>
    <col min="32" max="32" width="14.7109375" style="642" customWidth="1"/>
    <col min="38" max="39" width="15.7109375" bestFit="1" customWidth="1"/>
  </cols>
  <sheetData>
    <row r="1" spans="1:32" ht="13.5" thickBot="1">
      <c r="A1" s="28"/>
      <c r="B1" s="84"/>
      <c r="C1" s="84"/>
      <c r="D1" s="84"/>
      <c r="E1" s="84"/>
      <c r="F1" s="84"/>
      <c r="G1" s="84" t="s">
        <v>712</v>
      </c>
      <c r="H1" s="28">
        <v>1</v>
      </c>
      <c r="K1" s="12" t="s">
        <v>135</v>
      </c>
      <c r="R1" s="642" t="s">
        <v>772</v>
      </c>
    </row>
    <row r="2" spans="1:32">
      <c r="A2" s="28"/>
      <c r="B2" s="857"/>
      <c r="C2" s="857"/>
      <c r="D2" s="857"/>
      <c r="E2" s="857"/>
      <c r="F2" s="666"/>
      <c r="G2" s="857"/>
      <c r="H2" s="28">
        <f>+H1+1</f>
        <v>2</v>
      </c>
      <c r="K2" s="12" t="str">
        <f>'Control Panel'!$B$1</f>
        <v>Dominion Energy</v>
      </c>
      <c r="N2" s="85"/>
      <c r="R2" s="1133" t="s">
        <v>832</v>
      </c>
      <c r="S2" s="1133"/>
      <c r="T2" s="1133"/>
      <c r="U2" s="1133"/>
      <c r="V2" s="1133"/>
      <c r="W2" s="1133"/>
      <c r="X2" s="1133"/>
      <c r="Y2" s="1133"/>
      <c r="Z2" s="1133"/>
      <c r="AA2" s="1133"/>
      <c r="AB2" s="1133"/>
      <c r="AC2" s="1133"/>
      <c r="AD2" s="1133"/>
      <c r="AE2" s="1133"/>
      <c r="AF2" s="1133"/>
    </row>
    <row r="3" spans="1:32">
      <c r="B3" s="459"/>
      <c r="C3" s="459"/>
      <c r="D3" s="459"/>
      <c r="E3" s="459"/>
      <c r="F3" s="63"/>
      <c r="G3" s="459"/>
      <c r="H3" s="28">
        <f t="shared" ref="H3:H22" si="0">+H2+1</f>
        <v>3</v>
      </c>
      <c r="K3" s="12" t="str">
        <f>'Control Panel'!$B$2</f>
        <v>Utah - June 2023 Adjusted Avg Results</v>
      </c>
      <c r="N3" s="65"/>
      <c r="R3" s="1133" t="s">
        <v>833</v>
      </c>
      <c r="S3" s="1133"/>
      <c r="T3" s="1133"/>
      <c r="U3" s="1133"/>
      <c r="V3" s="1133"/>
      <c r="W3" s="1133"/>
      <c r="X3" s="1133"/>
      <c r="Y3" s="1133"/>
      <c r="Z3" s="1133"/>
      <c r="AA3" s="1133"/>
      <c r="AB3" s="1133"/>
      <c r="AC3" s="1133"/>
      <c r="AD3" s="1133"/>
      <c r="AE3" s="1133"/>
      <c r="AF3" s="1133"/>
    </row>
    <row r="4" spans="1:32">
      <c r="A4" s="31"/>
      <c r="B4" s="858"/>
      <c r="C4" s="858"/>
      <c r="D4" s="858"/>
      <c r="E4" s="858"/>
      <c r="F4" s="33"/>
      <c r="G4" s="858"/>
      <c r="H4" s="28">
        <f t="shared" si="0"/>
        <v>4</v>
      </c>
      <c r="K4" s="12" t="str">
        <f>'Control Panel'!$B$3</f>
        <v>12 Months Ended : Jun-2023</v>
      </c>
      <c r="R4" s="1133" t="s">
        <v>834</v>
      </c>
      <c r="S4" s="1133"/>
      <c r="T4" s="1133"/>
      <c r="U4" s="1133"/>
      <c r="V4" s="1133"/>
      <c r="W4" s="1133"/>
      <c r="X4" s="1133"/>
      <c r="Y4" s="1133"/>
      <c r="Z4" s="1133"/>
      <c r="AA4" s="1133"/>
      <c r="AB4" s="1133"/>
      <c r="AC4" s="1133"/>
      <c r="AD4" s="1133"/>
      <c r="AE4" s="1133"/>
      <c r="AF4" s="1133"/>
    </row>
    <row r="5" spans="1:32">
      <c r="A5" s="129" t="s">
        <v>761</v>
      </c>
      <c r="B5" s="858" t="s">
        <v>1060</v>
      </c>
      <c r="C5" s="858" t="s">
        <v>1060</v>
      </c>
      <c r="D5" s="858" t="s">
        <v>1060</v>
      </c>
      <c r="E5" s="858" t="s">
        <v>1060</v>
      </c>
      <c r="F5" s="33"/>
      <c r="G5" s="858" t="s">
        <v>1060</v>
      </c>
      <c r="H5" s="28">
        <f t="shared" si="0"/>
        <v>5</v>
      </c>
      <c r="J5" s="30"/>
      <c r="K5" s="12"/>
      <c r="L5" s="32"/>
      <c r="M5" s="32"/>
      <c r="N5" s="32"/>
      <c r="R5" s="1133" t="s">
        <v>835</v>
      </c>
      <c r="S5" s="1133"/>
      <c r="T5" s="1133"/>
      <c r="U5" s="1133"/>
      <c r="V5" s="1133"/>
      <c r="W5" s="1133"/>
      <c r="X5" s="1133"/>
      <c r="Y5" s="1133"/>
      <c r="Z5" s="1133"/>
      <c r="AA5" s="1133"/>
      <c r="AB5" s="1133"/>
      <c r="AC5" s="1133"/>
      <c r="AD5" s="1133"/>
      <c r="AE5" s="1133"/>
      <c r="AF5" s="1133"/>
    </row>
    <row r="6" spans="1:32" ht="33" customHeight="1" thickBot="1">
      <c r="A6" s="32"/>
      <c r="B6" s="899" t="s">
        <v>961</v>
      </c>
      <c r="C6" s="899" t="s">
        <v>960</v>
      </c>
      <c r="D6" s="899" t="s">
        <v>975</v>
      </c>
      <c r="E6" s="899" t="s">
        <v>984</v>
      </c>
      <c r="F6" s="84"/>
      <c r="G6" s="899" t="str">
        <f>+'Control Panel'!B41</f>
        <v>Distrigas 2017</v>
      </c>
      <c r="H6" s="28">
        <f t="shared" si="0"/>
        <v>6</v>
      </c>
      <c r="J6" s="30"/>
      <c r="K6" s="33" t="s">
        <v>732</v>
      </c>
      <c r="L6" s="33" t="s">
        <v>733</v>
      </c>
      <c r="M6" s="33" t="s">
        <v>734</v>
      </c>
      <c r="N6" s="33" t="s">
        <v>735</v>
      </c>
      <c r="R6" s="1134" t="s">
        <v>963</v>
      </c>
      <c r="S6" s="1134"/>
      <c r="T6" s="1134"/>
      <c r="U6" s="1134"/>
      <c r="V6" s="1134"/>
      <c r="W6" s="1134"/>
      <c r="X6" s="1134"/>
      <c r="Y6" s="1134"/>
      <c r="Z6" s="1134"/>
      <c r="AA6" s="1134"/>
      <c r="AB6" s="1134"/>
      <c r="AC6" s="1134"/>
      <c r="AD6" s="1134"/>
      <c r="AE6" s="1134"/>
      <c r="AF6" s="1134"/>
    </row>
    <row r="7" spans="1:32">
      <c r="A7" s="32"/>
      <c r="B7" s="897"/>
      <c r="C7" s="897"/>
      <c r="D7" s="897"/>
      <c r="E7" s="897"/>
      <c r="F7" s="896"/>
      <c r="G7" s="897"/>
      <c r="H7" s="28">
        <f t="shared" si="0"/>
        <v>7</v>
      </c>
      <c r="J7" s="30"/>
      <c r="K7" s="33"/>
      <c r="L7" s="33"/>
      <c r="M7" s="33"/>
      <c r="N7" s="33"/>
      <c r="R7" s="1135" t="s">
        <v>836</v>
      </c>
      <c r="S7" s="1135"/>
      <c r="T7" s="1135"/>
      <c r="U7" s="1135"/>
      <c r="V7" s="1135"/>
      <c r="W7" s="1135"/>
      <c r="X7" s="1135"/>
      <c r="Y7" s="1135"/>
      <c r="Z7" s="1135"/>
      <c r="AA7" s="1135"/>
      <c r="AB7" s="1135"/>
      <c r="AC7" s="1135"/>
      <c r="AD7" s="1135"/>
      <c r="AE7" s="1135"/>
      <c r="AF7" s="1135"/>
    </row>
    <row r="8" spans="1:32">
      <c r="A8" s="146" t="s">
        <v>1061</v>
      </c>
      <c r="B8" s="859">
        <v>0.44990000000000002</v>
      </c>
      <c r="C8" s="859">
        <v>0.44719999999999999</v>
      </c>
      <c r="D8" s="859">
        <v>0.46539999999999998</v>
      </c>
      <c r="E8" s="979">
        <v>0.49099999999999999</v>
      </c>
      <c r="F8" s="132"/>
      <c r="G8" s="859">
        <f>HLOOKUP($G$6,ALLOCATIONS,H3,FALSE)</f>
        <v>0.49099999999999999</v>
      </c>
      <c r="H8" s="28">
        <f t="shared" si="0"/>
        <v>8</v>
      </c>
      <c r="J8" s="30"/>
      <c r="L8" s="33" t="s">
        <v>48</v>
      </c>
      <c r="M8" s="33"/>
      <c r="N8" s="33" t="s">
        <v>49</v>
      </c>
      <c r="R8" s="662"/>
      <c r="S8" s="662"/>
      <c r="T8" s="662"/>
      <c r="U8" s="662"/>
      <c r="V8" s="662"/>
      <c r="W8" s="662"/>
      <c r="X8" s="662"/>
      <c r="Y8" s="662"/>
      <c r="Z8" s="688"/>
      <c r="AA8" s="662"/>
      <c r="AB8" s="662"/>
      <c r="AC8" s="662"/>
      <c r="AD8" s="662"/>
      <c r="AE8" s="662"/>
      <c r="AF8" s="640"/>
    </row>
    <row r="9" spans="1:32" ht="13.5" thickBot="1">
      <c r="A9" s="32" t="s">
        <v>68</v>
      </c>
      <c r="B9" s="859">
        <v>0.27579999999999999</v>
      </c>
      <c r="C9" s="859">
        <v>0.27610000000000001</v>
      </c>
      <c r="D9" s="859">
        <v>0.25619999999999998</v>
      </c>
      <c r="E9" s="979">
        <v>0.26790000000000003</v>
      </c>
      <c r="F9" s="132"/>
      <c r="G9" s="859">
        <f>HLOOKUP($G$6,ALLOCATIONS,H4,FALSE)</f>
        <v>0.26790000000000003</v>
      </c>
      <c r="H9" s="28">
        <f t="shared" si="0"/>
        <v>9</v>
      </c>
      <c r="J9" s="30"/>
      <c r="K9" s="34" t="s">
        <v>742</v>
      </c>
      <c r="L9" s="35" t="s">
        <v>50</v>
      </c>
      <c r="M9" s="36" t="s">
        <v>743</v>
      </c>
      <c r="N9" s="276" t="s">
        <v>51</v>
      </c>
      <c r="R9" s="661"/>
      <c r="S9" s="661"/>
      <c r="T9" s="661"/>
      <c r="U9" s="661"/>
      <c r="V9" s="661"/>
      <c r="W9" s="661"/>
      <c r="X9" s="661"/>
      <c r="Y9" s="661"/>
      <c r="Z9" s="689"/>
      <c r="AA9" s="661"/>
      <c r="AB9" s="661"/>
      <c r="AC9" s="690"/>
      <c r="AD9" s="690"/>
      <c r="AE9" s="690"/>
      <c r="AF9" s="690"/>
    </row>
    <row r="10" spans="1:32" ht="13.5" thickTop="1">
      <c r="A10" s="146" t="s">
        <v>630</v>
      </c>
      <c r="B10" s="859">
        <v>0.26900000000000002</v>
      </c>
      <c r="C10" s="859">
        <v>0.27110000000000001</v>
      </c>
      <c r="D10" s="859">
        <v>0.27150000000000002</v>
      </c>
      <c r="E10" s="979">
        <v>0.24110000000000001</v>
      </c>
      <c r="F10" s="132"/>
      <c r="G10" s="859">
        <f>HLOOKUP($G$6,ALLOCATIONS,H5,FALSE)</f>
        <v>0.24110000000000001</v>
      </c>
      <c r="H10" s="28">
        <f t="shared" si="0"/>
        <v>10</v>
      </c>
      <c r="J10" s="30"/>
      <c r="K10" s="31"/>
      <c r="L10" s="37"/>
      <c r="M10" s="38"/>
      <c r="N10" s="148"/>
      <c r="R10" s="662"/>
      <c r="S10" s="662"/>
      <c r="T10" s="662"/>
      <c r="U10" s="662"/>
      <c r="V10" s="662"/>
      <c r="W10" s="662"/>
      <c r="X10" s="662"/>
      <c r="Y10" s="662"/>
      <c r="Z10" s="663"/>
      <c r="AA10" s="662"/>
      <c r="AB10" s="662"/>
      <c r="AC10" s="641"/>
      <c r="AD10" s="641"/>
      <c r="AE10" s="641"/>
      <c r="AF10" s="2" t="s">
        <v>972</v>
      </c>
    </row>
    <row r="11" spans="1:32">
      <c r="A11" s="32" t="s">
        <v>962</v>
      </c>
      <c r="B11" s="859">
        <v>5.3E-3</v>
      </c>
      <c r="C11" s="859">
        <v>5.5999999999999999E-3</v>
      </c>
      <c r="D11" s="859">
        <v>6.8999999999999999E-3</v>
      </c>
      <c r="E11" s="979">
        <v>0</v>
      </c>
      <c r="F11" s="132"/>
      <c r="G11" s="859">
        <f>HLOOKUP($G$6,ALLOCATIONS,H6,FALSE)</f>
        <v>0</v>
      </c>
      <c r="H11" s="28">
        <f t="shared" si="0"/>
        <v>11</v>
      </c>
      <c r="J11" s="30">
        <v>1</v>
      </c>
      <c r="K11" s="32" t="s">
        <v>52</v>
      </c>
      <c r="L11" s="39">
        <f>'Capital Str'!H24</f>
        <v>0.4459572910494003</v>
      </c>
      <c r="M11" s="39">
        <f>'Capital Str'!H30</f>
        <v>4.7463418202658376E-2</v>
      </c>
      <c r="N11" s="39">
        <f>L11*M11</f>
        <v>2.1166657405602324E-2</v>
      </c>
      <c r="R11" s="641"/>
      <c r="S11" s="641"/>
      <c r="T11" s="641"/>
      <c r="U11" s="641"/>
      <c r="V11" s="641"/>
      <c r="W11" s="641"/>
      <c r="X11" s="641"/>
      <c r="Y11" s="641"/>
      <c r="Z11" s="1136" t="s">
        <v>837</v>
      </c>
      <c r="AA11" s="1136"/>
      <c r="AB11" s="662"/>
      <c r="AC11" s="641"/>
      <c r="AD11" s="641"/>
      <c r="AE11" s="641"/>
      <c r="AF11" s="874" t="s">
        <v>838</v>
      </c>
    </row>
    <row r="12" spans="1:32">
      <c r="A12" s="32"/>
      <c r="B12" s="859"/>
      <c r="C12" s="859"/>
      <c r="D12" s="859"/>
      <c r="E12" s="859"/>
      <c r="F12" s="132"/>
      <c r="G12" s="859"/>
      <c r="H12" s="28">
        <f t="shared" si="0"/>
        <v>12</v>
      </c>
      <c r="J12" s="30">
        <v>2</v>
      </c>
      <c r="K12" s="32" t="s">
        <v>53</v>
      </c>
      <c r="L12" s="39">
        <f>'Capital Str'!H26</f>
        <v>0.5540427089505997</v>
      </c>
      <c r="M12" s="39">
        <f>'Capital Str'!H32</f>
        <v>9.6000000000000002E-2</v>
      </c>
      <c r="N12" s="39">
        <f>L12*M12</f>
        <v>5.3188100059257573E-2</v>
      </c>
      <c r="R12" s="655"/>
      <c r="S12" s="655"/>
      <c r="T12" s="655"/>
      <c r="U12" s="655"/>
      <c r="V12" s="655"/>
      <c r="W12" s="1133" t="s">
        <v>429</v>
      </c>
      <c r="X12" s="1133"/>
      <c r="Y12" s="663"/>
      <c r="Z12" s="1133" t="s">
        <v>839</v>
      </c>
      <c r="AA12" s="1133"/>
      <c r="AB12" s="663"/>
      <c r="AC12" s="1133" t="s">
        <v>840</v>
      </c>
      <c r="AD12" s="1133"/>
      <c r="AE12" s="663"/>
      <c r="AF12" s="874" t="s">
        <v>584</v>
      </c>
    </row>
    <row r="13" spans="1:32" ht="13.5" thickBot="1">
      <c r="A13" s="32"/>
      <c r="B13" s="898">
        <f>SUM(B8:B12)</f>
        <v>1</v>
      </c>
      <c r="C13" s="898">
        <f>SUM(C8:C12)</f>
        <v>1</v>
      </c>
      <c r="D13" s="898">
        <f>SUM(D8:D12)</f>
        <v>1</v>
      </c>
      <c r="E13" s="898">
        <f>SUM(E8:E12)</f>
        <v>1</v>
      </c>
      <c r="F13" s="132"/>
      <c r="G13" s="898">
        <f>SUM(G8:G12)</f>
        <v>1</v>
      </c>
      <c r="H13" s="28">
        <f t="shared" si="0"/>
        <v>13</v>
      </c>
      <c r="J13" s="30">
        <v>3</v>
      </c>
      <c r="K13" s="32" t="s">
        <v>716</v>
      </c>
      <c r="L13" s="40">
        <f>SUM(L11:L12)</f>
        <v>1</v>
      </c>
      <c r="M13" s="32"/>
      <c r="N13" s="40">
        <f>SUM(N11:N12)</f>
        <v>7.4354757464859894E-2</v>
      </c>
      <c r="R13" s="655"/>
      <c r="S13" s="655"/>
      <c r="T13" s="655"/>
      <c r="U13" s="655"/>
      <c r="V13" s="655"/>
      <c r="W13" s="1132" t="s">
        <v>964</v>
      </c>
      <c r="X13" s="1132"/>
      <c r="Y13" s="874"/>
      <c r="Z13" s="1132" t="s">
        <v>965</v>
      </c>
      <c r="AA13" s="1132"/>
      <c r="AB13" s="691"/>
      <c r="AC13" s="1132" t="s">
        <v>965</v>
      </c>
      <c r="AD13" s="1132"/>
      <c r="AE13" s="691"/>
      <c r="AF13" s="873" t="s">
        <v>841</v>
      </c>
    </row>
    <row r="14" spans="1:32">
      <c r="A14" s="295"/>
      <c r="H14" s="28">
        <f t="shared" si="0"/>
        <v>14</v>
      </c>
      <c r="J14" s="30"/>
      <c r="K14" s="32"/>
      <c r="L14" s="32"/>
      <c r="M14" s="39"/>
      <c r="N14" s="32"/>
      <c r="S14" s="664" t="s">
        <v>842</v>
      </c>
      <c r="W14" s="660" t="s">
        <v>843</v>
      </c>
      <c r="X14" s="660" t="s">
        <v>844</v>
      </c>
      <c r="Y14" s="660"/>
      <c r="Z14" s="660" t="s">
        <v>845</v>
      </c>
      <c r="AA14" s="660" t="s">
        <v>846</v>
      </c>
      <c r="AB14" s="660"/>
      <c r="AC14" s="660" t="s">
        <v>847</v>
      </c>
      <c r="AD14" s="660" t="s">
        <v>848</v>
      </c>
      <c r="AE14" s="660"/>
      <c r="AF14" s="660" t="s">
        <v>849</v>
      </c>
    </row>
    <row r="15" spans="1:32">
      <c r="A15" s="296"/>
      <c r="B15" s="295"/>
      <c r="C15" s="295"/>
      <c r="D15" s="295"/>
      <c r="E15" s="295"/>
      <c r="F15" s="295"/>
      <c r="G15" s="295"/>
      <c r="H15" s="28">
        <f t="shared" si="0"/>
        <v>15</v>
      </c>
      <c r="J15" s="30"/>
      <c r="K15" s="32"/>
      <c r="L15" s="32"/>
      <c r="M15" s="32"/>
      <c r="N15" s="32"/>
    </row>
    <row r="16" spans="1:32">
      <c r="H16" s="28">
        <f t="shared" si="0"/>
        <v>16</v>
      </c>
      <c r="J16" s="30"/>
      <c r="K16" s="31" t="s">
        <v>717</v>
      </c>
      <c r="L16" s="32"/>
      <c r="M16" s="32"/>
      <c r="N16" s="32"/>
      <c r="R16" s="641" t="s">
        <v>850</v>
      </c>
      <c r="S16" s="641" t="s">
        <v>67</v>
      </c>
      <c r="W16" s="645">
        <v>2352292</v>
      </c>
      <c r="X16" s="644">
        <f>W16/W$31</f>
        <v>0.3965648128495326</v>
      </c>
      <c r="Y16" s="644"/>
      <c r="Z16" s="645">
        <v>356074</v>
      </c>
      <c r="AA16" s="644">
        <f>Z16/Z$31</f>
        <v>0.35288008237442903</v>
      </c>
      <c r="AB16" s="644"/>
      <c r="AC16" s="645">
        <v>71745</v>
      </c>
      <c r="AD16" s="644">
        <f>AC16/AC$31</f>
        <v>0.59204337277813535</v>
      </c>
      <c r="AE16" s="644"/>
      <c r="AF16" s="644">
        <f>AVERAGE(X16,AA16,AD16)</f>
        <v>0.44716275600069899</v>
      </c>
    </row>
    <row r="17" spans="1:32">
      <c r="B17" s="63"/>
      <c r="C17" s="63"/>
      <c r="D17" s="63"/>
      <c r="E17" s="63"/>
      <c r="F17" s="63"/>
      <c r="H17" s="28">
        <f t="shared" si="0"/>
        <v>17</v>
      </c>
      <c r="J17" s="30"/>
      <c r="K17" s="31"/>
      <c r="L17" s="32"/>
      <c r="M17" s="32"/>
      <c r="N17" s="33" t="s">
        <v>49</v>
      </c>
      <c r="X17" s="644"/>
      <c r="Y17" s="644"/>
      <c r="AA17" s="644"/>
      <c r="AB17" s="644"/>
      <c r="AD17" s="644"/>
      <c r="AE17" s="644"/>
      <c r="AF17" s="644"/>
    </row>
    <row r="18" spans="1:32" ht="13.5" thickBot="1">
      <c r="H18" s="28">
        <f t="shared" si="0"/>
        <v>18</v>
      </c>
      <c r="J18" s="30"/>
      <c r="K18" s="34" t="s">
        <v>742</v>
      </c>
      <c r="L18" s="41"/>
      <c r="M18" s="41"/>
      <c r="N18" s="276" t="s">
        <v>51</v>
      </c>
      <c r="R18" s="646" t="s">
        <v>851</v>
      </c>
      <c r="S18" s="641" t="s">
        <v>630</v>
      </c>
      <c r="W18" s="643">
        <v>1513756</v>
      </c>
      <c r="X18" s="644">
        <f>W18/W$31</f>
        <v>0.25519891443743253</v>
      </c>
      <c r="Y18" s="644"/>
      <c r="Z18" s="643">
        <v>342699</v>
      </c>
      <c r="AA18" s="644">
        <f>Z18/Z$31</f>
        <v>0.33962505363950879</v>
      </c>
      <c r="AB18" s="644"/>
      <c r="AC18" s="643">
        <v>14716</v>
      </c>
      <c r="AD18" s="644">
        <f>AC18/AC$31</f>
        <v>0.12143717713851893</v>
      </c>
      <c r="AE18" s="644"/>
      <c r="AF18" s="644">
        <f>AVERAGE(X18,AA18,AD18)</f>
        <v>0.23875371507182011</v>
      </c>
    </row>
    <row r="19" spans="1:32" ht="13.5" thickTop="1">
      <c r="H19" s="28">
        <f t="shared" si="0"/>
        <v>19</v>
      </c>
      <c r="J19" s="30"/>
      <c r="K19" s="31"/>
      <c r="L19" s="32"/>
      <c r="M19" s="32"/>
      <c r="N19" s="363"/>
      <c r="W19" s="643"/>
      <c r="X19" s="644"/>
      <c r="Y19" s="644"/>
      <c r="Z19" s="643"/>
      <c r="AA19" s="644"/>
      <c r="AB19" s="644"/>
      <c r="AC19" s="643"/>
      <c r="AD19" s="644"/>
      <c r="AE19" s="644"/>
      <c r="AF19" s="644"/>
    </row>
    <row r="20" spans="1:32">
      <c r="H20" s="28">
        <f t="shared" si="0"/>
        <v>20</v>
      </c>
      <c r="J20" s="30"/>
      <c r="K20" s="32"/>
      <c r="L20" s="32"/>
      <c r="M20" s="32"/>
      <c r="N20" s="32"/>
      <c r="R20" s="646" t="s">
        <v>852</v>
      </c>
      <c r="S20" s="641" t="s">
        <v>969</v>
      </c>
      <c r="W20" s="643">
        <v>108189</v>
      </c>
      <c r="X20" s="644">
        <f>W20/W$31</f>
        <v>1.8239211176749349E-2</v>
      </c>
      <c r="Y20" s="644"/>
      <c r="Z20" s="643">
        <v>27020</v>
      </c>
      <c r="AA20" s="644">
        <f>Z20/Z$31</f>
        <v>2.6777635620003348E-2</v>
      </c>
      <c r="AB20" s="644"/>
      <c r="AC20" s="643">
        <v>1099</v>
      </c>
      <c r="AD20" s="644">
        <f>AC20/AC$31</f>
        <v>9.0690036474063811E-3</v>
      </c>
      <c r="AE20" s="644"/>
      <c r="AF20" s="644">
        <f>AVERAGE(X20,AA20,AD20)</f>
        <v>1.8028616814719692E-2</v>
      </c>
    </row>
    <row r="21" spans="1:32">
      <c r="H21" s="28">
        <f t="shared" si="0"/>
        <v>21</v>
      </c>
      <c r="J21" s="30"/>
      <c r="K21" s="32"/>
      <c r="L21" s="32"/>
      <c r="M21" s="32"/>
      <c r="N21" s="32"/>
      <c r="R21" s="646"/>
      <c r="W21" s="643"/>
      <c r="X21" s="644"/>
      <c r="Y21" s="644"/>
      <c r="Z21" s="643"/>
      <c r="AA21" s="644"/>
      <c r="AB21" s="644"/>
      <c r="AC21" s="643"/>
      <c r="AD21" s="644"/>
      <c r="AE21" s="644"/>
      <c r="AF21" s="644"/>
    </row>
    <row r="22" spans="1:32">
      <c r="H22" s="28">
        <f t="shared" si="0"/>
        <v>22</v>
      </c>
      <c r="J22" s="30"/>
      <c r="K22" s="32"/>
      <c r="L22" s="32"/>
      <c r="M22" s="32"/>
      <c r="N22" s="32"/>
      <c r="R22" s="646" t="s">
        <v>853</v>
      </c>
      <c r="S22" s="642" t="s">
        <v>970</v>
      </c>
      <c r="W22" s="645">
        <v>66430</v>
      </c>
      <c r="X22" s="644">
        <f>W22/W$31</f>
        <v>1.1199205080659396E-2</v>
      </c>
      <c r="Y22" s="644"/>
      <c r="Z22" s="645">
        <v>16154</v>
      </c>
      <c r="AA22" s="644">
        <f>Z22/Z$31</f>
        <v>1.600910162122628E-2</v>
      </c>
      <c r="AB22" s="644"/>
      <c r="AC22" s="645">
        <v>1934</v>
      </c>
      <c r="AD22" s="644">
        <f>AC22/AC$31</f>
        <v>1.595946592728293E-2</v>
      </c>
      <c r="AE22" s="644"/>
      <c r="AF22" s="644">
        <f>AVERAGE(X22,AA22,AD22)</f>
        <v>1.4389257543056201E-2</v>
      </c>
    </row>
    <row r="23" spans="1:32">
      <c r="J23" s="30">
        <v>4</v>
      </c>
      <c r="K23" s="32" t="s">
        <v>53</v>
      </c>
      <c r="L23" s="32"/>
      <c r="M23" s="32"/>
      <c r="N23" s="148">
        <f>+N12</f>
        <v>5.3188100059257573E-2</v>
      </c>
      <c r="R23" s="646"/>
      <c r="W23" s="643"/>
      <c r="X23" s="644"/>
      <c r="Y23" s="644"/>
      <c r="Z23" s="643"/>
      <c r="AA23" s="644"/>
      <c r="AB23" s="644"/>
      <c r="AC23" s="643"/>
      <c r="AD23" s="644"/>
      <c r="AE23" s="644"/>
      <c r="AF23" s="644"/>
    </row>
    <row r="24" spans="1:32">
      <c r="A24" s="296"/>
      <c r="B24" s="132"/>
      <c r="C24" s="132"/>
      <c r="D24" s="132"/>
      <c r="E24" s="132"/>
      <c r="F24" s="132"/>
      <c r="G24" s="132"/>
      <c r="J24" s="30"/>
      <c r="K24" s="32"/>
      <c r="L24" s="32"/>
      <c r="M24" s="32"/>
      <c r="N24" s="148"/>
      <c r="R24" s="646" t="s">
        <v>854</v>
      </c>
      <c r="S24" s="641" t="s">
        <v>971</v>
      </c>
      <c r="W24" s="643">
        <v>1846909</v>
      </c>
      <c r="X24" s="644">
        <f>W24/W$31</f>
        <v>0.31136403215889757</v>
      </c>
      <c r="Y24" s="644"/>
      <c r="Z24" s="643">
        <v>254214</v>
      </c>
      <c r="AA24" s="644">
        <f>Z24/Z$31</f>
        <v>0.25193374765001969</v>
      </c>
      <c r="AB24" s="644"/>
      <c r="AC24" s="643">
        <v>27142</v>
      </c>
      <c r="AD24" s="644">
        <f>AC24/AC$31</f>
        <v>0.22397715832384346</v>
      </c>
      <c r="AE24" s="644"/>
      <c r="AF24" s="644">
        <f>AVERAGE(X24,AA24,AD24)</f>
        <v>0.26242497937758691</v>
      </c>
    </row>
    <row r="25" spans="1:32">
      <c r="A25" s="296"/>
      <c r="B25" s="132"/>
      <c r="C25" s="132"/>
      <c r="D25" s="132"/>
      <c r="E25" s="132"/>
      <c r="F25" s="132"/>
      <c r="G25" s="132"/>
      <c r="J25" s="30">
        <v>5</v>
      </c>
      <c r="K25" s="32" t="s">
        <v>718</v>
      </c>
      <c r="L25" s="32"/>
      <c r="M25" s="32"/>
      <c r="N25" s="293">
        <f>Taxes!L23</f>
        <v>0.24653611211615001</v>
      </c>
      <c r="R25" s="646"/>
      <c r="S25" s="641"/>
      <c r="W25" s="643"/>
      <c r="X25" s="644"/>
      <c r="Y25" s="644"/>
      <c r="Z25" s="643"/>
      <c r="AA25" s="644"/>
      <c r="AB25" s="644"/>
      <c r="AC25" s="643"/>
      <c r="AD25" s="644"/>
      <c r="AE25" s="644"/>
      <c r="AF25" s="644"/>
    </row>
    <row r="26" spans="1:32">
      <c r="A26" s="296"/>
      <c r="B26" s="132"/>
      <c r="C26" s="132"/>
      <c r="D26" s="132"/>
      <c r="E26" s="132"/>
      <c r="F26" s="132"/>
      <c r="G26" s="132"/>
      <c r="J26" s="30"/>
      <c r="K26" s="32"/>
      <c r="L26" s="32"/>
      <c r="M26" s="32"/>
      <c r="N26" s="148"/>
      <c r="R26" s="646" t="s">
        <v>966</v>
      </c>
      <c r="S26" s="641" t="s">
        <v>855</v>
      </c>
      <c r="W26" s="643">
        <v>9779</v>
      </c>
      <c r="X26" s="644">
        <f>W26/W$31</f>
        <v>1.6486079554985434E-3</v>
      </c>
      <c r="Y26" s="644"/>
      <c r="Z26" s="643">
        <v>11197</v>
      </c>
      <c r="AA26" s="644">
        <f>Z26/Z$31</f>
        <v>1.1096564990273039E-2</v>
      </c>
      <c r="AB26" s="644"/>
      <c r="AC26" s="643">
        <v>3432</v>
      </c>
      <c r="AD26" s="644">
        <f>AC26/AC$31</f>
        <v>2.8321037777887807E-2</v>
      </c>
      <c r="AE26" s="644"/>
      <c r="AF26" s="644">
        <f>AVERAGE(X26,AA26,AD26)</f>
        <v>1.3688736907886462E-2</v>
      </c>
    </row>
    <row r="27" spans="1:32">
      <c r="J27" s="30">
        <v>6</v>
      </c>
      <c r="K27" s="146" t="s">
        <v>211</v>
      </c>
      <c r="L27" s="32"/>
      <c r="M27" s="32"/>
      <c r="N27" s="148">
        <f>N23/(1-N25)</f>
        <v>7.0591438972131298E-2</v>
      </c>
      <c r="R27" s="646"/>
      <c r="S27" s="641"/>
      <c r="W27" s="643"/>
      <c r="X27" s="644"/>
      <c r="Y27" s="644"/>
      <c r="Z27" s="643"/>
      <c r="AA27" s="644"/>
      <c r="AB27" s="644"/>
      <c r="AC27" s="643"/>
      <c r="AD27" s="644"/>
      <c r="AE27" s="644"/>
      <c r="AF27" s="644"/>
    </row>
    <row r="28" spans="1:32">
      <c r="A28" s="297"/>
      <c r="B28" s="297"/>
      <c r="C28" s="297"/>
      <c r="D28" s="297"/>
      <c r="E28" s="297"/>
      <c r="F28" s="297"/>
      <c r="G28" s="297"/>
      <c r="J28" s="30"/>
      <c r="K28" s="32"/>
      <c r="L28" s="32"/>
      <c r="M28" s="32"/>
      <c r="N28" s="148"/>
      <c r="R28" s="646" t="s">
        <v>967</v>
      </c>
      <c r="S28" s="641" t="s">
        <v>962</v>
      </c>
      <c r="W28" s="643">
        <v>34316</v>
      </c>
      <c r="X28" s="644">
        <f>W28/W$31</f>
        <v>5.7852163412299836E-3</v>
      </c>
      <c r="Y28" s="644"/>
      <c r="Z28" s="643">
        <v>1693</v>
      </c>
      <c r="AA28" s="644">
        <f>Z28/Z$31</f>
        <v>1.6778141045398101E-3</v>
      </c>
      <c r="AB28" s="644"/>
      <c r="AC28" s="643">
        <v>1114</v>
      </c>
      <c r="AD28" s="644">
        <f>AC28/AC$31</f>
        <v>9.1927844069251211E-3</v>
      </c>
      <c r="AE28" s="644"/>
      <c r="AF28" s="644">
        <f>AVERAGE(X28,AA28,AD28)</f>
        <v>5.5519382842316375E-3</v>
      </c>
    </row>
    <row r="29" spans="1:32" ht="13.5" thickBot="1">
      <c r="J29" s="30">
        <v>7</v>
      </c>
      <c r="K29" s="32" t="s">
        <v>52</v>
      </c>
      <c r="L29" s="32"/>
      <c r="M29" s="32"/>
      <c r="N29" s="294">
        <f>+N11</f>
        <v>2.1166657405602324E-2</v>
      </c>
      <c r="R29" s="646"/>
      <c r="S29" s="646"/>
      <c r="W29" s="643"/>
      <c r="X29" s="644"/>
      <c r="Y29" s="644"/>
      <c r="Z29" s="643"/>
      <c r="AA29" s="644"/>
      <c r="AB29" s="644"/>
      <c r="AC29" s="647"/>
      <c r="AD29" s="648"/>
      <c r="AE29" s="644"/>
      <c r="AF29" s="644"/>
    </row>
    <row r="30" spans="1:32" ht="13.5" thickTop="1">
      <c r="J30" s="30"/>
      <c r="K30" s="32"/>
      <c r="L30" s="32"/>
      <c r="M30" s="32"/>
      <c r="N30" s="147"/>
      <c r="W30" s="649"/>
      <c r="X30" s="650"/>
      <c r="Y30" s="650"/>
      <c r="Z30" s="649"/>
      <c r="AA30" s="650"/>
      <c r="AB30" s="650"/>
      <c r="AC30" s="651"/>
      <c r="AD30" s="652"/>
      <c r="AE30" s="650"/>
      <c r="AF30" s="650"/>
    </row>
    <row r="31" spans="1:32">
      <c r="J31" s="30">
        <v>8</v>
      </c>
      <c r="K31" s="146" t="s">
        <v>210</v>
      </c>
      <c r="L31" s="32"/>
      <c r="M31" s="32"/>
      <c r="N31" s="148">
        <f>N29+N27</f>
        <v>9.1758096377733619E-2</v>
      </c>
      <c r="R31" s="653" t="s">
        <v>968</v>
      </c>
      <c r="S31" s="654" t="s">
        <v>856</v>
      </c>
      <c r="T31" s="655"/>
      <c r="U31" s="655"/>
      <c r="V31" s="655"/>
      <c r="W31" s="656">
        <f>SUM(W16:W29)</f>
        <v>5931671</v>
      </c>
      <c r="X31" s="901">
        <f>SUM(X16:X29)</f>
        <v>1.0000000000000002</v>
      </c>
      <c r="Y31" s="648"/>
      <c r="Z31" s="656">
        <f>SUM(Z16:Z29)</f>
        <v>1009051</v>
      </c>
      <c r="AA31" s="901">
        <f>SUM(AA16:AA29)</f>
        <v>0.99999999999999989</v>
      </c>
      <c r="AB31" s="648"/>
      <c r="AC31" s="656">
        <f>SUM(AC16:AC29)</f>
        <v>121182</v>
      </c>
      <c r="AD31" s="901">
        <f>SUM(AD16:AD29)</f>
        <v>1</v>
      </c>
      <c r="AE31" s="648"/>
      <c r="AF31" s="902">
        <f>AVERAGE(X31,AA31,AD31)</f>
        <v>1</v>
      </c>
    </row>
    <row r="32" spans="1:32" ht="13.5" thickBot="1">
      <c r="J32" s="30"/>
      <c r="K32" s="32"/>
      <c r="L32" s="32"/>
      <c r="M32" s="32"/>
      <c r="N32" s="39"/>
      <c r="W32" s="657"/>
      <c r="X32" s="657"/>
      <c r="Y32" s="657"/>
      <c r="Z32" s="657"/>
      <c r="AA32" s="657"/>
      <c r="AB32" s="657"/>
      <c r="AC32" s="657"/>
      <c r="AD32" s="657"/>
      <c r="AE32" s="657"/>
      <c r="AF32" s="657"/>
    </row>
    <row r="33" spans="1:32" ht="14.25" thickTop="1" thickBot="1">
      <c r="K33" s="243"/>
      <c r="L33" s="244"/>
      <c r="M33" s="105"/>
      <c r="N33" s="105"/>
    </row>
    <row r="34" spans="1:32">
      <c r="K34" s="241"/>
      <c r="L34" s="241"/>
      <c r="M34" s="241"/>
      <c r="R34" s="658" t="s">
        <v>857</v>
      </c>
      <c r="W34" s="645"/>
      <c r="Z34" s="659"/>
      <c r="AA34" s="659"/>
      <c r="AB34" s="659"/>
      <c r="AC34" s="659"/>
      <c r="AD34" s="659"/>
      <c r="AE34" s="659"/>
      <c r="AF34" s="659"/>
    </row>
    <row r="35" spans="1:32">
      <c r="K35" s="241"/>
      <c r="L35" s="241"/>
      <c r="M35" s="127"/>
      <c r="N35" s="127"/>
      <c r="R35" s="658"/>
      <c r="W35" s="645"/>
      <c r="Z35" s="659"/>
      <c r="AA35" s="659"/>
      <c r="AB35" s="659"/>
      <c r="AC35" s="659"/>
      <c r="AD35" s="659"/>
      <c r="AE35" s="659"/>
      <c r="AF35" s="659"/>
    </row>
    <row r="36" spans="1:32">
      <c r="K36" s="241"/>
      <c r="L36" s="241"/>
      <c r="M36" s="242"/>
      <c r="N36" s="127" t="str">
        <f>'Capital Str'!H37</f>
        <v>AVG CAP STR</v>
      </c>
      <c r="R36" s="1133" t="s">
        <v>858</v>
      </c>
      <c r="S36" s="1133"/>
      <c r="T36" s="1133"/>
      <c r="U36" s="1133"/>
      <c r="V36" s="1133"/>
      <c r="W36" s="1133"/>
      <c r="X36" s="1133"/>
      <c r="Y36" s="1133"/>
      <c r="Z36" s="1133"/>
      <c r="AA36" s="1133"/>
      <c r="AB36" s="1133"/>
      <c r="AC36" s="1133"/>
      <c r="AD36" s="1133"/>
      <c r="AE36" s="1133"/>
      <c r="AF36" s="1133"/>
    </row>
    <row r="37" spans="1:32" ht="13.5" thickBot="1">
      <c r="K37" s="243" t="s">
        <v>106</v>
      </c>
      <c r="L37" s="244"/>
      <c r="M37" s="105"/>
      <c r="N37" s="258"/>
      <c r="R37" s="1133" t="s">
        <v>833</v>
      </c>
      <c r="S37" s="1133"/>
      <c r="T37" s="1133"/>
      <c r="U37" s="1133"/>
      <c r="V37" s="1133"/>
      <c r="W37" s="1133"/>
      <c r="X37" s="1133"/>
      <c r="Y37" s="1133"/>
      <c r="Z37" s="1133"/>
      <c r="AA37" s="1133"/>
      <c r="AB37" s="1133"/>
      <c r="AC37" s="1133"/>
      <c r="AD37" s="1133"/>
      <c r="AE37" s="1133"/>
      <c r="AF37" s="1133"/>
    </row>
    <row r="38" spans="1:32">
      <c r="A38" s="1"/>
      <c r="J38">
        <f>J31+1</f>
        <v>9</v>
      </c>
      <c r="K38" s="905" t="s">
        <v>977</v>
      </c>
      <c r="L38" s="241"/>
      <c r="M38" s="158"/>
      <c r="N38" s="158">
        <f>+'Capital Str'!H41</f>
        <v>1093750000</v>
      </c>
      <c r="R38" s="1133" t="s">
        <v>834</v>
      </c>
      <c r="S38" s="1133"/>
      <c r="T38" s="1133"/>
      <c r="U38" s="1133"/>
      <c r="V38" s="1133"/>
      <c r="W38" s="1133"/>
      <c r="X38" s="1133"/>
      <c r="Y38" s="1133"/>
      <c r="Z38" s="1133"/>
      <c r="AA38" s="1133"/>
      <c r="AB38" s="1133"/>
      <c r="AC38" s="1133"/>
      <c r="AD38" s="1133"/>
      <c r="AE38" s="1133"/>
      <c r="AF38" s="1133"/>
    </row>
    <row r="39" spans="1:32">
      <c r="J39">
        <f>J38+1</f>
        <v>10</v>
      </c>
      <c r="K39" s="241" t="s">
        <v>676</v>
      </c>
      <c r="L39" s="241"/>
      <c r="N39" s="158">
        <f>+'Capital Str'!H42</f>
        <v>-363129.10916666663</v>
      </c>
      <c r="R39" s="1133" t="s">
        <v>835</v>
      </c>
      <c r="S39" s="1133"/>
      <c r="T39" s="1133"/>
      <c r="U39" s="1133"/>
      <c r="V39" s="1133"/>
      <c r="W39" s="1133"/>
      <c r="X39" s="1133"/>
      <c r="Y39" s="1133"/>
      <c r="Z39" s="1133"/>
      <c r="AA39" s="1133"/>
      <c r="AB39" s="1133"/>
      <c r="AC39" s="1133"/>
      <c r="AD39" s="1133"/>
      <c r="AE39" s="1133"/>
      <c r="AF39" s="1133"/>
    </row>
    <row r="40" spans="1:32">
      <c r="J40">
        <f t="shared" ref="J40:J42" si="1">J39+1</f>
        <v>11</v>
      </c>
      <c r="K40" s="241" t="s">
        <v>677</v>
      </c>
      <c r="L40" s="241"/>
      <c r="N40" s="158">
        <f>+'Capital Str'!H43</f>
        <v>-4707787.0662500001</v>
      </c>
      <c r="R40" s="1134" t="s">
        <v>963</v>
      </c>
      <c r="S40" s="1134"/>
      <c r="T40" s="1134"/>
      <c r="U40" s="1134"/>
      <c r="V40" s="1134"/>
      <c r="W40" s="1134"/>
      <c r="X40" s="1134"/>
      <c r="Y40" s="1134"/>
      <c r="Z40" s="1134"/>
      <c r="AA40" s="1134"/>
      <c r="AB40" s="1134"/>
      <c r="AC40" s="1134"/>
      <c r="AD40" s="1134"/>
      <c r="AE40" s="1134"/>
      <c r="AF40" s="1134"/>
    </row>
    <row r="41" spans="1:32">
      <c r="J41">
        <f t="shared" si="1"/>
        <v>12</v>
      </c>
      <c r="K41" s="697" t="s">
        <v>741</v>
      </c>
      <c r="L41" s="241"/>
      <c r="N41" s="158">
        <f>+'Capital Str'!H44</f>
        <v>-20000000</v>
      </c>
      <c r="R41" s="1135" t="s">
        <v>836</v>
      </c>
      <c r="S41" s="1135"/>
      <c r="T41" s="1135"/>
      <c r="U41" s="1135"/>
      <c r="V41" s="1135"/>
      <c r="W41" s="1135"/>
      <c r="X41" s="1135"/>
      <c r="Y41" s="1135"/>
      <c r="Z41" s="1135"/>
      <c r="AA41" s="1135"/>
      <c r="AB41" s="1135"/>
      <c r="AC41" s="1135"/>
      <c r="AD41" s="1135"/>
      <c r="AE41" s="1135"/>
      <c r="AF41" s="1135"/>
    </row>
    <row r="42" spans="1:32">
      <c r="J42">
        <f t="shared" si="1"/>
        <v>13</v>
      </c>
      <c r="K42" s="245" t="s">
        <v>108</v>
      </c>
      <c r="L42" s="241"/>
      <c r="N42" s="254">
        <f>+'Capital Str'!H45</f>
        <v>1068679083.8245833</v>
      </c>
      <c r="R42" s="662"/>
      <c r="S42" s="662"/>
      <c r="T42" s="662"/>
      <c r="U42" s="662"/>
      <c r="V42" s="662"/>
      <c r="W42" s="662"/>
      <c r="X42" s="662"/>
      <c r="Y42" s="662"/>
      <c r="Z42" s="688"/>
      <c r="AA42" s="662"/>
      <c r="AB42" s="662"/>
      <c r="AC42" s="662"/>
      <c r="AD42" s="662"/>
      <c r="AE42" s="662"/>
      <c r="AF42" s="640"/>
    </row>
    <row r="43" spans="1:32">
      <c r="K43" s="246"/>
      <c r="L43" s="241"/>
      <c r="N43" s="255"/>
      <c r="R43" s="661"/>
      <c r="S43" s="661"/>
      <c r="T43" s="661"/>
      <c r="U43" s="661"/>
      <c r="V43" s="661"/>
      <c r="W43" s="661"/>
      <c r="X43" s="661"/>
      <c r="Y43" s="661"/>
      <c r="Z43" s="689"/>
      <c r="AA43" s="661"/>
      <c r="AB43" s="661"/>
      <c r="AC43" s="690"/>
      <c r="AD43" s="690"/>
      <c r="AE43" s="690"/>
      <c r="AF43" s="690"/>
    </row>
    <row r="44" spans="1:32">
      <c r="K44" s="28"/>
      <c r="L44" s="28"/>
      <c r="N44" s="188"/>
      <c r="R44" s="662"/>
      <c r="S44" s="662"/>
      <c r="T44" s="662"/>
      <c r="U44" s="662"/>
      <c r="V44" s="662"/>
      <c r="W44" s="662"/>
      <c r="X44" s="662"/>
      <c r="Y44" s="662"/>
      <c r="Z44" s="663"/>
      <c r="AA44" s="662"/>
      <c r="AB44" s="662"/>
      <c r="AC44" s="641"/>
      <c r="AD44" s="641"/>
      <c r="AE44" s="641"/>
      <c r="AF44" s="2" t="s">
        <v>972</v>
      </c>
    </row>
    <row r="45" spans="1:32" ht="13.5" thickBot="1">
      <c r="K45" s="243" t="s">
        <v>107</v>
      </c>
      <c r="L45" s="244"/>
      <c r="M45" s="247"/>
      <c r="N45" s="247"/>
      <c r="R45" s="641"/>
      <c r="S45" s="641"/>
      <c r="T45" s="641"/>
      <c r="U45" s="641"/>
      <c r="V45" s="641"/>
      <c r="W45" s="641"/>
      <c r="X45" s="641"/>
      <c r="Y45" s="641"/>
      <c r="Z45" s="1136" t="s">
        <v>837</v>
      </c>
      <c r="AA45" s="1136"/>
      <c r="AB45" s="662"/>
      <c r="AC45" s="641"/>
      <c r="AD45" s="641"/>
      <c r="AE45" s="641"/>
      <c r="AF45" s="874" t="s">
        <v>838</v>
      </c>
    </row>
    <row r="46" spans="1:32">
      <c r="J46">
        <f>J42+1</f>
        <v>14</v>
      </c>
      <c r="K46" s="241" t="s">
        <v>678</v>
      </c>
      <c r="L46" s="241"/>
      <c r="M46" s="158"/>
      <c r="N46" s="158">
        <f>+'Capital Str'!H49</f>
        <v>49907500.079999998</v>
      </c>
      <c r="R46" s="655"/>
      <c r="S46" s="655"/>
      <c r="T46" s="655"/>
      <c r="U46" s="655"/>
      <c r="V46" s="655"/>
      <c r="W46" s="1133" t="s">
        <v>429</v>
      </c>
      <c r="X46" s="1133"/>
      <c r="Y46" s="663"/>
      <c r="Z46" s="1133" t="s">
        <v>839</v>
      </c>
      <c r="AA46" s="1133"/>
      <c r="AB46" s="663"/>
      <c r="AC46" s="1133" t="s">
        <v>840</v>
      </c>
      <c r="AD46" s="1133"/>
      <c r="AE46" s="663"/>
      <c r="AF46" s="874" t="s">
        <v>584</v>
      </c>
    </row>
    <row r="47" spans="1:32">
      <c r="J47">
        <f>J46+1</f>
        <v>15</v>
      </c>
      <c r="K47" s="241" t="s">
        <v>679</v>
      </c>
      <c r="L47" s="241"/>
      <c r="N47" s="158">
        <f>+'Capital Str'!H50</f>
        <v>815662.20000000007</v>
      </c>
      <c r="R47" s="655"/>
      <c r="S47" s="655"/>
      <c r="T47" s="655"/>
      <c r="U47" s="655"/>
      <c r="V47" s="655"/>
      <c r="W47" s="1132" t="s">
        <v>964</v>
      </c>
      <c r="X47" s="1132"/>
      <c r="Y47" s="874"/>
      <c r="Z47" s="1132" t="s">
        <v>965</v>
      </c>
      <c r="AA47" s="1132"/>
      <c r="AB47" s="691"/>
      <c r="AC47" s="1132" t="s">
        <v>965</v>
      </c>
      <c r="AD47" s="1132"/>
      <c r="AE47" s="691"/>
      <c r="AF47" s="873" t="s">
        <v>841</v>
      </c>
    </row>
    <row r="48" spans="1:32">
      <c r="J48">
        <f>J47+1</f>
        <v>16</v>
      </c>
      <c r="K48" s="245" t="s">
        <v>109</v>
      </c>
      <c r="L48" s="241"/>
      <c r="N48" s="254">
        <f>+'Capital Str'!H51</f>
        <v>50723162.280000001</v>
      </c>
      <c r="S48" s="664" t="s">
        <v>842</v>
      </c>
      <c r="W48" s="660" t="s">
        <v>843</v>
      </c>
      <c r="X48" s="660" t="s">
        <v>844</v>
      </c>
      <c r="Y48" s="660"/>
      <c r="Z48" s="660" t="s">
        <v>845</v>
      </c>
      <c r="AA48" s="660" t="s">
        <v>846</v>
      </c>
      <c r="AB48" s="660"/>
      <c r="AC48" s="660" t="s">
        <v>847</v>
      </c>
      <c r="AD48" s="660" t="s">
        <v>848</v>
      </c>
      <c r="AE48" s="660"/>
      <c r="AF48" s="660" t="s">
        <v>849</v>
      </c>
    </row>
    <row r="49" spans="10:32">
      <c r="K49" s="28"/>
      <c r="L49" s="28"/>
      <c r="N49" s="188"/>
    </row>
    <row r="50" spans="10:32">
      <c r="J50">
        <f>J48+1</f>
        <v>17</v>
      </c>
      <c r="K50" s="246" t="s">
        <v>480</v>
      </c>
      <c r="L50" s="80"/>
      <c r="N50" s="93">
        <f>+'Capital Str'!H53</f>
        <v>4.7463418202658376E-2</v>
      </c>
      <c r="R50" s="641" t="s">
        <v>850</v>
      </c>
      <c r="S50" s="641" t="s">
        <v>67</v>
      </c>
      <c r="W50" s="645">
        <v>2352292</v>
      </c>
      <c r="X50" s="644">
        <f>W50/W$67</f>
        <v>0.39266724847209306</v>
      </c>
      <c r="Y50" s="644"/>
      <c r="Z50" s="645">
        <v>356074</v>
      </c>
      <c r="AA50" s="644">
        <f>Z50/Z$67</f>
        <v>0.35288008237442903</v>
      </c>
      <c r="AB50" s="644"/>
      <c r="AC50" s="645">
        <v>71745</v>
      </c>
      <c r="AD50" s="644">
        <f>AC50/AC$67</f>
        <v>0.43542778071117749</v>
      </c>
      <c r="AE50" s="644"/>
      <c r="AF50" s="644">
        <f>AVERAGE(X50,AA50,AD50)</f>
        <v>0.39365837051923319</v>
      </c>
    </row>
    <row r="51" spans="10:32">
      <c r="K51" s="245"/>
      <c r="L51" s="28"/>
      <c r="M51" s="188"/>
      <c r="N51" s="188"/>
      <c r="X51" s="644"/>
      <c r="Y51" s="644"/>
      <c r="AA51" s="644"/>
      <c r="AB51" s="644"/>
      <c r="AD51" s="644"/>
      <c r="AE51" s="644"/>
      <c r="AF51" s="644"/>
    </row>
    <row r="52" spans="10:32">
      <c r="K52" s="28"/>
      <c r="L52" s="28"/>
      <c r="M52" s="188"/>
      <c r="N52" s="188"/>
      <c r="R52" s="646" t="s">
        <v>851</v>
      </c>
      <c r="S52" s="641" t="s">
        <v>630</v>
      </c>
      <c r="W52" s="643">
        <v>1513756</v>
      </c>
      <c r="X52" s="644">
        <f>W52/W$67</f>
        <v>0.25269073881053955</v>
      </c>
      <c r="Y52" s="644"/>
      <c r="Z52" s="643">
        <v>342699</v>
      </c>
      <c r="AA52" s="644">
        <f>Z52/Z$67</f>
        <v>0.33962505363950879</v>
      </c>
      <c r="AB52" s="644"/>
      <c r="AC52" s="643">
        <v>14716</v>
      </c>
      <c r="AD52" s="644">
        <f>AC52/AC$67</f>
        <v>8.9312916871498893E-2</v>
      </c>
      <c r="AE52" s="644"/>
      <c r="AF52" s="644">
        <f>AVERAGE(X52,AA52,AD52)</f>
        <v>0.2272095697738491</v>
      </c>
    </row>
    <row r="53" spans="10:32" ht="13.5" thickBot="1">
      <c r="K53" s="248" t="s">
        <v>680</v>
      </c>
      <c r="L53" s="244"/>
      <c r="M53" s="247"/>
      <c r="N53" s="247"/>
      <c r="W53" s="643"/>
      <c r="X53" s="644"/>
      <c r="Y53" s="644"/>
      <c r="Z53" s="643"/>
      <c r="AA53" s="644"/>
      <c r="AB53" s="644"/>
      <c r="AC53" s="643"/>
      <c r="AD53" s="644"/>
      <c r="AE53" s="644"/>
      <c r="AF53" s="644"/>
    </row>
    <row r="54" spans="10:32">
      <c r="J54">
        <f>J50+1</f>
        <v>18</v>
      </c>
      <c r="K54" s="241" t="s">
        <v>681</v>
      </c>
      <c r="L54" s="241"/>
      <c r="M54" s="158"/>
      <c r="N54" s="158">
        <f>+'Capital Str'!H57</f>
        <v>22974065</v>
      </c>
      <c r="R54" s="646" t="s">
        <v>852</v>
      </c>
      <c r="S54" s="641" t="s">
        <v>969</v>
      </c>
      <c r="W54" s="643">
        <v>108189</v>
      </c>
      <c r="X54" s="644">
        <f>W54/W$67</f>
        <v>1.8059950441929519E-2</v>
      </c>
      <c r="Y54" s="644"/>
      <c r="Z54" s="643">
        <v>27020</v>
      </c>
      <c r="AA54" s="644">
        <f>Z54/Z$67</f>
        <v>2.6777635620003348E-2</v>
      </c>
      <c r="AB54" s="644"/>
      <c r="AC54" s="643">
        <v>1099</v>
      </c>
      <c r="AD54" s="644">
        <f>AC54/AC$67</f>
        <v>6.6699439821811144E-3</v>
      </c>
      <c r="AE54" s="644"/>
      <c r="AF54" s="644">
        <f>AVERAGE(X54,AA54,AD54)</f>
        <v>1.7169176681371325E-2</v>
      </c>
    </row>
    <row r="55" spans="10:32">
      <c r="J55">
        <f>J54+1</f>
        <v>19</v>
      </c>
      <c r="K55" s="241" t="s">
        <v>682</v>
      </c>
      <c r="L55" s="241"/>
      <c r="N55" s="158">
        <f>+'Capital Str'!H58</f>
        <v>272445462.82999998</v>
      </c>
      <c r="R55" s="646"/>
      <c r="W55" s="643"/>
      <c r="X55" s="644"/>
      <c r="Y55" s="644"/>
      <c r="Z55" s="643"/>
      <c r="AA55" s="644"/>
      <c r="AB55" s="644"/>
      <c r="AC55" s="643"/>
      <c r="AD55" s="644"/>
      <c r="AE55" s="644"/>
      <c r="AF55" s="644"/>
    </row>
    <row r="56" spans="10:32">
      <c r="J56">
        <f>J55+1</f>
        <v>20</v>
      </c>
      <c r="K56" s="905" t="s">
        <v>1269</v>
      </c>
      <c r="L56" s="241"/>
      <c r="N56" s="158">
        <f>+'Capital Str'!H60</f>
        <v>207423773.53666663</v>
      </c>
      <c r="R56" s="646" t="s">
        <v>853</v>
      </c>
      <c r="S56" s="642" t="s">
        <v>970</v>
      </c>
      <c r="W56" s="645">
        <v>66430</v>
      </c>
      <c r="X56" s="644">
        <f>W56/W$67</f>
        <v>1.1089135751854421E-2</v>
      </c>
      <c r="Y56" s="644"/>
      <c r="Z56" s="645">
        <v>16154</v>
      </c>
      <c r="AA56" s="644">
        <f>Z56/Z$67</f>
        <v>1.600910162122628E-2</v>
      </c>
      <c r="AB56" s="644"/>
      <c r="AC56" s="645">
        <v>1934</v>
      </c>
      <c r="AD56" s="644">
        <f>AC56/AC$67</f>
        <v>1.1737644823965674E-2</v>
      </c>
      <c r="AE56" s="644"/>
      <c r="AF56" s="644">
        <f>AVERAGE(X56,AA56,AD56)</f>
        <v>1.2945294065682124E-2</v>
      </c>
    </row>
    <row r="57" spans="10:32">
      <c r="J57">
        <f>J56+1</f>
        <v>21</v>
      </c>
      <c r="K57" s="241" t="s">
        <v>683</v>
      </c>
      <c r="L57" s="241"/>
      <c r="N57" s="158">
        <f>'Capital Str'!H59</f>
        <v>824848534.79041672</v>
      </c>
      <c r="R57" s="646"/>
      <c r="W57" s="643"/>
      <c r="X57" s="644"/>
      <c r="Y57" s="644"/>
      <c r="Z57" s="643"/>
      <c r="AA57" s="644"/>
      <c r="AB57" s="644"/>
      <c r="AC57" s="643"/>
      <c r="AD57" s="644"/>
      <c r="AE57" s="644"/>
      <c r="AF57" s="644"/>
    </row>
    <row r="58" spans="10:32">
      <c r="J58">
        <f>J57+1</f>
        <v>22</v>
      </c>
      <c r="K58" s="246" t="s">
        <v>684</v>
      </c>
      <c r="L58" s="241"/>
      <c r="N58" s="254">
        <f>+'Capital Str'!H61</f>
        <v>1327691836.1570833</v>
      </c>
      <c r="R58" s="646" t="s">
        <v>854</v>
      </c>
      <c r="S58" s="641" t="s">
        <v>971</v>
      </c>
      <c r="W58" s="643">
        <v>1846909</v>
      </c>
      <c r="X58" s="644">
        <f>W58/W$67</f>
        <v>0.30830384799520844</v>
      </c>
      <c r="Y58" s="644"/>
      <c r="Z58" s="643">
        <v>254214</v>
      </c>
      <c r="AA58" s="644">
        <f>Z58/Z$67</f>
        <v>0.25193374765001969</v>
      </c>
      <c r="AB58" s="644"/>
      <c r="AC58" s="643">
        <v>27142</v>
      </c>
      <c r="AD58" s="644">
        <f>AC58/AC$67</f>
        <v>0.16472758832061857</v>
      </c>
      <c r="AE58" s="644"/>
      <c r="AF58" s="644">
        <f>AVERAGE(X58,AA58,AD58)</f>
        <v>0.24165506132194889</v>
      </c>
    </row>
    <row r="59" spans="10:32" ht="13.5" thickBot="1">
      <c r="K59" s="249"/>
      <c r="L59" s="249"/>
      <c r="M59" s="250"/>
      <c r="N59" s="250"/>
      <c r="R59" s="646"/>
      <c r="S59" s="641"/>
      <c r="W59" s="643"/>
      <c r="X59" s="644"/>
      <c r="Y59" s="644"/>
      <c r="Z59" s="643"/>
      <c r="AA59" s="644"/>
      <c r="AB59" s="644"/>
      <c r="AC59" s="643"/>
      <c r="AD59" s="644"/>
      <c r="AE59" s="644"/>
      <c r="AF59" s="644"/>
    </row>
    <row r="60" spans="10:32" ht="13.5" thickTop="1">
      <c r="K60" s="246"/>
      <c r="L60" s="241"/>
      <c r="M60" s="158"/>
      <c r="N60" s="158"/>
      <c r="R60" s="646" t="s">
        <v>966</v>
      </c>
      <c r="S60" s="641" t="s">
        <v>855</v>
      </c>
      <c r="W60" s="643">
        <v>9779</v>
      </c>
      <c r="X60" s="644">
        <f>W60/W$67</f>
        <v>1.6324049152097605E-3</v>
      </c>
      <c r="Y60" s="644"/>
      <c r="Z60" s="643">
        <v>11197</v>
      </c>
      <c r="AA60" s="644">
        <f>Z60/Z$67</f>
        <v>1.1096564990273039E-2</v>
      </c>
      <c r="AB60" s="644"/>
      <c r="AC60" s="643">
        <v>3432</v>
      </c>
      <c r="AD60" s="644">
        <f>AC60/AC$67</f>
        <v>2.0829160825155218E-2</v>
      </c>
      <c r="AE60" s="644"/>
      <c r="AF60" s="644">
        <f>AVERAGE(X60,AA60,AD60)</f>
        <v>1.1186043576879337E-2</v>
      </c>
    </row>
    <row r="61" spans="10:32">
      <c r="J61">
        <f>J58+1</f>
        <v>23</v>
      </c>
      <c r="K61" s="246" t="s">
        <v>685</v>
      </c>
      <c r="L61" s="241"/>
      <c r="M61" s="106"/>
      <c r="N61" s="179">
        <f>+'Capital Str'!H64</f>
        <v>2396370919.9816666</v>
      </c>
      <c r="R61" s="646"/>
      <c r="S61" s="641"/>
      <c r="W61" s="643"/>
      <c r="X61" s="644"/>
      <c r="Y61" s="644"/>
      <c r="Z61" s="643"/>
      <c r="AA61" s="644"/>
      <c r="AB61" s="644"/>
      <c r="AC61" s="643"/>
      <c r="AD61" s="644"/>
      <c r="AE61" s="644"/>
      <c r="AF61" s="644"/>
    </row>
    <row r="62" spans="10:32">
      <c r="K62" s="28"/>
      <c r="L62" s="28"/>
      <c r="M62" s="188"/>
      <c r="R62" s="646" t="s">
        <v>967</v>
      </c>
      <c r="S62" s="641" t="s">
        <v>962</v>
      </c>
      <c r="W62" s="643">
        <v>34316</v>
      </c>
      <c r="X62" s="644">
        <f>W62/W$67</f>
        <v>5.7283574056997792E-3</v>
      </c>
      <c r="Y62" s="644"/>
      <c r="Z62" s="643">
        <v>1693</v>
      </c>
      <c r="AA62" s="644">
        <f>Z62/Z$67</f>
        <v>1.6778141045398101E-3</v>
      </c>
      <c r="AB62" s="644"/>
      <c r="AC62" s="643">
        <v>1114</v>
      </c>
      <c r="AD62" s="644">
        <f>AC62/AC$67</f>
        <v>6.7609805242491005E-3</v>
      </c>
      <c r="AE62" s="644"/>
      <c r="AF62" s="644">
        <f>AVERAGE(X62,AA62,AD62)</f>
        <v>4.7223840114962298E-3</v>
      </c>
    </row>
    <row r="63" spans="10:32">
      <c r="R63" s="646"/>
      <c r="S63" s="641"/>
      <c r="W63" s="643"/>
      <c r="X63" s="644"/>
      <c r="Y63" s="644"/>
      <c r="Z63" s="643"/>
      <c r="AA63" s="644"/>
      <c r="AB63" s="644"/>
      <c r="AC63" s="643"/>
      <c r="AD63" s="644"/>
      <c r="AE63" s="644"/>
      <c r="AF63" s="644"/>
    </row>
    <row r="64" spans="10:32">
      <c r="R64" s="646" t="s">
        <v>968</v>
      </c>
      <c r="S64" s="641" t="s">
        <v>974</v>
      </c>
      <c r="W64" s="643">
        <v>58877</v>
      </c>
      <c r="X64" s="644">
        <f>W64/W$67</f>
        <v>9.8283162074654946E-3</v>
      </c>
      <c r="Y64" s="644"/>
      <c r="Z64" s="643">
        <v>0</v>
      </c>
      <c r="AA64" s="644">
        <f>Z64/Z$67</f>
        <v>0</v>
      </c>
      <c r="AB64" s="644"/>
      <c r="AC64" s="643">
        <v>43587</v>
      </c>
      <c r="AD64" s="644">
        <f>AC64/AC$67</f>
        <v>0.26453398394115396</v>
      </c>
      <c r="AE64" s="644"/>
      <c r="AF64" s="644">
        <f>AVERAGE(X64,AA64,AD64)</f>
        <v>9.1454100049539813E-2</v>
      </c>
    </row>
    <row r="65" spans="18:32">
      <c r="R65" s="646"/>
      <c r="S65" s="646"/>
      <c r="W65" s="643"/>
      <c r="X65" s="644"/>
      <c r="Y65" s="644"/>
      <c r="Z65" s="643"/>
      <c r="AA65" s="644"/>
      <c r="AB65" s="644"/>
      <c r="AC65" s="647"/>
      <c r="AD65" s="648"/>
      <c r="AE65" s="644"/>
      <c r="AF65" s="644"/>
    </row>
    <row r="66" spans="18:32">
      <c r="W66" s="649"/>
      <c r="X66" s="650"/>
      <c r="Y66" s="650"/>
      <c r="Z66" s="649"/>
      <c r="AA66" s="650"/>
      <c r="AB66" s="650"/>
      <c r="AC66" s="651"/>
      <c r="AD66" s="652"/>
      <c r="AE66" s="650"/>
      <c r="AF66" s="650"/>
    </row>
    <row r="67" spans="18:32">
      <c r="R67" s="653" t="s">
        <v>973</v>
      </c>
      <c r="S67" s="654" t="s">
        <v>856</v>
      </c>
      <c r="T67" s="655"/>
      <c r="U67" s="655"/>
      <c r="V67" s="655"/>
      <c r="W67" s="656">
        <f>SUM(W50:W65)</f>
        <v>5990548</v>
      </c>
      <c r="X67" s="901">
        <f>SUM(X50:X65)</f>
        <v>1</v>
      </c>
      <c r="Y67" s="648"/>
      <c r="Z67" s="656">
        <f>SUM(Z50:Z65)</f>
        <v>1009051</v>
      </c>
      <c r="AA67" s="901">
        <f>SUM(AA50:AA65)</f>
        <v>0.99999999999999989</v>
      </c>
      <c r="AB67" s="648"/>
      <c r="AC67" s="656">
        <f>SUM(AC50:AC65)</f>
        <v>164769</v>
      </c>
      <c r="AD67" s="901">
        <f>SUM(AD50:AD65)</f>
        <v>1</v>
      </c>
      <c r="AE67" s="648"/>
      <c r="AF67" s="902">
        <f>AVERAGE(X67,AA67,AD67)</f>
        <v>1</v>
      </c>
    </row>
    <row r="68" spans="18:32" ht="13.5" thickBot="1">
      <c r="W68" s="657"/>
      <c r="X68" s="657"/>
      <c r="Y68" s="657"/>
      <c r="Z68" s="657"/>
      <c r="AA68" s="657"/>
      <c r="AB68" s="657"/>
      <c r="AC68" s="657"/>
      <c r="AD68" s="657"/>
      <c r="AE68" s="657"/>
      <c r="AF68" s="657"/>
    </row>
    <row r="69" spans="18:32" ht="13.5" thickTop="1"/>
    <row r="70" spans="18:32">
      <c r="R70" s="658" t="s">
        <v>857</v>
      </c>
      <c r="W70" s="645"/>
      <c r="Z70" s="659"/>
      <c r="AA70" s="659"/>
      <c r="AB70" s="659"/>
      <c r="AC70" s="659"/>
      <c r="AD70" s="659"/>
      <c r="AE70" s="659"/>
      <c r="AF70" s="659"/>
    </row>
    <row r="71" spans="18:32"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</row>
    <row r="72" spans="18:32"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</row>
    <row r="73" spans="18:32"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</row>
    <row r="74" spans="18:32"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</row>
    <row r="75" spans="18:32"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</row>
    <row r="76" spans="18:32"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</row>
    <row r="77" spans="18:32"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</row>
    <row r="78" spans="18:32">
      <c r="Z78" s="643"/>
      <c r="AA78" s="643"/>
      <c r="AB78" s="643"/>
      <c r="AC78" s="643"/>
    </row>
  </sheetData>
  <mergeCells count="26">
    <mergeCell ref="R2:AF2"/>
    <mergeCell ref="R3:AF3"/>
    <mergeCell ref="R4:AF4"/>
    <mergeCell ref="R5:AF5"/>
    <mergeCell ref="R6:AF6"/>
    <mergeCell ref="R7:AF7"/>
    <mergeCell ref="Z11:AA11"/>
    <mergeCell ref="W12:X12"/>
    <mergeCell ref="Z12:AA12"/>
    <mergeCell ref="AC12:AD12"/>
    <mergeCell ref="W13:X13"/>
    <mergeCell ref="Z13:AA13"/>
    <mergeCell ref="AC13:AD13"/>
    <mergeCell ref="R36:AF36"/>
    <mergeCell ref="R37:AF37"/>
    <mergeCell ref="R38:AF38"/>
    <mergeCell ref="R39:AF39"/>
    <mergeCell ref="R40:AF40"/>
    <mergeCell ref="R41:AF41"/>
    <mergeCell ref="Z45:AA45"/>
    <mergeCell ref="W47:X47"/>
    <mergeCell ref="Z47:AA47"/>
    <mergeCell ref="AC47:AD47"/>
    <mergeCell ref="W46:X46"/>
    <mergeCell ref="Z46:AA46"/>
    <mergeCell ref="AC46:AD46"/>
  </mergeCells>
  <phoneticPr fontId="0" type="noConversion"/>
  <printOptions horizontalCentered="1"/>
  <pageMargins left="0.75" right="0.75" top="1" bottom="1" header="0.5" footer="0.5"/>
  <pageSetup scale="83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N139"/>
  <sheetViews>
    <sheetView zoomScaleNormal="100" workbookViewId="0">
      <selection activeCell="G17" sqref="G17"/>
    </sheetView>
  </sheetViews>
  <sheetFormatPr defaultColWidth="9.140625" defaultRowHeight="12.75"/>
  <cols>
    <col min="1" max="1" width="5.85546875" style="985" customWidth="1"/>
    <col min="2" max="2" width="5.5703125" style="985" customWidth="1"/>
    <col min="3" max="3" width="5.28515625" style="985" customWidth="1"/>
    <col min="4" max="4" width="29.7109375" style="985" customWidth="1"/>
    <col min="5" max="6" width="18.140625" style="985" customWidth="1"/>
    <col min="7" max="7" width="14.28515625" style="985" customWidth="1"/>
    <col min="8" max="8" width="17.7109375" style="985" bestFit="1" customWidth="1"/>
    <col min="9" max="9" width="3.85546875" style="985" customWidth="1"/>
    <col min="10" max="10" width="14.5703125" style="985" bestFit="1" customWidth="1"/>
    <col min="11" max="11" width="5" style="985" customWidth="1"/>
    <col min="12" max="12" width="10.140625" style="985" customWidth="1"/>
    <col min="13" max="13" width="9.140625" style="985"/>
    <col min="14" max="14" width="11.28515625" style="985" customWidth="1"/>
    <col min="15" max="16384" width="9.140625" style="985"/>
  </cols>
  <sheetData>
    <row r="1" spans="2:9">
      <c r="B1" s="12"/>
      <c r="C1" s="12"/>
      <c r="D1" s="12"/>
      <c r="E1" s="12"/>
      <c r="F1" s="12"/>
    </row>
    <row r="2" spans="2:9">
      <c r="B2" s="1105" t="s">
        <v>1177</v>
      </c>
      <c r="C2" s="1105"/>
      <c r="D2" s="1105"/>
      <c r="E2" s="1105"/>
      <c r="F2" s="1105"/>
      <c r="G2" s="1105"/>
      <c r="H2" s="1105"/>
      <c r="I2" s="1105"/>
    </row>
    <row r="3" spans="2:9">
      <c r="B3" s="12" t="str">
        <f>'Control Panel'!B1</f>
        <v>Dominion Energy</v>
      </c>
      <c r="C3" s="12"/>
      <c r="D3" s="682"/>
    </row>
    <row r="4" spans="2:9">
      <c r="B4" s="12" t="str">
        <f>'Control Panel'!B2</f>
        <v>Utah - June 2023 Adjusted Avg Results</v>
      </c>
      <c r="C4" s="12"/>
      <c r="D4" s="12"/>
    </row>
    <row r="5" spans="2:9">
      <c r="B5" s="12" t="str">
        <f>'Control Panel'!B3</f>
        <v>12 Months Ended : Jun-2023</v>
      </c>
      <c r="C5" s="12"/>
      <c r="D5" s="12"/>
      <c r="G5" s="22"/>
      <c r="H5" s="22"/>
      <c r="I5" s="22"/>
    </row>
    <row r="6" spans="2:9">
      <c r="B6" s="1024"/>
      <c r="G6" s="22"/>
      <c r="H6" s="22"/>
      <c r="I6" s="22"/>
    </row>
    <row r="9" spans="2:9">
      <c r="B9" s="1106" t="s">
        <v>1177</v>
      </c>
      <c r="C9" s="1106"/>
      <c r="D9" s="1106"/>
      <c r="E9" s="1106"/>
      <c r="F9" s="1106"/>
      <c r="G9" s="1106"/>
      <c r="H9" s="1106"/>
      <c r="I9" s="1106"/>
    </row>
    <row r="10" spans="2:9">
      <c r="B10" s="1106" t="str">
        <f>+B5</f>
        <v>12 Months Ended : Jun-2023</v>
      </c>
      <c r="C10" s="1106"/>
      <c r="D10" s="1106"/>
      <c r="E10" s="1106"/>
      <c r="F10" s="1106"/>
      <c r="G10" s="1106"/>
      <c r="H10" s="1106"/>
      <c r="I10" s="1106"/>
    </row>
    <row r="12" spans="2:9">
      <c r="D12" s="1025" t="s">
        <v>732</v>
      </c>
      <c r="E12" s="1025" t="s">
        <v>733</v>
      </c>
      <c r="F12" s="1025" t="s">
        <v>734</v>
      </c>
      <c r="G12" s="1026" t="s">
        <v>735</v>
      </c>
      <c r="H12" s="1025" t="s">
        <v>720</v>
      </c>
      <c r="I12" s="1027"/>
    </row>
    <row r="13" spans="2:9">
      <c r="D13" s="1025"/>
      <c r="E13" s="1025"/>
      <c r="F13" s="1027"/>
      <c r="H13" s="1027" t="s">
        <v>860</v>
      </c>
    </row>
    <row r="14" spans="2:9">
      <c r="E14" s="1027"/>
      <c r="F14" s="1028"/>
      <c r="H14" s="1027" t="s">
        <v>937</v>
      </c>
    </row>
    <row r="15" spans="2:9" ht="25.5">
      <c r="B15" s="1029"/>
      <c r="C15" s="1029"/>
      <c r="D15" s="1030"/>
      <c r="E15" s="684" t="s">
        <v>1178</v>
      </c>
      <c r="F15" s="684" t="s">
        <v>1179</v>
      </c>
      <c r="G15" s="684" t="s">
        <v>1180</v>
      </c>
      <c r="H15" s="684"/>
      <c r="I15" s="684"/>
    </row>
    <row r="16" spans="2:9" ht="13.5" thickBot="1">
      <c r="C16" s="1107" t="s">
        <v>6</v>
      </c>
      <c r="D16" s="1107"/>
      <c r="E16" s="1031" t="s">
        <v>1499</v>
      </c>
      <c r="F16" s="1031" t="s">
        <v>1270</v>
      </c>
      <c r="G16" s="1031" t="s">
        <v>1500</v>
      </c>
      <c r="H16" s="1032" t="s">
        <v>40</v>
      </c>
    </row>
    <row r="17" spans="2:9">
      <c r="C17" s="1028"/>
      <c r="D17" s="1033"/>
      <c r="E17" s="687"/>
      <c r="F17" s="687"/>
      <c r="H17" s="687"/>
    </row>
    <row r="18" spans="2:9">
      <c r="B18" s="1028">
        <v>1</v>
      </c>
      <c r="C18" s="1028">
        <v>403</v>
      </c>
      <c r="D18" s="1033" t="s">
        <v>398</v>
      </c>
      <c r="E18" s="1028"/>
      <c r="F18" s="1028"/>
      <c r="H18" s="1028"/>
    </row>
    <row r="19" spans="2:9">
      <c r="B19" s="1028">
        <v>2</v>
      </c>
      <c r="C19" s="1028"/>
      <c r="D19" s="1033" t="s">
        <v>399</v>
      </c>
      <c r="E19" s="1034">
        <f>EXPENSES!F388</f>
        <v>677344.67999999993</v>
      </c>
      <c r="F19" s="339">
        <f>[14]EXPENSES.XNV!$R$385</f>
        <v>69316.78</v>
      </c>
      <c r="G19" s="1034"/>
      <c r="H19" s="1034">
        <v>0</v>
      </c>
    </row>
    <row r="20" spans="2:9">
      <c r="B20" s="1028">
        <v>3</v>
      </c>
      <c r="C20" s="1028"/>
      <c r="D20" s="1033" t="s">
        <v>542</v>
      </c>
      <c r="E20" s="1034">
        <f>EXPENSES!F389</f>
        <v>2532942.0300000003</v>
      </c>
      <c r="F20" s="339">
        <f>[14]EXPENSES.XNV!$R$386</f>
        <v>203701.64</v>
      </c>
      <c r="G20" s="1034">
        <f>+F20*12</f>
        <v>2444419.6800000002</v>
      </c>
      <c r="H20" s="1034">
        <f>+G20-E20</f>
        <v>-88522.350000000093</v>
      </c>
    </row>
    <row r="21" spans="2:9">
      <c r="B21" s="1028">
        <v>4</v>
      </c>
      <c r="C21" s="1028"/>
      <c r="D21" s="1033" t="s">
        <v>543</v>
      </c>
      <c r="E21" s="1034">
        <f>EXPENSES!F390</f>
        <v>84756223.760000005</v>
      </c>
      <c r="F21" s="339">
        <f>[14]EXPENSES.XNV!$R$387</f>
        <v>6333889.7599999998</v>
      </c>
      <c r="G21" s="1034">
        <f>+F21*12</f>
        <v>76006677.120000005</v>
      </c>
      <c r="H21" s="1034">
        <f>+G21-E21</f>
        <v>-8749546.6400000006</v>
      </c>
    </row>
    <row r="22" spans="2:9">
      <c r="B22" s="1028">
        <v>5</v>
      </c>
      <c r="C22" s="1028"/>
      <c r="D22" s="1033" t="s">
        <v>544</v>
      </c>
      <c r="E22" s="1034">
        <f>EXPENSES!F391</f>
        <v>7552499.9100000001</v>
      </c>
      <c r="F22" s="339">
        <f>[14]EXPENSES.XNV!$R$388</f>
        <v>613377.12</v>
      </c>
      <c r="G22" s="1034">
        <f>+F22*12</f>
        <v>7360525.4399999995</v>
      </c>
      <c r="H22" s="1034">
        <f>+G22-E22</f>
        <v>-191974.47000000067</v>
      </c>
    </row>
    <row r="23" spans="2:9">
      <c r="B23" s="1028">
        <v>6</v>
      </c>
      <c r="C23" s="1028"/>
      <c r="D23" s="1033" t="s">
        <v>545</v>
      </c>
      <c r="E23" s="1035">
        <f>SUM(E19:E22)</f>
        <v>95519010.379999995</v>
      </c>
      <c r="F23" s="1035">
        <f>SUM(F19:F22)</f>
        <v>7220285.2999999998</v>
      </c>
      <c r="G23" s="1035">
        <f>SUM(G19:G22)</f>
        <v>85811622.24000001</v>
      </c>
      <c r="H23" s="91">
        <f>SUM(H19:H22)</f>
        <v>-9030043.4600000009</v>
      </c>
    </row>
    <row r="24" spans="2:9">
      <c r="D24" s="1033"/>
      <c r="F24" s="986"/>
      <c r="G24" s="265"/>
      <c r="H24" s="265"/>
      <c r="I24" s="265"/>
    </row>
    <row r="25" spans="2:9">
      <c r="B25" s="1028"/>
      <c r="D25" s="1036"/>
    </row>
    <row r="26" spans="2:9">
      <c r="H26" s="986"/>
    </row>
    <row r="139" spans="1:14" s="1028" customFormat="1">
      <c r="A139" s="1108"/>
      <c r="B139" s="1108"/>
      <c r="C139" s="682"/>
      <c r="D139" s="682"/>
      <c r="E139" s="682"/>
      <c r="F139" s="682"/>
      <c r="G139" s="682"/>
      <c r="H139" s="682"/>
      <c r="I139" s="682"/>
      <c r="J139" s="682"/>
      <c r="K139" s="682"/>
      <c r="L139" s="682"/>
      <c r="M139" s="985"/>
      <c r="N139" s="127"/>
    </row>
  </sheetData>
  <mergeCells count="5">
    <mergeCell ref="B2:I2"/>
    <mergeCell ref="B9:I9"/>
    <mergeCell ref="B10:I10"/>
    <mergeCell ref="C16:D16"/>
    <mergeCell ref="A139:B139"/>
  </mergeCells>
  <pageMargins left="0.7" right="0.7" top="0.75" bottom="0.75" header="0.3" footer="0.3"/>
  <pageSetup scale="80" orientation="portrait" horizontalDpi="1200" verticalDpi="1200" r:id="rId1"/>
  <colBreaks count="1" manualBreakCount="1">
    <brk id="8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2">
    <tabColor rgb="FF92D050"/>
    <pageSetUpPr fitToPage="1"/>
  </sheetPr>
  <dimension ref="A1:V75"/>
  <sheetViews>
    <sheetView zoomScale="80" zoomScaleNormal="8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G6" sqref="G6"/>
    </sheetView>
  </sheetViews>
  <sheetFormatPr defaultColWidth="14.7109375" defaultRowHeight="12.75"/>
  <cols>
    <col min="1" max="1" width="5.7109375" customWidth="1"/>
    <col min="2" max="2" width="3.7109375" customWidth="1"/>
    <col min="3" max="3" width="5.7109375" customWidth="1"/>
    <col min="4" max="4" width="3.7109375" customWidth="1"/>
    <col min="5" max="5" width="29.28515625" customWidth="1"/>
    <col min="6" max="6" width="13.42578125" bestFit="1" customWidth="1"/>
    <col min="7" max="7" width="19" bestFit="1" customWidth="1"/>
    <col min="8" max="8" width="14.140625" customWidth="1"/>
    <col min="9" max="9" width="12.28515625" customWidth="1"/>
    <col min="10" max="11" width="12.28515625" hidden="1" customWidth="1"/>
    <col min="12" max="18" width="12.28515625" customWidth="1"/>
    <col min="19" max="19" width="13.42578125" customWidth="1"/>
    <col min="20" max="20" width="2.42578125" customWidth="1"/>
    <col min="21" max="21" width="15.85546875" customWidth="1"/>
    <col min="22" max="67" width="14.7109375" customWidth="1"/>
    <col min="68" max="68" width="16.85546875" customWidth="1"/>
    <col min="69" max="79" width="14.7109375" customWidth="1"/>
    <col min="80" max="80" width="15.42578125" customWidth="1"/>
    <col min="81" max="94" width="14.7109375" customWidth="1"/>
    <col min="95" max="95" width="16.85546875" customWidth="1"/>
    <col min="96" max="97" width="14.7109375" customWidth="1"/>
    <col min="98" max="98" width="16.42578125" customWidth="1"/>
    <col min="99" max="112" width="14.7109375" customWidth="1"/>
    <col min="113" max="113" width="1" customWidth="1"/>
    <col min="114" max="114" width="14.7109375" customWidth="1"/>
    <col min="115" max="115" width="2" customWidth="1"/>
    <col min="116" max="119" width="14.7109375" customWidth="1"/>
    <col min="120" max="120" width="16.28515625" customWidth="1"/>
  </cols>
  <sheetData>
    <row r="1" spans="1:22">
      <c r="A1" s="45" t="str">
        <f>+'Control Panel'!$B$1</f>
        <v>Dominion Energy</v>
      </c>
      <c r="B1" s="16"/>
      <c r="C1" s="16"/>
      <c r="D1" s="16"/>
      <c r="E1" s="16"/>
      <c r="F1" s="217"/>
      <c r="G1" s="217"/>
      <c r="H1" s="217"/>
      <c r="I1" s="217"/>
      <c r="J1" s="217" t="s">
        <v>1495</v>
      </c>
      <c r="K1" s="217"/>
      <c r="L1" s="217"/>
      <c r="M1" s="217"/>
      <c r="N1" s="217"/>
      <c r="O1" s="217"/>
      <c r="P1" s="217"/>
      <c r="Q1" s="217"/>
      <c r="R1" s="217"/>
      <c r="S1" s="217"/>
      <c r="U1" s="217"/>
    </row>
    <row r="2" spans="1:22">
      <c r="A2" s="45" t="str">
        <f>+'Control Panel'!$B$2</f>
        <v>Utah - June 2023 Adjusted Avg Results</v>
      </c>
      <c r="B2" s="16"/>
      <c r="C2" s="16"/>
      <c r="D2" s="16"/>
      <c r="E2" s="16"/>
    </row>
    <row r="3" spans="1:22" s="218" customFormat="1" ht="15" customHeight="1">
      <c r="A3" s="309" t="str">
        <f>+'Control Panel'!$B$3</f>
        <v>12 Months Ended : Jun-2023</v>
      </c>
      <c r="B3" s="16"/>
      <c r="C3" s="16"/>
      <c r="D3" s="16"/>
      <c r="E3" s="16"/>
      <c r="F3" s="372"/>
      <c r="G3" s="372"/>
      <c r="H3" s="372"/>
      <c r="I3" s="372"/>
      <c r="J3" s="372"/>
      <c r="K3" s="372"/>
      <c r="L3" s="372"/>
      <c r="M3" s="372"/>
      <c r="N3" s="372"/>
      <c r="O3" s="372"/>
      <c r="P3" s="372"/>
      <c r="Q3" s="372"/>
      <c r="R3" s="372"/>
      <c r="S3" s="372"/>
      <c r="T3"/>
      <c r="U3" s="372"/>
    </row>
    <row r="4" spans="1:22">
      <c r="A4" s="309"/>
      <c r="B4" s="16"/>
      <c r="C4" s="16"/>
      <c r="D4" s="16"/>
      <c r="E4" s="16"/>
      <c r="F4" s="219">
        <f>+Adjustments!F6</f>
        <v>1</v>
      </c>
      <c r="G4" s="219">
        <f>+Adjustments!G6</f>
        <v>2</v>
      </c>
      <c r="H4" s="219">
        <f>+Adjustments!H6</f>
        <v>3</v>
      </c>
      <c r="I4" s="219">
        <f>+Adjustments!I6</f>
        <v>4</v>
      </c>
      <c r="J4" s="219">
        <f>+Adjustments!J6</f>
        <v>5</v>
      </c>
      <c r="K4" s="219">
        <f>+Adjustments!K6</f>
        <v>6</v>
      </c>
      <c r="L4" s="219">
        <f>+Adjustments!L6</f>
        <v>7</v>
      </c>
      <c r="M4" s="219">
        <f>+Adjustments!M6</f>
        <v>8</v>
      </c>
      <c r="N4" s="219">
        <f>+Adjustments!N6</f>
        <v>9</v>
      </c>
      <c r="O4" s="219">
        <f>+Adjustments!O6</f>
        <v>10</v>
      </c>
      <c r="P4" s="219">
        <f>+Adjustments!P6</f>
        <v>11</v>
      </c>
      <c r="Q4" s="219">
        <f>+Adjustments!Q6</f>
        <v>12</v>
      </c>
      <c r="R4" s="219">
        <f>+Adjustments!R6</f>
        <v>13</v>
      </c>
      <c r="S4" s="219">
        <f>+Adjustments!S6</f>
        <v>14</v>
      </c>
      <c r="U4" s="219"/>
    </row>
    <row r="5" spans="1:22" s="218" customFormat="1" ht="22.5" customHeight="1">
      <c r="A5" s="275"/>
      <c r="B5" s="16"/>
      <c r="C5" s="16"/>
      <c r="D5" s="16"/>
      <c r="E5" s="16"/>
      <c r="F5" s="219" t="str">
        <f>+Adjustments!F8</f>
        <v>Y</v>
      </c>
      <c r="G5" s="219" t="str">
        <f>+Adjustments!G8</f>
        <v>Y</v>
      </c>
      <c r="H5" s="219" t="str">
        <f>+Adjustments!H8</f>
        <v>Y</v>
      </c>
      <c r="I5" s="219" t="str">
        <f>+Adjustments!I8</f>
        <v>Y</v>
      </c>
      <c r="J5" s="219" t="str">
        <f>+Adjustments!J8</f>
        <v>N</v>
      </c>
      <c r="K5" s="219" t="str">
        <f>+Adjustments!K8</f>
        <v>N</v>
      </c>
      <c r="L5" s="219" t="str">
        <f>+Adjustments!L8</f>
        <v>Y</v>
      </c>
      <c r="M5" s="219" t="str">
        <f>+Adjustments!M8</f>
        <v>Y</v>
      </c>
      <c r="N5" s="219" t="str">
        <f>+Adjustments!N8</f>
        <v>Y</v>
      </c>
      <c r="O5" s="219" t="str">
        <f>+Adjustments!O8</f>
        <v>Y</v>
      </c>
      <c r="P5" s="219" t="str">
        <f>+Adjustments!P8</f>
        <v>Y</v>
      </c>
      <c r="Q5" s="219" t="str">
        <f>+Adjustments!Q8</f>
        <v>Y</v>
      </c>
      <c r="R5" s="219" t="str">
        <f>+Adjustments!R8</f>
        <v>Y</v>
      </c>
      <c r="S5" s="219" t="str">
        <f>+Adjustments!S8</f>
        <v>Y</v>
      </c>
      <c r="T5"/>
      <c r="U5" s="219"/>
    </row>
    <row r="6" spans="1:22" ht="49.5" customHeight="1" thickBot="1">
      <c r="A6" s="16"/>
      <c r="B6" s="16"/>
      <c r="C6" s="16"/>
      <c r="D6" s="16"/>
      <c r="E6" s="16"/>
      <c r="F6" s="220" t="str">
        <f>Adjustments!F9</f>
        <v>AVG RB June 2023</v>
      </c>
      <c r="G6" s="220" t="str">
        <f>Adjustments!G9</f>
        <v xml:space="preserve"> Energy Efficiency &amp; STEP Dec 2022</v>
      </c>
      <c r="H6" s="220" t="str">
        <f>Adjustments!H9</f>
        <v>Underground Storage</v>
      </c>
      <c r="I6" s="220" t="str">
        <f>Adjustments!I9</f>
        <v>Wexpro</v>
      </c>
      <c r="J6" s="220" t="str">
        <f>Adjustments!J9</f>
        <v>Transition Costs</v>
      </c>
      <c r="K6" s="220">
        <f>Adjustments!K9</f>
        <v>0</v>
      </c>
      <c r="L6" s="220" t="str">
        <f>Adjustments!L9</f>
        <v>Bad Debt</v>
      </c>
      <c r="M6" s="220" t="str">
        <f>Adjustments!M9</f>
        <v xml:space="preserve"> Incentives</v>
      </c>
      <c r="N6" s="220" t="str">
        <f>Adjustments!N9</f>
        <v xml:space="preserve"> Sporting Events </v>
      </c>
      <c r="O6" s="220" t="str">
        <f>Adjustments!O9</f>
        <v xml:space="preserve"> Advertising </v>
      </c>
      <c r="P6" s="220" t="str">
        <f>Adjustments!P9</f>
        <v xml:space="preserve"> Don &amp; Membership </v>
      </c>
      <c r="Q6" s="220" t="str">
        <f>Adjustments!Q9</f>
        <v xml:space="preserve"> Reserve accrual </v>
      </c>
      <c r="R6" s="220" t="str">
        <f>Adjustments!R9</f>
        <v xml:space="preserve"> Labor Adj </v>
      </c>
      <c r="S6" s="220" t="str">
        <f>Adjustments!S9</f>
        <v>Pension</v>
      </c>
      <c r="U6" s="220" t="str">
        <f>Adjustments!T9</f>
        <v>TOTAL  ADJUSTMENTS</v>
      </c>
    </row>
    <row r="7" spans="1:22">
      <c r="A7" s="18"/>
      <c r="B7" s="16"/>
      <c r="C7" s="16"/>
      <c r="D7" s="16"/>
      <c r="E7" s="16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U7" s="15"/>
    </row>
    <row r="8" spans="1:22">
      <c r="A8" s="18">
        <v>1</v>
      </c>
      <c r="B8" s="13" t="s">
        <v>443</v>
      </c>
      <c r="C8" s="13"/>
      <c r="D8" s="13"/>
      <c r="E8" s="13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U8" s="15"/>
    </row>
    <row r="9" spans="1:22">
      <c r="A9" s="18"/>
      <c r="B9" s="16"/>
      <c r="C9" s="16"/>
      <c r="D9" s="16"/>
      <c r="E9" s="16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U9" s="15"/>
    </row>
    <row r="10" spans="1:22">
      <c r="A10" s="18">
        <f>+A8+1</f>
        <v>2</v>
      </c>
      <c r="B10" s="13" t="s">
        <v>157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U10" s="15"/>
    </row>
    <row r="11" spans="1:22">
      <c r="A11" s="18">
        <f t="shared" ref="A11:A16" si="0">+A10+1</f>
        <v>3</v>
      </c>
      <c r="B11" s="13"/>
      <c r="C11" s="15"/>
      <c r="D11" s="15" t="s">
        <v>444</v>
      </c>
      <c r="E11" s="15"/>
      <c r="F11" s="15">
        <f>Adjustments!F363+Adjustments!F365</f>
        <v>0</v>
      </c>
      <c r="G11" s="15">
        <f>Adjustments!G363+Adjustments!G365</f>
        <v>-26231775.859999996</v>
      </c>
      <c r="H11" s="15">
        <f>Adjustments!H363+Adjustments!H365</f>
        <v>0</v>
      </c>
      <c r="I11" s="15">
        <f>Adjustments!I363+Adjustments!I365</f>
        <v>0</v>
      </c>
      <c r="J11" s="15">
        <f>Adjustments!J363+Adjustments!J365</f>
        <v>0</v>
      </c>
      <c r="K11" s="15">
        <f>Adjustments!K363+Adjustments!K365</f>
        <v>0</v>
      </c>
      <c r="L11" s="15">
        <f>Adjustments!L363+Adjustments!L365</f>
        <v>0</v>
      </c>
      <c r="M11" s="15">
        <f>Adjustments!M363+Adjustments!M365</f>
        <v>0</v>
      </c>
      <c r="N11" s="15">
        <f>Adjustments!N363+Adjustments!N365</f>
        <v>0</v>
      </c>
      <c r="O11" s="15">
        <f>Adjustments!O363+Adjustments!O365</f>
        <v>0</v>
      </c>
      <c r="P11" s="15">
        <f>Adjustments!P363+Adjustments!P365</f>
        <v>0</v>
      </c>
      <c r="Q11" s="15">
        <f>Adjustments!Q363+Adjustments!Q365</f>
        <v>0</v>
      </c>
      <c r="R11" s="15">
        <f>Adjustments!R363+Adjustments!R365</f>
        <v>0</v>
      </c>
      <c r="S11" s="15">
        <f>Adjustments!S363+Adjustments!S365</f>
        <v>0</v>
      </c>
      <c r="U11" s="15">
        <f>Adjustments!T363+Adjustments!T365</f>
        <v>-26231775.859999996</v>
      </c>
      <c r="V11" s="1"/>
    </row>
    <row r="12" spans="1:22">
      <c r="A12" s="18">
        <f t="shared" si="0"/>
        <v>4</v>
      </c>
      <c r="B12" s="13"/>
      <c r="C12" s="15"/>
      <c r="D12" s="15" t="s">
        <v>445</v>
      </c>
      <c r="E12" s="15"/>
      <c r="F12" s="15">
        <f>Adjustments!F364</f>
        <v>0</v>
      </c>
      <c r="G12" s="15">
        <f>Adjustments!G364</f>
        <v>0</v>
      </c>
      <c r="H12" s="15">
        <f>Adjustments!H364</f>
        <v>0</v>
      </c>
      <c r="I12" s="15">
        <f>Adjustments!I364</f>
        <v>0</v>
      </c>
      <c r="J12" s="15">
        <f>Adjustments!J364</f>
        <v>0</v>
      </c>
      <c r="K12" s="15">
        <f>Adjustments!K364</f>
        <v>0</v>
      </c>
      <c r="L12" s="15">
        <f>Adjustments!L364</f>
        <v>0</v>
      </c>
      <c r="M12" s="15">
        <f>Adjustments!M364</f>
        <v>0</v>
      </c>
      <c r="N12" s="15">
        <f>Adjustments!N364</f>
        <v>0</v>
      </c>
      <c r="O12" s="15">
        <f>Adjustments!O364</f>
        <v>0</v>
      </c>
      <c r="P12" s="15">
        <f>Adjustments!P364</f>
        <v>0</v>
      </c>
      <c r="Q12" s="15">
        <f>Adjustments!Q364</f>
        <v>0</v>
      </c>
      <c r="R12" s="15">
        <f>Adjustments!R364</f>
        <v>0</v>
      </c>
      <c r="S12" s="15">
        <f>Adjustments!S364</f>
        <v>0</v>
      </c>
      <c r="U12" s="15">
        <f>Adjustments!T364</f>
        <v>0</v>
      </c>
      <c r="V12" s="1"/>
    </row>
    <row r="13" spans="1:22">
      <c r="A13" s="18">
        <f t="shared" si="0"/>
        <v>5</v>
      </c>
      <c r="B13" s="13"/>
      <c r="C13" s="15"/>
      <c r="D13" s="15" t="s">
        <v>446</v>
      </c>
      <c r="E13" s="15"/>
      <c r="F13" s="15">
        <f>Adjustments!F366</f>
        <v>0</v>
      </c>
      <c r="G13" s="15">
        <f>Adjustments!G366</f>
        <v>0</v>
      </c>
      <c r="H13" s="15">
        <f>Adjustments!H366</f>
        <v>0</v>
      </c>
      <c r="I13" s="15">
        <f>Adjustments!I366</f>
        <v>0</v>
      </c>
      <c r="J13" s="15">
        <f>Adjustments!J366</f>
        <v>0</v>
      </c>
      <c r="K13" s="15">
        <f>Adjustments!K366</f>
        <v>0</v>
      </c>
      <c r="L13" s="15">
        <f>Adjustments!L366</f>
        <v>0</v>
      </c>
      <c r="M13" s="15">
        <f>Adjustments!M366</f>
        <v>0</v>
      </c>
      <c r="N13" s="15">
        <f>Adjustments!N366</f>
        <v>0</v>
      </c>
      <c r="O13" s="15">
        <f>Adjustments!O366</f>
        <v>0</v>
      </c>
      <c r="P13" s="15">
        <f>Adjustments!P366</f>
        <v>0</v>
      </c>
      <c r="Q13" s="15">
        <f>Adjustments!Q366</f>
        <v>0</v>
      </c>
      <c r="R13" s="15">
        <f>Adjustments!R366</f>
        <v>0</v>
      </c>
      <c r="S13" s="15">
        <f>Adjustments!S366</f>
        <v>0</v>
      </c>
      <c r="U13" s="15">
        <f>Adjustments!T366</f>
        <v>0</v>
      </c>
      <c r="V13" s="1"/>
    </row>
    <row r="14" spans="1:22">
      <c r="A14" s="18">
        <f t="shared" si="0"/>
        <v>6</v>
      </c>
      <c r="B14" s="13"/>
      <c r="C14" s="15"/>
      <c r="D14" s="15" t="s">
        <v>447</v>
      </c>
      <c r="E14" s="15"/>
      <c r="F14" s="15">
        <f>Adjustments!F501+Adjustments!F505</f>
        <v>0</v>
      </c>
      <c r="G14" s="15">
        <f>Adjustments!G501+Adjustments!G505</f>
        <v>0</v>
      </c>
      <c r="H14" s="15">
        <f>Adjustments!H501+Adjustments!H505</f>
        <v>0</v>
      </c>
      <c r="I14" s="15">
        <f>Adjustments!I501+Adjustments!I505</f>
        <v>0</v>
      </c>
      <c r="J14" s="15">
        <f>Adjustments!J501+Adjustments!J505</f>
        <v>0</v>
      </c>
      <c r="K14" s="15">
        <f>Adjustments!K501+Adjustments!K505</f>
        <v>0</v>
      </c>
      <c r="L14" s="15">
        <f>Adjustments!L501+Adjustments!L505</f>
        <v>0</v>
      </c>
      <c r="M14" s="15">
        <f>Adjustments!M501+Adjustments!M505</f>
        <v>0</v>
      </c>
      <c r="N14" s="15">
        <f>Adjustments!N501+Adjustments!N505</f>
        <v>0</v>
      </c>
      <c r="O14" s="15">
        <f>Adjustments!O501+Adjustments!O505</f>
        <v>0</v>
      </c>
      <c r="P14" s="15">
        <f>Adjustments!P501+Adjustments!P505</f>
        <v>0</v>
      </c>
      <c r="Q14" s="15">
        <f>Adjustments!Q501+Adjustments!Q505</f>
        <v>0</v>
      </c>
      <c r="R14" s="15">
        <f>Adjustments!R501+Adjustments!R505</f>
        <v>0</v>
      </c>
      <c r="S14" s="15">
        <f>Adjustments!S501+Adjustments!S505</f>
        <v>0</v>
      </c>
      <c r="U14" s="15">
        <f>Adjustments!T501+Adjustments!T505</f>
        <v>0</v>
      </c>
      <c r="V14" s="1"/>
    </row>
    <row r="15" spans="1:22" ht="13.5" thickBot="1">
      <c r="A15" s="18">
        <f t="shared" si="0"/>
        <v>7</v>
      </c>
      <c r="B15" s="13"/>
      <c r="C15" s="15"/>
      <c r="D15" s="15" t="s">
        <v>448</v>
      </c>
      <c r="E15" s="15"/>
      <c r="F15" s="15">
        <f>Adjustments!F502+Adjustments!F506</f>
        <v>0</v>
      </c>
      <c r="G15" s="15">
        <f>Adjustments!G502+Adjustments!G506</f>
        <v>0</v>
      </c>
      <c r="H15" s="15">
        <f>Adjustments!H502+Adjustments!H506</f>
        <v>0</v>
      </c>
      <c r="I15" s="15">
        <f>Adjustments!I502+Adjustments!I506</f>
        <v>0</v>
      </c>
      <c r="J15" s="15">
        <f>Adjustments!J502+Adjustments!J506</f>
        <v>0</v>
      </c>
      <c r="K15" s="15">
        <f>Adjustments!K502+Adjustments!K506</f>
        <v>0</v>
      </c>
      <c r="L15" s="15">
        <f>Adjustments!L502+Adjustments!L506</f>
        <v>0</v>
      </c>
      <c r="M15" s="15">
        <f>Adjustments!M502+Adjustments!M506</f>
        <v>0</v>
      </c>
      <c r="N15" s="15">
        <f>Adjustments!N502+Adjustments!N506</f>
        <v>0</v>
      </c>
      <c r="O15" s="15">
        <f>Adjustments!O502+Adjustments!O506</f>
        <v>0</v>
      </c>
      <c r="P15" s="15">
        <f>Adjustments!P502+Adjustments!P506</f>
        <v>0</v>
      </c>
      <c r="Q15" s="15">
        <f>Adjustments!Q502+Adjustments!Q506</f>
        <v>0</v>
      </c>
      <c r="R15" s="15">
        <f>Adjustments!R502+Adjustments!R506</f>
        <v>0</v>
      </c>
      <c r="S15" s="15">
        <f>Adjustments!S502+Adjustments!S506</f>
        <v>0</v>
      </c>
      <c r="U15" s="15">
        <f>Adjustments!T502+Adjustments!T506</f>
        <v>0</v>
      </c>
      <c r="V15" s="1"/>
    </row>
    <row r="16" spans="1:22">
      <c r="A16" s="18">
        <f t="shared" si="0"/>
        <v>8</v>
      </c>
      <c r="B16" s="13"/>
      <c r="C16" s="13" t="s">
        <v>453</v>
      </c>
      <c r="D16" s="15"/>
      <c r="E16" s="15"/>
      <c r="F16" s="23">
        <f>SUM(F11:F15)</f>
        <v>0</v>
      </c>
      <c r="G16" s="23">
        <f t="shared" ref="G16:H16" si="1">SUM(G11:G15)</f>
        <v>-26231775.859999996</v>
      </c>
      <c r="H16" s="23">
        <f t="shared" si="1"/>
        <v>0</v>
      </c>
      <c r="I16" s="23">
        <f t="shared" ref="I16:J16" si="2">SUM(I11:I15)</f>
        <v>0</v>
      </c>
      <c r="J16" s="23">
        <f t="shared" si="2"/>
        <v>0</v>
      </c>
      <c r="K16" s="23">
        <f t="shared" ref="K16:R16" si="3">SUM(K11:K15)</f>
        <v>0</v>
      </c>
      <c r="L16" s="23">
        <f t="shared" si="3"/>
        <v>0</v>
      </c>
      <c r="M16" s="23">
        <f t="shared" si="3"/>
        <v>0</v>
      </c>
      <c r="N16" s="23">
        <f t="shared" si="3"/>
        <v>0</v>
      </c>
      <c r="O16" s="23">
        <f t="shared" si="3"/>
        <v>0</v>
      </c>
      <c r="P16" s="23">
        <f t="shared" si="3"/>
        <v>0</v>
      </c>
      <c r="Q16" s="23">
        <f t="shared" si="3"/>
        <v>0</v>
      </c>
      <c r="R16" s="23">
        <f t="shared" si="3"/>
        <v>0</v>
      </c>
      <c r="S16" s="23">
        <f t="shared" ref="S16" si="4">SUM(S11:S15)</f>
        <v>0</v>
      </c>
      <c r="U16" s="23">
        <f>SUM(U11:U15)</f>
        <v>-26231775.859999996</v>
      </c>
      <c r="V16" s="1"/>
    </row>
    <row r="17" spans="1:22">
      <c r="A17" s="18"/>
      <c r="B17" s="13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U17" s="15"/>
      <c r="V17" s="1"/>
    </row>
    <row r="18" spans="1:22">
      <c r="A18" s="18">
        <f>+A16+1</f>
        <v>9</v>
      </c>
      <c r="B18" s="13" t="s">
        <v>158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U18" s="15"/>
      <c r="V18" s="1"/>
    </row>
    <row r="19" spans="1:22">
      <c r="A19" s="18">
        <f>+A18+1</f>
        <v>10</v>
      </c>
      <c r="B19" s="13"/>
      <c r="C19" s="15" t="s">
        <v>437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U19" s="15"/>
      <c r="V19" s="1"/>
    </row>
    <row r="20" spans="1:22">
      <c r="A20" s="18">
        <f>+A19+1</f>
        <v>11</v>
      </c>
      <c r="B20" s="13"/>
      <c r="C20" s="15"/>
      <c r="D20" s="15" t="s">
        <v>670</v>
      </c>
      <c r="E20" s="15"/>
      <c r="F20" s="15">
        <f>Adjustments!F632+Adjustments!F635</f>
        <v>0</v>
      </c>
      <c r="G20" s="15">
        <f>Adjustments!G632+Adjustments!G635</f>
        <v>0</v>
      </c>
      <c r="H20" s="15">
        <f>Adjustments!H632+Adjustments!H635</f>
        <v>0</v>
      </c>
      <c r="I20" s="15">
        <f>Adjustments!I632+Adjustments!I635</f>
        <v>0</v>
      </c>
      <c r="J20" s="15">
        <f>Adjustments!J632+Adjustments!J635</f>
        <v>0</v>
      </c>
      <c r="K20" s="15">
        <f>Adjustments!K632+Adjustments!K635</f>
        <v>0</v>
      </c>
      <c r="L20" s="15">
        <f>Adjustments!L632+Adjustments!L635</f>
        <v>0</v>
      </c>
      <c r="M20" s="15">
        <f>Adjustments!M632+Adjustments!M635</f>
        <v>0</v>
      </c>
      <c r="N20" s="15">
        <f>Adjustments!N632+Adjustments!N635</f>
        <v>0</v>
      </c>
      <c r="O20" s="15">
        <f>Adjustments!O632+Adjustments!O635</f>
        <v>0</v>
      </c>
      <c r="P20" s="15">
        <f>Adjustments!P632+Adjustments!P635</f>
        <v>0</v>
      </c>
      <c r="Q20" s="15">
        <f>Adjustments!Q632+Adjustments!Q635</f>
        <v>0</v>
      </c>
      <c r="R20" s="15">
        <f>Adjustments!R632+Adjustments!R635</f>
        <v>0</v>
      </c>
      <c r="S20" s="15">
        <f>Adjustments!S632+Adjustments!S635</f>
        <v>0</v>
      </c>
      <c r="U20" s="15">
        <f>Adjustments!T632+Adjustments!T635</f>
        <v>0</v>
      </c>
      <c r="V20" s="1"/>
    </row>
    <row r="21" spans="1:22" ht="13.5" thickBot="1">
      <c r="A21" s="18">
        <f>+A20+1</f>
        <v>12</v>
      </c>
      <c r="B21" s="13"/>
      <c r="C21" s="15"/>
      <c r="D21" s="15" t="s">
        <v>671</v>
      </c>
      <c r="E21" s="15"/>
      <c r="F21" s="15">
        <f>Adjustments!F634+Adjustments!F636</f>
        <v>0</v>
      </c>
      <c r="G21" s="15">
        <f>Adjustments!G634+Adjustments!G636</f>
        <v>0</v>
      </c>
      <c r="H21" s="15">
        <f>Adjustments!H634+Adjustments!H636</f>
        <v>0</v>
      </c>
      <c r="I21" s="15">
        <f>Adjustments!I634+Adjustments!I636</f>
        <v>0</v>
      </c>
      <c r="J21" s="15">
        <f>Adjustments!J634+Adjustments!J636</f>
        <v>0</v>
      </c>
      <c r="K21" s="15">
        <f>Adjustments!K634+Adjustments!K636</f>
        <v>0</v>
      </c>
      <c r="L21" s="15">
        <f>Adjustments!L634+Adjustments!L636</f>
        <v>0</v>
      </c>
      <c r="M21" s="15">
        <f>Adjustments!M634+Adjustments!M636</f>
        <v>0</v>
      </c>
      <c r="N21" s="15">
        <f>Adjustments!N634+Adjustments!N636</f>
        <v>0</v>
      </c>
      <c r="O21" s="15">
        <f>Adjustments!O634+Adjustments!O636</f>
        <v>0</v>
      </c>
      <c r="P21" s="15">
        <f>Adjustments!P634+Adjustments!P636</f>
        <v>0</v>
      </c>
      <c r="Q21" s="15">
        <f>Adjustments!Q634+Adjustments!Q636</f>
        <v>0</v>
      </c>
      <c r="R21" s="15">
        <f>Adjustments!R634+Adjustments!R636</f>
        <v>0</v>
      </c>
      <c r="S21" s="15">
        <f>Adjustments!S634+Adjustments!S636</f>
        <v>0</v>
      </c>
      <c r="U21" s="15">
        <f>Adjustments!T634+Adjustments!T636</f>
        <v>0</v>
      </c>
      <c r="V21" s="1"/>
    </row>
    <row r="22" spans="1:22">
      <c r="A22" s="18">
        <f>+A21+1</f>
        <v>13</v>
      </c>
      <c r="B22" s="13"/>
      <c r="C22" s="15"/>
      <c r="D22" s="15" t="s">
        <v>454</v>
      </c>
      <c r="E22" s="15"/>
      <c r="F22" s="23">
        <f>SUM(F20:F21)</f>
        <v>0</v>
      </c>
      <c r="G22" s="23">
        <f t="shared" ref="G22:H22" si="5">SUM(G20:G21)</f>
        <v>0</v>
      </c>
      <c r="H22" s="23">
        <f t="shared" si="5"/>
        <v>0</v>
      </c>
      <c r="I22" s="23">
        <f t="shared" ref="I22:J22" si="6">SUM(I20:I21)</f>
        <v>0</v>
      </c>
      <c r="J22" s="23">
        <f t="shared" si="6"/>
        <v>0</v>
      </c>
      <c r="K22" s="23">
        <f t="shared" ref="K22:R22" si="7">SUM(K20:K21)</f>
        <v>0</v>
      </c>
      <c r="L22" s="23">
        <f t="shared" si="7"/>
        <v>0</v>
      </c>
      <c r="M22" s="23">
        <f t="shared" si="7"/>
        <v>0</v>
      </c>
      <c r="N22" s="23">
        <f t="shared" si="7"/>
        <v>0</v>
      </c>
      <c r="O22" s="23">
        <f t="shared" si="7"/>
        <v>0</v>
      </c>
      <c r="P22" s="23">
        <f t="shared" si="7"/>
        <v>0</v>
      </c>
      <c r="Q22" s="23">
        <f t="shared" si="7"/>
        <v>0</v>
      </c>
      <c r="R22" s="23">
        <f t="shared" si="7"/>
        <v>0</v>
      </c>
      <c r="S22" s="23">
        <f t="shared" ref="S22" si="8">SUM(S20:S21)</f>
        <v>0</v>
      </c>
      <c r="U22" s="23">
        <f>SUM(U20:U21)</f>
        <v>0</v>
      </c>
      <c r="V22" s="1"/>
    </row>
    <row r="23" spans="1:22">
      <c r="A23" s="18"/>
      <c r="B23" s="13"/>
      <c r="C23" s="15"/>
      <c r="D23" s="15"/>
      <c r="E23" s="15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U23" s="7"/>
      <c r="V23" s="1"/>
    </row>
    <row r="24" spans="1:22">
      <c r="A24" s="18">
        <f>+A22+1</f>
        <v>14</v>
      </c>
      <c r="B24" s="13"/>
      <c r="C24" s="15"/>
      <c r="D24" s="15" t="s">
        <v>672</v>
      </c>
      <c r="E24" s="15"/>
      <c r="F24" s="7">
        <f>Adjustments!F631</f>
        <v>0</v>
      </c>
      <c r="G24" s="7">
        <f>Adjustments!G631</f>
        <v>0</v>
      </c>
      <c r="H24" s="7">
        <f>Adjustments!H631</f>
        <v>0</v>
      </c>
      <c r="I24" s="7">
        <f>Adjustments!I631</f>
        <v>0</v>
      </c>
      <c r="J24" s="7">
        <f>Adjustments!J631</f>
        <v>0</v>
      </c>
      <c r="K24" s="7">
        <f>Adjustments!K631</f>
        <v>0</v>
      </c>
      <c r="L24" s="7">
        <f>Adjustments!L631</f>
        <v>0</v>
      </c>
      <c r="M24" s="7">
        <f>Adjustments!M631</f>
        <v>0</v>
      </c>
      <c r="N24" s="7">
        <f>Adjustments!N631</f>
        <v>0</v>
      </c>
      <c r="O24" s="7">
        <f>Adjustments!O631</f>
        <v>0</v>
      </c>
      <c r="P24" s="7">
        <f>Adjustments!P631</f>
        <v>0</v>
      </c>
      <c r="Q24" s="7">
        <f>Adjustments!Q631</f>
        <v>0</v>
      </c>
      <c r="R24" s="7">
        <f>Adjustments!R631</f>
        <v>0</v>
      </c>
      <c r="S24" s="7">
        <f>Adjustments!S631</f>
        <v>0</v>
      </c>
      <c r="U24" s="7">
        <f>Adjustments!T631</f>
        <v>0</v>
      </c>
      <c r="V24" s="1"/>
    </row>
    <row r="25" spans="1:22" ht="13.5" thickBot="1">
      <c r="A25" s="18">
        <f>+A24+1</f>
        <v>15</v>
      </c>
      <c r="B25" s="13"/>
      <c r="C25" s="15"/>
      <c r="D25" s="15" t="s">
        <v>673</v>
      </c>
      <c r="E25" s="15"/>
      <c r="F25" s="7">
        <f>Adjustments!F633</f>
        <v>0</v>
      </c>
      <c r="G25" s="7">
        <f>Adjustments!G633</f>
        <v>0</v>
      </c>
      <c r="H25" s="7">
        <f>Adjustments!H633</f>
        <v>0</v>
      </c>
      <c r="I25" s="7">
        <f>Adjustments!I633</f>
        <v>0</v>
      </c>
      <c r="J25" s="7">
        <f>Adjustments!J633</f>
        <v>0</v>
      </c>
      <c r="K25" s="7">
        <f>Adjustments!K633</f>
        <v>0</v>
      </c>
      <c r="L25" s="7">
        <f>Adjustments!L633</f>
        <v>0</v>
      </c>
      <c r="M25" s="7">
        <f>Adjustments!M633</f>
        <v>0</v>
      </c>
      <c r="N25" s="7">
        <f>Adjustments!N633</f>
        <v>0</v>
      </c>
      <c r="O25" s="7">
        <f>Adjustments!O633</f>
        <v>0</v>
      </c>
      <c r="P25" s="7">
        <f>Adjustments!P633</f>
        <v>0</v>
      </c>
      <c r="Q25" s="7">
        <f>Adjustments!Q633</f>
        <v>0</v>
      </c>
      <c r="R25" s="7">
        <f>Adjustments!R633</f>
        <v>0</v>
      </c>
      <c r="S25" s="7">
        <f>Adjustments!S633</f>
        <v>0</v>
      </c>
      <c r="U25" s="7">
        <f>Adjustments!T633</f>
        <v>0</v>
      </c>
      <c r="V25" s="1"/>
    </row>
    <row r="26" spans="1:22">
      <c r="A26" s="18">
        <f>+A25+1</f>
        <v>16</v>
      </c>
      <c r="B26" s="13"/>
      <c r="C26" s="15"/>
      <c r="D26" s="15" t="s">
        <v>674</v>
      </c>
      <c r="E26" s="15"/>
      <c r="F26" s="23">
        <f>SUM(F24:F25)</f>
        <v>0</v>
      </c>
      <c r="G26" s="23">
        <f t="shared" ref="G26:H26" si="9">SUM(G24:G25)</f>
        <v>0</v>
      </c>
      <c r="H26" s="23">
        <f t="shared" si="9"/>
        <v>0</v>
      </c>
      <c r="I26" s="23">
        <f t="shared" ref="I26:J26" si="10">SUM(I24:I25)</f>
        <v>0</v>
      </c>
      <c r="J26" s="23">
        <f t="shared" si="10"/>
        <v>0</v>
      </c>
      <c r="K26" s="23">
        <f t="shared" ref="K26:R26" si="11">SUM(K24:K25)</f>
        <v>0</v>
      </c>
      <c r="L26" s="23">
        <f t="shared" si="11"/>
        <v>0</v>
      </c>
      <c r="M26" s="23">
        <f t="shared" si="11"/>
        <v>0</v>
      </c>
      <c r="N26" s="23">
        <f t="shared" si="11"/>
        <v>0</v>
      </c>
      <c r="O26" s="23">
        <f t="shared" si="11"/>
        <v>0</v>
      </c>
      <c r="P26" s="23">
        <f t="shared" si="11"/>
        <v>0</v>
      </c>
      <c r="Q26" s="23">
        <f t="shared" si="11"/>
        <v>0</v>
      </c>
      <c r="R26" s="23">
        <f t="shared" si="11"/>
        <v>0</v>
      </c>
      <c r="S26" s="23">
        <f t="shared" ref="S26" si="12">SUM(S24:S25)</f>
        <v>0</v>
      </c>
      <c r="U26" s="23">
        <f>SUM(U24:U25)</f>
        <v>0</v>
      </c>
      <c r="V26" s="1"/>
    </row>
    <row r="27" spans="1:22">
      <c r="A27" s="18"/>
      <c r="B27" s="13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U27" s="15"/>
      <c r="V27" s="1"/>
    </row>
    <row r="28" spans="1:22">
      <c r="A28" s="18">
        <f>+A26+1</f>
        <v>17</v>
      </c>
      <c r="B28" s="13"/>
      <c r="C28" s="15" t="s">
        <v>455</v>
      </c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U28" s="15"/>
      <c r="V28" s="1"/>
    </row>
    <row r="29" spans="1:22">
      <c r="A29" s="18">
        <f t="shared" ref="A29:A34" si="13">+A28+1</f>
        <v>18</v>
      </c>
      <c r="B29" s="13"/>
      <c r="C29" s="15"/>
      <c r="D29" s="15" t="s">
        <v>399</v>
      </c>
      <c r="E29" s="15"/>
      <c r="F29" s="15">
        <f>Adjustments!F649</f>
        <v>0</v>
      </c>
      <c r="G29" s="15">
        <f>Adjustments!G649</f>
        <v>0</v>
      </c>
      <c r="H29" s="15">
        <f>Adjustments!H649</f>
        <v>0</v>
      </c>
      <c r="I29" s="15">
        <f>Adjustments!I649</f>
        <v>0</v>
      </c>
      <c r="J29" s="15">
        <f>Adjustments!J649</f>
        <v>0</v>
      </c>
      <c r="K29" s="15">
        <f>Adjustments!K649</f>
        <v>0</v>
      </c>
      <c r="L29" s="15">
        <f>Adjustments!L649</f>
        <v>0</v>
      </c>
      <c r="M29" s="15">
        <f>Adjustments!M649</f>
        <v>0</v>
      </c>
      <c r="N29" s="15">
        <f>Adjustments!N649</f>
        <v>0</v>
      </c>
      <c r="O29" s="15">
        <f>Adjustments!O649</f>
        <v>0</v>
      </c>
      <c r="P29" s="15">
        <f>Adjustments!P649</f>
        <v>0</v>
      </c>
      <c r="Q29" s="15">
        <f>Adjustments!Q649</f>
        <v>0</v>
      </c>
      <c r="R29" s="15">
        <f>Adjustments!R649</f>
        <v>0</v>
      </c>
      <c r="S29" s="15">
        <f>Adjustments!S649</f>
        <v>0</v>
      </c>
      <c r="U29" s="15">
        <f>Adjustments!T649</f>
        <v>0</v>
      </c>
      <c r="V29" s="1"/>
    </row>
    <row r="30" spans="1:22">
      <c r="A30" s="18">
        <f t="shared" si="13"/>
        <v>19</v>
      </c>
      <c r="B30" s="13"/>
      <c r="C30" s="15"/>
      <c r="D30" s="15" t="s">
        <v>456</v>
      </c>
      <c r="E30" s="15"/>
      <c r="F30" s="15">
        <f>Adjustments!F752</f>
        <v>0</v>
      </c>
      <c r="G30" s="15">
        <f>Adjustments!G752</f>
        <v>0</v>
      </c>
      <c r="H30" s="15">
        <f>Adjustments!H752</f>
        <v>0</v>
      </c>
      <c r="I30" s="15">
        <f>Adjustments!I752</f>
        <v>0</v>
      </c>
      <c r="J30" s="15">
        <f>Adjustments!J752</f>
        <v>0</v>
      </c>
      <c r="K30" s="15">
        <f>Adjustments!K752</f>
        <v>0</v>
      </c>
      <c r="L30" s="15">
        <f>Adjustments!L752</f>
        <v>0</v>
      </c>
      <c r="M30" s="15">
        <f>Adjustments!M752</f>
        <v>0</v>
      </c>
      <c r="N30" s="15">
        <f>Adjustments!N752</f>
        <v>0</v>
      </c>
      <c r="O30" s="15">
        <f>Adjustments!O752</f>
        <v>0</v>
      </c>
      <c r="P30" s="15">
        <f>Adjustments!P752</f>
        <v>0</v>
      </c>
      <c r="Q30" s="15">
        <f>Adjustments!Q752</f>
        <v>0</v>
      </c>
      <c r="R30" s="15">
        <f>Adjustments!R752</f>
        <v>0</v>
      </c>
      <c r="S30" s="15">
        <f>Adjustments!S752</f>
        <v>0</v>
      </c>
      <c r="U30" s="15">
        <f>Adjustments!T752</f>
        <v>0</v>
      </c>
      <c r="V30" s="1"/>
    </row>
    <row r="31" spans="1:22">
      <c r="A31" s="18">
        <f t="shared" si="13"/>
        <v>20</v>
      </c>
      <c r="B31" s="13"/>
      <c r="C31" s="15"/>
      <c r="D31" s="15" t="s">
        <v>457</v>
      </c>
      <c r="E31" s="15"/>
      <c r="F31" s="15">
        <f>Adjustments!F805</f>
        <v>0</v>
      </c>
      <c r="G31" s="15">
        <f>Adjustments!G805</f>
        <v>0</v>
      </c>
      <c r="H31" s="15">
        <f>Adjustments!H805</f>
        <v>0</v>
      </c>
      <c r="I31" s="15">
        <f>Adjustments!I805</f>
        <v>0</v>
      </c>
      <c r="J31" s="15">
        <f>Adjustments!J805</f>
        <v>0</v>
      </c>
      <c r="K31" s="15">
        <f>Adjustments!K805</f>
        <v>0</v>
      </c>
      <c r="L31" s="15">
        <f>Adjustments!L805</f>
        <v>-1906404.0902244116</v>
      </c>
      <c r="M31" s="15">
        <f>Adjustments!M805</f>
        <v>0</v>
      </c>
      <c r="N31" s="15">
        <f>Adjustments!N805</f>
        <v>0</v>
      </c>
      <c r="O31" s="15">
        <f>Adjustments!O805</f>
        <v>0</v>
      </c>
      <c r="P31" s="15">
        <f>Adjustments!P805</f>
        <v>0</v>
      </c>
      <c r="Q31" s="15">
        <f>Adjustments!Q805</f>
        <v>0</v>
      </c>
      <c r="R31" s="15">
        <f>Adjustments!R805</f>
        <v>0</v>
      </c>
      <c r="S31" s="15">
        <f>Adjustments!S805</f>
        <v>0</v>
      </c>
      <c r="U31" s="15">
        <f>Adjustments!T805</f>
        <v>-1906404.0902244118</v>
      </c>
      <c r="V31" s="1"/>
    </row>
    <row r="32" spans="1:22">
      <c r="A32" s="18">
        <f t="shared" si="13"/>
        <v>21</v>
      </c>
      <c r="B32" s="13"/>
      <c r="C32" s="15"/>
      <c r="D32" s="15" t="s">
        <v>458</v>
      </c>
      <c r="E32" s="15"/>
      <c r="F32" s="15">
        <f>Adjustments!F833</f>
        <v>0</v>
      </c>
      <c r="G32" s="15">
        <f>Adjustments!G833</f>
        <v>-26843858.529999997</v>
      </c>
      <c r="H32" s="15">
        <f>Adjustments!H833</f>
        <v>0</v>
      </c>
      <c r="I32" s="15">
        <f>Adjustments!I833</f>
        <v>0</v>
      </c>
      <c r="J32" s="15">
        <f>Adjustments!J833</f>
        <v>0</v>
      </c>
      <c r="K32" s="15">
        <f>Adjustments!K833</f>
        <v>0</v>
      </c>
      <c r="L32" s="15">
        <f>Adjustments!L833</f>
        <v>0</v>
      </c>
      <c r="M32" s="15">
        <f>Adjustments!M833</f>
        <v>0</v>
      </c>
      <c r="N32" s="15">
        <f>Adjustments!N833</f>
        <v>0</v>
      </c>
      <c r="O32" s="15">
        <f>Adjustments!O833</f>
        <v>0</v>
      </c>
      <c r="P32" s="15">
        <f>Adjustments!P833</f>
        <v>0</v>
      </c>
      <c r="Q32" s="15">
        <f>Adjustments!Q833</f>
        <v>0</v>
      </c>
      <c r="R32" s="15">
        <f>Adjustments!R833</f>
        <v>0</v>
      </c>
      <c r="S32" s="15">
        <f>Adjustments!S833</f>
        <v>0</v>
      </c>
      <c r="U32" s="15">
        <f>Adjustments!T833</f>
        <v>-26843858.529999997</v>
      </c>
      <c r="V32" s="1"/>
    </row>
    <row r="33" spans="1:22" ht="13.5" thickBot="1">
      <c r="A33" s="18">
        <f t="shared" si="13"/>
        <v>22</v>
      </c>
      <c r="B33" s="13"/>
      <c r="C33" s="15"/>
      <c r="D33" s="15" t="s">
        <v>459</v>
      </c>
      <c r="E33" s="15"/>
      <c r="F33" s="15">
        <f>Adjustments!F889</f>
        <v>0</v>
      </c>
      <c r="G33" s="15">
        <f>Adjustments!G889</f>
        <v>0</v>
      </c>
      <c r="H33" s="15">
        <f>Adjustments!H889</f>
        <v>0</v>
      </c>
      <c r="I33" s="15">
        <f>Adjustments!I889</f>
        <v>0</v>
      </c>
      <c r="J33" s="15">
        <f>Adjustments!J889</f>
        <v>0</v>
      </c>
      <c r="K33" s="15">
        <f>Adjustments!K889</f>
        <v>0</v>
      </c>
      <c r="L33" s="15">
        <f>Adjustments!L889</f>
        <v>0</v>
      </c>
      <c r="M33" s="15">
        <f>Adjustments!M889</f>
        <v>-2185440.9665000001</v>
      </c>
      <c r="N33" s="15">
        <f>Adjustments!N889</f>
        <v>0</v>
      </c>
      <c r="O33" s="15">
        <f>Adjustments!O889</f>
        <v>0</v>
      </c>
      <c r="P33" s="15">
        <f>Adjustments!P889</f>
        <v>-181866.60539999991</v>
      </c>
      <c r="Q33" s="15">
        <f>Adjustments!Q889</f>
        <v>496440.12400000001</v>
      </c>
      <c r="R33" s="15">
        <f>Adjustments!R889</f>
        <v>3196310.6610036939</v>
      </c>
      <c r="S33" s="15">
        <f>Adjustments!S889</f>
        <v>8454518.1099999994</v>
      </c>
      <c r="U33" s="15">
        <f>Adjustments!T889</f>
        <v>9779961.3231036942</v>
      </c>
      <c r="V33" s="1"/>
    </row>
    <row r="34" spans="1:22">
      <c r="A34" s="18">
        <f t="shared" si="13"/>
        <v>23</v>
      </c>
      <c r="B34" s="13"/>
      <c r="C34" s="15"/>
      <c r="D34" s="15" t="s">
        <v>460</v>
      </c>
      <c r="E34" s="15"/>
      <c r="F34" s="23">
        <f>SUM(F29:F33)</f>
        <v>0</v>
      </c>
      <c r="G34" s="23">
        <f t="shared" ref="G34:H34" si="14">SUM(G29:G33)</f>
        <v>-26843858.529999997</v>
      </c>
      <c r="H34" s="23">
        <f t="shared" si="14"/>
        <v>0</v>
      </c>
      <c r="I34" s="23">
        <f t="shared" ref="I34:J34" si="15">SUM(I29:I33)</f>
        <v>0</v>
      </c>
      <c r="J34" s="23">
        <f t="shared" si="15"/>
        <v>0</v>
      </c>
      <c r="K34" s="23">
        <f t="shared" ref="K34:R34" si="16">SUM(K29:K33)</f>
        <v>0</v>
      </c>
      <c r="L34" s="23">
        <f t="shared" si="16"/>
        <v>-1906404.0902244116</v>
      </c>
      <c r="M34" s="23">
        <f t="shared" si="16"/>
        <v>-2185440.9665000001</v>
      </c>
      <c r="N34" s="23">
        <f t="shared" si="16"/>
        <v>0</v>
      </c>
      <c r="O34" s="23">
        <f t="shared" si="16"/>
        <v>0</v>
      </c>
      <c r="P34" s="23">
        <f t="shared" si="16"/>
        <v>-181866.60539999991</v>
      </c>
      <c r="Q34" s="23">
        <f t="shared" si="16"/>
        <v>496440.12400000001</v>
      </c>
      <c r="R34" s="23">
        <f t="shared" si="16"/>
        <v>3196310.6610036939</v>
      </c>
      <c r="S34" s="23">
        <f t="shared" ref="S34" si="17">SUM(S29:S33)</f>
        <v>8454518.1099999994</v>
      </c>
      <c r="U34" s="23">
        <f>SUM(U29:U33)</f>
        <v>-18970301.297120713</v>
      </c>
      <c r="V34" s="1"/>
    </row>
    <row r="35" spans="1:22">
      <c r="A35" s="18"/>
      <c r="B35" s="13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U35" s="15"/>
      <c r="V35" s="1"/>
    </row>
    <row r="36" spans="1:22">
      <c r="A36" s="18">
        <f>+A34+1</f>
        <v>24</v>
      </c>
      <c r="B36" s="13"/>
      <c r="C36" s="15" t="s">
        <v>461</v>
      </c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U36" s="15"/>
      <c r="V36" s="1"/>
    </row>
    <row r="37" spans="1:22">
      <c r="A37" s="18">
        <f>+A36+1</f>
        <v>25</v>
      </c>
      <c r="B37" s="13"/>
      <c r="C37" s="15"/>
      <c r="D37" s="15" t="s">
        <v>422</v>
      </c>
      <c r="E37" s="15"/>
      <c r="F37" s="15">
        <f>Adjustments!F913</f>
        <v>0</v>
      </c>
      <c r="G37" s="15">
        <f>Adjustments!G913</f>
        <v>0</v>
      </c>
      <c r="H37" s="15">
        <f>Adjustments!H913</f>
        <v>0</v>
      </c>
      <c r="I37" s="15">
        <f>Adjustments!I913</f>
        <v>0</v>
      </c>
      <c r="J37" s="15">
        <f>Adjustments!J913</f>
        <v>0</v>
      </c>
      <c r="K37" s="15">
        <f>Adjustments!K913</f>
        <v>0</v>
      </c>
      <c r="L37" s="15">
        <f>Adjustments!L913</f>
        <v>0</v>
      </c>
      <c r="M37" s="15">
        <f>Adjustments!M913</f>
        <v>0</v>
      </c>
      <c r="N37" s="15">
        <f>Adjustments!N913</f>
        <v>0</v>
      </c>
      <c r="O37" s="15">
        <f>Adjustments!O913</f>
        <v>0</v>
      </c>
      <c r="P37" s="15">
        <f>Adjustments!P913</f>
        <v>0</v>
      </c>
      <c r="Q37" s="15">
        <f>Adjustments!Q913</f>
        <v>0</v>
      </c>
      <c r="R37" s="15">
        <f>Adjustments!R913</f>
        <v>0</v>
      </c>
      <c r="S37" s="15">
        <f>Adjustments!S913</f>
        <v>0</v>
      </c>
      <c r="U37" s="15">
        <f>Adjustments!T913</f>
        <v>0</v>
      </c>
      <c r="V37" s="1"/>
    </row>
    <row r="38" spans="1:22">
      <c r="A38" s="18">
        <f>+A37+1</f>
        <v>26</v>
      </c>
      <c r="B38" s="13"/>
      <c r="C38" s="15"/>
      <c r="D38" s="15" t="s">
        <v>548</v>
      </c>
      <c r="E38" s="15"/>
      <c r="F38" s="15">
        <f>Adjustments!F921</f>
        <v>0</v>
      </c>
      <c r="G38" s="15">
        <f>Adjustments!G921</f>
        <v>0</v>
      </c>
      <c r="H38" s="15">
        <f>Adjustments!H921</f>
        <v>0</v>
      </c>
      <c r="I38" s="15">
        <f>Adjustments!I921</f>
        <v>0</v>
      </c>
      <c r="J38" s="15">
        <f>Adjustments!J921</f>
        <v>0</v>
      </c>
      <c r="K38" s="15">
        <f>Adjustments!K921</f>
        <v>0</v>
      </c>
      <c r="L38" s="15">
        <f>Adjustments!L921</f>
        <v>0</v>
      </c>
      <c r="M38" s="15">
        <f>Adjustments!M921</f>
        <v>0</v>
      </c>
      <c r="N38" s="15">
        <f>Adjustments!N921</f>
        <v>0</v>
      </c>
      <c r="O38" s="15">
        <f>Adjustments!O921</f>
        <v>0</v>
      </c>
      <c r="P38" s="15">
        <f>Adjustments!P921</f>
        <v>0</v>
      </c>
      <c r="Q38" s="15">
        <f>Adjustments!Q921</f>
        <v>0</v>
      </c>
      <c r="R38" s="15">
        <f>Adjustments!R921</f>
        <v>0</v>
      </c>
      <c r="S38" s="15">
        <f>Adjustments!S921</f>
        <v>0</v>
      </c>
      <c r="U38" s="15">
        <f>Adjustments!T921</f>
        <v>0</v>
      </c>
      <c r="V38" s="1"/>
    </row>
    <row r="39" spans="1:22" ht="13.5" thickBot="1">
      <c r="A39" s="18">
        <f>+A38+1</f>
        <v>27</v>
      </c>
      <c r="B39" s="13"/>
      <c r="C39" s="15"/>
      <c r="D39" s="15" t="s">
        <v>550</v>
      </c>
      <c r="E39" s="15"/>
      <c r="F39" s="15">
        <f>Adjustments!F923+Adjustments!F925+Adjustments!F927+Adjustments!F929</f>
        <v>0</v>
      </c>
      <c r="G39" s="15">
        <f>Adjustments!G923+Adjustments!G925+Adjustments!G927+Adjustments!G929</f>
        <v>150900.48175547289</v>
      </c>
      <c r="H39" s="15">
        <f>Adjustments!H923+Adjustments!H925+Adjustments!H927+Adjustments!H929</f>
        <v>0</v>
      </c>
      <c r="I39" s="15">
        <f>Adjustments!I923+Adjustments!I925+Adjustments!I927+Adjustments!I929</f>
        <v>0</v>
      </c>
      <c r="J39" s="15">
        <f>Adjustments!J923+Adjustments!J925+Adjustments!J927+Adjustments!J929</f>
        <v>0</v>
      </c>
      <c r="K39" s="15">
        <f>Adjustments!K923+Adjustments!K925+Adjustments!K927+Adjustments!K929</f>
        <v>0</v>
      </c>
      <c r="L39" s="15">
        <f>Adjustments!L923+Adjustments!L925+Adjustments!L927+Adjustments!L929</f>
        <v>469997.45252625248</v>
      </c>
      <c r="M39" s="15">
        <f>Adjustments!M923+Adjustments!M925+Adjustments!M927+Adjustments!M929</f>
        <v>538790.11914027121</v>
      </c>
      <c r="N39" s="15">
        <f>Adjustments!N923+Adjustments!N925+Adjustments!N927+Adjustments!N929</f>
        <v>0</v>
      </c>
      <c r="O39" s="15">
        <f>Adjustments!O923+Adjustments!O925+Adjustments!O927+Adjustments!O929</f>
        <v>0</v>
      </c>
      <c r="P39" s="15">
        <f>Adjustments!P923+Adjustments!P925+Adjustments!P927+Adjustments!P929</f>
        <v>44836.685819077989</v>
      </c>
      <c r="Q39" s="15">
        <f>Adjustments!Q923+Adjustments!Q925+Adjustments!Q927+Adjustments!Q929</f>
        <v>-122390.41806941942</v>
      </c>
      <c r="R39" s="15">
        <f>Adjustments!R923+Adjustments!R925+Adjustments!R927+Adjustments!R929</f>
        <v>-788006.00347925222</v>
      </c>
      <c r="S39" s="15">
        <f>Adjustments!S923+Adjustments!S925+Adjustments!S927+Adjustments!S929</f>
        <v>-2084344.0246549805</v>
      </c>
      <c r="U39" s="15">
        <f>Adjustments!T923+Adjustments!T925+Adjustments!T927+Adjustments!T929</f>
        <v>-1790215.7069625775</v>
      </c>
      <c r="V39" s="1"/>
    </row>
    <row r="40" spans="1:22">
      <c r="A40" s="18">
        <f>+A39+1</f>
        <v>28</v>
      </c>
      <c r="B40" s="13"/>
      <c r="C40" s="15"/>
      <c r="D40" s="15" t="s">
        <v>468</v>
      </c>
      <c r="E40" s="15"/>
      <c r="F40" s="23">
        <f>SUM(F37:F39)</f>
        <v>0</v>
      </c>
      <c r="G40" s="23">
        <f t="shared" ref="G40:H40" si="18">SUM(G37:G39)</f>
        <v>150900.48175547289</v>
      </c>
      <c r="H40" s="23">
        <f t="shared" si="18"/>
        <v>0</v>
      </c>
      <c r="I40" s="23">
        <f t="shared" ref="I40:J40" si="19">SUM(I37:I39)</f>
        <v>0</v>
      </c>
      <c r="J40" s="23">
        <f t="shared" si="19"/>
        <v>0</v>
      </c>
      <c r="K40" s="23">
        <f t="shared" ref="K40:R40" si="20">SUM(K37:K39)</f>
        <v>0</v>
      </c>
      <c r="L40" s="23">
        <f t="shared" si="20"/>
        <v>469997.45252625248</v>
      </c>
      <c r="M40" s="23">
        <f t="shared" si="20"/>
        <v>538790.11914027121</v>
      </c>
      <c r="N40" s="23">
        <f t="shared" si="20"/>
        <v>0</v>
      </c>
      <c r="O40" s="23">
        <f t="shared" si="20"/>
        <v>0</v>
      </c>
      <c r="P40" s="23">
        <f t="shared" si="20"/>
        <v>44836.685819077989</v>
      </c>
      <c r="Q40" s="23">
        <f t="shared" si="20"/>
        <v>-122390.41806941942</v>
      </c>
      <c r="R40" s="23">
        <f t="shared" si="20"/>
        <v>-788006.00347925222</v>
      </c>
      <c r="S40" s="23">
        <f t="shared" ref="S40" si="21">SUM(S37:S39)</f>
        <v>-2084344.0246549805</v>
      </c>
      <c r="U40" s="23">
        <f>SUM(U37:U39)</f>
        <v>-1790215.7069625775</v>
      </c>
      <c r="V40" s="1"/>
    </row>
    <row r="41" spans="1:22" ht="6.95" customHeight="1" thickBot="1">
      <c r="A41" s="18"/>
      <c r="B41" s="13"/>
      <c r="C41" s="15"/>
      <c r="D41" s="15"/>
      <c r="E41" s="15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U41" s="24"/>
      <c r="V41" s="1"/>
    </row>
    <row r="42" spans="1:22" ht="6.95" customHeight="1" thickTop="1">
      <c r="A42" s="18"/>
      <c r="B42" s="13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U42" s="15"/>
      <c r="V42" s="1"/>
    </row>
    <row r="43" spans="1:22">
      <c r="A43" s="18">
        <f>+A40+1</f>
        <v>29</v>
      </c>
      <c r="B43" s="13"/>
      <c r="C43" s="13" t="s">
        <v>469</v>
      </c>
      <c r="D43" s="15"/>
      <c r="E43" s="15"/>
      <c r="F43" s="15">
        <f>+F22+F26+F34+F40</f>
        <v>0</v>
      </c>
      <c r="G43" s="15">
        <f t="shared" ref="G43:H43" si="22">+G22+G26+G34+G40</f>
        <v>-26692958.048244525</v>
      </c>
      <c r="H43" s="15">
        <f t="shared" si="22"/>
        <v>0</v>
      </c>
      <c r="I43" s="15">
        <f t="shared" ref="I43:J43" si="23">+I22+I26+I34+I40</f>
        <v>0</v>
      </c>
      <c r="J43" s="15">
        <f t="shared" si="23"/>
        <v>0</v>
      </c>
      <c r="K43" s="15">
        <f t="shared" ref="K43:R43" si="24">+K22+K26+K34+K40</f>
        <v>0</v>
      </c>
      <c r="L43" s="15">
        <f t="shared" si="24"/>
        <v>-1436406.6376981591</v>
      </c>
      <c r="M43" s="15">
        <f t="shared" si="24"/>
        <v>-1646650.847359729</v>
      </c>
      <c r="N43" s="15">
        <f t="shared" si="24"/>
        <v>0</v>
      </c>
      <c r="O43" s="15">
        <f t="shared" si="24"/>
        <v>0</v>
      </c>
      <c r="P43" s="15">
        <f t="shared" si="24"/>
        <v>-137029.91958092194</v>
      </c>
      <c r="Q43" s="15">
        <f t="shared" si="24"/>
        <v>374049.70593058062</v>
      </c>
      <c r="R43" s="15">
        <f t="shared" si="24"/>
        <v>2408304.6575244418</v>
      </c>
      <c r="S43" s="15">
        <f t="shared" ref="S43" si="25">+S22+S26+S34+S40</f>
        <v>6370174.0853450187</v>
      </c>
      <c r="U43" s="15">
        <f>+U22+U26+U34+U40</f>
        <v>-20760517.004083291</v>
      </c>
      <c r="V43" s="1"/>
    </row>
    <row r="44" spans="1:22" ht="6.95" customHeight="1" thickBot="1">
      <c r="A44" s="18"/>
      <c r="B44" s="13"/>
      <c r="C44" s="15"/>
      <c r="D44" s="15"/>
      <c r="E44" s="15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U44" s="24"/>
      <c r="V44" s="1"/>
    </row>
    <row r="45" spans="1:22" ht="6.95" customHeight="1" thickTop="1">
      <c r="A45" s="18"/>
      <c r="B45" s="13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U45" s="15"/>
      <c r="V45" s="1"/>
    </row>
    <row r="46" spans="1:22">
      <c r="A46" s="18">
        <f>+A43+1</f>
        <v>30</v>
      </c>
      <c r="B46" s="13" t="s">
        <v>470</v>
      </c>
      <c r="C46" s="15"/>
      <c r="D46" s="15"/>
      <c r="E46" s="15"/>
      <c r="F46" s="15">
        <f>+F16-F43</f>
        <v>0</v>
      </c>
      <c r="G46" s="15">
        <f t="shared" ref="G46:H46" si="26">+G16-G43</f>
        <v>461182.18824452907</v>
      </c>
      <c r="H46" s="15">
        <f t="shared" si="26"/>
        <v>0</v>
      </c>
      <c r="I46" s="15">
        <f t="shared" ref="I46:J46" si="27">+I16-I43</f>
        <v>0</v>
      </c>
      <c r="J46" s="15">
        <f t="shared" si="27"/>
        <v>0</v>
      </c>
      <c r="K46" s="15">
        <f t="shared" ref="K46:R46" si="28">+K16-K43</f>
        <v>0</v>
      </c>
      <c r="L46" s="15">
        <f t="shared" si="28"/>
        <v>1436406.6376981591</v>
      </c>
      <c r="M46" s="15">
        <f t="shared" si="28"/>
        <v>1646650.847359729</v>
      </c>
      <c r="N46" s="15">
        <f t="shared" si="28"/>
        <v>0</v>
      </c>
      <c r="O46" s="15">
        <f t="shared" si="28"/>
        <v>0</v>
      </c>
      <c r="P46" s="15">
        <f t="shared" si="28"/>
        <v>137029.91958092194</v>
      </c>
      <c r="Q46" s="15">
        <f t="shared" si="28"/>
        <v>-374049.70593058062</v>
      </c>
      <c r="R46" s="15">
        <f t="shared" si="28"/>
        <v>-2408304.6575244418</v>
      </c>
      <c r="S46" s="15">
        <f t="shared" ref="S46" si="29">+S16-S43</f>
        <v>-6370174.0853450187</v>
      </c>
      <c r="U46" s="15">
        <f>+U16-U43</f>
        <v>-5471258.855916705</v>
      </c>
      <c r="V46" s="1"/>
    </row>
    <row r="47" spans="1:22" ht="13.5" thickBot="1">
      <c r="A47" s="18"/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U47" s="154"/>
    </row>
    <row r="48" spans="1:22">
      <c r="A48" s="18"/>
    </row>
    <row r="49" spans="1:22">
      <c r="A49" s="18">
        <f>+A46+1</f>
        <v>31</v>
      </c>
      <c r="B49" s="308" t="s">
        <v>154</v>
      </c>
      <c r="C49" s="308"/>
      <c r="D49" s="308"/>
      <c r="E49" s="308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U49" s="15"/>
    </row>
    <row r="50" spans="1:22">
      <c r="A50" s="18"/>
      <c r="B50" s="17"/>
      <c r="C50" s="17"/>
      <c r="D50" s="17"/>
      <c r="E50" s="17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U50" s="15"/>
    </row>
    <row r="51" spans="1:22">
      <c r="A51" s="18">
        <f>+A49+1</f>
        <v>32</v>
      </c>
      <c r="B51" s="13" t="s">
        <v>256</v>
      </c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U51" s="15"/>
    </row>
    <row r="52" spans="1:22">
      <c r="A52" s="18">
        <f t="shared" ref="A52:A58" si="30">+A51+1</f>
        <v>33</v>
      </c>
      <c r="C52" s="14">
        <v>101</v>
      </c>
      <c r="D52" s="15" t="s">
        <v>264</v>
      </c>
      <c r="E52" s="15"/>
      <c r="F52" s="15">
        <f>Adjustments!F1092</f>
        <v>-106619442.45000011</v>
      </c>
      <c r="G52" s="15">
        <f>Adjustments!G1092</f>
        <v>0</v>
      </c>
      <c r="H52" s="15">
        <f>Adjustments!H1092</f>
        <v>0</v>
      </c>
      <c r="I52" s="15">
        <f>Adjustments!I1092</f>
        <v>-5037992.5680000009</v>
      </c>
      <c r="J52" s="15">
        <f>Adjustments!J1092</f>
        <v>0</v>
      </c>
      <c r="K52" s="15">
        <f>Adjustments!K1092</f>
        <v>0</v>
      </c>
      <c r="L52" s="15">
        <f>Adjustments!L1092</f>
        <v>0</v>
      </c>
      <c r="M52" s="15">
        <f>Adjustments!M1092</f>
        <v>0</v>
      </c>
      <c r="N52" s="15">
        <f>Adjustments!N1092</f>
        <v>0</v>
      </c>
      <c r="O52" s="15">
        <f>Adjustments!O1092</f>
        <v>0</v>
      </c>
      <c r="P52" s="15">
        <f>Adjustments!P1092</f>
        <v>0</v>
      </c>
      <c r="Q52" s="15">
        <f>Adjustments!Q1092</f>
        <v>0</v>
      </c>
      <c r="R52" s="15">
        <f>Adjustments!R1092</f>
        <v>0</v>
      </c>
      <c r="S52" s="15">
        <f>Adjustments!S1092</f>
        <v>0</v>
      </c>
      <c r="U52" s="15">
        <f>Adjustments!T1092</f>
        <v>-111657435.01800011</v>
      </c>
      <c r="V52" s="1"/>
    </row>
    <row r="53" spans="1:22">
      <c r="A53" s="18">
        <f t="shared" si="30"/>
        <v>34</v>
      </c>
      <c r="C53" s="14">
        <v>105</v>
      </c>
      <c r="D53" s="15" t="s">
        <v>265</v>
      </c>
      <c r="E53" s="15"/>
      <c r="F53" s="15">
        <f>Adjustments!F1096</f>
        <v>0</v>
      </c>
      <c r="G53" s="15">
        <f>Adjustments!G1096</f>
        <v>0</v>
      </c>
      <c r="H53" s="15">
        <f>Adjustments!H1096</f>
        <v>0</v>
      </c>
      <c r="I53" s="15">
        <f>Adjustments!I1096</f>
        <v>0</v>
      </c>
      <c r="J53" s="15">
        <f>Adjustments!J1096</f>
        <v>0</v>
      </c>
      <c r="K53" s="15">
        <f>Adjustments!K1096</f>
        <v>0</v>
      </c>
      <c r="L53" s="15">
        <f>Adjustments!L1096</f>
        <v>0</v>
      </c>
      <c r="M53" s="15">
        <f>Adjustments!M1096</f>
        <v>0</v>
      </c>
      <c r="N53" s="15">
        <f>Adjustments!N1096</f>
        <v>0</v>
      </c>
      <c r="O53" s="15">
        <f>Adjustments!O1096</f>
        <v>0</v>
      </c>
      <c r="P53" s="15">
        <f>Adjustments!P1096</f>
        <v>0</v>
      </c>
      <c r="Q53" s="15">
        <f>Adjustments!Q1096</f>
        <v>0</v>
      </c>
      <c r="R53" s="15">
        <f>Adjustments!R1096</f>
        <v>0</v>
      </c>
      <c r="S53" s="15">
        <f>Adjustments!S1096</f>
        <v>0</v>
      </c>
      <c r="U53" s="15">
        <f>Adjustments!T1096</f>
        <v>0</v>
      </c>
      <c r="V53" s="1"/>
    </row>
    <row r="54" spans="1:22">
      <c r="A54" s="18">
        <f t="shared" si="30"/>
        <v>35</v>
      </c>
      <c r="C54" s="14">
        <v>106</v>
      </c>
      <c r="D54" s="15" t="s">
        <v>472</v>
      </c>
      <c r="E54" s="15"/>
      <c r="F54" s="15">
        <f>Adjustments!F1103</f>
        <v>-144845600.81708327</v>
      </c>
      <c r="G54" s="15">
        <f>Adjustments!G1103</f>
        <v>0</v>
      </c>
      <c r="H54" s="15">
        <f>Adjustments!H1103</f>
        <v>0</v>
      </c>
      <c r="I54" s="15">
        <f>Adjustments!I1103</f>
        <v>0</v>
      </c>
      <c r="J54" s="15">
        <f>Adjustments!J1103</f>
        <v>0</v>
      </c>
      <c r="K54" s="15">
        <f>Adjustments!K1103</f>
        <v>0</v>
      </c>
      <c r="L54" s="15">
        <f>Adjustments!L1103</f>
        <v>0</v>
      </c>
      <c r="M54" s="15">
        <f>Adjustments!M1103</f>
        <v>-825341.03987660247</v>
      </c>
      <c r="N54" s="15">
        <f>Adjustments!N1103</f>
        <v>0</v>
      </c>
      <c r="O54" s="15">
        <f>Adjustments!O1103</f>
        <v>0</v>
      </c>
      <c r="P54" s="15">
        <f>Adjustments!P1103</f>
        <v>0</v>
      </c>
      <c r="Q54" s="15">
        <f>Adjustments!Q1103</f>
        <v>0</v>
      </c>
      <c r="R54" s="15">
        <f>Adjustments!R1103</f>
        <v>0</v>
      </c>
      <c r="S54" s="15">
        <f>Adjustments!S1103</f>
        <v>0</v>
      </c>
      <c r="U54" s="15">
        <f>Adjustments!T1103</f>
        <v>-145670941.85695988</v>
      </c>
      <c r="V54" s="1"/>
    </row>
    <row r="55" spans="1:22">
      <c r="A55" s="18">
        <f t="shared" si="30"/>
        <v>36</v>
      </c>
      <c r="C55" s="14">
        <v>108</v>
      </c>
      <c r="D55" s="15" t="s">
        <v>477</v>
      </c>
      <c r="E55" s="15"/>
      <c r="F55" s="15">
        <f>Adjustments!F1110</f>
        <v>38875251.162499897</v>
      </c>
      <c r="G55" s="15">
        <f>Adjustments!G1110</f>
        <v>0</v>
      </c>
      <c r="H55" s="15">
        <f>Adjustments!H1110</f>
        <v>0</v>
      </c>
      <c r="I55" s="15">
        <f>Adjustments!I1110</f>
        <v>4580238.5702325003</v>
      </c>
      <c r="J55" s="15">
        <f>Adjustments!J1110</f>
        <v>0</v>
      </c>
      <c r="K55" s="15">
        <f>Adjustments!K1110</f>
        <v>0</v>
      </c>
      <c r="L55" s="15">
        <f>Adjustments!L1110</f>
        <v>0</v>
      </c>
      <c r="M55" s="15">
        <f>Adjustments!M1110</f>
        <v>0</v>
      </c>
      <c r="N55" s="15">
        <f>Adjustments!N1110</f>
        <v>0</v>
      </c>
      <c r="O55" s="15">
        <f>Adjustments!O1110</f>
        <v>0</v>
      </c>
      <c r="P55" s="15">
        <f>Adjustments!P1110</f>
        <v>0</v>
      </c>
      <c r="Q55" s="15">
        <f>Adjustments!Q1110</f>
        <v>0</v>
      </c>
      <c r="R55" s="15">
        <f>Adjustments!R1110</f>
        <v>0</v>
      </c>
      <c r="S55" s="15">
        <f>Adjustments!S1110</f>
        <v>0</v>
      </c>
      <c r="U55" s="15">
        <f>Adjustments!T1110</f>
        <v>43455489.7327324</v>
      </c>
      <c r="V55" s="1"/>
    </row>
    <row r="56" spans="1:22">
      <c r="A56" s="18">
        <f t="shared" si="30"/>
        <v>37</v>
      </c>
      <c r="C56" s="14">
        <v>111</v>
      </c>
      <c r="D56" s="15" t="s">
        <v>478</v>
      </c>
      <c r="E56" s="15"/>
      <c r="F56" s="15">
        <f>Adjustments!F1117</f>
        <v>293044.56791666616</v>
      </c>
      <c r="G56" s="15">
        <f>Adjustments!G1117</f>
        <v>0</v>
      </c>
      <c r="H56" s="15">
        <f>Adjustments!H1117</f>
        <v>0</v>
      </c>
      <c r="I56" s="15">
        <f>Adjustments!I1117</f>
        <v>387467.42957999994</v>
      </c>
      <c r="J56" s="15">
        <f>Adjustments!J1117</f>
        <v>0</v>
      </c>
      <c r="K56" s="15">
        <f>Adjustments!K1117</f>
        <v>0</v>
      </c>
      <c r="L56" s="15">
        <f>Adjustments!L1117</f>
        <v>0</v>
      </c>
      <c r="M56" s="15">
        <f>Adjustments!M1117</f>
        <v>0</v>
      </c>
      <c r="N56" s="15">
        <f>Adjustments!N1117</f>
        <v>0</v>
      </c>
      <c r="O56" s="15">
        <f>Adjustments!O1117</f>
        <v>0</v>
      </c>
      <c r="P56" s="15">
        <f>Adjustments!P1117</f>
        <v>0</v>
      </c>
      <c r="Q56" s="15">
        <f>Adjustments!Q1117</f>
        <v>0</v>
      </c>
      <c r="R56" s="15">
        <f>Adjustments!R1117</f>
        <v>0</v>
      </c>
      <c r="S56" s="15">
        <f>Adjustments!S1117</f>
        <v>0</v>
      </c>
      <c r="U56" s="15">
        <f>Adjustments!T1117</f>
        <v>680511.99749666662</v>
      </c>
      <c r="V56" s="1"/>
    </row>
    <row r="57" spans="1:22" ht="13.5" thickBot="1">
      <c r="A57" s="18">
        <f t="shared" si="30"/>
        <v>38</v>
      </c>
      <c r="C57" s="14">
        <v>254</v>
      </c>
      <c r="D57" s="300" t="s">
        <v>941</v>
      </c>
      <c r="E57" s="15"/>
      <c r="F57" s="15">
        <f>Adjustments!F1124</f>
        <v>2209823.9883334041</v>
      </c>
      <c r="G57" s="15">
        <f>Adjustments!G1124</f>
        <v>0</v>
      </c>
      <c r="H57" s="15">
        <f>Adjustments!H1124</f>
        <v>0</v>
      </c>
      <c r="I57" s="15">
        <f>Adjustments!I1124</f>
        <v>0</v>
      </c>
      <c r="J57" s="15">
        <f>Adjustments!J1124</f>
        <v>0</v>
      </c>
      <c r="K57" s="15">
        <f>Adjustments!K1124</f>
        <v>0</v>
      </c>
      <c r="L57" s="15">
        <f>Adjustments!L1124</f>
        <v>0</v>
      </c>
      <c r="M57" s="15">
        <f>Adjustments!M1124</f>
        <v>0</v>
      </c>
      <c r="N57" s="15">
        <f>Adjustments!N1124</f>
        <v>0</v>
      </c>
      <c r="O57" s="15">
        <f>Adjustments!O1124</f>
        <v>0</v>
      </c>
      <c r="P57" s="15">
        <f>Adjustments!P1124</f>
        <v>0</v>
      </c>
      <c r="Q57" s="15">
        <f>Adjustments!Q1124</f>
        <v>0</v>
      </c>
      <c r="R57" s="15">
        <f>Adjustments!R1124</f>
        <v>0</v>
      </c>
      <c r="S57" s="15">
        <f>Adjustments!S1124</f>
        <v>0</v>
      </c>
      <c r="U57" s="15">
        <f>Adjustments!T1124</f>
        <v>2209823.9883333715</v>
      </c>
      <c r="V57" s="1"/>
    </row>
    <row r="58" spans="1:22">
      <c r="A58" s="18">
        <f t="shared" si="30"/>
        <v>39</v>
      </c>
      <c r="C58" s="26" t="s">
        <v>155</v>
      </c>
      <c r="D58" s="15"/>
      <c r="E58" s="15"/>
      <c r="F58" s="23">
        <f>SUM(F52:F57)</f>
        <v>-210086923.54833341</v>
      </c>
      <c r="G58" s="23">
        <f t="shared" ref="G58:H58" si="31">SUM(G52:G57)</f>
        <v>0</v>
      </c>
      <c r="H58" s="23">
        <f t="shared" si="31"/>
        <v>0</v>
      </c>
      <c r="I58" s="23">
        <f t="shared" ref="I58:J58" si="32">SUM(I52:I57)</f>
        <v>-70286.568187500641</v>
      </c>
      <c r="J58" s="23">
        <f t="shared" si="32"/>
        <v>0</v>
      </c>
      <c r="K58" s="23">
        <f t="shared" ref="K58:R58" si="33">SUM(K52:K57)</f>
        <v>0</v>
      </c>
      <c r="L58" s="23">
        <f t="shared" si="33"/>
        <v>0</v>
      </c>
      <c r="M58" s="23">
        <f t="shared" si="33"/>
        <v>-825341.03987660247</v>
      </c>
      <c r="N58" s="23">
        <f t="shared" si="33"/>
        <v>0</v>
      </c>
      <c r="O58" s="23">
        <f t="shared" si="33"/>
        <v>0</v>
      </c>
      <c r="P58" s="23">
        <f t="shared" si="33"/>
        <v>0</v>
      </c>
      <c r="Q58" s="23">
        <f t="shared" si="33"/>
        <v>0</v>
      </c>
      <c r="R58" s="23">
        <f t="shared" si="33"/>
        <v>0</v>
      </c>
      <c r="S58" s="23">
        <f t="shared" ref="S58" si="34">SUM(S52:S57)</f>
        <v>0</v>
      </c>
      <c r="U58" s="23">
        <f>SUM(U52:U57)</f>
        <v>-210982551.15639755</v>
      </c>
    </row>
    <row r="59" spans="1:22">
      <c r="A59" s="18"/>
      <c r="B59" s="2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U59" s="15"/>
    </row>
    <row r="60" spans="1:22">
      <c r="A60" s="18">
        <f>+A58+1</f>
        <v>40</v>
      </c>
      <c r="B60" s="13" t="s">
        <v>159</v>
      </c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U60" s="15"/>
    </row>
    <row r="61" spans="1:22">
      <c r="A61" s="18">
        <f t="shared" ref="A61:A72" si="35">+A60+1</f>
        <v>41</v>
      </c>
      <c r="C61" s="14">
        <v>154</v>
      </c>
      <c r="D61" s="15" t="s">
        <v>473</v>
      </c>
      <c r="E61" s="15"/>
      <c r="F61" s="15">
        <f>Adjustments!F1142</f>
        <v>-9871719.4437499978</v>
      </c>
      <c r="G61" s="15">
        <f>Adjustments!G1142</f>
        <v>0</v>
      </c>
      <c r="H61" s="15">
        <f>Adjustments!H1142</f>
        <v>0</v>
      </c>
      <c r="I61" s="15">
        <f>Adjustments!I1142</f>
        <v>0</v>
      </c>
      <c r="J61" s="15">
        <f>Adjustments!J1142</f>
        <v>0</v>
      </c>
      <c r="K61" s="15">
        <f>Adjustments!K1142</f>
        <v>0</v>
      </c>
      <c r="L61" s="15">
        <f>Adjustments!L1142</f>
        <v>0</v>
      </c>
      <c r="M61" s="15">
        <f>Adjustments!M1142</f>
        <v>0</v>
      </c>
      <c r="N61" s="15">
        <f>Adjustments!N1142</f>
        <v>0</v>
      </c>
      <c r="O61" s="15">
        <f>Adjustments!O1142</f>
        <v>0</v>
      </c>
      <c r="P61" s="15">
        <f>Adjustments!P1142</f>
        <v>0</v>
      </c>
      <c r="Q61" s="15">
        <f>Adjustments!Q1142</f>
        <v>0</v>
      </c>
      <c r="R61" s="15">
        <f>Adjustments!R1142</f>
        <v>0</v>
      </c>
      <c r="S61" s="15">
        <f>Adjustments!S1142</f>
        <v>0</v>
      </c>
      <c r="U61" s="15">
        <f>Adjustments!T1142</f>
        <v>-9871719.4437499978</v>
      </c>
      <c r="V61" s="1"/>
    </row>
    <row r="62" spans="1:22">
      <c r="A62" s="18">
        <f t="shared" si="35"/>
        <v>42</v>
      </c>
      <c r="C62" s="14" t="s">
        <v>490</v>
      </c>
      <c r="D62" s="15" t="s">
        <v>274</v>
      </c>
      <c r="E62" s="15"/>
      <c r="F62" s="15">
        <f>Adjustments!F1146</f>
        <v>0</v>
      </c>
      <c r="G62" s="15">
        <f>Adjustments!G1146</f>
        <v>0</v>
      </c>
      <c r="H62" s="15">
        <f>Adjustments!H1146</f>
        <v>-19959087.870000001</v>
      </c>
      <c r="I62" s="15">
        <f>Adjustments!I1146</f>
        <v>0</v>
      </c>
      <c r="J62" s="15">
        <f>Adjustments!J1146</f>
        <v>0</v>
      </c>
      <c r="K62" s="15">
        <f>Adjustments!K1146</f>
        <v>0</v>
      </c>
      <c r="L62" s="15">
        <f>Adjustments!L1146</f>
        <v>0</v>
      </c>
      <c r="M62" s="15">
        <f>Adjustments!M1146</f>
        <v>0</v>
      </c>
      <c r="N62" s="15">
        <f>Adjustments!N1146</f>
        <v>0</v>
      </c>
      <c r="O62" s="15">
        <f>Adjustments!O1146</f>
        <v>0</v>
      </c>
      <c r="P62" s="15">
        <f>Adjustments!P1146</f>
        <v>0</v>
      </c>
      <c r="Q62" s="15">
        <f>Adjustments!Q1146</f>
        <v>0</v>
      </c>
      <c r="R62" s="15">
        <f>Adjustments!R1146</f>
        <v>0</v>
      </c>
      <c r="S62" s="15">
        <f>Adjustments!S1146</f>
        <v>0</v>
      </c>
      <c r="U62" s="15">
        <f>Adjustments!T1146</f>
        <v>-19959087.870000001</v>
      </c>
      <c r="V62" s="1"/>
    </row>
    <row r="63" spans="1:22">
      <c r="A63" s="18">
        <f t="shared" si="35"/>
        <v>43</v>
      </c>
      <c r="C63" s="14">
        <v>165</v>
      </c>
      <c r="D63" s="15" t="s">
        <v>275</v>
      </c>
      <c r="E63" s="15"/>
      <c r="F63" s="15">
        <f>Adjustments!F1150</f>
        <v>1849404.65625</v>
      </c>
      <c r="G63" s="15">
        <f>Adjustments!G1150</f>
        <v>0</v>
      </c>
      <c r="H63" s="15">
        <f>Adjustments!H1150</f>
        <v>0</v>
      </c>
      <c r="I63" s="15">
        <f>Adjustments!I1150</f>
        <v>0</v>
      </c>
      <c r="J63" s="15">
        <f>Adjustments!J1150</f>
        <v>0</v>
      </c>
      <c r="K63" s="15">
        <f>Adjustments!K1150</f>
        <v>0</v>
      </c>
      <c r="L63" s="15">
        <f>Adjustments!L1150</f>
        <v>0</v>
      </c>
      <c r="M63" s="15">
        <f>Adjustments!M1150</f>
        <v>0</v>
      </c>
      <c r="N63" s="15">
        <f>Adjustments!N1150</f>
        <v>0</v>
      </c>
      <c r="O63" s="15">
        <f>Adjustments!O1150</f>
        <v>0</v>
      </c>
      <c r="P63" s="15">
        <f>Adjustments!P1150</f>
        <v>0</v>
      </c>
      <c r="Q63" s="15">
        <f>Adjustments!Q1150</f>
        <v>0</v>
      </c>
      <c r="R63" s="15">
        <f>Adjustments!R1150</f>
        <v>0</v>
      </c>
      <c r="S63" s="15">
        <f>Adjustments!S1150</f>
        <v>0</v>
      </c>
      <c r="U63" s="15">
        <f>Adjustments!T1150</f>
        <v>1849404.65625</v>
      </c>
      <c r="V63" s="1"/>
    </row>
    <row r="64" spans="1:22">
      <c r="A64" s="18"/>
      <c r="C64" s="14">
        <v>190</v>
      </c>
      <c r="D64" s="15" t="s">
        <v>33</v>
      </c>
      <c r="E64" s="15"/>
      <c r="F64" s="15">
        <f>Adjustments!F1157+Adjustments!F1164</f>
        <v>18202482.102499995</v>
      </c>
      <c r="G64" s="15">
        <f>Adjustments!G1157+Adjustments!G1164</f>
        <v>0</v>
      </c>
      <c r="H64" s="15">
        <f>Adjustments!H1157+Adjustments!H1164</f>
        <v>0</v>
      </c>
      <c r="I64" s="15">
        <f>Adjustments!I1157+Adjustments!I1164</f>
        <v>0</v>
      </c>
      <c r="J64" s="15">
        <f>Adjustments!J1157+Adjustments!J1164</f>
        <v>0</v>
      </c>
      <c r="K64" s="15">
        <f>Adjustments!K1157+Adjustments!K1164</f>
        <v>0</v>
      </c>
      <c r="L64" s="15">
        <f>Adjustments!L1157+Adjustments!L1164</f>
        <v>0</v>
      </c>
      <c r="M64" s="15">
        <f>Adjustments!M1157+Adjustments!M1164</f>
        <v>0</v>
      </c>
      <c r="N64" s="15">
        <f>Adjustments!N1157+Adjustments!N1164</f>
        <v>0</v>
      </c>
      <c r="O64" s="15">
        <f>Adjustments!O1157+Adjustments!O1164</f>
        <v>0</v>
      </c>
      <c r="P64" s="15">
        <f>Adjustments!P1157+Adjustments!P1164</f>
        <v>0</v>
      </c>
      <c r="Q64" s="15">
        <f>Adjustments!Q1157+Adjustments!Q1164</f>
        <v>0</v>
      </c>
      <c r="R64" s="15">
        <f>Adjustments!R1157+Adjustments!R1164</f>
        <v>0</v>
      </c>
      <c r="S64" s="15">
        <f>Adjustments!S1157+Adjustments!S1164</f>
        <v>0</v>
      </c>
      <c r="U64" s="15">
        <f>Adjustments!T1157+Adjustments!T1164</f>
        <v>18202482.102499995</v>
      </c>
      <c r="V64" s="1"/>
    </row>
    <row r="65" spans="1:22">
      <c r="A65" s="18">
        <f>+A63+1</f>
        <v>44</v>
      </c>
      <c r="C65" s="14" t="s">
        <v>491</v>
      </c>
      <c r="D65" s="15" t="s">
        <v>276</v>
      </c>
      <c r="E65" s="15"/>
      <c r="F65" s="15">
        <f>Adjustments!F1169</f>
        <v>227333.64041666643</v>
      </c>
      <c r="G65" s="15">
        <f>Adjustments!G1169</f>
        <v>0</v>
      </c>
      <c r="H65" s="15">
        <f>Adjustments!H1169</f>
        <v>0</v>
      </c>
      <c r="I65" s="15">
        <f>Adjustments!I1169</f>
        <v>0</v>
      </c>
      <c r="J65" s="15">
        <f>Adjustments!J1169</f>
        <v>0</v>
      </c>
      <c r="K65" s="15">
        <f>Adjustments!K1169</f>
        <v>0</v>
      </c>
      <c r="L65" s="15">
        <f>Adjustments!L1169</f>
        <v>0</v>
      </c>
      <c r="M65" s="15">
        <f>Adjustments!M1169</f>
        <v>0</v>
      </c>
      <c r="N65" s="15">
        <f>Adjustments!N1169</f>
        <v>0</v>
      </c>
      <c r="O65" s="15">
        <f>Adjustments!O1169</f>
        <v>0</v>
      </c>
      <c r="P65" s="15">
        <f>Adjustments!P1169</f>
        <v>0</v>
      </c>
      <c r="Q65" s="15">
        <f>Adjustments!Q1169</f>
        <v>0</v>
      </c>
      <c r="R65" s="15">
        <f>Adjustments!R1169</f>
        <v>0</v>
      </c>
      <c r="S65" s="15">
        <f>Adjustments!S1169</f>
        <v>0</v>
      </c>
      <c r="U65" s="15">
        <f>Adjustments!T1169</f>
        <v>227333.64041666643</v>
      </c>
      <c r="V65" s="1"/>
    </row>
    <row r="66" spans="1:22">
      <c r="A66" s="18">
        <f t="shared" si="35"/>
        <v>45</v>
      </c>
      <c r="C66" s="189">
        <v>252</v>
      </c>
      <c r="D66" s="15" t="s">
        <v>449</v>
      </c>
      <c r="E66" s="15"/>
      <c r="F66" s="15">
        <f>Adjustments!F1174</f>
        <v>0</v>
      </c>
      <c r="G66" s="15">
        <f>Adjustments!G1174</f>
        <v>0</v>
      </c>
      <c r="H66" s="15">
        <f>Adjustments!H1174</f>
        <v>0</v>
      </c>
      <c r="I66" s="15">
        <f>Adjustments!I1174</f>
        <v>0</v>
      </c>
      <c r="J66" s="15">
        <f>Adjustments!J1174</f>
        <v>0</v>
      </c>
      <c r="K66" s="15">
        <f>Adjustments!K1174</f>
        <v>0</v>
      </c>
      <c r="L66" s="15">
        <f>Adjustments!L1174</f>
        <v>0</v>
      </c>
      <c r="M66" s="15">
        <f>Adjustments!M1174</f>
        <v>0</v>
      </c>
      <c r="N66" s="15">
        <f>Adjustments!N1174</f>
        <v>0</v>
      </c>
      <c r="O66" s="15">
        <f>Adjustments!O1174</f>
        <v>0</v>
      </c>
      <c r="P66" s="15">
        <f>Adjustments!P1174</f>
        <v>0</v>
      </c>
      <c r="Q66" s="15">
        <f>Adjustments!Q1174</f>
        <v>0</v>
      </c>
      <c r="R66" s="15">
        <f>Adjustments!R1174</f>
        <v>0</v>
      </c>
      <c r="S66" s="15">
        <f>Adjustments!S1174</f>
        <v>0</v>
      </c>
      <c r="U66" s="15">
        <f>Adjustments!T1174</f>
        <v>0</v>
      </c>
      <c r="V66" s="1"/>
    </row>
    <row r="67" spans="1:22">
      <c r="A67" s="18">
        <f t="shared" si="35"/>
        <v>46</v>
      </c>
      <c r="C67" s="14" t="s">
        <v>492</v>
      </c>
      <c r="D67" s="15" t="s">
        <v>277</v>
      </c>
      <c r="E67" s="15"/>
      <c r="F67" s="15">
        <f>Adjustments!F1178</f>
        <v>14083.890416666662</v>
      </c>
      <c r="G67" s="15">
        <f>Adjustments!G1178</f>
        <v>0</v>
      </c>
      <c r="H67" s="15">
        <f>Adjustments!H1178</f>
        <v>0</v>
      </c>
      <c r="I67" s="15">
        <f>Adjustments!I1178</f>
        <v>0</v>
      </c>
      <c r="J67" s="15">
        <f>Adjustments!J1178</f>
        <v>0</v>
      </c>
      <c r="K67" s="15">
        <f>Adjustments!K1178</f>
        <v>0</v>
      </c>
      <c r="L67" s="15">
        <f>Adjustments!L1178</f>
        <v>0</v>
      </c>
      <c r="M67" s="15">
        <f>Adjustments!M1178</f>
        <v>0</v>
      </c>
      <c r="N67" s="15">
        <f>Adjustments!N1178</f>
        <v>0</v>
      </c>
      <c r="O67" s="15">
        <f>Adjustments!O1178</f>
        <v>0</v>
      </c>
      <c r="P67" s="15">
        <f>Adjustments!P1178</f>
        <v>0</v>
      </c>
      <c r="Q67" s="15">
        <f>Adjustments!Q1178</f>
        <v>0</v>
      </c>
      <c r="R67" s="15">
        <f>Adjustments!R1178</f>
        <v>0</v>
      </c>
      <c r="S67" s="15">
        <f>Adjustments!S1178</f>
        <v>0</v>
      </c>
      <c r="U67" s="15">
        <f>Adjustments!T1178</f>
        <v>14083.890416666662</v>
      </c>
      <c r="V67" s="1"/>
    </row>
    <row r="68" spans="1:22" ht="13.5" customHeight="1">
      <c r="A68" s="18">
        <f t="shared" si="35"/>
        <v>47</v>
      </c>
      <c r="C68" s="14">
        <v>255</v>
      </c>
      <c r="D68" s="15" t="s">
        <v>278</v>
      </c>
      <c r="E68" s="15"/>
      <c r="F68" s="15">
        <f>Adjustments!F1185</f>
        <v>0</v>
      </c>
      <c r="G68" s="15">
        <f>Adjustments!G1185</f>
        <v>0</v>
      </c>
      <c r="H68" s="15">
        <f>Adjustments!H1185</f>
        <v>0</v>
      </c>
      <c r="I68" s="15">
        <f>Adjustments!I1185</f>
        <v>0</v>
      </c>
      <c r="J68" s="15">
        <f>Adjustments!J1185</f>
        <v>0</v>
      </c>
      <c r="K68" s="15">
        <f>Adjustments!K1185</f>
        <v>0</v>
      </c>
      <c r="L68" s="15">
        <f>Adjustments!L1185</f>
        <v>0</v>
      </c>
      <c r="M68" s="15">
        <f>Adjustments!M1185</f>
        <v>0</v>
      </c>
      <c r="N68" s="15">
        <f>Adjustments!N1185</f>
        <v>0</v>
      </c>
      <c r="O68" s="15">
        <f>Adjustments!O1185</f>
        <v>0</v>
      </c>
      <c r="P68" s="15">
        <f>Adjustments!P1185</f>
        <v>0</v>
      </c>
      <c r="Q68" s="15">
        <f>Adjustments!Q1185</f>
        <v>0</v>
      </c>
      <c r="R68" s="15">
        <f>Adjustments!R1185</f>
        <v>0</v>
      </c>
      <c r="S68" s="15">
        <f>Adjustments!S1185</f>
        <v>0</v>
      </c>
      <c r="U68" s="15">
        <f>Adjustments!T1185</f>
        <v>0</v>
      </c>
      <c r="V68" s="1"/>
    </row>
    <row r="69" spans="1:22" ht="13.5" customHeight="1">
      <c r="A69" s="18">
        <f t="shared" si="35"/>
        <v>48</v>
      </c>
      <c r="C69" s="14">
        <v>282</v>
      </c>
      <c r="D69" s="15" t="s">
        <v>33</v>
      </c>
      <c r="E69" s="15"/>
      <c r="F69" s="15">
        <f>(Adjustments!F1192+Adjustments!F1199)</f>
        <v>5372086.2404166674</v>
      </c>
      <c r="G69" s="15">
        <f>(Adjustments!G1192+Adjustments!G1199+Adjustments!G1203)</f>
        <v>0</v>
      </c>
      <c r="H69" s="15">
        <f>(Adjustments!H1192+Adjustments!H1199+Adjustments!H1203)</f>
        <v>0</v>
      </c>
      <c r="I69" s="15">
        <f>(Adjustments!I1192+Adjustments!I1199+Adjustments!I1203)</f>
        <v>0</v>
      </c>
      <c r="J69" s="15">
        <f>(Adjustments!J1192+Adjustments!J1199+Adjustments!J1203)</f>
        <v>0</v>
      </c>
      <c r="K69" s="15">
        <f>(Adjustments!K1192+Adjustments!K1199+Adjustments!K1203)</f>
        <v>0</v>
      </c>
      <c r="L69" s="15">
        <f>(Adjustments!L1192+Adjustments!L1199+Adjustments!L1203)</f>
        <v>0</v>
      </c>
      <c r="M69" s="15">
        <f>(Adjustments!M1192+Adjustments!M1199+Adjustments!M1203)</f>
        <v>0</v>
      </c>
      <c r="N69" s="15">
        <f>(Adjustments!N1192+Adjustments!N1199+Adjustments!N1203)</f>
        <v>0</v>
      </c>
      <c r="O69" s="15">
        <f>(Adjustments!O1192+Adjustments!O1199+Adjustments!O1203)</f>
        <v>0</v>
      </c>
      <c r="P69" s="15">
        <f>(Adjustments!P1192+Adjustments!P1199+Adjustments!P1203)</f>
        <v>0</v>
      </c>
      <c r="Q69" s="15">
        <f>(Adjustments!Q1192+Adjustments!Q1199+Adjustments!Q1203)</f>
        <v>0</v>
      </c>
      <c r="R69" s="15">
        <f>(Adjustments!R1192+Adjustments!R1199+Adjustments!R1203)</f>
        <v>0</v>
      </c>
      <c r="S69" s="15">
        <f>(Adjustments!S1192+Adjustments!S1199)</f>
        <v>42576806.288911998</v>
      </c>
      <c r="U69" s="15">
        <f>(Adjustments!T1192+Adjustments!T1199)</f>
        <v>47948892.529328667</v>
      </c>
      <c r="V69" s="1"/>
    </row>
    <row r="70" spans="1:22" ht="13.5" customHeight="1">
      <c r="A70" s="18">
        <f t="shared" si="35"/>
        <v>49</v>
      </c>
      <c r="C70" s="299" t="s">
        <v>1201</v>
      </c>
      <c r="D70" s="265" t="s">
        <v>1191</v>
      </c>
      <c r="E70" s="300"/>
      <c r="F70" s="15">
        <f>+Adjustments!F1203</f>
        <v>-14433792.457916677</v>
      </c>
      <c r="G70" s="15">
        <f>+Adjustments!G1203</f>
        <v>0</v>
      </c>
      <c r="H70" s="15">
        <f>+Adjustments!H1203</f>
        <v>0</v>
      </c>
      <c r="I70" s="15">
        <f>+Adjustments!I1203</f>
        <v>0</v>
      </c>
      <c r="J70" s="15">
        <f>+Adjustments!J1203</f>
        <v>0</v>
      </c>
      <c r="K70" s="15">
        <f>+Adjustments!K1203</f>
        <v>0</v>
      </c>
      <c r="L70" s="15">
        <f>+Adjustments!L1203</f>
        <v>0</v>
      </c>
      <c r="M70" s="15">
        <f>+Adjustments!M1203</f>
        <v>0</v>
      </c>
      <c r="N70" s="15">
        <f>+Adjustments!N1203</f>
        <v>0</v>
      </c>
      <c r="O70" s="15">
        <f>+Adjustments!O1203</f>
        <v>0</v>
      </c>
      <c r="P70" s="15">
        <f>+Adjustments!P1203</f>
        <v>0</v>
      </c>
      <c r="Q70" s="15">
        <f>+Adjustments!Q1203</f>
        <v>0</v>
      </c>
      <c r="R70" s="15">
        <f>+Adjustments!R1203</f>
        <v>0</v>
      </c>
      <c r="S70" s="15">
        <f>+Adjustments!S1203</f>
        <v>-157260994.34208333</v>
      </c>
      <c r="U70" s="15">
        <f>Adjustments!T1203</f>
        <v>-171694786.80000001</v>
      </c>
      <c r="V70" s="1"/>
    </row>
    <row r="71" spans="1:22" ht="13.5" customHeight="1" thickBot="1">
      <c r="A71" s="18">
        <f t="shared" si="35"/>
        <v>50</v>
      </c>
      <c r="C71" s="15"/>
      <c r="D71" s="15" t="s">
        <v>474</v>
      </c>
      <c r="E71" s="15"/>
      <c r="F71" s="15">
        <f>Adjustments!F1241</f>
        <v>0</v>
      </c>
      <c r="G71" s="15">
        <f>Adjustments!G1241</f>
        <v>-610647.1224735392</v>
      </c>
      <c r="H71" s="15">
        <f>Adjustments!H1241</f>
        <v>0</v>
      </c>
      <c r="I71" s="15">
        <f>Adjustments!I1241</f>
        <v>0</v>
      </c>
      <c r="J71" s="15">
        <f>Adjustments!J1241</f>
        <v>0</v>
      </c>
      <c r="K71" s="15">
        <f>Adjustments!K1241</f>
        <v>0</v>
      </c>
      <c r="L71" s="15">
        <f>Adjustments!L1241</f>
        <v>-32860.261437752401</v>
      </c>
      <c r="M71" s="15">
        <f>Adjustments!M1241</f>
        <v>-37669.957740969141</v>
      </c>
      <c r="N71" s="15">
        <f>Adjustments!N1241</f>
        <v>0</v>
      </c>
      <c r="O71" s="15">
        <f>Adjustments!O1241</f>
        <v>0</v>
      </c>
      <c r="P71" s="15">
        <f>Adjustments!P1241</f>
        <v>-3134.7940506868445</v>
      </c>
      <c r="Q71" s="15">
        <f>Adjustments!Q1241</f>
        <v>8557.0275192338304</v>
      </c>
      <c r="R71" s="15">
        <f>Adjustments!R1241</f>
        <v>55094.092850216679</v>
      </c>
      <c r="S71" s="15">
        <f>Adjustments!S1241</f>
        <v>145728.64003460523</v>
      </c>
      <c r="U71" s="15">
        <f>Adjustments!T1241</f>
        <v>-474932.37529889186</v>
      </c>
      <c r="V71" s="1"/>
    </row>
    <row r="72" spans="1:22" ht="13.5" customHeight="1">
      <c r="A72" s="18">
        <f t="shared" si="35"/>
        <v>51</v>
      </c>
      <c r="C72" s="26" t="s">
        <v>156</v>
      </c>
      <c r="D72" s="15"/>
      <c r="E72" s="15"/>
      <c r="F72" s="23">
        <f>SUM(F61:F71)</f>
        <v>1359878.6283333227</v>
      </c>
      <c r="G72" s="23">
        <f t="shared" ref="G72:H72" si="36">SUM(G61:G71)</f>
        <v>-610647.1224735392</v>
      </c>
      <c r="H72" s="23">
        <f t="shared" si="36"/>
        <v>-19959087.870000001</v>
      </c>
      <c r="I72" s="23">
        <f t="shared" ref="I72:J72" si="37">SUM(I61:I71)</f>
        <v>0</v>
      </c>
      <c r="J72" s="23">
        <f t="shared" si="37"/>
        <v>0</v>
      </c>
      <c r="K72" s="23">
        <f t="shared" ref="K72:R72" si="38">SUM(K61:K71)</f>
        <v>0</v>
      </c>
      <c r="L72" s="23">
        <f t="shared" si="38"/>
        <v>-32860.261437752401</v>
      </c>
      <c r="M72" s="23">
        <f t="shared" si="38"/>
        <v>-37669.957740969141</v>
      </c>
      <c r="N72" s="23">
        <f t="shared" si="38"/>
        <v>0</v>
      </c>
      <c r="O72" s="23">
        <f t="shared" si="38"/>
        <v>0</v>
      </c>
      <c r="P72" s="23">
        <f t="shared" si="38"/>
        <v>-3134.7940506868445</v>
      </c>
      <c r="Q72" s="23">
        <f t="shared" si="38"/>
        <v>8557.0275192338304</v>
      </c>
      <c r="R72" s="23">
        <f t="shared" si="38"/>
        <v>55094.092850216679</v>
      </c>
      <c r="S72" s="23">
        <f t="shared" ref="S72" si="39">SUM(S61:S71)</f>
        <v>-114538459.41313674</v>
      </c>
      <c r="U72" s="23">
        <f>SUM(U61:U71)</f>
        <v>-133758329.6701369</v>
      </c>
      <c r="V72" s="1"/>
    </row>
    <row r="73" spans="1:22" ht="13.5" customHeight="1" thickBot="1">
      <c r="A73" s="18"/>
      <c r="B73" s="13"/>
      <c r="C73" s="15"/>
      <c r="D73" s="15"/>
      <c r="E73" s="15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U73" s="24"/>
    </row>
    <row r="74" spans="1:22" ht="13.5" customHeight="1" thickTop="1">
      <c r="A74" s="18"/>
      <c r="B74" s="13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U74" s="15"/>
    </row>
    <row r="75" spans="1:22" ht="13.5" customHeight="1">
      <c r="A75" s="18">
        <f>+A72+1</f>
        <v>52</v>
      </c>
      <c r="B75" s="26" t="s">
        <v>738</v>
      </c>
      <c r="C75" s="15"/>
      <c r="D75" s="15"/>
      <c r="E75" s="15"/>
      <c r="F75" s="15">
        <f>+F58+F72</f>
        <v>-208727044.92000008</v>
      </c>
      <c r="G75" s="15">
        <f t="shared" ref="G75:H75" si="40">+G58+G72</f>
        <v>-610647.1224735392</v>
      </c>
      <c r="H75" s="15">
        <f t="shared" si="40"/>
        <v>-19959087.870000001</v>
      </c>
      <c r="I75" s="15">
        <f t="shared" ref="I75:J75" si="41">+I58+I72</f>
        <v>-70286.568187500641</v>
      </c>
      <c r="J75" s="15">
        <f t="shared" si="41"/>
        <v>0</v>
      </c>
      <c r="K75" s="15">
        <f t="shared" ref="K75:Q75" si="42">+K58+K72</f>
        <v>0</v>
      </c>
      <c r="L75" s="15">
        <f t="shared" si="42"/>
        <v>-32860.261437752401</v>
      </c>
      <c r="M75" s="15">
        <f t="shared" si="42"/>
        <v>-863010.99761757161</v>
      </c>
      <c r="N75" s="15">
        <f t="shared" si="42"/>
        <v>0</v>
      </c>
      <c r="O75" s="15">
        <f t="shared" si="42"/>
        <v>0</v>
      </c>
      <c r="P75" s="15">
        <f t="shared" si="42"/>
        <v>-3134.7940506868445</v>
      </c>
      <c r="Q75" s="15">
        <f t="shared" si="42"/>
        <v>8557.0275192338304</v>
      </c>
      <c r="R75" s="15">
        <f>+R58+R72</f>
        <v>55094.092850216679</v>
      </c>
      <c r="S75" s="15">
        <f>+S58+S72</f>
        <v>-114538459.41313674</v>
      </c>
      <c r="U75" s="15">
        <f>+U58+U72</f>
        <v>-344740880.82653445</v>
      </c>
      <c r="V75" s="1"/>
    </row>
  </sheetData>
  <phoneticPr fontId="0" type="noConversion"/>
  <printOptions verticalCentered="1"/>
  <pageMargins left="1" right="1" top="1" bottom="1" header="0.5" footer="0.5"/>
  <pageSetup scale="42" firstPageNumber="3" orientation="landscape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>
    <tabColor rgb="FF92D050"/>
  </sheetPr>
  <dimension ref="A1:W1773"/>
  <sheetViews>
    <sheetView zoomScale="70" zoomScaleNormal="70" workbookViewId="0">
      <pane xSplit="6" ySplit="9" topLeftCell="I1085" activePane="bottomRight" state="frozen"/>
      <selection pane="topRight" activeCell="G1" sqref="G1"/>
      <selection pane="bottomLeft" activeCell="A10" sqref="A10"/>
      <selection pane="bottomRight" activeCell="F1091" sqref="F1091"/>
    </sheetView>
  </sheetViews>
  <sheetFormatPr defaultRowHeight="12.75"/>
  <cols>
    <col min="1" max="1" width="7.28515625" customWidth="1"/>
    <col min="2" max="2" width="5.7109375" customWidth="1"/>
    <col min="3" max="3" width="33.85546875" customWidth="1"/>
    <col min="4" max="4" width="28.7109375" hidden="1" customWidth="1"/>
    <col min="5" max="5" width="16.140625" hidden="1" customWidth="1"/>
    <col min="6" max="7" width="16.28515625" customWidth="1"/>
    <col min="8" max="8" width="15.140625" customWidth="1"/>
    <col min="9" max="9" width="14.42578125" customWidth="1"/>
    <col min="10" max="10" width="19" customWidth="1"/>
    <col min="11" max="11" width="12.140625" customWidth="1"/>
    <col min="12" max="12" width="15.5703125" customWidth="1"/>
    <col min="13" max="13" width="12.7109375" customWidth="1"/>
    <col min="14" max="14" width="14.42578125" customWidth="1"/>
    <col min="15" max="15" width="14.85546875" customWidth="1"/>
    <col min="16" max="16" width="18.28515625" customWidth="1"/>
    <col min="17" max="17" width="20.5703125" customWidth="1"/>
    <col min="18" max="19" width="19" customWidth="1"/>
    <col min="20" max="20" width="17.7109375" customWidth="1"/>
    <col min="21" max="21" width="5" customWidth="1"/>
    <col min="22" max="23" width="15" customWidth="1"/>
    <col min="25" max="53" width="16.28515625" customWidth="1"/>
    <col min="55" max="55" width="18.140625" bestFit="1" customWidth="1"/>
    <col min="56" max="56" width="20" bestFit="1" customWidth="1"/>
    <col min="57" max="57" width="18.85546875" bestFit="1" customWidth="1"/>
    <col min="58" max="58" width="20.140625" bestFit="1" customWidth="1"/>
    <col min="59" max="59" width="31.42578125" bestFit="1" customWidth="1"/>
    <col min="60" max="60" width="31.5703125" bestFit="1" customWidth="1"/>
    <col min="61" max="61" width="19.7109375" bestFit="1" customWidth="1"/>
    <col min="62" max="62" width="7.7109375" bestFit="1" customWidth="1"/>
    <col min="63" max="63" width="27.85546875" bestFit="1" customWidth="1"/>
    <col min="64" max="64" width="25" bestFit="1" customWidth="1"/>
    <col min="65" max="65" width="19.5703125" bestFit="1" customWidth="1"/>
    <col min="66" max="66" width="21.42578125" bestFit="1" customWidth="1"/>
    <col min="67" max="67" width="27.28515625" bestFit="1" customWidth="1"/>
    <col min="68" max="68" width="26.7109375" bestFit="1" customWidth="1"/>
    <col min="69" max="69" width="22.5703125" bestFit="1" customWidth="1"/>
    <col min="70" max="70" width="29.5703125" bestFit="1" customWidth="1"/>
    <col min="71" max="71" width="26.85546875" bestFit="1" customWidth="1"/>
    <col min="72" max="72" width="28.5703125" bestFit="1" customWidth="1"/>
    <col min="73" max="73" width="19.140625" bestFit="1" customWidth="1"/>
    <col min="74" max="74" width="21.42578125" bestFit="1" customWidth="1"/>
    <col min="75" max="75" width="26.7109375" bestFit="1" customWidth="1"/>
    <col min="76" max="76" width="20.7109375" bestFit="1" customWidth="1"/>
    <col min="77" max="77" width="20" bestFit="1" customWidth="1"/>
    <col min="78" max="78" width="21" bestFit="1" customWidth="1"/>
    <col min="79" max="79" width="20" customWidth="1"/>
    <col min="80" max="80" width="34" bestFit="1" customWidth="1"/>
    <col min="81" max="81" width="24.28515625" bestFit="1" customWidth="1"/>
    <col min="88" max="88" width="12.28515625" bestFit="1" customWidth="1"/>
  </cols>
  <sheetData>
    <row r="1" spans="1:23">
      <c r="A1" s="12" t="str">
        <f>'Control Panel'!$B$1</f>
        <v>Dominion Energy</v>
      </c>
      <c r="F1" s="6">
        <f>IF(F8="Y",1,0)</f>
        <v>1</v>
      </c>
      <c r="G1" s="6">
        <f t="shared" ref="G1:I1" si="0">IF(G8="Y",1,0)</f>
        <v>1</v>
      </c>
      <c r="H1" s="6">
        <f t="shared" si="0"/>
        <v>1</v>
      </c>
      <c r="I1" s="6">
        <f t="shared" si="0"/>
        <v>1</v>
      </c>
      <c r="J1" s="6">
        <f>IF(J8="Y",1,0)</f>
        <v>0</v>
      </c>
      <c r="K1" s="6">
        <f t="shared" ref="K1:S1" si="1">IF(K8="Y",1,0)</f>
        <v>0</v>
      </c>
      <c r="L1" s="6">
        <f t="shared" si="1"/>
        <v>1</v>
      </c>
      <c r="M1" s="6">
        <f t="shared" si="1"/>
        <v>1</v>
      </c>
      <c r="N1" s="6">
        <f t="shared" si="1"/>
        <v>1</v>
      </c>
      <c r="O1" s="6">
        <f t="shared" si="1"/>
        <v>1</v>
      </c>
      <c r="P1" s="6">
        <f t="shared" si="1"/>
        <v>1</v>
      </c>
      <c r="Q1" s="6">
        <f t="shared" si="1"/>
        <v>1</v>
      </c>
      <c r="R1" s="6">
        <f t="shared" ref="R1" si="2">IF(R8="Y",1,0)</f>
        <v>1</v>
      </c>
      <c r="S1" s="6">
        <f t="shared" si="1"/>
        <v>1</v>
      </c>
      <c r="T1" s="310"/>
      <c r="U1" s="6"/>
      <c r="V1" s="310"/>
      <c r="W1" s="310"/>
    </row>
    <row r="2" spans="1:23">
      <c r="A2" s="12" t="str">
        <f>'Control Panel'!$B$2</f>
        <v>Utah - June 2023 Adjusted Avg Results</v>
      </c>
      <c r="B2" s="528"/>
      <c r="C2" s="528"/>
      <c r="E2" s="528"/>
      <c r="T2" s="77"/>
      <c r="V2" s="77"/>
      <c r="W2" s="77"/>
    </row>
    <row r="3" spans="1:23">
      <c r="A3" s="12" t="str">
        <f>'Control Panel'!$B$3</f>
        <v>12 Months Ended : Jun-2023</v>
      </c>
      <c r="B3" s="528"/>
      <c r="C3" s="528"/>
      <c r="E3" s="528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311"/>
      <c r="U3" s="103"/>
      <c r="V3" s="311"/>
      <c r="W3" s="311"/>
    </row>
    <row r="4" spans="1:23">
      <c r="A4" s="309" t="s">
        <v>816</v>
      </c>
      <c r="B4" s="301"/>
      <c r="C4" s="301"/>
      <c r="D4" s="63"/>
      <c r="E4" s="528"/>
      <c r="T4" s="529"/>
      <c r="V4" s="529"/>
      <c r="W4" s="529"/>
    </row>
    <row r="5" spans="1:23">
      <c r="A5" s="275"/>
      <c r="B5" s="301"/>
      <c r="C5" s="474"/>
      <c r="E5" s="301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529"/>
      <c r="U5" s="474"/>
      <c r="V5" s="529"/>
      <c r="W5" s="529"/>
    </row>
    <row r="6" spans="1:23">
      <c r="A6" s="317"/>
      <c r="B6" s="301"/>
      <c r="C6" s="301"/>
      <c r="D6" s="1"/>
      <c r="E6" s="301"/>
      <c r="F6" s="103">
        <v>1</v>
      </c>
      <c r="G6" s="103">
        <v>2</v>
      </c>
      <c r="H6" s="103">
        <v>3</v>
      </c>
      <c r="I6" s="103">
        <v>4</v>
      </c>
      <c r="J6" s="103">
        <v>5</v>
      </c>
      <c r="K6" s="103">
        <v>6</v>
      </c>
      <c r="L6" s="103">
        <v>7</v>
      </c>
      <c r="M6" s="103">
        <v>8</v>
      </c>
      <c r="N6" s="103">
        <v>9</v>
      </c>
      <c r="O6" s="103">
        <v>10</v>
      </c>
      <c r="P6" s="103">
        <v>11</v>
      </c>
      <c r="Q6" s="103">
        <v>12</v>
      </c>
      <c r="R6" s="103">
        <v>13</v>
      </c>
      <c r="S6" s="103">
        <v>14</v>
      </c>
      <c r="T6" s="302"/>
      <c r="U6" s="103"/>
      <c r="V6" s="302"/>
      <c r="W6" s="302"/>
    </row>
    <row r="7" spans="1:23" ht="15.75">
      <c r="A7" s="160"/>
      <c r="B7" s="528"/>
      <c r="C7" s="528"/>
      <c r="E7" s="161"/>
      <c r="T7" s="311"/>
      <c r="U7" s="103"/>
      <c r="V7" s="311"/>
      <c r="W7" s="311"/>
    </row>
    <row r="8" spans="1:23" ht="12.75" customHeight="1">
      <c r="A8" s="162"/>
      <c r="B8" s="528"/>
      <c r="C8" s="528"/>
      <c r="E8" s="530"/>
      <c r="F8" s="6" t="str">
        <f>VLOOKUP(F$6,'Control Panel'!$A$8:$F$57,5)</f>
        <v>Y</v>
      </c>
      <c r="G8" s="6" t="str">
        <f>VLOOKUP(G$6,'Control Panel'!$A$8:$F$57,5)</f>
        <v>Y</v>
      </c>
      <c r="H8" s="6" t="str">
        <f>VLOOKUP(H$6,'Control Panel'!$A$8:$F$57,5)</f>
        <v>Y</v>
      </c>
      <c r="I8" s="6" t="str">
        <f>VLOOKUP(I$6,'Control Panel'!$A$8:$F$57,5)</f>
        <v>Y</v>
      </c>
      <c r="J8" s="6" t="str">
        <f>VLOOKUP(J$6,'Control Panel'!$A$8:$F$57,5)</f>
        <v>N</v>
      </c>
      <c r="K8" s="6" t="str">
        <f>VLOOKUP(K$6,'Control Panel'!$A$8:$F$57,5)</f>
        <v>N</v>
      </c>
      <c r="L8" s="6" t="str">
        <f>VLOOKUP(L$6,'Control Panel'!$A$8:$F$57,5)</f>
        <v>Y</v>
      </c>
      <c r="M8" s="6" t="str">
        <f>VLOOKUP(M$6,'Control Panel'!$A$8:$F$57,5)</f>
        <v>Y</v>
      </c>
      <c r="N8" s="6" t="str">
        <f>VLOOKUP(N$6,'Control Panel'!$A$8:$F$57,5)</f>
        <v>Y</v>
      </c>
      <c r="O8" s="6" t="str">
        <f>VLOOKUP(O$6,'Control Panel'!$A$8:$F$57,5)</f>
        <v>Y</v>
      </c>
      <c r="P8" s="6" t="str">
        <f>VLOOKUP(P$6,'Control Panel'!$A$8:$F$57,5)</f>
        <v>Y</v>
      </c>
      <c r="Q8" s="6" t="str">
        <f>VLOOKUP(Q$6,'Control Panel'!$A$8:$F$57,5)</f>
        <v>Y</v>
      </c>
      <c r="R8" s="6" t="str">
        <f>VLOOKUP(R$6,'Control Panel'!$A$8:$F$57,5)</f>
        <v>Y</v>
      </c>
      <c r="S8" s="6" t="str">
        <f>VLOOKUP(S$6,'Control Panel'!$A$8:$F$57,5)</f>
        <v>Y</v>
      </c>
      <c r="T8" s="310"/>
      <c r="U8" s="6"/>
      <c r="V8" s="310"/>
      <c r="W8" s="310"/>
    </row>
    <row r="9" spans="1:23" ht="66" customHeight="1" thickBot="1">
      <c r="A9" s="163" t="s">
        <v>775</v>
      </c>
      <c r="B9" s="164"/>
      <c r="C9" s="163" t="s">
        <v>776</v>
      </c>
      <c r="E9" s="165"/>
      <c r="F9" s="166" t="str">
        <f t="shared" ref="F9:I9" si="3">VLOOKUP(F$6,Adjustments,2)</f>
        <v>AVG RB June 2023</v>
      </c>
      <c r="G9" s="166" t="str">
        <f t="shared" si="3"/>
        <v xml:space="preserve"> Energy Efficiency &amp; STEP Dec 2022</v>
      </c>
      <c r="H9" s="166" t="str">
        <f t="shared" si="3"/>
        <v>Underground Storage</v>
      </c>
      <c r="I9" s="166" t="str">
        <f t="shared" si="3"/>
        <v>Wexpro</v>
      </c>
      <c r="J9" s="166" t="str">
        <f t="shared" ref="J9:R9" si="4">VLOOKUP(J$6,Adjustments,2)</f>
        <v>Transition Costs</v>
      </c>
      <c r="K9" s="166">
        <f t="shared" si="4"/>
        <v>0</v>
      </c>
      <c r="L9" s="166" t="str">
        <f t="shared" si="4"/>
        <v>Bad Debt</v>
      </c>
      <c r="M9" s="166" t="str">
        <f t="shared" si="4"/>
        <v xml:space="preserve"> Incentives</v>
      </c>
      <c r="N9" s="166" t="str">
        <f t="shared" si="4"/>
        <v xml:space="preserve"> Sporting Events </v>
      </c>
      <c r="O9" s="166" t="str">
        <f t="shared" si="4"/>
        <v xml:space="preserve"> Advertising </v>
      </c>
      <c r="P9" s="166" t="str">
        <f t="shared" si="4"/>
        <v xml:space="preserve"> Don &amp; Membership </v>
      </c>
      <c r="Q9" s="166" t="str">
        <f t="shared" si="4"/>
        <v xml:space="preserve"> Reserve accrual </v>
      </c>
      <c r="R9" s="166" t="str">
        <f t="shared" si="4"/>
        <v xml:space="preserve"> Labor Adj </v>
      </c>
      <c r="S9" s="166" t="str">
        <f>VLOOKUP(S$6,Adjustments,2)</f>
        <v>Pension</v>
      </c>
      <c r="T9" s="166" t="s">
        <v>1050</v>
      </c>
      <c r="U9" s="166"/>
      <c r="V9" s="166" t="s">
        <v>815</v>
      </c>
      <c r="W9" s="166" t="s">
        <v>814</v>
      </c>
    </row>
    <row r="10" spans="1:23">
      <c r="A10" s="106" t="s">
        <v>777</v>
      </c>
      <c r="B10" s="106"/>
      <c r="C10" s="106"/>
      <c r="D10" s="106"/>
      <c r="E10" s="531"/>
      <c r="F10" s="301"/>
      <c r="G10" s="301"/>
      <c r="H10" s="301"/>
      <c r="I10" s="301"/>
      <c r="J10" s="325"/>
      <c r="K10" s="325"/>
      <c r="L10" s="301"/>
      <c r="M10" s="301"/>
      <c r="N10" s="301"/>
      <c r="O10" s="301"/>
      <c r="P10" s="301"/>
      <c r="Q10" s="325"/>
      <c r="R10" s="325"/>
      <c r="S10" s="325"/>
      <c r="T10" s="532"/>
      <c r="U10" s="301"/>
      <c r="V10" s="532"/>
      <c r="W10" s="532"/>
    </row>
    <row r="11" spans="1:23">
      <c r="A11" s="106" t="s">
        <v>11</v>
      </c>
      <c r="B11" s="106"/>
      <c r="C11" s="106"/>
      <c r="D11" s="106"/>
      <c r="E11" s="531"/>
      <c r="F11" s="301"/>
      <c r="G11" s="301"/>
      <c r="H11" s="301"/>
      <c r="I11" s="301"/>
      <c r="J11" s="325"/>
      <c r="K11" s="325"/>
      <c r="L11" s="301"/>
      <c r="M11" s="301"/>
      <c r="N11" s="301"/>
      <c r="O11" s="301"/>
      <c r="P11" s="301"/>
      <c r="Q11" s="325"/>
      <c r="R11" s="325"/>
      <c r="S11" s="325"/>
      <c r="T11" s="532"/>
      <c r="U11" s="301"/>
      <c r="V11" s="532"/>
      <c r="W11" s="532"/>
    </row>
    <row r="12" spans="1:23">
      <c r="A12" s="106"/>
      <c r="B12" s="106"/>
      <c r="C12" s="106"/>
      <c r="D12" s="106"/>
      <c r="E12" s="531"/>
      <c r="F12" s="301"/>
      <c r="G12" s="301"/>
      <c r="H12" s="301"/>
      <c r="I12" s="301"/>
      <c r="J12" s="325"/>
      <c r="K12" s="325"/>
      <c r="L12" s="301"/>
      <c r="M12" s="301"/>
      <c r="N12" s="301"/>
      <c r="O12" s="301"/>
      <c r="P12" s="301"/>
      <c r="Q12" s="325"/>
      <c r="R12" s="325"/>
      <c r="S12" s="325"/>
      <c r="T12" s="532"/>
      <c r="U12" s="301"/>
      <c r="V12" s="532"/>
      <c r="W12" s="532"/>
    </row>
    <row r="13" spans="1:23">
      <c r="A13" s="106"/>
      <c r="B13" s="106"/>
      <c r="C13" s="106"/>
      <c r="D13" s="106"/>
      <c r="E13" s="531"/>
      <c r="F13" s="301"/>
      <c r="G13" s="301"/>
      <c r="H13" s="301"/>
      <c r="I13" s="301"/>
      <c r="J13" s="325"/>
      <c r="K13" s="325"/>
      <c r="L13" s="301"/>
      <c r="M13" s="301"/>
      <c r="N13" s="301"/>
      <c r="O13" s="301"/>
      <c r="P13" s="301"/>
      <c r="Q13" s="325"/>
      <c r="R13" s="325"/>
      <c r="S13" s="325"/>
      <c r="T13" s="532"/>
      <c r="U13" s="301"/>
      <c r="V13" s="532"/>
      <c r="W13" s="532"/>
    </row>
    <row r="14" spans="1:23" ht="15.75">
      <c r="A14" s="160"/>
      <c r="B14" s="528"/>
      <c r="C14" s="528"/>
      <c r="E14" s="161"/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311"/>
      <c r="U14" s="103"/>
      <c r="V14" s="311"/>
      <c r="W14" s="311"/>
    </row>
    <row r="15" spans="1:23">
      <c r="A15" s="167" t="s">
        <v>12</v>
      </c>
      <c r="B15" s="533"/>
      <c r="C15" s="528"/>
      <c r="D15" s="534"/>
      <c r="E15" s="531"/>
      <c r="F15" s="301"/>
      <c r="G15" s="301"/>
      <c r="H15" s="301"/>
      <c r="I15" s="301"/>
      <c r="J15" s="325"/>
      <c r="K15" s="325"/>
      <c r="L15" s="301"/>
      <c r="M15" s="301"/>
      <c r="N15" s="301"/>
      <c r="O15" s="301"/>
      <c r="P15" s="301"/>
      <c r="Q15" s="325"/>
      <c r="R15" s="325"/>
      <c r="S15" s="325"/>
      <c r="T15" s="532"/>
      <c r="U15" s="301"/>
      <c r="V15" s="532"/>
      <c r="W15" s="532"/>
    </row>
    <row r="16" spans="1:23">
      <c r="A16" s="535"/>
      <c r="B16" s="32" t="s">
        <v>806</v>
      </c>
      <c r="C16" s="32" t="s">
        <v>14</v>
      </c>
      <c r="D16" s="534"/>
      <c r="E16" s="531"/>
      <c r="F16" s="301"/>
      <c r="G16" s="301">
        <f>G1*Revenue!$I$15</f>
        <v>0</v>
      </c>
      <c r="H16" s="301"/>
      <c r="I16" s="301"/>
      <c r="J16" s="325"/>
      <c r="K16" s="325"/>
      <c r="L16" s="301"/>
      <c r="M16" s="301"/>
      <c r="N16" s="301"/>
      <c r="O16" s="301"/>
      <c r="P16" s="301"/>
      <c r="Q16" s="325"/>
      <c r="R16" s="325"/>
      <c r="S16" s="325">
        <v>0</v>
      </c>
      <c r="T16" s="532">
        <f>SUM(F16:S16)</f>
        <v>0</v>
      </c>
      <c r="U16" s="301"/>
      <c r="V16" s="532">
        <f>SUM(T16:T16)</f>
        <v>0</v>
      </c>
      <c r="W16" s="532">
        <f>+V16-'ROR-Model'!G16</f>
        <v>0</v>
      </c>
    </row>
    <row r="17" spans="1:23">
      <c r="A17" s="535"/>
      <c r="B17" s="32"/>
      <c r="C17" s="32"/>
      <c r="D17" s="534"/>
      <c r="E17" s="531"/>
      <c r="F17" s="301"/>
      <c r="G17" s="301"/>
      <c r="H17" s="301"/>
      <c r="I17" s="301"/>
      <c r="J17" s="325"/>
      <c r="K17" s="325"/>
      <c r="L17" s="301"/>
      <c r="M17" s="301"/>
      <c r="N17" s="301"/>
      <c r="O17" s="301"/>
      <c r="P17" s="301"/>
      <c r="Q17" s="325"/>
      <c r="R17" s="325"/>
      <c r="S17" s="325"/>
      <c r="T17" s="532"/>
      <c r="U17" s="301"/>
      <c r="V17" s="532"/>
      <c r="W17" s="532">
        <f>+V17-'ROR-Model'!G17</f>
        <v>0</v>
      </c>
    </row>
    <row r="18" spans="1:23">
      <c r="A18" s="535"/>
      <c r="B18" s="32"/>
      <c r="C18" s="32" t="s">
        <v>15</v>
      </c>
      <c r="D18" s="534"/>
      <c r="E18" s="531"/>
      <c r="F18" s="301"/>
      <c r="G18" s="301">
        <f>G1*Revenue!$I$17</f>
        <v>0</v>
      </c>
      <c r="H18" s="301"/>
      <c r="I18" s="301"/>
      <c r="J18" s="325"/>
      <c r="K18" s="325"/>
      <c r="L18" s="301"/>
      <c r="M18" s="301"/>
      <c r="N18" s="301"/>
      <c r="O18" s="301"/>
      <c r="P18" s="301"/>
      <c r="Q18" s="325"/>
      <c r="R18" s="325"/>
      <c r="S18" s="325"/>
      <c r="T18" s="532">
        <f>SUM(F18:S18)</f>
        <v>0</v>
      </c>
      <c r="U18" s="301"/>
      <c r="V18" s="532">
        <f>SUM(T18:T18)</f>
        <v>0</v>
      </c>
      <c r="W18" s="532">
        <f>+V18-'ROR-Model'!G18</f>
        <v>0</v>
      </c>
    </row>
    <row r="19" spans="1:23">
      <c r="A19" s="535"/>
      <c r="B19" s="32"/>
      <c r="C19" s="32"/>
      <c r="D19" s="534"/>
      <c r="E19" s="531"/>
      <c r="F19" s="301"/>
      <c r="G19" s="301"/>
      <c r="H19" s="301"/>
      <c r="I19" s="301"/>
      <c r="J19" s="325"/>
      <c r="K19" s="325"/>
      <c r="L19" s="301"/>
      <c r="M19" s="301"/>
      <c r="N19" s="301"/>
      <c r="O19" s="301"/>
      <c r="P19" s="301"/>
      <c r="Q19" s="325"/>
      <c r="R19" s="325"/>
      <c r="S19" s="325"/>
      <c r="T19" s="532"/>
      <c r="U19" s="301"/>
      <c r="V19" s="532"/>
      <c r="W19" s="532">
        <f>+V19-'ROR-Model'!G19</f>
        <v>0</v>
      </c>
    </row>
    <row r="20" spans="1:23">
      <c r="A20" s="535"/>
      <c r="B20" s="32"/>
      <c r="C20" s="32" t="s">
        <v>16</v>
      </c>
      <c r="D20" s="534"/>
      <c r="E20" s="531"/>
      <c r="F20" s="301"/>
      <c r="G20" s="301">
        <f>G1*Revenue!$I$19</f>
        <v>0</v>
      </c>
      <c r="H20" s="301"/>
      <c r="I20" s="301"/>
      <c r="J20" s="325"/>
      <c r="K20" s="325"/>
      <c r="L20" s="301"/>
      <c r="M20" s="301"/>
      <c r="N20" s="301"/>
      <c r="O20" s="301"/>
      <c r="P20" s="301"/>
      <c r="Q20" s="325"/>
      <c r="R20" s="325"/>
      <c r="S20" s="325"/>
      <c r="T20" s="532">
        <f>SUM(F20:S20)</f>
        <v>0</v>
      </c>
      <c r="U20" s="301"/>
      <c r="V20" s="532">
        <f>SUM(T20:T20)</f>
        <v>0</v>
      </c>
      <c r="W20" s="532">
        <f>+V20-'ROR-Model'!G20</f>
        <v>0</v>
      </c>
    </row>
    <row r="21" spans="1:23">
      <c r="A21" s="535"/>
      <c r="B21" s="32"/>
      <c r="C21" s="32" t="s">
        <v>17</v>
      </c>
      <c r="D21" s="534"/>
      <c r="E21" s="531"/>
      <c r="F21" s="323">
        <f>SUM(F16:F20)</f>
        <v>0</v>
      </c>
      <c r="G21" s="323">
        <f>G1*SUM(G16:G20)</f>
        <v>0</v>
      </c>
      <c r="H21" s="323">
        <f>SUM(H16:H20)</f>
        <v>0</v>
      </c>
      <c r="I21" s="323">
        <f t="shared" ref="I21:P21" si="5">SUM(I16:I20)</f>
        <v>0</v>
      </c>
      <c r="J21" s="476">
        <f>SUM(J16:J20)</f>
        <v>0</v>
      </c>
      <c r="K21" s="476">
        <f>SUM(K16:K20)</f>
        <v>0</v>
      </c>
      <c r="L21" s="323">
        <f t="shared" si="5"/>
        <v>0</v>
      </c>
      <c r="M21" s="323">
        <f t="shared" si="5"/>
        <v>0</v>
      </c>
      <c r="N21" s="323">
        <f t="shared" si="5"/>
        <v>0</v>
      </c>
      <c r="O21" s="323">
        <f t="shared" si="5"/>
        <v>0</v>
      </c>
      <c r="P21" s="323">
        <f t="shared" si="5"/>
        <v>0</v>
      </c>
      <c r="Q21" s="476">
        <f>SUM(Q16:Q20)</f>
        <v>0</v>
      </c>
      <c r="R21" s="476">
        <f>SUM(R16:R20)</f>
        <v>0</v>
      </c>
      <c r="S21" s="476">
        <f>SUM(S16:S20)</f>
        <v>0</v>
      </c>
      <c r="T21" s="536">
        <f>SUM(F21:S21)</f>
        <v>0</v>
      </c>
      <c r="U21" s="323"/>
      <c r="V21" s="536">
        <f>SUM(T21:T21)</f>
        <v>0</v>
      </c>
      <c r="W21" s="536">
        <f>+V21-'ROR-Model'!G21</f>
        <v>0</v>
      </c>
    </row>
    <row r="22" spans="1:23">
      <c r="A22" s="535"/>
      <c r="B22" s="32"/>
      <c r="C22" s="32"/>
      <c r="D22" s="534"/>
      <c r="E22" s="531"/>
      <c r="F22" s="301"/>
      <c r="G22" s="301"/>
      <c r="H22" s="301"/>
      <c r="I22" s="301"/>
      <c r="J22" s="325"/>
      <c r="K22" s="325"/>
      <c r="L22" s="301"/>
      <c r="M22" s="301"/>
      <c r="N22" s="301"/>
      <c r="O22" s="301"/>
      <c r="P22" s="301"/>
      <c r="Q22" s="325"/>
      <c r="R22" s="325"/>
      <c r="S22" s="325"/>
      <c r="T22" s="532"/>
      <c r="U22" s="301"/>
      <c r="V22" s="532"/>
      <c r="W22" s="532">
        <f>+V22-'ROR-Model'!G22</f>
        <v>0</v>
      </c>
    </row>
    <row r="23" spans="1:23">
      <c r="A23" s="535"/>
      <c r="B23" s="32"/>
      <c r="C23" s="32" t="s">
        <v>18</v>
      </c>
      <c r="D23" s="534"/>
      <c r="E23" s="531"/>
      <c r="F23" s="301"/>
      <c r="G23" s="301">
        <f>G1*Revenue!$I$22</f>
        <v>0</v>
      </c>
      <c r="H23" s="301"/>
      <c r="I23" s="301"/>
      <c r="J23" s="325"/>
      <c r="K23" s="325"/>
      <c r="L23" s="301"/>
      <c r="M23" s="301"/>
      <c r="N23" s="301"/>
      <c r="O23" s="301"/>
      <c r="P23" s="301"/>
      <c r="Q23" s="325"/>
      <c r="R23" s="325"/>
      <c r="S23" s="325"/>
      <c r="T23" s="532">
        <f>SUM(F23:S23)</f>
        <v>0</v>
      </c>
      <c r="U23" s="301"/>
      <c r="V23" s="532">
        <f>SUM(T23:T23)</f>
        <v>0</v>
      </c>
      <c r="W23" s="532">
        <f>+V23-'ROR-Model'!G23</f>
        <v>0</v>
      </c>
    </row>
    <row r="24" spans="1:23">
      <c r="A24" s="535"/>
      <c r="B24" s="32"/>
      <c r="C24" s="32"/>
      <c r="D24" s="534"/>
      <c r="E24" s="531"/>
      <c r="F24" s="301"/>
      <c r="G24" s="301"/>
      <c r="H24" s="301"/>
      <c r="I24" s="301"/>
      <c r="J24" s="325"/>
      <c r="K24" s="325"/>
      <c r="L24" s="301"/>
      <c r="M24" s="301"/>
      <c r="N24" s="301"/>
      <c r="O24" s="301"/>
      <c r="P24" s="301"/>
      <c r="Q24" s="325"/>
      <c r="R24" s="325"/>
      <c r="S24" s="325"/>
      <c r="T24" s="532"/>
      <c r="U24" s="301"/>
      <c r="V24" s="532"/>
      <c r="W24" s="532">
        <f>+V24-'ROR-Model'!G24</f>
        <v>0</v>
      </c>
    </row>
    <row r="25" spans="1:23">
      <c r="A25" s="535"/>
      <c r="B25" s="32" t="s">
        <v>216</v>
      </c>
      <c r="C25" s="32" t="s">
        <v>14</v>
      </c>
      <c r="D25" s="537"/>
      <c r="E25" s="531"/>
      <c r="F25" s="301"/>
      <c r="G25" s="301">
        <f>G1*Revenue!$I$24</f>
        <v>0</v>
      </c>
      <c r="H25" s="301"/>
      <c r="I25" s="301"/>
      <c r="J25" s="325"/>
      <c r="K25" s="325"/>
      <c r="L25" s="301"/>
      <c r="M25" s="301"/>
      <c r="N25" s="301"/>
      <c r="O25" s="301"/>
      <c r="P25" s="301"/>
      <c r="Q25" s="325"/>
      <c r="R25" s="325"/>
      <c r="S25" s="325"/>
      <c r="T25" s="532">
        <f>SUM(F25:S25)</f>
        <v>0</v>
      </c>
      <c r="U25" s="301"/>
      <c r="V25" s="532">
        <f>SUM(T25:T25)</f>
        <v>0</v>
      </c>
      <c r="W25" s="532">
        <f>+V25-'ROR-Model'!G25</f>
        <v>0</v>
      </c>
    </row>
    <row r="26" spans="1:23">
      <c r="A26" s="535"/>
      <c r="B26" s="32"/>
      <c r="C26" s="32"/>
      <c r="D26" s="537"/>
      <c r="E26" s="531"/>
      <c r="F26" s="301"/>
      <c r="G26" s="301"/>
      <c r="H26" s="301"/>
      <c r="I26" s="301"/>
      <c r="J26" s="325"/>
      <c r="K26" s="325"/>
      <c r="L26" s="301"/>
      <c r="M26" s="301"/>
      <c r="N26" s="301"/>
      <c r="O26" s="301"/>
      <c r="P26" s="301"/>
      <c r="Q26" s="325"/>
      <c r="R26" s="325"/>
      <c r="S26" s="325"/>
      <c r="T26" s="532"/>
      <c r="U26" s="301"/>
      <c r="V26" s="532"/>
      <c r="W26" s="532">
        <f>+V26-'ROR-Model'!G26</f>
        <v>0</v>
      </c>
    </row>
    <row r="27" spans="1:23">
      <c r="A27" s="535"/>
      <c r="B27" s="32"/>
      <c r="C27" s="32" t="s">
        <v>15</v>
      </c>
      <c r="D27" s="537"/>
      <c r="E27" s="531"/>
      <c r="F27" s="301"/>
      <c r="G27" s="301">
        <f>G1*Revenue!$I$26</f>
        <v>0</v>
      </c>
      <c r="H27" s="301"/>
      <c r="I27" s="301"/>
      <c r="J27" s="325"/>
      <c r="K27" s="325"/>
      <c r="L27" s="301"/>
      <c r="M27" s="301"/>
      <c r="N27" s="301"/>
      <c r="O27" s="301"/>
      <c r="P27" s="301"/>
      <c r="Q27" s="325"/>
      <c r="R27" s="325"/>
      <c r="S27" s="325"/>
      <c r="T27" s="532">
        <f>SUM(F27:S27)</f>
        <v>0</v>
      </c>
      <c r="U27" s="301"/>
      <c r="V27" s="532">
        <f>SUM(T27:T27)</f>
        <v>0</v>
      </c>
      <c r="W27" s="532">
        <f>+V27-'ROR-Model'!G27</f>
        <v>0</v>
      </c>
    </row>
    <row r="28" spans="1:23">
      <c r="A28" s="535"/>
      <c r="B28" s="32"/>
      <c r="C28" s="32"/>
      <c r="D28" s="537"/>
      <c r="E28" s="531"/>
      <c r="F28" s="301"/>
      <c r="G28" s="301"/>
      <c r="H28" s="301"/>
      <c r="I28" s="301"/>
      <c r="J28" s="325"/>
      <c r="K28" s="325"/>
      <c r="L28" s="301"/>
      <c r="M28" s="301"/>
      <c r="N28" s="301"/>
      <c r="O28" s="301"/>
      <c r="P28" s="301"/>
      <c r="Q28" s="325"/>
      <c r="R28" s="325"/>
      <c r="S28" s="325"/>
      <c r="T28" s="532"/>
      <c r="U28" s="301"/>
      <c r="V28" s="532"/>
      <c r="W28" s="532">
        <f>+V28-'ROR-Model'!G28</f>
        <v>0</v>
      </c>
    </row>
    <row r="29" spans="1:23">
      <c r="A29" s="535"/>
      <c r="B29" s="32"/>
      <c r="C29" s="32" t="s">
        <v>16</v>
      </c>
      <c r="D29" s="537"/>
      <c r="E29" s="531"/>
      <c r="F29" s="301"/>
      <c r="G29" s="301">
        <f>G1*Revenue!$I$28</f>
        <v>0</v>
      </c>
      <c r="H29" s="301"/>
      <c r="I29" s="301"/>
      <c r="J29" s="325"/>
      <c r="K29" s="325"/>
      <c r="L29" s="301"/>
      <c r="M29" s="301"/>
      <c r="N29" s="301"/>
      <c r="O29" s="301"/>
      <c r="P29" s="301"/>
      <c r="Q29" s="325"/>
      <c r="R29" s="325"/>
      <c r="S29" s="325"/>
      <c r="T29" s="532">
        <f>SUM(F29:S29)</f>
        <v>0</v>
      </c>
      <c r="U29" s="301"/>
      <c r="V29" s="532">
        <f>SUM(T29:T29)</f>
        <v>0</v>
      </c>
      <c r="W29" s="532">
        <f>+V29-'ROR-Model'!G29</f>
        <v>0</v>
      </c>
    </row>
    <row r="30" spans="1:23">
      <c r="A30" s="535"/>
      <c r="B30" s="32"/>
      <c r="C30" s="32" t="s">
        <v>17</v>
      </c>
      <c r="D30" s="537"/>
      <c r="E30" s="531"/>
      <c r="F30" s="323">
        <f>SUM(F25:F29)</f>
        <v>0</v>
      </c>
      <c r="G30" s="323">
        <f>G1*SUM(G25:G29)</f>
        <v>0</v>
      </c>
      <c r="H30" s="323">
        <f>SUM(H25:H29)</f>
        <v>0</v>
      </c>
      <c r="I30" s="323">
        <f t="shared" ref="I30:P30" si="6">SUM(I25:I29)</f>
        <v>0</v>
      </c>
      <c r="J30" s="476">
        <f>SUM(J25:J29)</f>
        <v>0</v>
      </c>
      <c r="K30" s="476">
        <f>SUM(K25:K29)</f>
        <v>0</v>
      </c>
      <c r="L30" s="323">
        <f t="shared" si="6"/>
        <v>0</v>
      </c>
      <c r="M30" s="323">
        <f t="shared" si="6"/>
        <v>0</v>
      </c>
      <c r="N30" s="323">
        <f t="shared" si="6"/>
        <v>0</v>
      </c>
      <c r="O30" s="323">
        <f t="shared" si="6"/>
        <v>0</v>
      </c>
      <c r="P30" s="323">
        <f t="shared" si="6"/>
        <v>0</v>
      </c>
      <c r="Q30" s="476">
        <f>SUM(Q25:Q29)</f>
        <v>0</v>
      </c>
      <c r="R30" s="476">
        <f>SUM(R25:R29)</f>
        <v>0</v>
      </c>
      <c r="S30" s="476">
        <f>SUM(S25:S29)</f>
        <v>0</v>
      </c>
      <c r="T30" s="536">
        <f>SUM(F30:S30)</f>
        <v>0</v>
      </c>
      <c r="U30" s="323"/>
      <c r="V30" s="536">
        <f>SUM(T30:T30)</f>
        <v>0</v>
      </c>
      <c r="W30" s="536">
        <f>+V30-'ROR-Model'!G30</f>
        <v>0</v>
      </c>
    </row>
    <row r="31" spans="1:23">
      <c r="A31" s="535"/>
      <c r="B31" s="32"/>
      <c r="C31" s="32"/>
      <c r="D31" s="537"/>
      <c r="E31" s="531"/>
      <c r="F31" s="301"/>
      <c r="G31" s="301"/>
      <c r="H31" s="301"/>
      <c r="I31" s="301"/>
      <c r="J31" s="325"/>
      <c r="K31" s="325"/>
      <c r="L31" s="301"/>
      <c r="M31" s="301"/>
      <c r="N31" s="301"/>
      <c r="O31" s="301"/>
      <c r="P31" s="301"/>
      <c r="Q31" s="325"/>
      <c r="R31" s="325"/>
      <c r="S31" s="325"/>
      <c r="T31" s="532"/>
      <c r="U31" s="301"/>
      <c r="V31" s="532"/>
      <c r="W31" s="532">
        <f>+V31-'ROR-Model'!G31</f>
        <v>0</v>
      </c>
    </row>
    <row r="32" spans="1:23">
      <c r="A32" s="535"/>
      <c r="B32" s="32"/>
      <c r="C32" s="32" t="s">
        <v>18</v>
      </c>
      <c r="D32" s="537"/>
      <c r="E32" s="531"/>
      <c r="F32" s="301"/>
      <c r="G32" s="301">
        <f>G1*Revenue!$I$31</f>
        <v>0</v>
      </c>
      <c r="H32" s="301"/>
      <c r="I32" s="301"/>
      <c r="J32" s="325"/>
      <c r="K32" s="325"/>
      <c r="L32" s="301"/>
      <c r="M32" s="301"/>
      <c r="N32" s="301"/>
      <c r="O32" s="301"/>
      <c r="P32" s="301"/>
      <c r="Q32" s="325"/>
      <c r="R32" s="325"/>
      <c r="S32" s="325"/>
      <c r="T32" s="532">
        <f>SUM(F32:S32)</f>
        <v>0</v>
      </c>
      <c r="U32" s="301"/>
      <c r="V32" s="532">
        <f>SUM(T32:T32)</f>
        <v>0</v>
      </c>
      <c r="W32" s="532">
        <f>+V32-'ROR-Model'!G32</f>
        <v>0</v>
      </c>
    </row>
    <row r="33" spans="1:23">
      <c r="A33" s="535"/>
      <c r="B33" s="58"/>
      <c r="C33" s="32"/>
      <c r="E33" s="531"/>
      <c r="F33" s="301"/>
      <c r="G33" s="301"/>
      <c r="H33" s="301"/>
      <c r="I33" s="301"/>
      <c r="J33" s="325"/>
      <c r="K33" s="325"/>
      <c r="L33" s="301"/>
      <c r="M33" s="301"/>
      <c r="N33" s="301"/>
      <c r="O33" s="301"/>
      <c r="P33" s="301"/>
      <c r="Q33" s="325"/>
      <c r="R33" s="325"/>
      <c r="S33" s="325"/>
      <c r="T33" s="532"/>
      <c r="U33" s="301"/>
      <c r="V33" s="532"/>
      <c r="W33" s="532">
        <f>+V33-'ROR-Model'!G33</f>
        <v>0</v>
      </c>
    </row>
    <row r="34" spans="1:23">
      <c r="A34" s="535"/>
      <c r="B34" s="32" t="s">
        <v>744</v>
      </c>
      <c r="C34" s="32" t="s">
        <v>14</v>
      </c>
      <c r="D34" s="534"/>
      <c r="E34" s="531"/>
      <c r="F34" s="301"/>
      <c r="G34" s="301">
        <f>G1*Revenue!$I$33</f>
        <v>0</v>
      </c>
      <c r="H34" s="301"/>
      <c r="I34" s="301"/>
      <c r="J34" s="325"/>
      <c r="K34" s="325"/>
      <c r="L34" s="301"/>
      <c r="M34" s="301"/>
      <c r="N34" s="301"/>
      <c r="O34" s="301"/>
      <c r="P34" s="301"/>
      <c r="Q34" s="325"/>
      <c r="R34" s="325"/>
      <c r="S34" s="325"/>
      <c r="T34" s="532">
        <f>SUM(F34:S34)</f>
        <v>0</v>
      </c>
      <c r="U34" s="301"/>
      <c r="V34" s="532">
        <f>SUM(T34:T34)</f>
        <v>0</v>
      </c>
      <c r="W34" s="532">
        <f>+V34-'ROR-Model'!G34</f>
        <v>0</v>
      </c>
    </row>
    <row r="35" spans="1:23">
      <c r="A35" s="535"/>
      <c r="B35" s="32"/>
      <c r="C35" s="32"/>
      <c r="D35" s="534"/>
      <c r="E35" s="531"/>
      <c r="F35" s="301"/>
      <c r="G35" s="301"/>
      <c r="H35" s="301"/>
      <c r="I35" s="301"/>
      <c r="J35" s="325"/>
      <c r="K35" s="325"/>
      <c r="L35" s="301"/>
      <c r="M35" s="301"/>
      <c r="N35" s="301"/>
      <c r="O35" s="301"/>
      <c r="P35" s="301"/>
      <c r="Q35" s="325"/>
      <c r="R35" s="325"/>
      <c r="S35" s="325"/>
      <c r="T35" s="532"/>
      <c r="U35" s="301"/>
      <c r="V35" s="532"/>
      <c r="W35" s="532">
        <f>+V35-'ROR-Model'!G35</f>
        <v>0</v>
      </c>
    </row>
    <row r="36" spans="1:23">
      <c r="A36" s="535"/>
      <c r="B36" s="32"/>
      <c r="C36" s="32" t="s">
        <v>15</v>
      </c>
      <c r="D36" s="534"/>
      <c r="E36" s="531"/>
      <c r="F36" s="301"/>
      <c r="G36" s="301">
        <f>G1*Revenue!$I$35</f>
        <v>0</v>
      </c>
      <c r="H36" s="301"/>
      <c r="I36" s="301"/>
      <c r="J36" s="325"/>
      <c r="K36" s="325"/>
      <c r="L36" s="301"/>
      <c r="M36" s="301"/>
      <c r="N36" s="301"/>
      <c r="O36" s="301"/>
      <c r="P36" s="301"/>
      <c r="Q36" s="325"/>
      <c r="R36" s="325"/>
      <c r="S36" s="325"/>
      <c r="T36" s="532">
        <f>SUM(F36:S36)</f>
        <v>0</v>
      </c>
      <c r="U36" s="301"/>
      <c r="V36" s="532">
        <f>SUM(T36:T36)</f>
        <v>0</v>
      </c>
      <c r="W36" s="532">
        <f>+V36-'ROR-Model'!G36</f>
        <v>0</v>
      </c>
    </row>
    <row r="37" spans="1:23">
      <c r="A37" s="535"/>
      <c r="B37" s="32"/>
      <c r="C37" s="32"/>
      <c r="D37" s="534"/>
      <c r="E37" s="531"/>
      <c r="F37" s="301"/>
      <c r="G37" s="301"/>
      <c r="H37" s="301"/>
      <c r="I37" s="301"/>
      <c r="J37" s="325"/>
      <c r="K37" s="325"/>
      <c r="L37" s="301"/>
      <c r="M37" s="301"/>
      <c r="N37" s="301"/>
      <c r="O37" s="301"/>
      <c r="P37" s="301"/>
      <c r="Q37" s="325"/>
      <c r="R37" s="325"/>
      <c r="S37" s="325"/>
      <c r="T37" s="532"/>
      <c r="U37" s="301"/>
      <c r="V37" s="532"/>
      <c r="W37" s="532">
        <f>+V37-'ROR-Model'!G37</f>
        <v>0</v>
      </c>
    </row>
    <row r="38" spans="1:23">
      <c r="A38" s="535"/>
      <c r="B38" s="32"/>
      <c r="C38" s="32" t="s">
        <v>16</v>
      </c>
      <c r="D38" s="534"/>
      <c r="E38" s="531"/>
      <c r="F38" s="301"/>
      <c r="G38" s="301">
        <f>G1*Revenue!$I$37</f>
        <v>0</v>
      </c>
      <c r="H38" s="301"/>
      <c r="I38" s="301"/>
      <c r="J38" s="325"/>
      <c r="K38" s="325"/>
      <c r="L38" s="301"/>
      <c r="M38" s="301"/>
      <c r="N38" s="301"/>
      <c r="O38" s="301"/>
      <c r="P38" s="301"/>
      <c r="Q38" s="325"/>
      <c r="R38" s="325"/>
      <c r="S38" s="325"/>
      <c r="T38" s="532">
        <f>SUM(F38:S38)</f>
        <v>0</v>
      </c>
      <c r="U38" s="301"/>
      <c r="V38" s="532">
        <f>SUM(T38:T38)</f>
        <v>0</v>
      </c>
      <c r="W38" s="532">
        <f>+V38-'ROR-Model'!G38</f>
        <v>0</v>
      </c>
    </row>
    <row r="39" spans="1:23">
      <c r="A39" s="535"/>
      <c r="B39" s="32"/>
      <c r="C39" s="32" t="s">
        <v>17</v>
      </c>
      <c r="D39" s="534"/>
      <c r="E39" s="531"/>
      <c r="F39" s="323">
        <f>SUM(F34:F38)</f>
        <v>0</v>
      </c>
      <c r="G39" s="323">
        <f>G1*SUM(G34:G38)</f>
        <v>0</v>
      </c>
      <c r="H39" s="323">
        <f>SUM(H34:H38)</f>
        <v>0</v>
      </c>
      <c r="I39" s="323">
        <f t="shared" ref="I39:P39" si="7">SUM(I34:I38)</f>
        <v>0</v>
      </c>
      <c r="J39" s="476">
        <f>SUM(J34:J38)</f>
        <v>0</v>
      </c>
      <c r="K39" s="476">
        <f>SUM(K34:K38)</f>
        <v>0</v>
      </c>
      <c r="L39" s="323">
        <f t="shared" si="7"/>
        <v>0</v>
      </c>
      <c r="M39" s="323">
        <f t="shared" si="7"/>
        <v>0</v>
      </c>
      <c r="N39" s="323">
        <f t="shared" si="7"/>
        <v>0</v>
      </c>
      <c r="O39" s="323">
        <f t="shared" si="7"/>
        <v>0</v>
      </c>
      <c r="P39" s="323">
        <f t="shared" si="7"/>
        <v>0</v>
      </c>
      <c r="Q39" s="476">
        <f>SUM(Q34:Q38)</f>
        <v>0</v>
      </c>
      <c r="R39" s="476">
        <f>SUM(R34:R38)</f>
        <v>0</v>
      </c>
      <c r="S39" s="476">
        <f>SUM(S34:S38)</f>
        <v>0</v>
      </c>
      <c r="T39" s="536">
        <f>SUM(F39:S39)</f>
        <v>0</v>
      </c>
      <c r="U39" s="323"/>
      <c r="V39" s="536">
        <f>SUM(T39:T39)</f>
        <v>0</v>
      </c>
      <c r="W39" s="536">
        <f>+V39-'ROR-Model'!G39</f>
        <v>0</v>
      </c>
    </row>
    <row r="40" spans="1:23">
      <c r="A40" s="535"/>
      <c r="B40" s="32"/>
      <c r="C40" s="32"/>
      <c r="D40" s="534"/>
      <c r="E40" s="531"/>
      <c r="F40" s="301"/>
      <c r="G40" s="301"/>
      <c r="H40" s="301"/>
      <c r="I40" s="301"/>
      <c r="J40" s="325"/>
      <c r="K40" s="325"/>
      <c r="L40" s="301"/>
      <c r="M40" s="301"/>
      <c r="N40" s="301"/>
      <c r="O40" s="301"/>
      <c r="P40" s="301"/>
      <c r="Q40" s="325"/>
      <c r="R40" s="325"/>
      <c r="S40" s="325"/>
      <c r="T40" s="532"/>
      <c r="U40" s="301"/>
      <c r="V40" s="532"/>
      <c r="W40" s="532">
        <f>+V40-'ROR-Model'!G40</f>
        <v>0</v>
      </c>
    </row>
    <row r="41" spans="1:23">
      <c r="A41" s="535"/>
      <c r="B41" s="32"/>
      <c r="C41" s="32" t="s">
        <v>18</v>
      </c>
      <c r="D41" s="534"/>
      <c r="E41" s="531"/>
      <c r="F41" s="301"/>
      <c r="G41" s="301">
        <f>G1*Revenue!$I$40</f>
        <v>0</v>
      </c>
      <c r="H41" s="301"/>
      <c r="I41" s="301"/>
      <c r="J41" s="325"/>
      <c r="K41" s="325"/>
      <c r="L41" s="301"/>
      <c r="M41" s="301"/>
      <c r="N41" s="301"/>
      <c r="O41" s="301"/>
      <c r="P41" s="301"/>
      <c r="Q41" s="325"/>
      <c r="R41" s="325"/>
      <c r="S41" s="325"/>
      <c r="T41" s="532">
        <f>SUM(F41:S41)</f>
        <v>0</v>
      </c>
      <c r="U41" s="301"/>
      <c r="V41" s="532">
        <f>SUM(T41:T41)</f>
        <v>0</v>
      </c>
      <c r="W41" s="532">
        <f>+V41-'ROR-Model'!G41</f>
        <v>0</v>
      </c>
    </row>
    <row r="42" spans="1:23">
      <c r="A42" s="535"/>
      <c r="B42" s="58"/>
      <c r="C42" s="58"/>
      <c r="D42" s="534"/>
      <c r="E42" s="531"/>
      <c r="F42" s="301"/>
      <c r="G42" s="301"/>
      <c r="H42" s="301"/>
      <c r="I42" s="301"/>
      <c r="J42" s="325"/>
      <c r="K42" s="325"/>
      <c r="L42" s="301"/>
      <c r="M42" s="301"/>
      <c r="N42" s="301"/>
      <c r="O42" s="301"/>
      <c r="P42" s="301"/>
      <c r="Q42" s="325"/>
      <c r="R42" s="325"/>
      <c r="S42" s="325"/>
      <c r="T42" s="532"/>
      <c r="U42" s="301"/>
      <c r="V42" s="532"/>
      <c r="W42" s="532">
        <f>+V42-'ROR-Model'!G42</f>
        <v>0</v>
      </c>
    </row>
    <row r="43" spans="1:23">
      <c r="A43" s="535"/>
      <c r="B43" s="32" t="s">
        <v>745</v>
      </c>
      <c r="C43" s="32" t="s">
        <v>14</v>
      </c>
      <c r="D43" s="534"/>
      <c r="E43" s="531"/>
      <c r="F43" s="301"/>
      <c r="G43" s="301">
        <f>G1*Revenue!$I$42</f>
        <v>0</v>
      </c>
      <c r="H43" s="301"/>
      <c r="I43" s="301"/>
      <c r="J43" s="325"/>
      <c r="K43" s="325"/>
      <c r="L43" s="301"/>
      <c r="M43" s="301"/>
      <c r="N43" s="301"/>
      <c r="O43" s="301"/>
      <c r="P43" s="301"/>
      <c r="Q43" s="325"/>
      <c r="R43" s="325"/>
      <c r="S43" s="325"/>
      <c r="T43" s="532">
        <f>SUM(F43:S43)</f>
        <v>0</v>
      </c>
      <c r="U43" s="301"/>
      <c r="V43" s="532">
        <f>SUM(T43:T43)</f>
        <v>0</v>
      </c>
      <c r="W43" s="532">
        <f>+V43-'ROR-Model'!G43</f>
        <v>0</v>
      </c>
    </row>
    <row r="44" spans="1:23">
      <c r="A44" s="535"/>
      <c r="B44" s="32"/>
      <c r="C44" s="32"/>
      <c r="D44" s="534"/>
      <c r="E44" s="531"/>
      <c r="F44" s="301"/>
      <c r="G44" s="301"/>
      <c r="H44" s="301"/>
      <c r="I44" s="301"/>
      <c r="J44" s="325"/>
      <c r="K44" s="325"/>
      <c r="L44" s="301"/>
      <c r="M44" s="301"/>
      <c r="N44" s="301"/>
      <c r="O44" s="301"/>
      <c r="P44" s="301"/>
      <c r="Q44" s="325"/>
      <c r="R44" s="325"/>
      <c r="S44" s="325"/>
      <c r="T44" s="532"/>
      <c r="U44" s="301"/>
      <c r="V44" s="532"/>
      <c r="W44" s="532">
        <f>+V44-'ROR-Model'!G44</f>
        <v>0</v>
      </c>
    </row>
    <row r="45" spans="1:23">
      <c r="A45" s="535"/>
      <c r="B45" s="32"/>
      <c r="C45" s="32" t="s">
        <v>15</v>
      </c>
      <c r="D45" s="534"/>
      <c r="E45" s="531"/>
      <c r="F45" s="301"/>
      <c r="G45" s="301">
        <f>G1*Revenue!$I$44</f>
        <v>0</v>
      </c>
      <c r="H45" s="301"/>
      <c r="I45" s="301"/>
      <c r="J45" s="325"/>
      <c r="K45" s="325"/>
      <c r="L45" s="301"/>
      <c r="M45" s="301"/>
      <c r="N45" s="301"/>
      <c r="O45" s="301"/>
      <c r="P45" s="301"/>
      <c r="Q45" s="325"/>
      <c r="R45" s="325"/>
      <c r="S45" s="325"/>
      <c r="T45" s="532">
        <f>SUM(F45:S45)</f>
        <v>0</v>
      </c>
      <c r="U45" s="301"/>
      <c r="V45" s="532">
        <f>SUM(T45:T45)</f>
        <v>0</v>
      </c>
      <c r="W45" s="532">
        <f>+V45-'ROR-Model'!G45</f>
        <v>0</v>
      </c>
    </row>
    <row r="46" spans="1:23">
      <c r="A46" s="535"/>
      <c r="B46" s="32"/>
      <c r="C46" s="32"/>
      <c r="D46" s="534"/>
      <c r="E46" s="531"/>
      <c r="F46" s="301"/>
      <c r="G46" s="301"/>
      <c r="H46" s="301"/>
      <c r="I46" s="301"/>
      <c r="J46" s="325"/>
      <c r="K46" s="325"/>
      <c r="L46" s="301"/>
      <c r="M46" s="301"/>
      <c r="N46" s="301"/>
      <c r="O46" s="301"/>
      <c r="P46" s="301"/>
      <c r="Q46" s="325"/>
      <c r="R46" s="325"/>
      <c r="S46" s="325"/>
      <c r="T46" s="532"/>
      <c r="U46" s="301"/>
      <c r="V46" s="532"/>
      <c r="W46" s="532">
        <f>+V46-'ROR-Model'!G46</f>
        <v>0</v>
      </c>
    </row>
    <row r="47" spans="1:23">
      <c r="A47" s="535"/>
      <c r="B47" s="32"/>
      <c r="C47" s="32" t="s">
        <v>16</v>
      </c>
      <c r="D47" s="534"/>
      <c r="E47" s="531"/>
      <c r="F47" s="301"/>
      <c r="G47" s="301">
        <f>G1*Revenue!$I$46</f>
        <v>0</v>
      </c>
      <c r="H47" s="301"/>
      <c r="I47" s="301"/>
      <c r="J47" s="325"/>
      <c r="K47" s="325"/>
      <c r="L47" s="301"/>
      <c r="M47" s="301"/>
      <c r="N47" s="301"/>
      <c r="O47" s="301"/>
      <c r="P47" s="301"/>
      <c r="Q47" s="325"/>
      <c r="R47" s="325"/>
      <c r="S47" s="325"/>
      <c r="T47" s="532">
        <f>SUM(F47:S47)</f>
        <v>0</v>
      </c>
      <c r="U47" s="301"/>
      <c r="V47" s="532">
        <f>SUM(T47:T47)</f>
        <v>0</v>
      </c>
      <c r="W47" s="532">
        <f>+V47-'ROR-Model'!G47</f>
        <v>0</v>
      </c>
    </row>
    <row r="48" spans="1:23">
      <c r="A48" s="535"/>
      <c r="B48" s="32"/>
      <c r="C48" s="32" t="s">
        <v>17</v>
      </c>
      <c r="D48" s="534"/>
      <c r="E48" s="531"/>
      <c r="F48" s="323">
        <f>SUM(F43:F47)</f>
        <v>0</v>
      </c>
      <c r="G48" s="323">
        <f>G1*SUM(G43:G47)</f>
        <v>0</v>
      </c>
      <c r="H48" s="323">
        <f>SUM(H43:H47)</f>
        <v>0</v>
      </c>
      <c r="I48" s="323">
        <f t="shared" ref="I48:P48" si="8">SUM(I43:I47)</f>
        <v>0</v>
      </c>
      <c r="J48" s="476">
        <f>SUM(J43:J47)</f>
        <v>0</v>
      </c>
      <c r="K48" s="476">
        <f>SUM(K43:K47)</f>
        <v>0</v>
      </c>
      <c r="L48" s="323">
        <f t="shared" si="8"/>
        <v>0</v>
      </c>
      <c r="M48" s="323">
        <f t="shared" si="8"/>
        <v>0</v>
      </c>
      <c r="N48" s="323">
        <f t="shared" si="8"/>
        <v>0</v>
      </c>
      <c r="O48" s="323">
        <f t="shared" si="8"/>
        <v>0</v>
      </c>
      <c r="P48" s="323">
        <f t="shared" si="8"/>
        <v>0</v>
      </c>
      <c r="Q48" s="476">
        <f>SUM(Q43:Q47)</f>
        <v>0</v>
      </c>
      <c r="R48" s="476">
        <f>SUM(R43:R47)</f>
        <v>0</v>
      </c>
      <c r="S48" s="476">
        <f>SUM(S43:S47)</f>
        <v>0</v>
      </c>
      <c r="T48" s="536">
        <f>SUM(T43:T47)</f>
        <v>0</v>
      </c>
      <c r="U48" s="323"/>
      <c r="V48" s="536">
        <f>SUM(V43:V47)</f>
        <v>0</v>
      </c>
      <c r="W48" s="536">
        <f>+V48-'ROR-Model'!G48</f>
        <v>0</v>
      </c>
    </row>
    <row r="49" spans="1:23">
      <c r="A49" s="535"/>
      <c r="B49" s="32"/>
      <c r="C49" s="32"/>
      <c r="D49" s="534"/>
      <c r="E49" s="531"/>
      <c r="F49" s="301"/>
      <c r="G49" s="301"/>
      <c r="H49" s="301"/>
      <c r="I49" s="301"/>
      <c r="J49" s="325"/>
      <c r="K49" s="325"/>
      <c r="L49" s="301"/>
      <c r="M49" s="301"/>
      <c r="N49" s="301"/>
      <c r="O49" s="301"/>
      <c r="P49" s="301"/>
      <c r="Q49" s="325"/>
      <c r="R49" s="325"/>
      <c r="S49" s="325"/>
      <c r="T49" s="532"/>
      <c r="U49" s="301"/>
      <c r="V49" s="532"/>
      <c r="W49" s="532">
        <f>+V49-'ROR-Model'!G49</f>
        <v>0</v>
      </c>
    </row>
    <row r="50" spans="1:23">
      <c r="A50" s="535"/>
      <c r="B50" s="32"/>
      <c r="C50" s="32" t="s">
        <v>18</v>
      </c>
      <c r="D50" s="534"/>
      <c r="E50" s="531"/>
      <c r="F50" s="301"/>
      <c r="G50" s="301">
        <f>G1*Revenue!$I$49</f>
        <v>0</v>
      </c>
      <c r="H50" s="301"/>
      <c r="I50" s="301"/>
      <c r="J50" s="325"/>
      <c r="K50" s="325"/>
      <c r="L50" s="301"/>
      <c r="M50" s="301"/>
      <c r="N50" s="301"/>
      <c r="O50" s="301"/>
      <c r="P50" s="301"/>
      <c r="Q50" s="325"/>
      <c r="R50" s="325"/>
      <c r="S50" s="325"/>
      <c r="T50" s="532">
        <f>SUM(F50:S50)</f>
        <v>0</v>
      </c>
      <c r="U50" s="301"/>
      <c r="V50" s="532">
        <f>SUM(T50:T50)</f>
        <v>0</v>
      </c>
      <c r="W50" s="532">
        <f>+V50-'ROR-Model'!G50</f>
        <v>0</v>
      </c>
    </row>
    <row r="51" spans="1:23">
      <c r="A51" s="535"/>
      <c r="B51" s="58"/>
      <c r="C51" s="58"/>
      <c r="D51" s="534"/>
      <c r="E51" s="531"/>
      <c r="F51" s="301"/>
      <c r="G51" s="301"/>
      <c r="H51" s="301"/>
      <c r="I51" s="301"/>
      <c r="J51" s="325"/>
      <c r="K51" s="325"/>
      <c r="L51" s="301"/>
      <c r="M51" s="301"/>
      <c r="N51" s="301"/>
      <c r="O51" s="301"/>
      <c r="P51" s="301"/>
      <c r="Q51" s="325"/>
      <c r="R51" s="325"/>
      <c r="S51" s="325"/>
      <c r="T51" s="532"/>
      <c r="U51" s="301"/>
      <c r="V51" s="532"/>
      <c r="W51" s="532">
        <f>+V51-'ROR-Model'!G51</f>
        <v>0</v>
      </c>
    </row>
    <row r="52" spans="1:23">
      <c r="A52" s="535"/>
      <c r="B52" s="32" t="s">
        <v>747</v>
      </c>
      <c r="C52" s="32" t="s">
        <v>14</v>
      </c>
      <c r="D52" s="534"/>
      <c r="E52" s="531"/>
      <c r="F52" s="301"/>
      <c r="G52" s="301">
        <f>G1*Revenue!$I$51</f>
        <v>0</v>
      </c>
      <c r="H52" s="301"/>
      <c r="I52" s="301"/>
      <c r="J52" s="325"/>
      <c r="K52" s="325"/>
      <c r="L52" s="301"/>
      <c r="M52" s="301"/>
      <c r="N52" s="301"/>
      <c r="O52" s="301"/>
      <c r="P52" s="301"/>
      <c r="Q52" s="325"/>
      <c r="R52" s="325"/>
      <c r="S52" s="325"/>
      <c r="T52" s="532">
        <f>SUM(F52:S52)</f>
        <v>0</v>
      </c>
      <c r="U52" s="301"/>
      <c r="V52" s="532">
        <f>SUM(T52:T52)</f>
        <v>0</v>
      </c>
      <c r="W52" s="532">
        <f>+V52-'ROR-Model'!G52</f>
        <v>0</v>
      </c>
    </row>
    <row r="53" spans="1:23">
      <c r="A53" s="535"/>
      <c r="B53" s="32"/>
      <c r="C53" s="32" t="s">
        <v>15</v>
      </c>
      <c r="D53" s="534"/>
      <c r="E53" s="531"/>
      <c r="F53" s="301"/>
      <c r="G53" s="301"/>
      <c r="H53" s="301"/>
      <c r="I53" s="301"/>
      <c r="J53" s="325"/>
      <c r="K53" s="325"/>
      <c r="L53" s="301"/>
      <c r="M53" s="301"/>
      <c r="N53" s="301"/>
      <c r="O53" s="301"/>
      <c r="P53" s="301"/>
      <c r="Q53" s="325"/>
      <c r="R53" s="325"/>
      <c r="S53" s="325"/>
      <c r="T53" s="532">
        <f>SUM(F53:S53)</f>
        <v>0</v>
      </c>
      <c r="U53" s="301"/>
      <c r="V53" s="532">
        <f>SUM(T53:T53)</f>
        <v>0</v>
      </c>
      <c r="W53" s="532">
        <f>+V53-'ROR-Model'!G53</f>
        <v>0</v>
      </c>
    </row>
    <row r="54" spans="1:23">
      <c r="A54" s="535"/>
      <c r="B54" s="58"/>
      <c r="C54" s="32" t="s">
        <v>748</v>
      </c>
      <c r="D54" s="534"/>
      <c r="E54" s="531"/>
      <c r="F54" s="301"/>
      <c r="G54" s="301">
        <f>G1*Revenue!$I$53</f>
        <v>0</v>
      </c>
      <c r="H54" s="301"/>
      <c r="I54" s="301"/>
      <c r="J54" s="325"/>
      <c r="K54" s="325"/>
      <c r="L54" s="301"/>
      <c r="M54" s="301"/>
      <c r="N54" s="301"/>
      <c r="O54" s="301"/>
      <c r="P54" s="301"/>
      <c r="Q54" s="325"/>
      <c r="R54" s="325"/>
      <c r="S54" s="325"/>
      <c r="T54" s="532">
        <f>SUM(F54:S54)</f>
        <v>0</v>
      </c>
      <c r="U54" s="301"/>
      <c r="V54" s="532">
        <f>SUM(T54:T54)</f>
        <v>0</v>
      </c>
      <c r="W54" s="532">
        <f>+V54-'ROR-Model'!G54</f>
        <v>0</v>
      </c>
    </row>
    <row r="55" spans="1:23">
      <c r="A55" s="535"/>
      <c r="B55" s="32"/>
      <c r="C55" s="32" t="s">
        <v>749</v>
      </c>
      <c r="D55" s="534"/>
      <c r="E55" s="531"/>
      <c r="F55" s="301"/>
      <c r="G55" s="301"/>
      <c r="H55" s="301"/>
      <c r="I55" s="301"/>
      <c r="J55" s="325"/>
      <c r="K55" s="325"/>
      <c r="L55" s="301"/>
      <c r="M55" s="301"/>
      <c r="N55" s="301"/>
      <c r="O55" s="301"/>
      <c r="P55" s="301"/>
      <c r="Q55" s="325"/>
      <c r="R55" s="325"/>
      <c r="S55" s="325"/>
      <c r="T55" s="532">
        <f>SUM(F55:S55)</f>
        <v>0</v>
      </c>
      <c r="U55" s="301"/>
      <c r="V55" s="532">
        <f>SUM(T55:T55)</f>
        <v>0</v>
      </c>
      <c r="W55" s="532">
        <f>+V55-'ROR-Model'!G55</f>
        <v>0</v>
      </c>
    </row>
    <row r="56" spans="1:23">
      <c r="A56" s="535"/>
      <c r="B56" s="58"/>
      <c r="C56" s="58" t="s">
        <v>750</v>
      </c>
      <c r="D56" s="534"/>
      <c r="E56" s="531"/>
      <c r="F56" s="301"/>
      <c r="G56" s="301">
        <f>G1*Revenue!$I$55</f>
        <v>0</v>
      </c>
      <c r="H56" s="301"/>
      <c r="I56" s="301"/>
      <c r="J56" s="325"/>
      <c r="K56" s="325"/>
      <c r="L56" s="301"/>
      <c r="M56" s="301"/>
      <c r="N56" s="301"/>
      <c r="O56" s="301"/>
      <c r="P56" s="301"/>
      <c r="Q56" s="325"/>
      <c r="R56" s="325"/>
      <c r="S56" s="325"/>
      <c r="T56" s="532">
        <f>SUM(F56:S56)</f>
        <v>0</v>
      </c>
      <c r="U56" s="301"/>
      <c r="V56" s="532">
        <f>SUM(T56:T56)</f>
        <v>0</v>
      </c>
      <c r="W56" s="532">
        <f>+V56-'ROR-Model'!G56</f>
        <v>0</v>
      </c>
    </row>
    <row r="57" spans="1:23">
      <c r="A57" s="535"/>
      <c r="B57" s="58"/>
      <c r="C57" s="32" t="s">
        <v>17</v>
      </c>
      <c r="D57" s="534"/>
      <c r="E57" s="531"/>
      <c r="F57" s="323">
        <f>SUM(F52:F56)</f>
        <v>0</v>
      </c>
      <c r="G57" s="323">
        <f>G1*SUM(G52:G56)</f>
        <v>0</v>
      </c>
      <c r="H57" s="323">
        <f>SUM(H52:H56)</f>
        <v>0</v>
      </c>
      <c r="I57" s="323">
        <f t="shared" ref="I57:P57" si="9">SUM(I52:I56)</f>
        <v>0</v>
      </c>
      <c r="J57" s="476">
        <f>SUM(J52:J56)</f>
        <v>0</v>
      </c>
      <c r="K57" s="476">
        <f>SUM(K52:K56)</f>
        <v>0</v>
      </c>
      <c r="L57" s="323">
        <f t="shared" si="9"/>
        <v>0</v>
      </c>
      <c r="M57" s="323">
        <f t="shared" si="9"/>
        <v>0</v>
      </c>
      <c r="N57" s="323">
        <f t="shared" si="9"/>
        <v>0</v>
      </c>
      <c r="O57" s="323">
        <f t="shared" si="9"/>
        <v>0</v>
      </c>
      <c r="P57" s="323">
        <f t="shared" si="9"/>
        <v>0</v>
      </c>
      <c r="Q57" s="476">
        <f>SUM(Q52:Q56)</f>
        <v>0</v>
      </c>
      <c r="R57" s="476">
        <f>SUM(R52:R56)</f>
        <v>0</v>
      </c>
      <c r="S57" s="476">
        <f>SUM(S52:S56)</f>
        <v>0</v>
      </c>
      <c r="T57" s="536">
        <f>SUM(T52:T56)</f>
        <v>0</v>
      </c>
      <c r="U57" s="323"/>
      <c r="V57" s="536">
        <f>SUM(V52:V56)</f>
        <v>0</v>
      </c>
      <c r="W57" s="536">
        <f>+V57-'ROR-Model'!G57</f>
        <v>0</v>
      </c>
    </row>
    <row r="58" spans="1:23">
      <c r="A58" s="535"/>
      <c r="B58" s="58"/>
      <c r="C58" s="32"/>
      <c r="D58" s="534"/>
      <c r="E58" s="531"/>
      <c r="F58" s="301"/>
      <c r="G58" s="301"/>
      <c r="H58" s="301"/>
      <c r="I58" s="301"/>
      <c r="J58" s="325"/>
      <c r="K58" s="325"/>
      <c r="L58" s="301"/>
      <c r="M58" s="301"/>
      <c r="N58" s="301"/>
      <c r="O58" s="301"/>
      <c r="P58" s="301"/>
      <c r="Q58" s="325"/>
      <c r="R58" s="325"/>
      <c r="S58" s="325"/>
      <c r="T58" s="532"/>
      <c r="U58" s="301"/>
      <c r="V58" s="532"/>
      <c r="W58" s="532">
        <f>+V58-'ROR-Model'!G58</f>
        <v>0</v>
      </c>
    </row>
    <row r="59" spans="1:23">
      <c r="A59" s="535"/>
      <c r="B59" s="58"/>
      <c r="C59" s="58" t="s">
        <v>73</v>
      </c>
      <c r="D59" s="534"/>
      <c r="E59" s="531"/>
      <c r="F59" s="301"/>
      <c r="G59" s="301">
        <f>G1*Revenue!$I$58</f>
        <v>0</v>
      </c>
      <c r="H59" s="301"/>
      <c r="I59" s="301"/>
      <c r="J59" s="325"/>
      <c r="K59" s="325"/>
      <c r="L59" s="301"/>
      <c r="M59" s="301"/>
      <c r="N59" s="301"/>
      <c r="O59" s="301"/>
      <c r="P59" s="301"/>
      <c r="Q59" s="325"/>
      <c r="R59" s="325"/>
      <c r="S59" s="325"/>
      <c r="T59" s="532">
        <f>SUM(F59:S59)</f>
        <v>0</v>
      </c>
      <c r="U59" s="301"/>
      <c r="V59" s="532">
        <f>SUM(T59:T59)</f>
        <v>0</v>
      </c>
      <c r="W59" s="532">
        <f>+V59-'ROR-Model'!G59</f>
        <v>0</v>
      </c>
    </row>
    <row r="60" spans="1:23">
      <c r="A60" s="535"/>
      <c r="B60" s="58"/>
      <c r="C60" s="58"/>
      <c r="D60" s="534"/>
      <c r="E60" s="531"/>
      <c r="F60" s="301"/>
      <c r="G60" s="301"/>
      <c r="H60" s="301"/>
      <c r="I60" s="301"/>
      <c r="J60" s="325"/>
      <c r="K60" s="325"/>
      <c r="L60" s="301"/>
      <c r="M60" s="301"/>
      <c r="N60" s="301"/>
      <c r="O60" s="301"/>
      <c r="P60" s="301"/>
      <c r="Q60" s="325"/>
      <c r="R60" s="325"/>
      <c r="S60" s="325"/>
      <c r="T60" s="532"/>
      <c r="U60" s="301"/>
      <c r="V60" s="532"/>
      <c r="W60" s="532">
        <f>+V60-'ROR-Model'!G60</f>
        <v>0</v>
      </c>
    </row>
    <row r="61" spans="1:23">
      <c r="A61" s="535"/>
      <c r="B61" s="32" t="s">
        <v>746</v>
      </c>
      <c r="C61" s="32" t="s">
        <v>14</v>
      </c>
      <c r="D61" s="534"/>
      <c r="E61" s="531"/>
      <c r="F61" s="301"/>
      <c r="G61" s="301">
        <f>G1*Revenue!$I$60</f>
        <v>0</v>
      </c>
      <c r="H61" s="301"/>
      <c r="I61" s="301"/>
      <c r="J61" s="325"/>
      <c r="K61" s="325"/>
      <c r="L61" s="301"/>
      <c r="M61" s="301"/>
      <c r="N61" s="301"/>
      <c r="O61" s="301"/>
      <c r="P61" s="301"/>
      <c r="Q61" s="325"/>
      <c r="R61" s="325"/>
      <c r="S61" s="325"/>
      <c r="T61" s="532">
        <f>SUM(F61:S61)</f>
        <v>0</v>
      </c>
      <c r="U61" s="301"/>
      <c r="V61" s="532">
        <f>SUM(T61:T61)</f>
        <v>0</v>
      </c>
      <c r="W61" s="532">
        <f>+V61-'ROR-Model'!G61</f>
        <v>0</v>
      </c>
    </row>
    <row r="62" spans="1:23">
      <c r="A62" s="535"/>
      <c r="B62" s="32"/>
      <c r="C62" s="32"/>
      <c r="D62" s="534"/>
      <c r="E62" s="531"/>
      <c r="F62" s="301"/>
      <c r="G62" s="301">
        <f>G1*Revenue!$I$61</f>
        <v>0</v>
      </c>
      <c r="H62" s="301"/>
      <c r="I62" s="301"/>
      <c r="J62" s="325"/>
      <c r="K62" s="325"/>
      <c r="L62" s="301"/>
      <c r="M62" s="301"/>
      <c r="N62" s="301"/>
      <c r="O62" s="301"/>
      <c r="P62" s="301"/>
      <c r="Q62" s="325"/>
      <c r="R62" s="325"/>
      <c r="S62" s="325"/>
      <c r="T62" s="532"/>
      <c r="U62" s="301"/>
      <c r="V62" s="532"/>
      <c r="W62" s="532">
        <f>+V62-'ROR-Model'!G62</f>
        <v>0</v>
      </c>
    </row>
    <row r="63" spans="1:23">
      <c r="A63" s="535"/>
      <c r="B63" s="32"/>
      <c r="C63" s="32" t="s">
        <v>15</v>
      </c>
      <c r="D63" s="534"/>
      <c r="E63" s="531"/>
      <c r="F63" s="301"/>
      <c r="G63" s="301">
        <f>G1*Revenue!$I$62</f>
        <v>0</v>
      </c>
      <c r="H63" s="301"/>
      <c r="I63" s="301"/>
      <c r="J63" s="325"/>
      <c r="K63" s="325"/>
      <c r="L63" s="301"/>
      <c r="M63" s="301"/>
      <c r="N63" s="301"/>
      <c r="O63" s="301"/>
      <c r="P63" s="301"/>
      <c r="Q63" s="325"/>
      <c r="R63" s="325"/>
      <c r="S63" s="325"/>
      <c r="T63" s="532">
        <f>SUM(F63:S63)</f>
        <v>0</v>
      </c>
      <c r="U63" s="301"/>
      <c r="V63" s="532">
        <f>SUM(T63:T63)</f>
        <v>0</v>
      </c>
      <c r="W63" s="532">
        <f>+V63-'ROR-Model'!G63</f>
        <v>0</v>
      </c>
    </row>
    <row r="64" spans="1:23">
      <c r="A64" s="535"/>
      <c r="B64" s="32"/>
      <c r="C64" s="32"/>
      <c r="D64" s="534"/>
      <c r="E64" s="531"/>
      <c r="F64" s="301"/>
      <c r="G64" s="301">
        <f>G1*Revenue!$I$63</f>
        <v>0</v>
      </c>
      <c r="H64" s="301"/>
      <c r="I64" s="301"/>
      <c r="J64" s="325"/>
      <c r="K64" s="325"/>
      <c r="L64" s="301"/>
      <c r="M64" s="301"/>
      <c r="N64" s="301"/>
      <c r="O64" s="301"/>
      <c r="P64" s="301"/>
      <c r="Q64" s="325"/>
      <c r="R64" s="325"/>
      <c r="S64" s="325"/>
      <c r="T64" s="532"/>
      <c r="U64" s="301"/>
      <c r="V64" s="532"/>
      <c r="W64" s="532">
        <f>+V64-'ROR-Model'!G64</f>
        <v>0</v>
      </c>
    </row>
    <row r="65" spans="1:23">
      <c r="A65" s="535"/>
      <c r="B65" s="32"/>
      <c r="C65" s="32" t="s">
        <v>16</v>
      </c>
      <c r="D65" s="534"/>
      <c r="E65" s="531"/>
      <c r="F65" s="301"/>
      <c r="G65" s="301">
        <f>G1*Revenue!$I$64</f>
        <v>0</v>
      </c>
      <c r="H65" s="301"/>
      <c r="I65" s="301"/>
      <c r="J65" s="325"/>
      <c r="K65" s="325"/>
      <c r="L65" s="301"/>
      <c r="M65" s="301"/>
      <c r="N65" s="301"/>
      <c r="O65" s="301"/>
      <c r="P65" s="301"/>
      <c r="Q65" s="325"/>
      <c r="R65" s="325"/>
      <c r="S65" s="325"/>
      <c r="T65" s="532">
        <f>SUM(F65:S65)</f>
        <v>0</v>
      </c>
      <c r="U65" s="301"/>
      <c r="V65" s="532">
        <f>SUM(T65:T65)</f>
        <v>0</v>
      </c>
      <c r="W65" s="532">
        <f>+V65-'ROR-Model'!G65</f>
        <v>0</v>
      </c>
    </row>
    <row r="66" spans="1:23">
      <c r="A66" s="535"/>
      <c r="B66" s="32"/>
      <c r="C66" s="32" t="s">
        <v>17</v>
      </c>
      <c r="D66" s="534"/>
      <c r="E66" s="531"/>
      <c r="F66" s="323">
        <f>SUM(F61:F65)</f>
        <v>0</v>
      </c>
      <c r="G66" s="323">
        <f>G1*SUM(G61:G65)</f>
        <v>0</v>
      </c>
      <c r="H66" s="323">
        <f>SUM(H61:H65)</f>
        <v>0</v>
      </c>
      <c r="I66" s="323">
        <f t="shared" ref="I66:P66" si="10">SUM(I61:I65)</f>
        <v>0</v>
      </c>
      <c r="J66" s="476">
        <f>SUM(J61:J65)</f>
        <v>0</v>
      </c>
      <c r="K66" s="476">
        <f>SUM(K61:K65)</f>
        <v>0</v>
      </c>
      <c r="L66" s="323">
        <f t="shared" si="10"/>
        <v>0</v>
      </c>
      <c r="M66" s="323">
        <f t="shared" si="10"/>
        <v>0</v>
      </c>
      <c r="N66" s="323">
        <f t="shared" si="10"/>
        <v>0</v>
      </c>
      <c r="O66" s="323">
        <f t="shared" si="10"/>
        <v>0</v>
      </c>
      <c r="P66" s="323">
        <f t="shared" si="10"/>
        <v>0</v>
      </c>
      <c r="Q66" s="476">
        <f>SUM(Q61:Q65)</f>
        <v>0</v>
      </c>
      <c r="R66" s="476">
        <f>SUM(R61:R65)</f>
        <v>0</v>
      </c>
      <c r="S66" s="476">
        <f>SUM(S61:S65)</f>
        <v>0</v>
      </c>
      <c r="T66" s="536">
        <f>SUM(T61:T65)</f>
        <v>0</v>
      </c>
      <c r="U66" s="323"/>
      <c r="V66" s="536">
        <f>SUM(V61:V65)</f>
        <v>0</v>
      </c>
      <c r="W66" s="536">
        <f>+V66-'ROR-Model'!G66</f>
        <v>0</v>
      </c>
    </row>
    <row r="67" spans="1:23">
      <c r="A67" s="535"/>
      <c r="B67" s="32"/>
      <c r="C67" s="32"/>
      <c r="D67" s="534"/>
      <c r="E67" s="531"/>
      <c r="F67" s="301"/>
      <c r="G67" s="301"/>
      <c r="H67" s="301"/>
      <c r="I67" s="301"/>
      <c r="J67" s="325"/>
      <c r="K67" s="325"/>
      <c r="L67" s="301"/>
      <c r="M67" s="301"/>
      <c r="N67" s="301"/>
      <c r="O67" s="301"/>
      <c r="P67" s="301"/>
      <c r="Q67" s="325"/>
      <c r="R67" s="325"/>
      <c r="S67" s="325"/>
      <c r="T67" s="532"/>
      <c r="U67" s="301"/>
      <c r="V67" s="532"/>
      <c r="W67" s="532">
        <f>+V67-'ROR-Model'!G67</f>
        <v>0</v>
      </c>
    </row>
    <row r="68" spans="1:23">
      <c r="A68" s="535"/>
      <c r="B68" s="32"/>
      <c r="C68" s="32" t="s">
        <v>18</v>
      </c>
      <c r="D68" s="534"/>
      <c r="E68" s="531"/>
      <c r="F68" s="301"/>
      <c r="G68" s="301">
        <f>G1*Revenue!$I$67</f>
        <v>0</v>
      </c>
      <c r="H68" s="301"/>
      <c r="I68" s="301"/>
      <c r="J68" s="325"/>
      <c r="K68" s="325"/>
      <c r="L68" s="301"/>
      <c r="M68" s="301"/>
      <c r="N68" s="301"/>
      <c r="O68" s="301"/>
      <c r="P68" s="301"/>
      <c r="Q68" s="325"/>
      <c r="R68" s="325"/>
      <c r="S68" s="325"/>
      <c r="T68" s="532">
        <f>SUM(F68:S68)</f>
        <v>0</v>
      </c>
      <c r="U68" s="301"/>
      <c r="V68" s="532">
        <f>SUM(T68:T68)</f>
        <v>0</v>
      </c>
      <c r="W68" s="532">
        <f>+V68-'ROR-Model'!G68</f>
        <v>0</v>
      </c>
    </row>
    <row r="69" spans="1:23">
      <c r="A69" s="535"/>
      <c r="B69" s="58"/>
      <c r="C69" s="58"/>
      <c r="D69" s="534"/>
      <c r="E69" s="531"/>
      <c r="F69" s="301"/>
      <c r="G69" s="301"/>
      <c r="H69" s="301"/>
      <c r="I69" s="301"/>
      <c r="J69" s="325"/>
      <c r="K69" s="325"/>
      <c r="L69" s="301"/>
      <c r="M69" s="301"/>
      <c r="N69" s="301"/>
      <c r="O69" s="301"/>
      <c r="P69" s="301"/>
      <c r="Q69" s="325"/>
      <c r="R69" s="325"/>
      <c r="S69" s="325"/>
      <c r="T69" s="532"/>
      <c r="U69" s="301"/>
      <c r="V69" s="532"/>
      <c r="W69" s="532">
        <f>+V69-'ROR-Model'!G69</f>
        <v>0</v>
      </c>
    </row>
    <row r="70" spans="1:23">
      <c r="A70" s="535"/>
      <c r="B70" s="32" t="s">
        <v>4</v>
      </c>
      <c r="C70" s="32" t="s">
        <v>14</v>
      </c>
      <c r="D70" s="534"/>
      <c r="E70" s="531"/>
      <c r="F70" s="301"/>
      <c r="G70" s="301">
        <f>G1*Revenue!$I$69</f>
        <v>0</v>
      </c>
      <c r="H70" s="301"/>
      <c r="I70" s="301"/>
      <c r="J70" s="325"/>
      <c r="K70" s="325"/>
      <c r="L70" s="301"/>
      <c r="M70" s="301"/>
      <c r="N70" s="301"/>
      <c r="O70" s="301"/>
      <c r="P70" s="301"/>
      <c r="Q70" s="325"/>
      <c r="R70" s="325"/>
      <c r="S70" s="325"/>
      <c r="T70" s="532">
        <f>SUM(F70:S70)</f>
        <v>0</v>
      </c>
      <c r="U70" s="301"/>
      <c r="V70" s="532">
        <f>SUM(T70:T70)</f>
        <v>0</v>
      </c>
      <c r="W70" s="532">
        <f>+V70-'ROR-Model'!G70</f>
        <v>0</v>
      </c>
    </row>
    <row r="71" spans="1:23">
      <c r="A71" s="535"/>
      <c r="B71" s="32"/>
      <c r="C71" s="32"/>
      <c r="D71" s="534"/>
      <c r="E71" s="531"/>
      <c r="F71" s="301"/>
      <c r="G71" s="301"/>
      <c r="H71" s="301"/>
      <c r="I71" s="301"/>
      <c r="J71" s="325"/>
      <c r="K71" s="325"/>
      <c r="L71" s="301"/>
      <c r="M71" s="301"/>
      <c r="N71" s="301"/>
      <c r="O71" s="301"/>
      <c r="P71" s="301"/>
      <c r="Q71" s="325"/>
      <c r="R71" s="325"/>
      <c r="S71" s="325"/>
      <c r="T71" s="532"/>
      <c r="U71" s="301"/>
      <c r="V71" s="532"/>
      <c r="W71" s="532">
        <f>+V71-'ROR-Model'!G71</f>
        <v>0</v>
      </c>
    </row>
    <row r="72" spans="1:23">
      <c r="A72" s="535"/>
      <c r="B72" s="32"/>
      <c r="C72" s="32" t="s">
        <v>15</v>
      </c>
      <c r="D72" s="534"/>
      <c r="E72" s="531"/>
      <c r="F72" s="301"/>
      <c r="G72" s="301">
        <f>G1*Revenue!$I$71</f>
        <v>0</v>
      </c>
      <c r="H72" s="301"/>
      <c r="I72" s="301"/>
      <c r="J72" s="325"/>
      <c r="K72" s="325"/>
      <c r="L72" s="301"/>
      <c r="M72" s="301"/>
      <c r="N72" s="301"/>
      <c r="O72" s="301"/>
      <c r="P72" s="301"/>
      <c r="Q72" s="325"/>
      <c r="R72" s="325"/>
      <c r="S72" s="325"/>
      <c r="T72" s="532">
        <f>SUM(F72:S72)</f>
        <v>0</v>
      </c>
      <c r="U72" s="301"/>
      <c r="V72" s="532">
        <f>SUM(T72:T72)</f>
        <v>0</v>
      </c>
      <c r="W72" s="532">
        <f>+V72-'ROR-Model'!G72</f>
        <v>0</v>
      </c>
    </row>
    <row r="73" spans="1:23">
      <c r="A73" s="535"/>
      <c r="B73" s="32"/>
      <c r="C73" s="32"/>
      <c r="D73" s="534"/>
      <c r="E73" s="531"/>
      <c r="F73" s="301"/>
      <c r="G73" s="301"/>
      <c r="H73" s="301"/>
      <c r="I73" s="301"/>
      <c r="J73" s="325"/>
      <c r="K73" s="325"/>
      <c r="L73" s="301"/>
      <c r="M73" s="301"/>
      <c r="N73" s="301"/>
      <c r="O73" s="301"/>
      <c r="P73" s="301"/>
      <c r="Q73" s="325"/>
      <c r="R73" s="325"/>
      <c r="S73" s="325"/>
      <c r="T73" s="532"/>
      <c r="U73" s="301"/>
      <c r="V73" s="532"/>
      <c r="W73" s="532">
        <f>+V73-'ROR-Model'!G73</f>
        <v>0</v>
      </c>
    </row>
    <row r="74" spans="1:23">
      <c r="A74" s="535"/>
      <c r="B74" s="32"/>
      <c r="C74" s="32" t="s">
        <v>16</v>
      </c>
      <c r="D74" s="534"/>
      <c r="E74" s="531"/>
      <c r="F74" s="301"/>
      <c r="G74" s="301">
        <f>G1*Revenue!$I$73</f>
        <v>0</v>
      </c>
      <c r="H74" s="301"/>
      <c r="I74" s="301"/>
      <c r="J74" s="325"/>
      <c r="K74" s="325"/>
      <c r="L74" s="301"/>
      <c r="M74" s="301"/>
      <c r="N74" s="301"/>
      <c r="O74" s="301"/>
      <c r="P74" s="301"/>
      <c r="Q74" s="325"/>
      <c r="R74" s="325"/>
      <c r="S74" s="325"/>
      <c r="T74" s="532">
        <f>SUM(F74:S74)</f>
        <v>0</v>
      </c>
      <c r="U74" s="301"/>
      <c r="V74" s="532">
        <f>SUM(T74:T74)</f>
        <v>0</v>
      </c>
      <c r="W74" s="532">
        <f>+V74-'ROR-Model'!G74</f>
        <v>0</v>
      </c>
    </row>
    <row r="75" spans="1:23">
      <c r="A75" s="535"/>
      <c r="B75" s="32"/>
      <c r="C75" s="32" t="s">
        <v>17</v>
      </c>
      <c r="D75" s="534"/>
      <c r="E75" s="531"/>
      <c r="F75" s="323">
        <f>SUM(F70:F74)</f>
        <v>0</v>
      </c>
      <c r="G75" s="323">
        <f>G1*SUM(G70:G74)</f>
        <v>0</v>
      </c>
      <c r="H75" s="323">
        <f>SUM(H70:H74)</f>
        <v>0</v>
      </c>
      <c r="I75" s="323">
        <f t="shared" ref="I75:P75" si="11">SUM(I70:I74)</f>
        <v>0</v>
      </c>
      <c r="J75" s="476">
        <f>SUM(J70:J74)</f>
        <v>0</v>
      </c>
      <c r="K75" s="476">
        <f>SUM(K70:K74)</f>
        <v>0</v>
      </c>
      <c r="L75" s="323">
        <f t="shared" si="11"/>
        <v>0</v>
      </c>
      <c r="M75" s="323">
        <f t="shared" si="11"/>
        <v>0</v>
      </c>
      <c r="N75" s="323">
        <f t="shared" si="11"/>
        <v>0</v>
      </c>
      <c r="O75" s="323">
        <f t="shared" si="11"/>
        <v>0</v>
      </c>
      <c r="P75" s="323">
        <f t="shared" si="11"/>
        <v>0</v>
      </c>
      <c r="Q75" s="476">
        <f>SUM(Q70:Q74)</f>
        <v>0</v>
      </c>
      <c r="R75" s="476">
        <f>SUM(R70:R74)</f>
        <v>0</v>
      </c>
      <c r="S75" s="476">
        <f>SUM(S70:S74)</f>
        <v>0</v>
      </c>
      <c r="T75" s="536">
        <f>SUM(T70:T74)</f>
        <v>0</v>
      </c>
      <c r="U75" s="323"/>
      <c r="V75" s="536">
        <f>SUM(V70:V74)</f>
        <v>0</v>
      </c>
      <c r="W75" s="536">
        <f>+V75-'ROR-Model'!G75</f>
        <v>0</v>
      </c>
    </row>
    <row r="76" spans="1:23">
      <c r="A76" s="535"/>
      <c r="B76" s="32"/>
      <c r="C76" s="32"/>
      <c r="D76" s="534"/>
      <c r="E76" s="531"/>
      <c r="F76" s="301"/>
      <c r="G76" s="301"/>
      <c r="H76" s="301"/>
      <c r="I76" s="301"/>
      <c r="J76" s="325"/>
      <c r="K76" s="325"/>
      <c r="L76" s="301"/>
      <c r="M76" s="301"/>
      <c r="N76" s="301"/>
      <c r="O76" s="301"/>
      <c r="P76" s="301"/>
      <c r="Q76" s="325"/>
      <c r="R76" s="325"/>
      <c r="S76" s="325"/>
      <c r="T76" s="532"/>
      <c r="U76" s="301"/>
      <c r="V76" s="532"/>
      <c r="W76" s="532">
        <f>+V76-'ROR-Model'!G76</f>
        <v>0</v>
      </c>
    </row>
    <row r="77" spans="1:23">
      <c r="A77" s="535"/>
      <c r="B77" s="32"/>
      <c r="C77" s="32" t="s">
        <v>18</v>
      </c>
      <c r="D77" s="534"/>
      <c r="E77" s="531"/>
      <c r="F77" s="301"/>
      <c r="G77" s="301">
        <f>G1*Revenue!$I$76</f>
        <v>0</v>
      </c>
      <c r="H77" s="301"/>
      <c r="I77" s="301"/>
      <c r="J77" s="325"/>
      <c r="K77" s="325"/>
      <c r="L77" s="301"/>
      <c r="M77" s="301"/>
      <c r="N77" s="301"/>
      <c r="O77" s="301"/>
      <c r="P77" s="301"/>
      <c r="Q77" s="325"/>
      <c r="R77" s="325"/>
      <c r="S77" s="325"/>
      <c r="T77" s="532">
        <f>SUM(F77:S77)</f>
        <v>0</v>
      </c>
      <c r="U77" s="301"/>
      <c r="V77" s="532">
        <f>SUM(T77:T77)</f>
        <v>0</v>
      </c>
      <c r="W77" s="532">
        <f>+V77-'ROR-Model'!G77</f>
        <v>0</v>
      </c>
    </row>
    <row r="78" spans="1:23">
      <c r="A78" s="535"/>
      <c r="B78" s="32"/>
      <c r="C78" s="32"/>
      <c r="D78" s="534"/>
      <c r="E78" s="531"/>
      <c r="F78" s="301"/>
      <c r="G78" s="301"/>
      <c r="H78" s="301"/>
      <c r="I78" s="301"/>
      <c r="J78" s="325"/>
      <c r="K78" s="325"/>
      <c r="L78" s="301"/>
      <c r="M78" s="301"/>
      <c r="N78" s="301"/>
      <c r="O78" s="301"/>
      <c r="P78" s="301"/>
      <c r="Q78" s="325"/>
      <c r="R78" s="325"/>
      <c r="S78" s="325"/>
      <c r="T78" s="532"/>
      <c r="U78" s="301"/>
      <c r="V78" s="532"/>
      <c r="W78" s="532">
        <f>+V78-'ROR-Model'!G78</f>
        <v>0</v>
      </c>
    </row>
    <row r="79" spans="1:23">
      <c r="A79" s="535"/>
      <c r="B79" s="32" t="s">
        <v>78</v>
      </c>
      <c r="C79" s="32" t="s">
        <v>14</v>
      </c>
      <c r="D79" s="534"/>
      <c r="E79" s="531"/>
      <c r="F79" s="301"/>
      <c r="G79" s="301">
        <f>G1*Revenue!$I$78</f>
        <v>0</v>
      </c>
      <c r="H79" s="301"/>
      <c r="I79" s="301"/>
      <c r="J79" s="325"/>
      <c r="K79" s="325"/>
      <c r="L79" s="301"/>
      <c r="M79" s="301"/>
      <c r="N79" s="301"/>
      <c r="O79" s="301"/>
      <c r="P79" s="301"/>
      <c r="Q79" s="325"/>
      <c r="R79" s="325"/>
      <c r="S79" s="325"/>
      <c r="T79" s="532">
        <f>SUM(F79:S79)</f>
        <v>0</v>
      </c>
      <c r="U79" s="301"/>
      <c r="V79" s="532">
        <f>SUM(T79:T79)</f>
        <v>0</v>
      </c>
      <c r="W79" s="532">
        <f>+V79-'ROR-Model'!G79</f>
        <v>0</v>
      </c>
    </row>
    <row r="80" spans="1:23">
      <c r="A80" s="535"/>
      <c r="B80" s="32"/>
      <c r="C80" s="32"/>
      <c r="D80" s="534"/>
      <c r="E80" s="531"/>
      <c r="F80" s="301"/>
      <c r="G80" s="301"/>
      <c r="H80" s="301"/>
      <c r="I80" s="301"/>
      <c r="J80" s="325"/>
      <c r="K80" s="325"/>
      <c r="L80" s="301"/>
      <c r="M80" s="301"/>
      <c r="N80" s="301"/>
      <c r="O80" s="301"/>
      <c r="P80" s="301"/>
      <c r="Q80" s="325"/>
      <c r="R80" s="325"/>
      <c r="S80" s="325"/>
      <c r="T80" s="532"/>
      <c r="U80" s="301"/>
      <c r="V80" s="532"/>
      <c r="W80" s="532">
        <f>+V80-'ROR-Model'!G80</f>
        <v>0</v>
      </c>
    </row>
    <row r="81" spans="1:23">
      <c r="A81" s="535"/>
      <c r="B81" s="32"/>
      <c r="C81" s="32" t="s">
        <v>15</v>
      </c>
      <c r="D81" s="534"/>
      <c r="E81" s="531"/>
      <c r="F81" s="301"/>
      <c r="G81" s="301">
        <f>G1*Revenue!$I$80</f>
        <v>0</v>
      </c>
      <c r="H81" s="301"/>
      <c r="I81" s="301"/>
      <c r="J81" s="325"/>
      <c r="K81" s="325"/>
      <c r="L81" s="301"/>
      <c r="M81" s="301"/>
      <c r="N81" s="301"/>
      <c r="O81" s="301"/>
      <c r="P81" s="301"/>
      <c r="Q81" s="325"/>
      <c r="R81" s="325"/>
      <c r="S81" s="325"/>
      <c r="T81" s="532">
        <f>SUM(F81:S81)</f>
        <v>0</v>
      </c>
      <c r="U81" s="301"/>
      <c r="V81" s="532">
        <f>SUM(T81:T81)</f>
        <v>0</v>
      </c>
      <c r="W81" s="532">
        <f>+V81-'ROR-Model'!G81</f>
        <v>0</v>
      </c>
    </row>
    <row r="82" spans="1:23">
      <c r="A82" s="535"/>
      <c r="B82" s="32"/>
      <c r="C82" s="32"/>
      <c r="D82" s="534"/>
      <c r="E82" s="531"/>
      <c r="F82" s="301"/>
      <c r="G82" s="301"/>
      <c r="H82" s="301"/>
      <c r="I82" s="301"/>
      <c r="J82" s="325"/>
      <c r="K82" s="325"/>
      <c r="L82" s="301"/>
      <c r="M82" s="301"/>
      <c r="N82" s="301"/>
      <c r="O82" s="301"/>
      <c r="P82" s="301"/>
      <c r="Q82" s="325"/>
      <c r="R82" s="325"/>
      <c r="S82" s="325"/>
      <c r="T82" s="532"/>
      <c r="U82" s="301"/>
      <c r="V82" s="532"/>
      <c r="W82" s="532">
        <f>+V82-'ROR-Model'!G82</f>
        <v>0</v>
      </c>
    </row>
    <row r="83" spans="1:23">
      <c r="A83" s="535"/>
      <c r="B83" s="32"/>
      <c r="C83" s="32" t="s">
        <v>16</v>
      </c>
      <c r="D83" s="534"/>
      <c r="E83" s="531"/>
      <c r="F83" s="301"/>
      <c r="G83" s="301">
        <f>G1*Revenue!$I$82</f>
        <v>0</v>
      </c>
      <c r="H83" s="301"/>
      <c r="I83" s="301"/>
      <c r="J83" s="325"/>
      <c r="K83" s="325"/>
      <c r="L83" s="301"/>
      <c r="M83" s="301"/>
      <c r="N83" s="301"/>
      <c r="O83" s="301"/>
      <c r="P83" s="301"/>
      <c r="Q83" s="325"/>
      <c r="R83" s="325"/>
      <c r="S83" s="325"/>
      <c r="T83" s="532">
        <f>SUM(F83:S83)</f>
        <v>0</v>
      </c>
      <c r="U83" s="301"/>
      <c r="V83" s="532">
        <f>SUM(T83:T83)</f>
        <v>0</v>
      </c>
      <c r="W83" s="532">
        <f>+V83-'ROR-Model'!G83</f>
        <v>0</v>
      </c>
    </row>
    <row r="84" spans="1:23">
      <c r="A84" s="535"/>
      <c r="B84" s="32"/>
      <c r="C84" s="32" t="s">
        <v>17</v>
      </c>
      <c r="D84" s="534"/>
      <c r="E84" s="531"/>
      <c r="F84" s="323">
        <f>SUM(F79:F83)</f>
        <v>0</v>
      </c>
      <c r="G84" s="323">
        <f>G1*SUM(G79:G83)</f>
        <v>0</v>
      </c>
      <c r="H84" s="323">
        <f>SUM(H79:H83)</f>
        <v>0</v>
      </c>
      <c r="I84" s="323">
        <f t="shared" ref="I84:P84" si="12">SUM(I79:I83)</f>
        <v>0</v>
      </c>
      <c r="J84" s="476">
        <f>SUM(J79:J83)</f>
        <v>0</v>
      </c>
      <c r="K84" s="476">
        <f>SUM(K79:K83)</f>
        <v>0</v>
      </c>
      <c r="L84" s="323">
        <f t="shared" si="12"/>
        <v>0</v>
      </c>
      <c r="M84" s="323">
        <f t="shared" si="12"/>
        <v>0</v>
      </c>
      <c r="N84" s="323">
        <f t="shared" si="12"/>
        <v>0</v>
      </c>
      <c r="O84" s="323">
        <f t="shared" si="12"/>
        <v>0</v>
      </c>
      <c r="P84" s="323">
        <f t="shared" si="12"/>
        <v>0</v>
      </c>
      <c r="Q84" s="476">
        <f>SUM(Q79:Q83)</f>
        <v>0</v>
      </c>
      <c r="R84" s="476">
        <f>SUM(R79:R83)</f>
        <v>0</v>
      </c>
      <c r="S84" s="476">
        <f>SUM(S79:S83)</f>
        <v>0</v>
      </c>
      <c r="T84" s="536">
        <f>SUM(T79:T83)</f>
        <v>0</v>
      </c>
      <c r="U84" s="323"/>
      <c r="V84" s="536">
        <f>SUM(V79:V83)</f>
        <v>0</v>
      </c>
      <c r="W84" s="536">
        <f>+V84-'ROR-Model'!G84</f>
        <v>0</v>
      </c>
    </row>
    <row r="85" spans="1:23">
      <c r="A85" s="535"/>
      <c r="B85" s="32"/>
      <c r="C85" s="32"/>
      <c r="D85" s="534"/>
      <c r="E85" s="531"/>
      <c r="F85" s="301"/>
      <c r="G85" s="301"/>
      <c r="H85" s="301"/>
      <c r="I85" s="301"/>
      <c r="J85" s="325"/>
      <c r="K85" s="325"/>
      <c r="L85" s="301"/>
      <c r="M85" s="301"/>
      <c r="N85" s="301"/>
      <c r="O85" s="301"/>
      <c r="P85" s="301"/>
      <c r="Q85" s="325"/>
      <c r="R85" s="325"/>
      <c r="S85" s="325"/>
      <c r="T85" s="532"/>
      <c r="U85" s="301"/>
      <c r="V85" s="532"/>
      <c r="W85" s="532">
        <f>+V85-'ROR-Model'!G85</f>
        <v>0</v>
      </c>
    </row>
    <row r="86" spans="1:23">
      <c r="A86" s="535"/>
      <c r="B86" s="32"/>
      <c r="C86" s="32" t="s">
        <v>18</v>
      </c>
      <c r="D86" s="534"/>
      <c r="E86" s="531"/>
      <c r="F86" s="301"/>
      <c r="G86" s="301">
        <f>G1*Revenue!$I$85</f>
        <v>0</v>
      </c>
      <c r="H86" s="301"/>
      <c r="I86" s="301"/>
      <c r="J86" s="325"/>
      <c r="K86" s="325"/>
      <c r="L86" s="301"/>
      <c r="M86" s="301"/>
      <c r="N86" s="301"/>
      <c r="O86" s="301"/>
      <c r="P86" s="301"/>
      <c r="Q86" s="325"/>
      <c r="R86" s="325"/>
      <c r="S86" s="325"/>
      <c r="T86" s="532">
        <f>SUM(F86:S86)</f>
        <v>0</v>
      </c>
      <c r="U86" s="301"/>
      <c r="V86" s="532">
        <f>SUM(T86:T86)</f>
        <v>0</v>
      </c>
      <c r="W86" s="532">
        <f>+V86-'ROR-Model'!G86</f>
        <v>0</v>
      </c>
    </row>
    <row r="87" spans="1:23">
      <c r="A87" s="535"/>
      <c r="B87" s="32"/>
      <c r="C87" s="32"/>
      <c r="D87" s="534"/>
      <c r="E87" s="531"/>
      <c r="F87" s="301"/>
      <c r="G87" s="301"/>
      <c r="H87" s="301"/>
      <c r="I87" s="301"/>
      <c r="J87" s="325"/>
      <c r="K87" s="325"/>
      <c r="L87" s="301"/>
      <c r="M87" s="301"/>
      <c r="N87" s="301"/>
      <c r="O87" s="301"/>
      <c r="P87" s="301"/>
      <c r="Q87" s="325"/>
      <c r="R87" s="325"/>
      <c r="S87" s="325"/>
      <c r="T87" s="532"/>
      <c r="U87" s="301"/>
      <c r="V87" s="532"/>
      <c r="W87" s="532">
        <f>+V87-'ROR-Model'!G87</f>
        <v>0</v>
      </c>
    </row>
    <row r="88" spans="1:23">
      <c r="A88" s="535"/>
      <c r="B88" s="32" t="s">
        <v>79</v>
      </c>
      <c r="C88" s="32" t="s">
        <v>14</v>
      </c>
      <c r="D88" s="534"/>
      <c r="E88" s="531"/>
      <c r="F88" s="301"/>
      <c r="G88" s="301">
        <f>G1*Revenue!$I$87</f>
        <v>0</v>
      </c>
      <c r="H88" s="301"/>
      <c r="I88" s="301"/>
      <c r="J88" s="325"/>
      <c r="K88" s="325"/>
      <c r="L88" s="301"/>
      <c r="M88" s="301"/>
      <c r="N88" s="301"/>
      <c r="O88" s="301"/>
      <c r="P88" s="301"/>
      <c r="Q88" s="325"/>
      <c r="R88" s="325"/>
      <c r="S88" s="325"/>
      <c r="T88" s="532">
        <f>SUM(F88:S88)</f>
        <v>0</v>
      </c>
      <c r="U88" s="301"/>
      <c r="V88" s="532">
        <f>SUM(T88:T88)</f>
        <v>0</v>
      </c>
      <c r="W88" s="532">
        <f>+V88-'ROR-Model'!G88</f>
        <v>0</v>
      </c>
    </row>
    <row r="89" spans="1:23">
      <c r="A89" s="535"/>
      <c r="B89" s="32"/>
      <c r="C89" s="32"/>
      <c r="D89" s="534"/>
      <c r="E89" s="531"/>
      <c r="F89" s="301"/>
      <c r="G89" s="301"/>
      <c r="H89" s="301"/>
      <c r="I89" s="301"/>
      <c r="J89" s="325"/>
      <c r="K89" s="325"/>
      <c r="L89" s="301"/>
      <c r="M89" s="301"/>
      <c r="N89" s="301"/>
      <c r="O89" s="301"/>
      <c r="P89" s="301"/>
      <c r="Q89" s="325"/>
      <c r="R89" s="325"/>
      <c r="S89" s="325"/>
      <c r="T89" s="532"/>
      <c r="U89" s="301"/>
      <c r="V89" s="532"/>
      <c r="W89" s="532">
        <f>+V89-'ROR-Model'!G89</f>
        <v>0</v>
      </c>
    </row>
    <row r="90" spans="1:23">
      <c r="A90" s="535"/>
      <c r="B90" s="32"/>
      <c r="C90" s="32" t="s">
        <v>15</v>
      </c>
      <c r="D90" s="534"/>
      <c r="E90" s="531"/>
      <c r="F90" s="301"/>
      <c r="G90" s="301">
        <f>G1*Revenue!$I$89</f>
        <v>0</v>
      </c>
      <c r="H90" s="301"/>
      <c r="I90" s="301"/>
      <c r="J90" s="325"/>
      <c r="K90" s="325"/>
      <c r="L90" s="301"/>
      <c r="M90" s="301"/>
      <c r="N90" s="301"/>
      <c r="O90" s="301"/>
      <c r="P90" s="301"/>
      <c r="Q90" s="325"/>
      <c r="R90" s="325"/>
      <c r="S90" s="325"/>
      <c r="T90" s="532">
        <f>SUM(F90:S90)</f>
        <v>0</v>
      </c>
      <c r="U90" s="301"/>
      <c r="V90" s="532">
        <f>SUM(T90:T90)</f>
        <v>0</v>
      </c>
      <c r="W90" s="532">
        <f>+V90-'ROR-Model'!G90</f>
        <v>0</v>
      </c>
    </row>
    <row r="91" spans="1:23">
      <c r="A91" s="535"/>
      <c r="B91" s="32"/>
      <c r="C91" s="32"/>
      <c r="D91" s="534"/>
      <c r="E91" s="531"/>
      <c r="F91" s="301"/>
      <c r="G91" s="301"/>
      <c r="H91" s="301"/>
      <c r="I91" s="301"/>
      <c r="J91" s="325"/>
      <c r="K91" s="325"/>
      <c r="L91" s="301"/>
      <c r="M91" s="301"/>
      <c r="N91" s="301"/>
      <c r="O91" s="301"/>
      <c r="P91" s="301"/>
      <c r="Q91" s="325"/>
      <c r="R91" s="325"/>
      <c r="S91" s="325"/>
      <c r="T91" s="532"/>
      <c r="U91" s="301"/>
      <c r="V91" s="532"/>
      <c r="W91" s="532">
        <f>+V91-'ROR-Model'!G91</f>
        <v>0</v>
      </c>
    </row>
    <row r="92" spans="1:23">
      <c r="A92" s="535"/>
      <c r="B92" s="32"/>
      <c r="C92" s="32" t="s">
        <v>16</v>
      </c>
      <c r="D92" s="534"/>
      <c r="E92" s="531"/>
      <c r="F92" s="301"/>
      <c r="G92" s="301">
        <f>G1*Revenue!$I$91</f>
        <v>0</v>
      </c>
      <c r="H92" s="301"/>
      <c r="I92" s="301"/>
      <c r="J92" s="325"/>
      <c r="K92" s="325"/>
      <c r="L92" s="301"/>
      <c r="M92" s="301"/>
      <c r="N92" s="301"/>
      <c r="O92" s="301"/>
      <c r="P92" s="301"/>
      <c r="Q92" s="325"/>
      <c r="R92" s="325"/>
      <c r="S92" s="325"/>
      <c r="T92" s="532">
        <f>SUM(F92:S92)</f>
        <v>0</v>
      </c>
      <c r="U92" s="301"/>
      <c r="V92" s="532">
        <f>SUM(T92:T92)</f>
        <v>0</v>
      </c>
      <c r="W92" s="532">
        <f>+V92-'ROR-Model'!G92</f>
        <v>0</v>
      </c>
    </row>
    <row r="93" spans="1:23">
      <c r="A93" s="535"/>
      <c r="B93" s="32"/>
      <c r="C93" s="32" t="s">
        <v>17</v>
      </c>
      <c r="D93" s="534"/>
      <c r="E93" s="531"/>
      <c r="F93" s="323">
        <f>SUM(F88:F92)</f>
        <v>0</v>
      </c>
      <c r="G93" s="323">
        <f>G1*SUM(G88:G92)</f>
        <v>0</v>
      </c>
      <c r="H93" s="323">
        <f>SUM(H88:H92)</f>
        <v>0</v>
      </c>
      <c r="I93" s="323">
        <f t="shared" ref="I93:P93" si="13">SUM(I88:I92)</f>
        <v>0</v>
      </c>
      <c r="J93" s="476">
        <f>SUM(J88:J92)</f>
        <v>0</v>
      </c>
      <c r="K93" s="476">
        <f>SUM(K88:K92)</f>
        <v>0</v>
      </c>
      <c r="L93" s="323">
        <f t="shared" si="13"/>
        <v>0</v>
      </c>
      <c r="M93" s="323">
        <f t="shared" si="13"/>
        <v>0</v>
      </c>
      <c r="N93" s="323">
        <f t="shared" si="13"/>
        <v>0</v>
      </c>
      <c r="O93" s="323">
        <f t="shared" si="13"/>
        <v>0</v>
      </c>
      <c r="P93" s="323">
        <f t="shared" si="13"/>
        <v>0</v>
      </c>
      <c r="Q93" s="476">
        <f>SUM(Q88:Q92)</f>
        <v>0</v>
      </c>
      <c r="R93" s="476">
        <f>SUM(R88:R92)</f>
        <v>0</v>
      </c>
      <c r="S93" s="476">
        <f>SUM(S88:S92)</f>
        <v>0</v>
      </c>
      <c r="T93" s="536">
        <f>SUM(T88:T92)</f>
        <v>0</v>
      </c>
      <c r="U93" s="323"/>
      <c r="V93" s="536">
        <f>SUM(V88:V92)</f>
        <v>0</v>
      </c>
      <c r="W93" s="536">
        <f>+V93-'ROR-Model'!G93</f>
        <v>0</v>
      </c>
    </row>
    <row r="94" spans="1:23">
      <c r="A94" s="535"/>
      <c r="B94" s="32"/>
      <c r="C94" s="32"/>
      <c r="D94" s="534"/>
      <c r="E94" s="531"/>
      <c r="F94" s="301"/>
      <c r="G94" s="301"/>
      <c r="H94" s="301"/>
      <c r="I94" s="301"/>
      <c r="J94" s="325"/>
      <c r="K94" s="325"/>
      <c r="L94" s="301"/>
      <c r="M94" s="301"/>
      <c r="N94" s="301"/>
      <c r="O94" s="301"/>
      <c r="P94" s="301"/>
      <c r="Q94" s="325"/>
      <c r="R94" s="325"/>
      <c r="S94" s="325"/>
      <c r="T94" s="532"/>
      <c r="U94" s="301"/>
      <c r="V94" s="532"/>
      <c r="W94" s="532">
        <f>+V94-'ROR-Model'!G94</f>
        <v>0</v>
      </c>
    </row>
    <row r="95" spans="1:23">
      <c r="A95" s="535"/>
      <c r="B95" s="32"/>
      <c r="C95" s="32" t="s">
        <v>18</v>
      </c>
      <c r="D95" s="534"/>
      <c r="E95" s="531"/>
      <c r="F95" s="301"/>
      <c r="G95" s="301">
        <f>G1*Revenue!$I$94</f>
        <v>0</v>
      </c>
      <c r="H95" s="301"/>
      <c r="I95" s="301"/>
      <c r="J95" s="325"/>
      <c r="K95" s="325"/>
      <c r="L95" s="301"/>
      <c r="M95" s="301"/>
      <c r="N95" s="301"/>
      <c r="O95" s="301"/>
      <c r="P95" s="301"/>
      <c r="Q95" s="325"/>
      <c r="R95" s="325"/>
      <c r="S95" s="325"/>
      <c r="T95" s="532">
        <f>SUM(F95:S95)</f>
        <v>0</v>
      </c>
      <c r="U95" s="301"/>
      <c r="V95" s="532">
        <f>SUM(T95:T95)</f>
        <v>0</v>
      </c>
      <c r="W95" s="532">
        <f>+V95-'ROR-Model'!G95</f>
        <v>0</v>
      </c>
    </row>
    <row r="96" spans="1:23">
      <c r="A96" s="535"/>
      <c r="B96" s="32"/>
      <c r="C96" s="32"/>
      <c r="D96" s="534"/>
      <c r="E96" s="531"/>
      <c r="F96" s="301"/>
      <c r="G96" s="301"/>
      <c r="H96" s="301"/>
      <c r="I96" s="301"/>
      <c r="J96" s="325"/>
      <c r="K96" s="325"/>
      <c r="L96" s="301"/>
      <c r="M96" s="301"/>
      <c r="N96" s="301"/>
      <c r="O96" s="301"/>
      <c r="P96" s="301"/>
      <c r="Q96" s="325"/>
      <c r="R96" s="325"/>
      <c r="S96" s="325"/>
      <c r="T96" s="532"/>
      <c r="U96" s="301"/>
      <c r="V96" s="532"/>
      <c r="W96" s="532">
        <f>+V96-'ROR-Model'!G96</f>
        <v>0</v>
      </c>
    </row>
    <row r="97" spans="1:23">
      <c r="A97" s="535"/>
      <c r="B97" s="32" t="s">
        <v>76</v>
      </c>
      <c r="C97" s="32" t="s">
        <v>14</v>
      </c>
      <c r="D97" s="534"/>
      <c r="E97" s="531"/>
      <c r="F97" s="301"/>
      <c r="G97" s="301">
        <f>G1*Revenue!$I$96</f>
        <v>0</v>
      </c>
      <c r="H97" s="301"/>
      <c r="I97" s="301"/>
      <c r="J97" s="325"/>
      <c r="K97" s="325"/>
      <c r="L97" s="301"/>
      <c r="M97" s="301"/>
      <c r="N97" s="301"/>
      <c r="O97" s="301"/>
      <c r="P97" s="301"/>
      <c r="Q97" s="325"/>
      <c r="R97" s="325"/>
      <c r="S97" s="325"/>
      <c r="T97" s="532">
        <f>SUM(F97:S97)</f>
        <v>0</v>
      </c>
      <c r="U97" s="301"/>
      <c r="V97" s="532">
        <f>SUM(T97:T97)</f>
        <v>0</v>
      </c>
      <c r="W97" s="532">
        <f>+V97-'ROR-Model'!G97</f>
        <v>0</v>
      </c>
    </row>
    <row r="98" spans="1:23">
      <c r="A98" s="535"/>
      <c r="B98" s="32"/>
      <c r="C98" s="32"/>
      <c r="D98" s="534"/>
      <c r="E98" s="531"/>
      <c r="F98" s="301"/>
      <c r="G98" s="301"/>
      <c r="H98" s="301"/>
      <c r="I98" s="301"/>
      <c r="J98" s="325"/>
      <c r="K98" s="325"/>
      <c r="L98" s="301"/>
      <c r="M98" s="301"/>
      <c r="N98" s="301"/>
      <c r="O98" s="301"/>
      <c r="P98" s="301"/>
      <c r="Q98" s="325"/>
      <c r="R98" s="325"/>
      <c r="S98" s="325"/>
      <c r="T98" s="532"/>
      <c r="U98" s="301"/>
      <c r="V98" s="532"/>
      <c r="W98" s="532">
        <f>+V98-'ROR-Model'!G98</f>
        <v>0</v>
      </c>
    </row>
    <row r="99" spans="1:23">
      <c r="A99" s="535"/>
      <c r="B99" s="32"/>
      <c r="C99" s="32" t="s">
        <v>15</v>
      </c>
      <c r="D99" s="534"/>
      <c r="E99" s="531"/>
      <c r="F99" s="301"/>
      <c r="G99" s="301">
        <f>G1*Revenue!$I$98</f>
        <v>0</v>
      </c>
      <c r="H99" s="301"/>
      <c r="I99" s="301"/>
      <c r="J99" s="325"/>
      <c r="K99" s="325"/>
      <c r="L99" s="301"/>
      <c r="M99" s="301"/>
      <c r="N99" s="301"/>
      <c r="O99" s="301"/>
      <c r="P99" s="301"/>
      <c r="Q99" s="325"/>
      <c r="R99" s="325"/>
      <c r="S99" s="325"/>
      <c r="T99" s="532">
        <f>SUM(F99:S99)</f>
        <v>0</v>
      </c>
      <c r="U99" s="301"/>
      <c r="V99" s="532">
        <f>SUM(T99:T99)</f>
        <v>0</v>
      </c>
      <c r="W99" s="532">
        <f>+V99-'ROR-Model'!G99</f>
        <v>0</v>
      </c>
    </row>
    <row r="100" spans="1:23">
      <c r="A100" s="535"/>
      <c r="B100" s="32"/>
      <c r="C100" s="32"/>
      <c r="D100" s="534"/>
      <c r="E100" s="531"/>
      <c r="F100" s="301"/>
      <c r="G100" s="301"/>
      <c r="H100" s="301"/>
      <c r="I100" s="301"/>
      <c r="J100" s="325"/>
      <c r="K100" s="325"/>
      <c r="L100" s="301"/>
      <c r="M100" s="301"/>
      <c r="N100" s="301"/>
      <c r="O100" s="301"/>
      <c r="P100" s="301"/>
      <c r="Q100" s="325"/>
      <c r="R100" s="325"/>
      <c r="S100" s="325"/>
      <c r="T100" s="532"/>
      <c r="U100" s="301"/>
      <c r="V100" s="532"/>
      <c r="W100" s="532">
        <f>+V100-'ROR-Model'!G100</f>
        <v>0</v>
      </c>
    </row>
    <row r="101" spans="1:23">
      <c r="A101" s="535"/>
      <c r="B101" s="32"/>
      <c r="C101" s="32" t="s">
        <v>16</v>
      </c>
      <c r="D101" s="534"/>
      <c r="E101" s="531"/>
      <c r="F101" s="301"/>
      <c r="G101" s="301">
        <f>G1*Revenue!$I$100</f>
        <v>0</v>
      </c>
      <c r="H101" s="301"/>
      <c r="I101" s="301"/>
      <c r="J101" s="325"/>
      <c r="K101" s="325"/>
      <c r="L101" s="301"/>
      <c r="M101" s="301"/>
      <c r="N101" s="301"/>
      <c r="O101" s="301"/>
      <c r="P101" s="301"/>
      <c r="Q101" s="325"/>
      <c r="R101" s="325"/>
      <c r="S101" s="325"/>
      <c r="T101" s="532">
        <f>SUM(F101:S101)</f>
        <v>0</v>
      </c>
      <c r="U101" s="301"/>
      <c r="V101" s="532">
        <f>SUM(T101:T101)</f>
        <v>0</v>
      </c>
      <c r="W101" s="532">
        <f>+V101-'ROR-Model'!G101</f>
        <v>0</v>
      </c>
    </row>
    <row r="102" spans="1:23">
      <c r="A102" s="535"/>
      <c r="B102" s="32"/>
      <c r="C102" s="32" t="s">
        <v>17</v>
      </c>
      <c r="D102" s="534"/>
      <c r="E102" s="531"/>
      <c r="F102" s="323">
        <f>SUM(F97:F101)</f>
        <v>0</v>
      </c>
      <c r="G102" s="323">
        <f>G1*SUM(G97:G101)</f>
        <v>0</v>
      </c>
      <c r="H102" s="323">
        <f>SUM(H97:H101)</f>
        <v>0</v>
      </c>
      <c r="I102" s="323">
        <f t="shared" ref="I102:P102" si="14">SUM(I97:I101)</f>
        <v>0</v>
      </c>
      <c r="J102" s="476">
        <f>SUM(J97:J101)</f>
        <v>0</v>
      </c>
      <c r="K102" s="476">
        <f>SUM(K97:K101)</f>
        <v>0</v>
      </c>
      <c r="L102" s="323">
        <f t="shared" si="14"/>
        <v>0</v>
      </c>
      <c r="M102" s="323">
        <f t="shared" si="14"/>
        <v>0</v>
      </c>
      <c r="N102" s="323">
        <f t="shared" si="14"/>
        <v>0</v>
      </c>
      <c r="O102" s="323">
        <f t="shared" si="14"/>
        <v>0</v>
      </c>
      <c r="P102" s="323">
        <f t="shared" si="14"/>
        <v>0</v>
      </c>
      <c r="Q102" s="476">
        <f>SUM(Q97:Q101)</f>
        <v>0</v>
      </c>
      <c r="R102" s="476">
        <f>SUM(R97:R101)</f>
        <v>0</v>
      </c>
      <c r="S102" s="476">
        <f>SUM(S97:S101)</f>
        <v>0</v>
      </c>
      <c r="T102" s="536">
        <f>SUM(T97:T101)</f>
        <v>0</v>
      </c>
      <c r="U102" s="323"/>
      <c r="V102" s="536">
        <f>SUM(V97:V101)</f>
        <v>0</v>
      </c>
      <c r="W102" s="536">
        <f>+V102-'ROR-Model'!G102</f>
        <v>0</v>
      </c>
    </row>
    <row r="103" spans="1:23">
      <c r="A103" s="535"/>
      <c r="B103" s="32"/>
      <c r="C103" s="32"/>
      <c r="D103" s="534"/>
      <c r="E103" s="531"/>
      <c r="F103" s="301"/>
      <c r="G103" s="301"/>
      <c r="H103" s="301"/>
      <c r="I103" s="301"/>
      <c r="J103" s="325"/>
      <c r="K103" s="325"/>
      <c r="L103" s="301"/>
      <c r="M103" s="301"/>
      <c r="N103" s="301"/>
      <c r="O103" s="301"/>
      <c r="P103" s="301"/>
      <c r="Q103" s="325"/>
      <c r="R103" s="325"/>
      <c r="S103" s="325"/>
      <c r="T103" s="532"/>
      <c r="U103" s="301"/>
      <c r="V103" s="532"/>
      <c r="W103" s="532">
        <f>+V103-'ROR-Model'!G103</f>
        <v>0</v>
      </c>
    </row>
    <row r="104" spans="1:23">
      <c r="A104" s="535"/>
      <c r="B104" s="32"/>
      <c r="C104" s="32" t="s">
        <v>18</v>
      </c>
      <c r="D104" s="534"/>
      <c r="E104" s="531"/>
      <c r="F104" s="301"/>
      <c r="G104" s="301">
        <f>G1*Revenue!$I$103</f>
        <v>0</v>
      </c>
      <c r="H104" s="301"/>
      <c r="I104" s="301"/>
      <c r="J104" s="325"/>
      <c r="K104" s="325"/>
      <c r="L104" s="301"/>
      <c r="M104" s="301"/>
      <c r="N104" s="301"/>
      <c r="O104" s="301"/>
      <c r="P104" s="301"/>
      <c r="Q104" s="325"/>
      <c r="R104" s="325"/>
      <c r="S104" s="325"/>
      <c r="T104" s="532">
        <f>SUM(F104:S104)</f>
        <v>0</v>
      </c>
      <c r="U104" s="301"/>
      <c r="V104" s="532">
        <f>SUM(T104:T104)</f>
        <v>0</v>
      </c>
      <c r="W104" s="532">
        <f>+V104-'ROR-Model'!G104</f>
        <v>0</v>
      </c>
    </row>
    <row r="105" spans="1:23">
      <c r="A105" s="535"/>
      <c r="B105" s="32"/>
      <c r="C105" s="32"/>
      <c r="D105" s="534"/>
      <c r="E105" s="531"/>
      <c r="F105" s="301"/>
      <c r="G105" s="301"/>
      <c r="H105" s="301"/>
      <c r="I105" s="301"/>
      <c r="J105" s="325"/>
      <c r="K105" s="325"/>
      <c r="L105" s="301"/>
      <c r="M105" s="301"/>
      <c r="N105" s="301"/>
      <c r="O105" s="301"/>
      <c r="P105" s="301"/>
      <c r="Q105" s="325"/>
      <c r="R105" s="325"/>
      <c r="S105" s="325"/>
      <c r="T105" s="532"/>
      <c r="U105" s="301"/>
      <c r="V105" s="532"/>
      <c r="W105" s="532">
        <f>+V105-'ROR-Model'!G105</f>
        <v>0</v>
      </c>
    </row>
    <row r="106" spans="1:23">
      <c r="A106" s="535"/>
      <c r="B106" s="32" t="s">
        <v>77</v>
      </c>
      <c r="C106" s="32" t="s">
        <v>14</v>
      </c>
      <c r="D106" s="534"/>
      <c r="E106" s="531"/>
      <c r="F106" s="301"/>
      <c r="G106" s="301">
        <f>G1*Revenue!$I$105</f>
        <v>0</v>
      </c>
      <c r="H106" s="301"/>
      <c r="I106" s="301"/>
      <c r="J106" s="325"/>
      <c r="K106" s="325"/>
      <c r="L106" s="301"/>
      <c r="M106" s="301"/>
      <c r="N106" s="301"/>
      <c r="O106" s="301"/>
      <c r="P106" s="301"/>
      <c r="Q106" s="325"/>
      <c r="R106" s="325"/>
      <c r="S106" s="325"/>
      <c r="T106" s="532">
        <f>SUM(F106:S106)</f>
        <v>0</v>
      </c>
      <c r="U106" s="301"/>
      <c r="V106" s="532">
        <f>SUM(T106:T106)</f>
        <v>0</v>
      </c>
      <c r="W106" s="532">
        <f>+V106-'ROR-Model'!G106</f>
        <v>0</v>
      </c>
    </row>
    <row r="107" spans="1:23">
      <c r="A107" s="535"/>
      <c r="B107" s="32"/>
      <c r="C107" s="32"/>
      <c r="D107" s="534"/>
      <c r="E107" s="531"/>
      <c r="F107" s="301"/>
      <c r="G107" s="301"/>
      <c r="H107" s="301"/>
      <c r="I107" s="301"/>
      <c r="J107" s="325"/>
      <c r="K107" s="325"/>
      <c r="L107" s="301"/>
      <c r="M107" s="301"/>
      <c r="N107" s="301"/>
      <c r="O107" s="301"/>
      <c r="P107" s="301"/>
      <c r="Q107" s="325"/>
      <c r="R107" s="325"/>
      <c r="S107" s="325"/>
      <c r="T107" s="532"/>
      <c r="U107" s="301"/>
      <c r="V107" s="532"/>
      <c r="W107" s="532">
        <f>+V107-'ROR-Model'!G107</f>
        <v>0</v>
      </c>
    </row>
    <row r="108" spans="1:23">
      <c r="A108" s="535"/>
      <c r="B108" s="32"/>
      <c r="C108" s="32" t="s">
        <v>15</v>
      </c>
      <c r="D108" s="534"/>
      <c r="E108" s="531"/>
      <c r="F108" s="301"/>
      <c r="G108" s="301">
        <f>G1*Revenue!$I$107</f>
        <v>0</v>
      </c>
      <c r="H108" s="301"/>
      <c r="I108" s="301"/>
      <c r="J108" s="325"/>
      <c r="K108" s="325"/>
      <c r="L108" s="301"/>
      <c r="M108" s="301"/>
      <c r="N108" s="301"/>
      <c r="O108" s="301"/>
      <c r="P108" s="301"/>
      <c r="Q108" s="325"/>
      <c r="R108" s="325"/>
      <c r="S108" s="325"/>
      <c r="T108" s="532">
        <f>SUM(F108:S108)</f>
        <v>0</v>
      </c>
      <c r="U108" s="301"/>
      <c r="V108" s="532">
        <f>SUM(T108:T108)</f>
        <v>0</v>
      </c>
      <c r="W108" s="532">
        <f>+V108-'ROR-Model'!G108</f>
        <v>0</v>
      </c>
    </row>
    <row r="109" spans="1:23">
      <c r="A109" s="535"/>
      <c r="B109" s="32"/>
      <c r="C109" s="32"/>
      <c r="D109" s="534"/>
      <c r="E109" s="531"/>
      <c r="F109" s="301"/>
      <c r="G109" s="301"/>
      <c r="H109" s="301"/>
      <c r="I109" s="301"/>
      <c r="J109" s="325"/>
      <c r="K109" s="325"/>
      <c r="L109" s="301"/>
      <c r="M109" s="301"/>
      <c r="N109" s="301"/>
      <c r="O109" s="301"/>
      <c r="P109" s="301"/>
      <c r="Q109" s="325"/>
      <c r="R109" s="325"/>
      <c r="S109" s="325"/>
      <c r="T109" s="532"/>
      <c r="U109" s="301"/>
      <c r="V109" s="532"/>
      <c r="W109" s="532">
        <f>+V109-'ROR-Model'!G109</f>
        <v>0</v>
      </c>
    </row>
    <row r="110" spans="1:23">
      <c r="A110" s="535"/>
      <c r="B110" s="32"/>
      <c r="C110" s="32" t="s">
        <v>16</v>
      </c>
      <c r="D110" s="534"/>
      <c r="E110" s="531"/>
      <c r="F110" s="301"/>
      <c r="G110" s="301">
        <f>G1*Revenue!$I$109</f>
        <v>0</v>
      </c>
      <c r="H110" s="301"/>
      <c r="I110" s="301"/>
      <c r="J110" s="325"/>
      <c r="K110" s="325"/>
      <c r="L110" s="301"/>
      <c r="M110" s="301"/>
      <c r="N110" s="301"/>
      <c r="O110" s="301"/>
      <c r="P110" s="301"/>
      <c r="Q110" s="325"/>
      <c r="R110" s="325"/>
      <c r="S110" s="325"/>
      <c r="T110" s="532">
        <f>SUM(F110:S110)</f>
        <v>0</v>
      </c>
      <c r="U110" s="301"/>
      <c r="V110" s="532">
        <f>SUM(T110:T110)</f>
        <v>0</v>
      </c>
      <c r="W110" s="532">
        <f>+V110-'ROR-Model'!G110</f>
        <v>0</v>
      </c>
    </row>
    <row r="111" spans="1:23">
      <c r="A111" s="535"/>
      <c r="B111" s="32"/>
      <c r="C111" s="32" t="s">
        <v>17</v>
      </c>
      <c r="D111" s="534"/>
      <c r="E111" s="531"/>
      <c r="F111" s="323">
        <f>SUM(F106:F110)</f>
        <v>0</v>
      </c>
      <c r="G111" s="323">
        <f>G1*SUM(G106:G110)</f>
        <v>0</v>
      </c>
      <c r="H111" s="323">
        <f>SUM(H106:H110)</f>
        <v>0</v>
      </c>
      <c r="I111" s="323">
        <f t="shared" ref="I111:P111" si="15">SUM(I106:I110)</f>
        <v>0</v>
      </c>
      <c r="J111" s="476">
        <f>SUM(J106:J110)</f>
        <v>0</v>
      </c>
      <c r="K111" s="476">
        <f>SUM(K106:K110)</f>
        <v>0</v>
      </c>
      <c r="L111" s="323">
        <f t="shared" si="15"/>
        <v>0</v>
      </c>
      <c r="M111" s="323">
        <f t="shared" si="15"/>
        <v>0</v>
      </c>
      <c r="N111" s="323">
        <f t="shared" si="15"/>
        <v>0</v>
      </c>
      <c r="O111" s="323">
        <f t="shared" si="15"/>
        <v>0</v>
      </c>
      <c r="P111" s="323">
        <f t="shared" si="15"/>
        <v>0</v>
      </c>
      <c r="Q111" s="476">
        <f>SUM(Q106:Q110)</f>
        <v>0</v>
      </c>
      <c r="R111" s="476">
        <f>SUM(R106:R110)</f>
        <v>0</v>
      </c>
      <c r="S111" s="476">
        <f>SUM(S106:S110)</f>
        <v>0</v>
      </c>
      <c r="T111" s="536">
        <f>SUM(T106:T110)</f>
        <v>0</v>
      </c>
      <c r="U111" s="323"/>
      <c r="V111" s="536">
        <f>SUM(V106:V110)</f>
        <v>0</v>
      </c>
      <c r="W111" s="536">
        <f>+V111-'ROR-Model'!G111</f>
        <v>0</v>
      </c>
    </row>
    <row r="112" spans="1:23">
      <c r="A112" s="535"/>
      <c r="B112" s="32"/>
      <c r="C112" s="32"/>
      <c r="D112" s="534"/>
      <c r="E112" s="531"/>
      <c r="F112" s="301"/>
      <c r="G112" s="301"/>
      <c r="H112" s="301"/>
      <c r="I112" s="301"/>
      <c r="J112" s="325"/>
      <c r="K112" s="325"/>
      <c r="L112" s="301"/>
      <c r="M112" s="301"/>
      <c r="N112" s="301"/>
      <c r="O112" s="301"/>
      <c r="P112" s="301"/>
      <c r="Q112" s="325"/>
      <c r="R112" s="325"/>
      <c r="S112" s="325"/>
      <c r="T112" s="532"/>
      <c r="U112" s="301"/>
      <c r="V112" s="532"/>
      <c r="W112" s="532">
        <f>+V112-'ROR-Model'!G112</f>
        <v>0</v>
      </c>
    </row>
    <row r="113" spans="1:23">
      <c r="A113" s="535"/>
      <c r="B113" s="32"/>
      <c r="C113" s="32" t="s">
        <v>18</v>
      </c>
      <c r="D113" s="534"/>
      <c r="E113" s="531"/>
      <c r="F113" s="301"/>
      <c r="G113" s="301">
        <f>G1*Revenue!$I$112</f>
        <v>0</v>
      </c>
      <c r="H113" s="301"/>
      <c r="I113" s="301"/>
      <c r="J113" s="325"/>
      <c r="K113" s="325"/>
      <c r="L113" s="301"/>
      <c r="M113" s="301"/>
      <c r="N113" s="301"/>
      <c r="O113" s="301"/>
      <c r="P113" s="301"/>
      <c r="Q113" s="325"/>
      <c r="R113" s="325"/>
      <c r="S113" s="325"/>
      <c r="T113" s="532">
        <f>SUM(F113:S113)</f>
        <v>0</v>
      </c>
      <c r="U113" s="301"/>
      <c r="V113" s="532">
        <f>SUM(T113:T113)</f>
        <v>0</v>
      </c>
      <c r="W113" s="532">
        <f>+V113-'ROR-Model'!G113</f>
        <v>0</v>
      </c>
    </row>
    <row r="114" spans="1:23">
      <c r="A114" s="535"/>
      <c r="B114" s="32"/>
      <c r="C114" s="32"/>
      <c r="D114" s="534"/>
      <c r="E114" s="531"/>
      <c r="F114" s="301"/>
      <c r="G114" s="301"/>
      <c r="H114" s="301"/>
      <c r="I114" s="301"/>
      <c r="J114" s="325"/>
      <c r="K114" s="325"/>
      <c r="L114" s="301"/>
      <c r="M114" s="301"/>
      <c r="N114" s="301"/>
      <c r="O114" s="301"/>
      <c r="P114" s="301"/>
      <c r="Q114" s="325"/>
      <c r="R114" s="325"/>
      <c r="S114" s="325"/>
      <c r="T114" s="532"/>
      <c r="U114" s="301"/>
      <c r="V114" s="532"/>
      <c r="W114" s="532">
        <f>+V114-'ROR-Model'!G114</f>
        <v>0</v>
      </c>
    </row>
    <row r="115" spans="1:23">
      <c r="A115" s="535"/>
      <c r="B115" s="32" t="s">
        <v>35</v>
      </c>
      <c r="C115" s="32" t="s">
        <v>14</v>
      </c>
      <c r="D115" s="534"/>
      <c r="E115" s="531"/>
      <c r="F115" s="301"/>
      <c r="G115" s="301">
        <f>G1*Revenue!$I$114</f>
        <v>0</v>
      </c>
      <c r="H115" s="301"/>
      <c r="I115" s="301"/>
      <c r="J115" s="325"/>
      <c r="K115" s="325"/>
      <c r="L115" s="301"/>
      <c r="M115" s="301"/>
      <c r="N115" s="301"/>
      <c r="O115" s="301"/>
      <c r="P115" s="301"/>
      <c r="Q115" s="325"/>
      <c r="R115" s="325"/>
      <c r="S115" s="325"/>
      <c r="T115" s="532">
        <f>SUM(F115:S115)</f>
        <v>0</v>
      </c>
      <c r="U115" s="301"/>
      <c r="V115" s="532">
        <f>SUM(T115:T115)</f>
        <v>0</v>
      </c>
      <c r="W115" s="532">
        <f>+V115-'ROR-Model'!G115</f>
        <v>0</v>
      </c>
    </row>
    <row r="116" spans="1:23">
      <c r="A116" s="535"/>
      <c r="B116" s="32"/>
      <c r="C116" s="32"/>
      <c r="D116" s="534"/>
      <c r="E116" s="531"/>
      <c r="F116" s="301"/>
      <c r="G116" s="301"/>
      <c r="H116" s="301"/>
      <c r="I116" s="301"/>
      <c r="J116" s="325"/>
      <c r="K116" s="325"/>
      <c r="L116" s="301"/>
      <c r="M116" s="301"/>
      <c r="N116" s="301"/>
      <c r="O116" s="301"/>
      <c r="P116" s="301"/>
      <c r="Q116" s="325"/>
      <c r="R116" s="325"/>
      <c r="S116" s="325"/>
      <c r="T116" s="532"/>
      <c r="U116" s="301"/>
      <c r="V116" s="532"/>
      <c r="W116" s="532">
        <f>+V116-'ROR-Model'!G116</f>
        <v>0</v>
      </c>
    </row>
    <row r="117" spans="1:23">
      <c r="A117" s="535"/>
      <c r="B117" s="32"/>
      <c r="C117" s="32" t="s">
        <v>15</v>
      </c>
      <c r="D117" s="534"/>
      <c r="E117" s="531"/>
      <c r="F117" s="301"/>
      <c r="G117" s="301">
        <f>G1*Revenue!$I$116</f>
        <v>0</v>
      </c>
      <c r="H117" s="301"/>
      <c r="I117" s="301"/>
      <c r="J117" s="325"/>
      <c r="K117" s="325"/>
      <c r="L117" s="301"/>
      <c r="M117" s="301"/>
      <c r="N117" s="301"/>
      <c r="O117" s="301"/>
      <c r="P117" s="301"/>
      <c r="Q117" s="325"/>
      <c r="R117" s="325"/>
      <c r="S117" s="325"/>
      <c r="T117" s="532">
        <f>SUM(F117:S117)</f>
        <v>0</v>
      </c>
      <c r="U117" s="301"/>
      <c r="V117" s="532">
        <f>SUM(T117:T117)</f>
        <v>0</v>
      </c>
      <c r="W117" s="532">
        <f>+V117-'ROR-Model'!G117</f>
        <v>0</v>
      </c>
    </row>
    <row r="118" spans="1:23">
      <c r="A118" s="535"/>
      <c r="B118" s="32"/>
      <c r="C118" s="32"/>
      <c r="D118" s="534"/>
      <c r="E118" s="531"/>
      <c r="F118" s="301"/>
      <c r="G118" s="301"/>
      <c r="H118" s="301"/>
      <c r="I118" s="301"/>
      <c r="J118" s="325"/>
      <c r="K118" s="325"/>
      <c r="L118" s="301"/>
      <c r="M118" s="301"/>
      <c r="N118" s="301"/>
      <c r="O118" s="301"/>
      <c r="P118" s="301"/>
      <c r="Q118" s="325"/>
      <c r="R118" s="325"/>
      <c r="S118" s="325"/>
      <c r="T118" s="532"/>
      <c r="U118" s="301"/>
      <c r="V118" s="532"/>
      <c r="W118" s="532">
        <f>+V118-'ROR-Model'!G118</f>
        <v>0</v>
      </c>
    </row>
    <row r="119" spans="1:23">
      <c r="A119" s="535"/>
      <c r="B119" s="32"/>
      <c r="C119" s="32" t="s">
        <v>16</v>
      </c>
      <c r="D119" s="534"/>
      <c r="E119" s="531"/>
      <c r="F119" s="301"/>
      <c r="G119" s="301">
        <f>G1*Revenue!$I$118</f>
        <v>0</v>
      </c>
      <c r="H119" s="301"/>
      <c r="I119" s="301"/>
      <c r="J119" s="325"/>
      <c r="K119" s="325"/>
      <c r="L119" s="301"/>
      <c r="M119" s="301"/>
      <c r="N119" s="301"/>
      <c r="O119" s="301"/>
      <c r="P119" s="301"/>
      <c r="Q119" s="325"/>
      <c r="R119" s="325"/>
      <c r="S119" s="325"/>
      <c r="T119" s="532">
        <f>SUM(F119:S119)</f>
        <v>0</v>
      </c>
      <c r="U119" s="301"/>
      <c r="V119" s="532">
        <f>SUM(T119:T119)</f>
        <v>0</v>
      </c>
      <c r="W119" s="532">
        <f>+V119-'ROR-Model'!G119</f>
        <v>0</v>
      </c>
    </row>
    <row r="120" spans="1:23">
      <c r="A120" s="535"/>
      <c r="B120" s="32"/>
      <c r="C120" s="32" t="s">
        <v>17</v>
      </c>
      <c r="D120" s="534"/>
      <c r="E120" s="531"/>
      <c r="F120" s="323">
        <f>SUM(F115:F119)</f>
        <v>0</v>
      </c>
      <c r="G120" s="323">
        <f>G1*SUM(G115:G119)</f>
        <v>0</v>
      </c>
      <c r="H120" s="323">
        <f>SUM(H115:H119)</f>
        <v>0</v>
      </c>
      <c r="I120" s="323">
        <f t="shared" ref="I120:P120" si="16">SUM(I115:I119)</f>
        <v>0</v>
      </c>
      <c r="J120" s="476">
        <f>SUM(J115:J119)</f>
        <v>0</v>
      </c>
      <c r="K120" s="476">
        <f>SUM(K115:K119)</f>
        <v>0</v>
      </c>
      <c r="L120" s="323">
        <f t="shared" si="16"/>
        <v>0</v>
      </c>
      <c r="M120" s="323">
        <f t="shared" si="16"/>
        <v>0</v>
      </c>
      <c r="N120" s="323">
        <f t="shared" si="16"/>
        <v>0</v>
      </c>
      <c r="O120" s="323">
        <f t="shared" si="16"/>
        <v>0</v>
      </c>
      <c r="P120" s="323">
        <f t="shared" si="16"/>
        <v>0</v>
      </c>
      <c r="Q120" s="476">
        <f>SUM(Q115:Q119)</f>
        <v>0</v>
      </c>
      <c r="R120" s="476">
        <f>SUM(R115:R119)</f>
        <v>0</v>
      </c>
      <c r="S120" s="476">
        <f>SUM(S115:S119)</f>
        <v>0</v>
      </c>
      <c r="T120" s="536">
        <f>SUM(T115:T119)</f>
        <v>0</v>
      </c>
      <c r="U120" s="323"/>
      <c r="V120" s="536">
        <f>SUM(V115:V119)</f>
        <v>0</v>
      </c>
      <c r="W120" s="536">
        <f>+V120-'ROR-Model'!G120</f>
        <v>0</v>
      </c>
    </row>
    <row r="121" spans="1:23">
      <c r="A121" s="535"/>
      <c r="B121" s="32"/>
      <c r="C121" s="32"/>
      <c r="D121" s="534"/>
      <c r="E121" s="531"/>
      <c r="F121" s="301"/>
      <c r="G121" s="301"/>
      <c r="H121" s="301"/>
      <c r="I121" s="301"/>
      <c r="J121" s="325"/>
      <c r="K121" s="325"/>
      <c r="L121" s="301"/>
      <c r="M121" s="301"/>
      <c r="N121" s="301"/>
      <c r="O121" s="301"/>
      <c r="P121" s="301"/>
      <c r="Q121" s="325"/>
      <c r="R121" s="325"/>
      <c r="S121" s="325"/>
      <c r="T121" s="532"/>
      <c r="U121" s="301"/>
      <c r="V121" s="532"/>
      <c r="W121" s="532">
        <f>+V121-'ROR-Model'!G121</f>
        <v>0</v>
      </c>
    </row>
    <row r="122" spans="1:23">
      <c r="A122" s="535"/>
      <c r="B122" s="32"/>
      <c r="C122" s="32" t="s">
        <v>18</v>
      </c>
      <c r="D122" s="534"/>
      <c r="E122" s="531"/>
      <c r="F122" s="301"/>
      <c r="G122" s="301">
        <f>G1*Revenue!$I$121</f>
        <v>0</v>
      </c>
      <c r="H122" s="301"/>
      <c r="I122" s="301"/>
      <c r="J122" s="325"/>
      <c r="K122" s="325"/>
      <c r="L122" s="301"/>
      <c r="M122" s="301"/>
      <c r="N122" s="301"/>
      <c r="O122" s="301"/>
      <c r="P122" s="301"/>
      <c r="Q122" s="325"/>
      <c r="R122" s="325"/>
      <c r="S122" s="325"/>
      <c r="T122" s="532">
        <f>SUM(F122:S122)</f>
        <v>0</v>
      </c>
      <c r="U122" s="301"/>
      <c r="V122" s="532">
        <f>SUM(T122:T122)</f>
        <v>0</v>
      </c>
      <c r="W122" s="532">
        <f>+V122-'ROR-Model'!G122</f>
        <v>0</v>
      </c>
    </row>
    <row r="123" spans="1:23">
      <c r="A123" s="535"/>
      <c r="B123" s="32"/>
      <c r="C123" s="32"/>
      <c r="D123" s="534"/>
      <c r="E123" s="531"/>
      <c r="F123" s="301"/>
      <c r="G123" s="301"/>
      <c r="H123" s="301"/>
      <c r="I123" s="301"/>
      <c r="J123" s="325"/>
      <c r="K123" s="325"/>
      <c r="L123" s="301"/>
      <c r="M123" s="301"/>
      <c r="N123" s="301"/>
      <c r="O123" s="301"/>
      <c r="P123" s="301"/>
      <c r="Q123" s="325"/>
      <c r="R123" s="325"/>
      <c r="S123" s="325"/>
      <c r="T123" s="532"/>
      <c r="U123" s="301"/>
      <c r="V123" s="532"/>
      <c r="W123" s="532">
        <f>+V123-'ROR-Model'!G123</f>
        <v>0</v>
      </c>
    </row>
    <row r="124" spans="1:23">
      <c r="A124" s="535"/>
      <c r="B124" s="32" t="s">
        <v>82</v>
      </c>
      <c r="C124" s="32" t="s">
        <v>14</v>
      </c>
      <c r="D124" s="534"/>
      <c r="E124" s="531"/>
      <c r="F124" s="301"/>
      <c r="G124" s="301">
        <f>G1*Revenue!$I$123</f>
        <v>0</v>
      </c>
      <c r="H124" s="301"/>
      <c r="I124" s="301"/>
      <c r="J124" s="325"/>
      <c r="K124" s="325"/>
      <c r="L124" s="301"/>
      <c r="M124" s="301"/>
      <c r="N124" s="301"/>
      <c r="O124" s="301"/>
      <c r="P124" s="301"/>
      <c r="Q124" s="325"/>
      <c r="R124" s="325"/>
      <c r="S124" s="325"/>
      <c r="T124" s="532">
        <f>SUM(F124:S124)</f>
        <v>0</v>
      </c>
      <c r="U124" s="301"/>
      <c r="V124" s="532">
        <f>SUM(T124:T124)</f>
        <v>0</v>
      </c>
      <c r="W124" s="532">
        <f>+V124-'ROR-Model'!G124</f>
        <v>0</v>
      </c>
    </row>
    <row r="125" spans="1:23">
      <c r="A125" s="535"/>
      <c r="B125" s="32"/>
      <c r="C125" s="32"/>
      <c r="D125" s="534"/>
      <c r="E125" s="531"/>
      <c r="F125" s="301"/>
      <c r="G125" s="301"/>
      <c r="H125" s="301"/>
      <c r="I125" s="301"/>
      <c r="J125" s="325"/>
      <c r="K125" s="325"/>
      <c r="L125" s="301"/>
      <c r="M125" s="301"/>
      <c r="N125" s="301"/>
      <c r="O125" s="301"/>
      <c r="P125" s="301"/>
      <c r="Q125" s="325"/>
      <c r="R125" s="325"/>
      <c r="S125" s="325"/>
      <c r="T125" s="532"/>
      <c r="U125" s="301"/>
      <c r="V125" s="532"/>
      <c r="W125" s="532">
        <f>+V125-'ROR-Model'!G125</f>
        <v>0</v>
      </c>
    </row>
    <row r="126" spans="1:23">
      <c r="A126" s="535"/>
      <c r="B126" s="32"/>
      <c r="C126" s="32" t="s">
        <v>15</v>
      </c>
      <c r="D126" s="534"/>
      <c r="E126" s="531"/>
      <c r="F126" s="301"/>
      <c r="G126" s="301">
        <f>G1*Revenue!$I$125</f>
        <v>0</v>
      </c>
      <c r="H126" s="301"/>
      <c r="I126" s="301"/>
      <c r="J126" s="325"/>
      <c r="K126" s="325"/>
      <c r="L126" s="301"/>
      <c r="M126" s="301"/>
      <c r="N126" s="301"/>
      <c r="O126" s="301"/>
      <c r="P126" s="301"/>
      <c r="Q126" s="325"/>
      <c r="R126" s="325"/>
      <c r="S126" s="325"/>
      <c r="T126" s="532">
        <f>SUM(F126:S126)</f>
        <v>0</v>
      </c>
      <c r="U126" s="301"/>
      <c r="V126" s="532">
        <f>SUM(T126:T126)</f>
        <v>0</v>
      </c>
      <c r="W126" s="532">
        <f>+V126-'ROR-Model'!G126</f>
        <v>0</v>
      </c>
    </row>
    <row r="127" spans="1:23">
      <c r="A127" s="535"/>
      <c r="B127" s="32"/>
      <c r="C127" s="32"/>
      <c r="D127" s="534"/>
      <c r="E127" s="531"/>
      <c r="F127" s="301"/>
      <c r="G127" s="301"/>
      <c r="H127" s="301"/>
      <c r="I127" s="301"/>
      <c r="J127" s="325"/>
      <c r="K127" s="325"/>
      <c r="L127" s="301"/>
      <c r="M127" s="301"/>
      <c r="N127" s="301"/>
      <c r="O127" s="301"/>
      <c r="P127" s="301"/>
      <c r="Q127" s="325"/>
      <c r="R127" s="325"/>
      <c r="S127" s="325"/>
      <c r="T127" s="532"/>
      <c r="U127" s="301"/>
      <c r="V127" s="532"/>
      <c r="W127" s="532">
        <f>+V127-'ROR-Model'!G127</f>
        <v>0</v>
      </c>
    </row>
    <row r="128" spans="1:23">
      <c r="A128" s="535"/>
      <c r="B128" s="32"/>
      <c r="C128" s="32" t="s">
        <v>16</v>
      </c>
      <c r="D128" s="534"/>
      <c r="E128" s="531"/>
      <c r="F128" s="301"/>
      <c r="G128" s="301">
        <f>G1*Revenue!$I$127</f>
        <v>0</v>
      </c>
      <c r="H128" s="301"/>
      <c r="I128" s="301"/>
      <c r="J128" s="325"/>
      <c r="K128" s="325"/>
      <c r="L128" s="301"/>
      <c r="M128" s="301"/>
      <c r="N128" s="301"/>
      <c r="O128" s="301"/>
      <c r="P128" s="301"/>
      <c r="Q128" s="325"/>
      <c r="R128" s="325"/>
      <c r="S128" s="325"/>
      <c r="T128" s="532">
        <f>SUM(F128:S128)</f>
        <v>0</v>
      </c>
      <c r="U128" s="301"/>
      <c r="V128" s="532">
        <f>SUM(T128:T128)</f>
        <v>0</v>
      </c>
      <c r="W128" s="532">
        <f>+V128-'ROR-Model'!G128</f>
        <v>0</v>
      </c>
    </row>
    <row r="129" spans="1:23">
      <c r="A129" s="535"/>
      <c r="B129" s="32"/>
      <c r="C129" s="32" t="s">
        <v>17</v>
      </c>
      <c r="D129" s="534"/>
      <c r="E129" s="531"/>
      <c r="F129" s="323">
        <f>SUM(F124:F128)</f>
        <v>0</v>
      </c>
      <c r="G129" s="323">
        <f>G1*SUM(G124:G128)</f>
        <v>0</v>
      </c>
      <c r="H129" s="323">
        <f>SUM(H124:H128)</f>
        <v>0</v>
      </c>
      <c r="I129" s="323">
        <f t="shared" ref="I129:P129" si="17">SUM(I124:I128)</f>
        <v>0</v>
      </c>
      <c r="J129" s="476">
        <f>SUM(J124:J128)</f>
        <v>0</v>
      </c>
      <c r="K129" s="476">
        <f>SUM(K124:K128)</f>
        <v>0</v>
      </c>
      <c r="L129" s="323">
        <f t="shared" si="17"/>
        <v>0</v>
      </c>
      <c r="M129" s="323">
        <f t="shared" si="17"/>
        <v>0</v>
      </c>
      <c r="N129" s="323">
        <f t="shared" si="17"/>
        <v>0</v>
      </c>
      <c r="O129" s="323">
        <f t="shared" si="17"/>
        <v>0</v>
      </c>
      <c r="P129" s="323">
        <f t="shared" si="17"/>
        <v>0</v>
      </c>
      <c r="Q129" s="476">
        <f>SUM(Q124:Q128)</f>
        <v>0</v>
      </c>
      <c r="R129" s="476">
        <f>SUM(R124:R128)</f>
        <v>0</v>
      </c>
      <c r="S129" s="476">
        <f>SUM(S124:S128)</f>
        <v>0</v>
      </c>
      <c r="T129" s="536">
        <f>SUM(T124:T128)</f>
        <v>0</v>
      </c>
      <c r="U129" s="323"/>
      <c r="V129" s="536">
        <f>SUM(V124:V128)</f>
        <v>0</v>
      </c>
      <c r="W129" s="536">
        <f>+V129-'ROR-Model'!G129</f>
        <v>0</v>
      </c>
    </row>
    <row r="130" spans="1:23">
      <c r="A130" s="535"/>
      <c r="B130" s="32"/>
      <c r="C130" s="32"/>
      <c r="D130" s="534"/>
      <c r="E130" s="531"/>
      <c r="F130" s="301"/>
      <c r="G130" s="301"/>
      <c r="H130" s="301"/>
      <c r="I130" s="301"/>
      <c r="J130" s="325"/>
      <c r="K130" s="325"/>
      <c r="L130" s="301"/>
      <c r="M130" s="301"/>
      <c r="N130" s="301"/>
      <c r="O130" s="301"/>
      <c r="P130" s="301"/>
      <c r="Q130" s="325"/>
      <c r="R130" s="325"/>
      <c r="S130" s="325"/>
      <c r="T130" s="532"/>
      <c r="U130" s="301"/>
      <c r="V130" s="532"/>
      <c r="W130" s="532">
        <f>+V130-'ROR-Model'!G130</f>
        <v>0</v>
      </c>
    </row>
    <row r="131" spans="1:23">
      <c r="A131" s="535"/>
      <c r="B131" s="32"/>
      <c r="C131" s="32" t="s">
        <v>18</v>
      </c>
      <c r="D131" s="534"/>
      <c r="E131" s="531"/>
      <c r="F131" s="301"/>
      <c r="G131" s="301">
        <f>G1*Revenue!$I$130</f>
        <v>0</v>
      </c>
      <c r="H131" s="301"/>
      <c r="I131" s="301"/>
      <c r="J131" s="325"/>
      <c r="K131" s="325"/>
      <c r="L131" s="301"/>
      <c r="M131" s="301"/>
      <c r="N131" s="301"/>
      <c r="O131" s="301"/>
      <c r="P131" s="301"/>
      <c r="Q131" s="325"/>
      <c r="R131" s="325"/>
      <c r="S131" s="325"/>
      <c r="T131" s="532">
        <f>SUM(F131:S131)</f>
        <v>0</v>
      </c>
      <c r="U131" s="301"/>
      <c r="V131" s="532">
        <f>SUM(T131:T131)</f>
        <v>0</v>
      </c>
      <c r="W131" s="532">
        <f>+V131-'ROR-Model'!G131</f>
        <v>0</v>
      </c>
    </row>
    <row r="132" spans="1:23">
      <c r="A132" s="535"/>
      <c r="B132" s="32"/>
      <c r="C132" s="32"/>
      <c r="D132" s="534"/>
      <c r="E132" s="531"/>
      <c r="F132" s="301"/>
      <c r="G132" s="301"/>
      <c r="H132" s="301"/>
      <c r="I132" s="301"/>
      <c r="J132" s="325"/>
      <c r="K132" s="325"/>
      <c r="L132" s="301"/>
      <c r="M132" s="301"/>
      <c r="N132" s="301"/>
      <c r="O132" s="301"/>
      <c r="P132" s="301"/>
      <c r="Q132" s="325"/>
      <c r="R132" s="325"/>
      <c r="S132" s="325"/>
      <c r="T132" s="532"/>
      <c r="U132" s="301"/>
      <c r="V132" s="532"/>
      <c r="W132" s="532">
        <f>+V132-'ROR-Model'!G132</f>
        <v>0</v>
      </c>
    </row>
    <row r="133" spans="1:23">
      <c r="A133" s="535"/>
      <c r="B133" s="32" t="s">
        <v>83</v>
      </c>
      <c r="C133" s="32" t="s">
        <v>14</v>
      </c>
      <c r="D133" s="534"/>
      <c r="E133" s="531"/>
      <c r="F133" s="301"/>
      <c r="G133" s="301">
        <f>G1*Revenue!$I$132</f>
        <v>0</v>
      </c>
      <c r="H133" s="301"/>
      <c r="I133" s="301"/>
      <c r="J133" s="325"/>
      <c r="K133" s="325"/>
      <c r="L133" s="301"/>
      <c r="M133" s="301"/>
      <c r="N133" s="301"/>
      <c r="O133" s="301"/>
      <c r="P133" s="301"/>
      <c r="Q133" s="325"/>
      <c r="R133" s="325"/>
      <c r="S133" s="325"/>
      <c r="T133" s="532">
        <f>SUM(F133:S133)</f>
        <v>0</v>
      </c>
      <c r="U133" s="301"/>
      <c r="V133" s="532">
        <f>SUM(T133:T133)</f>
        <v>0</v>
      </c>
      <c r="W133" s="532">
        <f>+V133-'ROR-Model'!G133</f>
        <v>0</v>
      </c>
    </row>
    <row r="134" spans="1:23">
      <c r="A134" s="535"/>
      <c r="B134" s="32"/>
      <c r="C134" s="32"/>
      <c r="D134" s="534"/>
      <c r="E134" s="531"/>
      <c r="F134" s="301"/>
      <c r="G134" s="301"/>
      <c r="H134" s="301"/>
      <c r="I134" s="301"/>
      <c r="J134" s="325"/>
      <c r="K134" s="325"/>
      <c r="L134" s="301"/>
      <c r="M134" s="301"/>
      <c r="N134" s="301"/>
      <c r="O134" s="301"/>
      <c r="P134" s="301"/>
      <c r="Q134" s="325"/>
      <c r="R134" s="325"/>
      <c r="S134" s="325"/>
      <c r="T134" s="532"/>
      <c r="U134" s="301"/>
      <c r="V134" s="532"/>
      <c r="W134" s="532">
        <f>+V134-'ROR-Model'!G134</f>
        <v>0</v>
      </c>
    </row>
    <row r="135" spans="1:23">
      <c r="A135" s="535"/>
      <c r="B135" s="32"/>
      <c r="C135" s="32" t="s">
        <v>15</v>
      </c>
      <c r="D135" s="534"/>
      <c r="E135" s="531"/>
      <c r="F135" s="301"/>
      <c r="G135" s="301">
        <f>G1*Revenue!$I$134</f>
        <v>0</v>
      </c>
      <c r="H135" s="301"/>
      <c r="I135" s="301"/>
      <c r="J135" s="325"/>
      <c r="K135" s="325"/>
      <c r="L135" s="301"/>
      <c r="M135" s="301"/>
      <c r="N135" s="301"/>
      <c r="O135" s="301"/>
      <c r="P135" s="301"/>
      <c r="Q135" s="325"/>
      <c r="R135" s="325"/>
      <c r="S135" s="325"/>
      <c r="T135" s="532">
        <f>SUM(F135:S135)</f>
        <v>0</v>
      </c>
      <c r="U135" s="301"/>
      <c r="V135" s="532">
        <f>SUM(T135:T135)</f>
        <v>0</v>
      </c>
      <c r="W135" s="532">
        <f>+V135-'ROR-Model'!G135</f>
        <v>0</v>
      </c>
    </row>
    <row r="136" spans="1:23">
      <c r="A136" s="535"/>
      <c r="B136" s="32"/>
      <c r="C136" s="32"/>
      <c r="D136" s="534"/>
      <c r="E136" s="531"/>
      <c r="F136" s="301"/>
      <c r="G136" s="301"/>
      <c r="H136" s="301"/>
      <c r="I136" s="301"/>
      <c r="J136" s="325"/>
      <c r="K136" s="325"/>
      <c r="L136" s="301"/>
      <c r="M136" s="301"/>
      <c r="N136" s="301"/>
      <c r="O136" s="301"/>
      <c r="P136" s="301"/>
      <c r="Q136" s="325"/>
      <c r="R136" s="325"/>
      <c r="S136" s="325"/>
      <c r="T136" s="532"/>
      <c r="U136" s="301"/>
      <c r="V136" s="532"/>
      <c r="W136" s="532">
        <f>+V136-'ROR-Model'!G136</f>
        <v>0</v>
      </c>
    </row>
    <row r="137" spans="1:23">
      <c r="A137" s="535"/>
      <c r="B137" s="32"/>
      <c r="C137" s="32" t="s">
        <v>16</v>
      </c>
      <c r="D137" s="534"/>
      <c r="E137" s="531"/>
      <c r="F137" s="301"/>
      <c r="G137" s="301">
        <f>G1*Revenue!$I$136</f>
        <v>0</v>
      </c>
      <c r="H137" s="301"/>
      <c r="I137" s="301"/>
      <c r="J137" s="325"/>
      <c r="K137" s="325"/>
      <c r="L137" s="301"/>
      <c r="M137" s="301"/>
      <c r="N137" s="301"/>
      <c r="O137" s="301"/>
      <c r="P137" s="301"/>
      <c r="Q137" s="325"/>
      <c r="R137" s="325"/>
      <c r="S137" s="325"/>
      <c r="T137" s="532">
        <f>SUM(F137:S137)</f>
        <v>0</v>
      </c>
      <c r="U137" s="301"/>
      <c r="V137" s="532">
        <f>SUM(T137:T137)</f>
        <v>0</v>
      </c>
      <c r="W137" s="532">
        <f>+V137-'ROR-Model'!G137</f>
        <v>0</v>
      </c>
    </row>
    <row r="138" spans="1:23">
      <c r="A138" s="535"/>
      <c r="B138" s="32"/>
      <c r="C138" s="32" t="s">
        <v>17</v>
      </c>
      <c r="D138" s="534"/>
      <c r="E138" s="531"/>
      <c r="F138" s="323">
        <f>SUM(F133:F137)</f>
        <v>0</v>
      </c>
      <c r="G138" s="323">
        <f>G1*SUM(G133:G137)</f>
        <v>0</v>
      </c>
      <c r="H138" s="323">
        <f>SUM(H133:H137)</f>
        <v>0</v>
      </c>
      <c r="I138" s="323">
        <f t="shared" ref="I138:P138" si="18">SUM(I133:I137)</f>
        <v>0</v>
      </c>
      <c r="J138" s="476">
        <f>SUM(J133:J137)</f>
        <v>0</v>
      </c>
      <c r="K138" s="476">
        <f>SUM(K133:K137)</f>
        <v>0</v>
      </c>
      <c r="L138" s="323">
        <f t="shared" si="18"/>
        <v>0</v>
      </c>
      <c r="M138" s="323">
        <f t="shared" si="18"/>
        <v>0</v>
      </c>
      <c r="N138" s="323">
        <f t="shared" si="18"/>
        <v>0</v>
      </c>
      <c r="O138" s="323">
        <f t="shared" si="18"/>
        <v>0</v>
      </c>
      <c r="P138" s="323">
        <f t="shared" si="18"/>
        <v>0</v>
      </c>
      <c r="Q138" s="476">
        <f>SUM(Q133:Q137)</f>
        <v>0</v>
      </c>
      <c r="R138" s="476">
        <f>SUM(R133:R137)</f>
        <v>0</v>
      </c>
      <c r="S138" s="476">
        <f>SUM(S133:S137)</f>
        <v>0</v>
      </c>
      <c r="T138" s="536">
        <f>SUM(T133:T137)</f>
        <v>0</v>
      </c>
      <c r="U138" s="323"/>
      <c r="V138" s="536">
        <f>SUM(V133:V137)</f>
        <v>0</v>
      </c>
      <c r="W138" s="536">
        <f>+V138-'ROR-Model'!G138</f>
        <v>0</v>
      </c>
    </row>
    <row r="139" spans="1:23">
      <c r="A139" s="535"/>
      <c r="B139" s="32"/>
      <c r="C139" s="32"/>
      <c r="D139" s="534"/>
      <c r="E139" s="531"/>
      <c r="F139" s="301"/>
      <c r="G139" s="301"/>
      <c r="H139" s="301"/>
      <c r="I139" s="301"/>
      <c r="J139" s="325"/>
      <c r="K139" s="325"/>
      <c r="L139" s="301"/>
      <c r="M139" s="301"/>
      <c r="N139" s="301"/>
      <c r="O139" s="301"/>
      <c r="P139" s="301"/>
      <c r="Q139" s="325"/>
      <c r="R139" s="325"/>
      <c r="S139" s="325"/>
      <c r="T139" s="532"/>
      <c r="U139" s="301"/>
      <c r="V139" s="532"/>
      <c r="W139" s="532">
        <f>+V139-'ROR-Model'!G139</f>
        <v>0</v>
      </c>
    </row>
    <row r="140" spans="1:23">
      <c r="A140" s="535"/>
      <c r="B140" s="32"/>
      <c r="C140" s="32" t="s">
        <v>18</v>
      </c>
      <c r="D140" s="534"/>
      <c r="E140" s="531"/>
      <c r="F140" s="301"/>
      <c r="G140" s="301">
        <f>G1*Revenue!$I$139</f>
        <v>0</v>
      </c>
      <c r="H140" s="301"/>
      <c r="I140" s="301"/>
      <c r="J140" s="325"/>
      <c r="K140" s="325"/>
      <c r="L140" s="301"/>
      <c r="M140" s="301"/>
      <c r="N140" s="301"/>
      <c r="O140" s="301"/>
      <c r="P140" s="301"/>
      <c r="Q140" s="325"/>
      <c r="R140" s="325"/>
      <c r="S140" s="325"/>
      <c r="T140" s="532">
        <f>SUM(F140:S140)</f>
        <v>0</v>
      </c>
      <c r="U140" s="301"/>
      <c r="V140" s="532">
        <f>SUM(T140:T140)</f>
        <v>0</v>
      </c>
      <c r="W140" s="532">
        <f>+V140-'ROR-Model'!G140</f>
        <v>0</v>
      </c>
    </row>
    <row r="141" spans="1:23">
      <c r="A141" s="535"/>
      <c r="B141" s="32"/>
      <c r="C141" s="32"/>
      <c r="D141" s="534"/>
      <c r="E141" s="531"/>
      <c r="F141" s="301"/>
      <c r="G141" s="301"/>
      <c r="H141" s="301"/>
      <c r="I141" s="301"/>
      <c r="J141" s="325"/>
      <c r="K141" s="325"/>
      <c r="L141" s="301"/>
      <c r="M141" s="301"/>
      <c r="N141" s="301"/>
      <c r="O141" s="301"/>
      <c r="P141" s="301"/>
      <c r="Q141" s="325"/>
      <c r="R141" s="325"/>
      <c r="S141" s="325"/>
      <c r="T141" s="532"/>
      <c r="U141" s="301"/>
      <c r="V141" s="532"/>
      <c r="W141" s="532">
        <f>+V141-'ROR-Model'!G141</f>
        <v>0</v>
      </c>
    </row>
    <row r="142" spans="1:23">
      <c r="A142" s="535"/>
      <c r="B142" s="32" t="s">
        <v>636</v>
      </c>
      <c r="C142" s="32" t="s">
        <v>14</v>
      </c>
      <c r="D142" s="534"/>
      <c r="E142" s="531"/>
      <c r="F142" s="301"/>
      <c r="G142" s="301">
        <f>G1*Revenue!$I$141</f>
        <v>0</v>
      </c>
      <c r="H142" s="301"/>
      <c r="I142" s="301"/>
      <c r="J142" s="325"/>
      <c r="K142" s="325"/>
      <c r="L142" s="301"/>
      <c r="M142" s="301"/>
      <c r="N142" s="301"/>
      <c r="O142" s="301"/>
      <c r="P142" s="301"/>
      <c r="Q142" s="325"/>
      <c r="R142" s="325"/>
      <c r="S142" s="325"/>
      <c r="T142" s="532">
        <f>SUM(F142:S142)</f>
        <v>0</v>
      </c>
      <c r="U142" s="301"/>
      <c r="V142" s="532">
        <f>SUM(T142:T142)</f>
        <v>0</v>
      </c>
      <c r="W142" s="532">
        <f>+V142-'ROR-Model'!G142</f>
        <v>0</v>
      </c>
    </row>
    <row r="143" spans="1:23">
      <c r="A143" s="535"/>
      <c r="B143" s="32"/>
      <c r="C143" s="32"/>
      <c r="D143" s="534"/>
      <c r="E143" s="531"/>
      <c r="F143" s="301"/>
      <c r="G143" s="301"/>
      <c r="H143" s="301"/>
      <c r="I143" s="301"/>
      <c r="J143" s="325"/>
      <c r="K143" s="325"/>
      <c r="L143" s="301"/>
      <c r="M143" s="301"/>
      <c r="N143" s="301"/>
      <c r="O143" s="301"/>
      <c r="P143" s="301"/>
      <c r="Q143" s="325"/>
      <c r="R143" s="325"/>
      <c r="S143" s="325"/>
      <c r="T143" s="532"/>
      <c r="U143" s="301"/>
      <c r="V143" s="532"/>
      <c r="W143" s="532">
        <f>+V143-'ROR-Model'!G143</f>
        <v>0</v>
      </c>
    </row>
    <row r="144" spans="1:23">
      <c r="A144" s="535"/>
      <c r="B144" s="32"/>
      <c r="C144" s="32" t="s">
        <v>15</v>
      </c>
      <c r="D144" s="534"/>
      <c r="E144" s="531"/>
      <c r="F144" s="301"/>
      <c r="G144" s="301">
        <f>G1*Revenue!$I$143</f>
        <v>0</v>
      </c>
      <c r="H144" s="301"/>
      <c r="I144" s="301"/>
      <c r="J144" s="325"/>
      <c r="K144" s="325"/>
      <c r="L144" s="301"/>
      <c r="M144" s="301"/>
      <c r="N144" s="301"/>
      <c r="O144" s="301"/>
      <c r="P144" s="301"/>
      <c r="Q144" s="325"/>
      <c r="R144" s="325"/>
      <c r="S144" s="325"/>
      <c r="T144" s="532">
        <f>SUM(F144:S144)</f>
        <v>0</v>
      </c>
      <c r="U144" s="301"/>
      <c r="V144" s="532">
        <f>SUM(T144:T144)</f>
        <v>0</v>
      </c>
      <c r="W144" s="532">
        <f>+V144-'ROR-Model'!G144</f>
        <v>0</v>
      </c>
    </row>
    <row r="145" spans="1:23">
      <c r="A145" s="535"/>
      <c r="B145" s="32"/>
      <c r="C145" s="32"/>
      <c r="D145" s="534"/>
      <c r="E145" s="531"/>
      <c r="F145" s="301"/>
      <c r="G145" s="301"/>
      <c r="H145" s="301"/>
      <c r="I145" s="301"/>
      <c r="J145" s="325"/>
      <c r="K145" s="325"/>
      <c r="L145" s="301"/>
      <c r="M145" s="301"/>
      <c r="N145" s="301"/>
      <c r="O145" s="301"/>
      <c r="P145" s="301"/>
      <c r="Q145" s="325"/>
      <c r="R145" s="325"/>
      <c r="S145" s="325"/>
      <c r="T145" s="532"/>
      <c r="U145" s="301"/>
      <c r="V145" s="532"/>
      <c r="W145" s="532">
        <f>+V145-'ROR-Model'!G145</f>
        <v>0</v>
      </c>
    </row>
    <row r="146" spans="1:23">
      <c r="A146" s="535"/>
      <c r="B146" s="32"/>
      <c r="C146" s="32" t="s">
        <v>16</v>
      </c>
      <c r="D146" s="534"/>
      <c r="E146" s="531"/>
      <c r="F146" s="301"/>
      <c r="G146" s="301">
        <f>G1*Revenue!$I$145</f>
        <v>0</v>
      </c>
      <c r="H146" s="301"/>
      <c r="I146" s="301"/>
      <c r="J146" s="325"/>
      <c r="K146" s="325"/>
      <c r="L146" s="301"/>
      <c r="M146" s="301"/>
      <c r="N146" s="301"/>
      <c r="O146" s="301"/>
      <c r="P146" s="301"/>
      <c r="Q146" s="325"/>
      <c r="R146" s="325"/>
      <c r="S146" s="325"/>
      <c r="T146" s="532">
        <f>SUM(F146:S146)</f>
        <v>0</v>
      </c>
      <c r="U146" s="301"/>
      <c r="V146" s="532">
        <f>SUM(T146:T146)</f>
        <v>0</v>
      </c>
      <c r="W146" s="532">
        <f>+V146-'ROR-Model'!G146</f>
        <v>0</v>
      </c>
    </row>
    <row r="147" spans="1:23">
      <c r="A147" s="535"/>
      <c r="B147" s="32"/>
      <c r="C147" s="32" t="s">
        <v>17</v>
      </c>
      <c r="D147" s="534"/>
      <c r="E147" s="531"/>
      <c r="F147" s="323">
        <f>SUM(F142:F146)</f>
        <v>0</v>
      </c>
      <c r="G147" s="323">
        <f>G1*SUM(G142:G146)</f>
        <v>0</v>
      </c>
      <c r="H147" s="323">
        <f>SUM(H142:H146)</f>
        <v>0</v>
      </c>
      <c r="I147" s="323">
        <f t="shared" ref="I147:P147" si="19">SUM(I142:I146)</f>
        <v>0</v>
      </c>
      <c r="J147" s="476">
        <f>SUM(J142:J146)</f>
        <v>0</v>
      </c>
      <c r="K147" s="476">
        <f>SUM(K142:K146)</f>
        <v>0</v>
      </c>
      <c r="L147" s="323">
        <f t="shared" si="19"/>
        <v>0</v>
      </c>
      <c r="M147" s="323">
        <f t="shared" si="19"/>
        <v>0</v>
      </c>
      <c r="N147" s="323">
        <f t="shared" si="19"/>
        <v>0</v>
      </c>
      <c r="O147" s="323">
        <f t="shared" si="19"/>
        <v>0</v>
      </c>
      <c r="P147" s="323">
        <f t="shared" si="19"/>
        <v>0</v>
      </c>
      <c r="Q147" s="476">
        <f>SUM(Q142:Q146)</f>
        <v>0</v>
      </c>
      <c r="R147" s="476">
        <f>SUM(R142:R146)</f>
        <v>0</v>
      </c>
      <c r="S147" s="476">
        <f>SUM(S142:S146)</f>
        <v>0</v>
      </c>
      <c r="T147" s="536">
        <f>SUM(T142:T146)</f>
        <v>0</v>
      </c>
      <c r="U147" s="323"/>
      <c r="V147" s="536">
        <f>SUM(V142:V146)</f>
        <v>0</v>
      </c>
      <c r="W147" s="536">
        <f>+V147-'ROR-Model'!G147</f>
        <v>0</v>
      </c>
    </row>
    <row r="148" spans="1:23">
      <c r="A148" s="535"/>
      <c r="B148" s="32"/>
      <c r="C148" s="32"/>
      <c r="D148" s="534"/>
      <c r="E148" s="531"/>
      <c r="F148" s="301"/>
      <c r="G148" s="301"/>
      <c r="H148" s="301"/>
      <c r="I148" s="301"/>
      <c r="J148" s="325"/>
      <c r="K148" s="325"/>
      <c r="L148" s="301"/>
      <c r="M148" s="301"/>
      <c r="N148" s="301"/>
      <c r="O148" s="301"/>
      <c r="P148" s="301"/>
      <c r="Q148" s="325"/>
      <c r="R148" s="325"/>
      <c r="S148" s="325"/>
      <c r="T148" s="532"/>
      <c r="U148" s="301"/>
      <c r="V148" s="532"/>
      <c r="W148" s="532">
        <f>+V148-'ROR-Model'!G148</f>
        <v>0</v>
      </c>
    </row>
    <row r="149" spans="1:23">
      <c r="A149" s="535"/>
      <c r="B149" s="32"/>
      <c r="C149" s="32" t="s">
        <v>18</v>
      </c>
      <c r="D149" s="534"/>
      <c r="E149" s="531"/>
      <c r="F149" s="301"/>
      <c r="G149" s="301">
        <f>G1*Revenue!$I$148</f>
        <v>0</v>
      </c>
      <c r="H149" s="301"/>
      <c r="I149" s="301"/>
      <c r="J149" s="325"/>
      <c r="K149" s="325"/>
      <c r="L149" s="301"/>
      <c r="M149" s="301"/>
      <c r="N149" s="301"/>
      <c r="O149" s="301"/>
      <c r="P149" s="301"/>
      <c r="Q149" s="325"/>
      <c r="R149" s="325"/>
      <c r="S149" s="325"/>
      <c r="T149" s="532">
        <f>SUM(F149:S149)</f>
        <v>0</v>
      </c>
      <c r="U149" s="301"/>
      <c r="V149" s="532">
        <f>SUM(T149:T149)</f>
        <v>0</v>
      </c>
      <c r="W149" s="532">
        <f>+V149-'ROR-Model'!G149</f>
        <v>0</v>
      </c>
    </row>
    <row r="150" spans="1:23">
      <c r="A150" s="535"/>
      <c r="B150" s="32"/>
      <c r="C150" s="32"/>
      <c r="D150" s="534"/>
      <c r="E150" s="531"/>
      <c r="F150" s="301"/>
      <c r="G150" s="301"/>
      <c r="H150" s="301"/>
      <c r="I150" s="301"/>
      <c r="J150" s="325"/>
      <c r="K150" s="325"/>
      <c r="L150" s="301"/>
      <c r="M150" s="301"/>
      <c r="N150" s="301"/>
      <c r="O150" s="301"/>
      <c r="P150" s="301"/>
      <c r="Q150" s="325"/>
      <c r="R150" s="325"/>
      <c r="S150" s="325"/>
      <c r="T150" s="532"/>
      <c r="U150" s="301"/>
      <c r="V150" s="532"/>
      <c r="W150" s="532">
        <f>+V150-'ROR-Model'!G150</f>
        <v>0</v>
      </c>
    </row>
    <row r="151" spans="1:23">
      <c r="A151" s="535"/>
      <c r="B151" s="32" t="s">
        <v>9</v>
      </c>
      <c r="C151" s="32" t="s">
        <v>14</v>
      </c>
      <c r="D151" s="534"/>
      <c r="E151" s="531"/>
      <c r="F151" s="301"/>
      <c r="G151" s="301">
        <f>G1*Revenue!$I$150</f>
        <v>0</v>
      </c>
      <c r="H151" s="301"/>
      <c r="I151" s="301"/>
      <c r="J151" s="325"/>
      <c r="K151" s="325"/>
      <c r="L151" s="301"/>
      <c r="M151" s="301"/>
      <c r="N151" s="301"/>
      <c r="O151" s="301"/>
      <c r="P151" s="301"/>
      <c r="Q151" s="325"/>
      <c r="R151" s="325"/>
      <c r="S151" s="325"/>
      <c r="T151" s="532">
        <f>SUM(F151:S151)</f>
        <v>0</v>
      </c>
      <c r="U151" s="301"/>
      <c r="V151" s="532">
        <f>SUM(T151:T151)</f>
        <v>0</v>
      </c>
      <c r="W151" s="532">
        <f>+V151-'ROR-Model'!G151</f>
        <v>0</v>
      </c>
    </row>
    <row r="152" spans="1:23">
      <c r="A152" s="535"/>
      <c r="B152" s="32"/>
      <c r="C152" s="32"/>
      <c r="D152" s="534"/>
      <c r="E152" s="531"/>
      <c r="F152" s="301"/>
      <c r="G152" s="301"/>
      <c r="H152" s="301"/>
      <c r="I152" s="301"/>
      <c r="J152" s="325"/>
      <c r="K152" s="325"/>
      <c r="L152" s="301"/>
      <c r="M152" s="301"/>
      <c r="N152" s="301"/>
      <c r="O152" s="301"/>
      <c r="P152" s="301"/>
      <c r="Q152" s="325"/>
      <c r="R152" s="325"/>
      <c r="S152" s="325"/>
      <c r="T152" s="532"/>
      <c r="U152" s="301"/>
      <c r="V152" s="532"/>
      <c r="W152" s="532">
        <f>+V152-'ROR-Model'!G152</f>
        <v>0</v>
      </c>
    </row>
    <row r="153" spans="1:23">
      <c r="A153" s="535"/>
      <c r="B153" s="32"/>
      <c r="C153" s="32" t="s">
        <v>15</v>
      </c>
      <c r="D153" s="534"/>
      <c r="E153" s="531"/>
      <c r="F153" s="301"/>
      <c r="G153" s="301">
        <f>G1*Revenue!$I$152</f>
        <v>0</v>
      </c>
      <c r="H153" s="301"/>
      <c r="I153" s="301"/>
      <c r="J153" s="325"/>
      <c r="K153" s="325"/>
      <c r="L153" s="301"/>
      <c r="M153" s="301"/>
      <c r="N153" s="301"/>
      <c r="O153" s="301"/>
      <c r="P153" s="301"/>
      <c r="Q153" s="325"/>
      <c r="R153" s="325"/>
      <c r="S153" s="325"/>
      <c r="T153" s="532">
        <f>SUM(F153:S153)</f>
        <v>0</v>
      </c>
      <c r="U153" s="301"/>
      <c r="V153" s="532">
        <f>SUM(T153:T153)</f>
        <v>0</v>
      </c>
      <c r="W153" s="532">
        <f>+V153-'ROR-Model'!G153</f>
        <v>0</v>
      </c>
    </row>
    <row r="154" spans="1:23">
      <c r="A154" s="535"/>
      <c r="B154" s="32"/>
      <c r="C154" s="32"/>
      <c r="D154" s="534"/>
      <c r="E154" s="531"/>
      <c r="F154" s="301"/>
      <c r="G154" s="301"/>
      <c r="H154" s="301"/>
      <c r="I154" s="301"/>
      <c r="J154" s="325"/>
      <c r="K154" s="325"/>
      <c r="L154" s="301"/>
      <c r="M154" s="301"/>
      <c r="N154" s="301"/>
      <c r="O154" s="301"/>
      <c r="P154" s="301"/>
      <c r="Q154" s="325"/>
      <c r="R154" s="325"/>
      <c r="S154" s="325"/>
      <c r="T154" s="532"/>
      <c r="U154" s="301"/>
      <c r="V154" s="532"/>
      <c r="W154" s="532">
        <f>+V154-'ROR-Model'!G154</f>
        <v>0</v>
      </c>
    </row>
    <row r="155" spans="1:23">
      <c r="A155" s="535"/>
      <c r="B155" s="32"/>
      <c r="C155" s="32" t="s">
        <v>16</v>
      </c>
      <c r="D155" s="534"/>
      <c r="E155" s="531"/>
      <c r="F155" s="301"/>
      <c r="G155" s="301">
        <f>G1*Revenue!$I$154</f>
        <v>0</v>
      </c>
      <c r="H155" s="301"/>
      <c r="I155" s="301"/>
      <c r="J155" s="325"/>
      <c r="K155" s="325"/>
      <c r="L155" s="301"/>
      <c r="M155" s="301"/>
      <c r="N155" s="301"/>
      <c r="O155" s="301"/>
      <c r="P155" s="301"/>
      <c r="Q155" s="325"/>
      <c r="R155" s="325"/>
      <c r="S155" s="325"/>
      <c r="T155" s="532">
        <f>SUM(F155:S155)</f>
        <v>0</v>
      </c>
      <c r="U155" s="301"/>
      <c r="V155" s="532">
        <f>SUM(T155:T155)</f>
        <v>0</v>
      </c>
      <c r="W155" s="532">
        <f>+V155-'ROR-Model'!G155</f>
        <v>0</v>
      </c>
    </row>
    <row r="156" spans="1:23">
      <c r="A156" s="535"/>
      <c r="B156" s="32"/>
      <c r="C156" s="32" t="s">
        <v>17</v>
      </c>
      <c r="D156" s="534"/>
      <c r="E156" s="531"/>
      <c r="F156" s="323">
        <f>SUM(F151:F155)</f>
        <v>0</v>
      </c>
      <c r="G156" s="323">
        <f>G1*SUM(G151:G155)</f>
        <v>0</v>
      </c>
      <c r="H156" s="323">
        <f>SUM(H151:H155)</f>
        <v>0</v>
      </c>
      <c r="I156" s="323">
        <f t="shared" ref="I156:P156" si="20">SUM(I151:I155)</f>
        <v>0</v>
      </c>
      <c r="J156" s="476">
        <f>SUM(J151:J155)</f>
        <v>0</v>
      </c>
      <c r="K156" s="476">
        <f>SUM(K151:K155)</f>
        <v>0</v>
      </c>
      <c r="L156" s="323">
        <f t="shared" si="20"/>
        <v>0</v>
      </c>
      <c r="M156" s="323">
        <f t="shared" si="20"/>
        <v>0</v>
      </c>
      <c r="N156" s="323">
        <f t="shared" si="20"/>
        <v>0</v>
      </c>
      <c r="O156" s="323">
        <f t="shared" si="20"/>
        <v>0</v>
      </c>
      <c r="P156" s="323">
        <f t="shared" si="20"/>
        <v>0</v>
      </c>
      <c r="Q156" s="476">
        <f>SUM(Q151:Q155)</f>
        <v>0</v>
      </c>
      <c r="R156" s="476">
        <f>SUM(R151:R155)</f>
        <v>0</v>
      </c>
      <c r="S156" s="476">
        <f>SUM(S151:S155)</f>
        <v>0</v>
      </c>
      <c r="T156" s="536">
        <f>SUM(T151:T155)</f>
        <v>0</v>
      </c>
      <c r="U156" s="323"/>
      <c r="V156" s="536">
        <f>SUM(V151:V155)</f>
        <v>0</v>
      </c>
      <c r="W156" s="536">
        <f>+V156-'ROR-Model'!G156</f>
        <v>0</v>
      </c>
    </row>
    <row r="157" spans="1:23">
      <c r="A157" s="535"/>
      <c r="B157" s="32"/>
      <c r="C157" s="32"/>
      <c r="D157" s="534"/>
      <c r="E157" s="531"/>
      <c r="F157" s="301"/>
      <c r="G157" s="301"/>
      <c r="H157" s="301"/>
      <c r="I157" s="301"/>
      <c r="J157" s="325"/>
      <c r="K157" s="325"/>
      <c r="L157" s="301"/>
      <c r="M157" s="301"/>
      <c r="N157" s="301"/>
      <c r="O157" s="301"/>
      <c r="P157" s="301"/>
      <c r="Q157" s="325"/>
      <c r="R157" s="325"/>
      <c r="S157" s="325"/>
      <c r="T157" s="532"/>
      <c r="U157" s="301"/>
      <c r="V157" s="532"/>
      <c r="W157" s="532">
        <f>+V157-'ROR-Model'!G157</f>
        <v>0</v>
      </c>
    </row>
    <row r="158" spans="1:23">
      <c r="A158" s="535"/>
      <c r="B158" s="32"/>
      <c r="C158" s="32" t="s">
        <v>18</v>
      </c>
      <c r="D158" s="534"/>
      <c r="E158" s="531"/>
      <c r="F158" s="301"/>
      <c r="G158" s="301">
        <f>G1*Revenue!$I$157</f>
        <v>0</v>
      </c>
      <c r="H158" s="301"/>
      <c r="I158" s="301"/>
      <c r="J158" s="325"/>
      <c r="K158" s="325"/>
      <c r="L158" s="301"/>
      <c r="M158" s="301"/>
      <c r="N158" s="301"/>
      <c r="O158" s="301"/>
      <c r="P158" s="301"/>
      <c r="Q158" s="325"/>
      <c r="R158" s="325"/>
      <c r="S158" s="325"/>
      <c r="T158" s="532">
        <f>SUM(F158:S158)</f>
        <v>0</v>
      </c>
      <c r="U158" s="301"/>
      <c r="V158" s="532">
        <f>SUM(T158:T158)</f>
        <v>0</v>
      </c>
      <c r="W158" s="532">
        <f>+V158-'ROR-Model'!G158</f>
        <v>0</v>
      </c>
    </row>
    <row r="159" spans="1:23">
      <c r="A159" s="535"/>
      <c r="B159" s="32"/>
      <c r="C159" s="32"/>
      <c r="D159" s="534"/>
      <c r="E159" s="531"/>
      <c r="F159" s="301"/>
      <c r="G159" s="301"/>
      <c r="H159" s="301"/>
      <c r="I159" s="301"/>
      <c r="J159" s="325"/>
      <c r="K159" s="325"/>
      <c r="L159" s="301"/>
      <c r="M159" s="301"/>
      <c r="N159" s="301"/>
      <c r="O159" s="301"/>
      <c r="P159" s="301"/>
      <c r="Q159" s="325"/>
      <c r="R159" s="325"/>
      <c r="S159" s="325"/>
      <c r="T159" s="532"/>
      <c r="U159" s="301"/>
      <c r="V159" s="532"/>
      <c r="W159" s="532">
        <f>+V159-'ROR-Model'!G159</f>
        <v>0</v>
      </c>
    </row>
    <row r="160" spans="1:23">
      <c r="A160" s="535"/>
      <c r="B160" s="146" t="s">
        <v>80</v>
      </c>
      <c r="C160" s="32" t="s">
        <v>14</v>
      </c>
      <c r="D160" s="534"/>
      <c r="E160" s="531"/>
      <c r="F160" s="301"/>
      <c r="G160" s="301">
        <f>G1*Revenue!$I$159</f>
        <v>0</v>
      </c>
      <c r="H160" s="301"/>
      <c r="I160" s="301"/>
      <c r="J160" s="325"/>
      <c r="K160" s="325"/>
      <c r="L160" s="301"/>
      <c r="M160" s="301"/>
      <c r="N160" s="301"/>
      <c r="O160" s="301"/>
      <c r="P160" s="301"/>
      <c r="Q160" s="325"/>
      <c r="R160" s="325"/>
      <c r="S160" s="325"/>
      <c r="T160" s="532">
        <f>SUM(F160:S160)</f>
        <v>0</v>
      </c>
      <c r="U160" s="301"/>
      <c r="V160" s="532">
        <f>SUM(T160:T160)</f>
        <v>0</v>
      </c>
      <c r="W160" s="532">
        <f>+V160-'ROR-Model'!G160</f>
        <v>0</v>
      </c>
    </row>
    <row r="161" spans="1:23">
      <c r="A161" s="535"/>
      <c r="B161" s="32"/>
      <c r="C161" s="32"/>
      <c r="D161" s="534"/>
      <c r="E161" s="531"/>
      <c r="F161" s="301"/>
      <c r="G161" s="301"/>
      <c r="H161" s="301"/>
      <c r="I161" s="301"/>
      <c r="J161" s="325"/>
      <c r="K161" s="325"/>
      <c r="L161" s="301"/>
      <c r="M161" s="301"/>
      <c r="N161" s="301"/>
      <c r="O161" s="301"/>
      <c r="P161" s="301"/>
      <c r="Q161" s="325"/>
      <c r="R161" s="325"/>
      <c r="S161" s="325"/>
      <c r="T161" s="532"/>
      <c r="U161" s="301"/>
      <c r="V161" s="532"/>
      <c r="W161" s="532">
        <f>+V161-'ROR-Model'!G161</f>
        <v>0</v>
      </c>
    </row>
    <row r="162" spans="1:23">
      <c r="A162" s="535"/>
      <c r="B162" s="32"/>
      <c r="C162" s="32" t="s">
        <v>15</v>
      </c>
      <c r="D162" s="534"/>
      <c r="E162" s="531"/>
      <c r="F162" s="301"/>
      <c r="G162" s="301">
        <f>G1*Revenue!$I$161</f>
        <v>0</v>
      </c>
      <c r="H162" s="301"/>
      <c r="I162" s="301"/>
      <c r="J162" s="325"/>
      <c r="K162" s="325"/>
      <c r="L162" s="301"/>
      <c r="M162" s="301"/>
      <c r="N162" s="301"/>
      <c r="O162" s="301"/>
      <c r="P162" s="301"/>
      <c r="Q162" s="325"/>
      <c r="R162" s="325"/>
      <c r="S162" s="325"/>
      <c r="T162" s="532">
        <f>SUM(F162:S162)</f>
        <v>0</v>
      </c>
      <c r="U162" s="301"/>
      <c r="V162" s="532">
        <f>SUM(T162:T162)</f>
        <v>0</v>
      </c>
      <c r="W162" s="532">
        <f>+V162-'ROR-Model'!G162</f>
        <v>0</v>
      </c>
    </row>
    <row r="163" spans="1:23">
      <c r="A163" s="535"/>
      <c r="B163" s="32"/>
      <c r="C163" s="32"/>
      <c r="D163" s="534"/>
      <c r="E163" s="531"/>
      <c r="F163" s="301"/>
      <c r="G163" s="301"/>
      <c r="H163" s="301"/>
      <c r="I163" s="301"/>
      <c r="J163" s="325"/>
      <c r="K163" s="325"/>
      <c r="L163" s="301"/>
      <c r="M163" s="301"/>
      <c r="N163" s="301"/>
      <c r="O163" s="301"/>
      <c r="P163" s="301"/>
      <c r="Q163" s="325"/>
      <c r="R163" s="325"/>
      <c r="S163" s="325"/>
      <c r="T163" s="532"/>
      <c r="U163" s="301"/>
      <c r="V163" s="532"/>
      <c r="W163" s="532">
        <f>+V163-'ROR-Model'!G163</f>
        <v>0</v>
      </c>
    </row>
    <row r="164" spans="1:23">
      <c r="A164" s="535"/>
      <c r="B164" s="32"/>
      <c r="C164" s="32" t="s">
        <v>16</v>
      </c>
      <c r="D164" s="534"/>
      <c r="E164" s="531"/>
      <c r="F164" s="301"/>
      <c r="G164" s="301">
        <f>G1*Revenue!$I$163</f>
        <v>0</v>
      </c>
      <c r="H164" s="301"/>
      <c r="I164" s="301"/>
      <c r="J164" s="325"/>
      <c r="K164" s="325"/>
      <c r="L164" s="301"/>
      <c r="M164" s="301"/>
      <c r="N164" s="301"/>
      <c r="O164" s="301"/>
      <c r="P164" s="301"/>
      <c r="Q164" s="325"/>
      <c r="R164" s="325"/>
      <c r="S164" s="325"/>
      <c r="T164" s="532">
        <f>SUM(F164:S164)</f>
        <v>0</v>
      </c>
      <c r="U164" s="301"/>
      <c r="V164" s="532">
        <f>SUM(T164:T164)</f>
        <v>0</v>
      </c>
      <c r="W164" s="532">
        <f>+V164-'ROR-Model'!G164</f>
        <v>0</v>
      </c>
    </row>
    <row r="165" spans="1:23">
      <c r="A165" s="535"/>
      <c r="B165" s="32"/>
      <c r="C165" s="32" t="s">
        <v>17</v>
      </c>
      <c r="D165" s="534"/>
      <c r="E165" s="531"/>
      <c r="F165" s="323">
        <f>SUM(F160:F164)</f>
        <v>0</v>
      </c>
      <c r="G165" s="323">
        <f>G1*SUM(G160:G164)</f>
        <v>0</v>
      </c>
      <c r="H165" s="323">
        <f>SUM(H160:H164)</f>
        <v>0</v>
      </c>
      <c r="I165" s="323">
        <f t="shared" ref="I165:P165" si="21">SUM(I160:I164)</f>
        <v>0</v>
      </c>
      <c r="J165" s="476">
        <f>SUM(J160:J164)</f>
        <v>0</v>
      </c>
      <c r="K165" s="476">
        <f>SUM(K160:K164)</f>
        <v>0</v>
      </c>
      <c r="L165" s="323">
        <f t="shared" si="21"/>
        <v>0</v>
      </c>
      <c r="M165" s="323">
        <f t="shared" si="21"/>
        <v>0</v>
      </c>
      <c r="N165" s="323">
        <f t="shared" si="21"/>
        <v>0</v>
      </c>
      <c r="O165" s="323">
        <f t="shared" si="21"/>
        <v>0</v>
      </c>
      <c r="P165" s="323">
        <f t="shared" si="21"/>
        <v>0</v>
      </c>
      <c r="Q165" s="476">
        <f>SUM(Q160:Q164)</f>
        <v>0</v>
      </c>
      <c r="R165" s="476">
        <f>SUM(R160:R164)</f>
        <v>0</v>
      </c>
      <c r="S165" s="476">
        <f>SUM(S160:S164)</f>
        <v>0</v>
      </c>
      <c r="T165" s="536">
        <f>SUM(T160:T164)</f>
        <v>0</v>
      </c>
      <c r="U165" s="323"/>
      <c r="V165" s="536">
        <f>SUM(V160:V164)</f>
        <v>0</v>
      </c>
      <c r="W165" s="536">
        <f>+V165-'ROR-Model'!G165</f>
        <v>0</v>
      </c>
    </row>
    <row r="166" spans="1:23">
      <c r="A166" s="535"/>
      <c r="B166" s="32"/>
      <c r="C166" s="32"/>
      <c r="D166" s="534"/>
      <c r="E166" s="531"/>
      <c r="F166" s="301"/>
      <c r="G166" s="301"/>
      <c r="H166" s="301"/>
      <c r="I166" s="301"/>
      <c r="J166" s="325"/>
      <c r="K166" s="325"/>
      <c r="L166" s="301"/>
      <c r="M166" s="301"/>
      <c r="N166" s="301"/>
      <c r="O166" s="301"/>
      <c r="P166" s="301"/>
      <c r="Q166" s="325"/>
      <c r="R166" s="325"/>
      <c r="S166" s="325"/>
      <c r="T166" s="532"/>
      <c r="U166" s="301"/>
      <c r="V166" s="532"/>
      <c r="W166" s="532">
        <f>+V166-'ROR-Model'!G166</f>
        <v>0</v>
      </c>
    </row>
    <row r="167" spans="1:23">
      <c r="A167" s="535"/>
      <c r="B167" s="32"/>
      <c r="C167" s="32" t="s">
        <v>18</v>
      </c>
      <c r="D167" s="534"/>
      <c r="E167" s="531"/>
      <c r="F167" s="301"/>
      <c r="G167" s="301">
        <f>G1*Revenue!$I$166</f>
        <v>0</v>
      </c>
      <c r="H167" s="301"/>
      <c r="I167" s="301"/>
      <c r="J167" s="325"/>
      <c r="K167" s="325"/>
      <c r="L167" s="301"/>
      <c r="M167" s="301"/>
      <c r="N167" s="301"/>
      <c r="O167" s="301"/>
      <c r="P167" s="301"/>
      <c r="Q167" s="325"/>
      <c r="R167" s="325"/>
      <c r="S167" s="325"/>
      <c r="T167" s="532">
        <f>SUM(F167:S167)</f>
        <v>0</v>
      </c>
      <c r="U167" s="301"/>
      <c r="V167" s="532">
        <f>SUM(T167:T167)</f>
        <v>0</v>
      </c>
      <c r="W167" s="532">
        <f>+V167-'ROR-Model'!G167</f>
        <v>0</v>
      </c>
    </row>
    <row r="168" spans="1:23">
      <c r="A168" s="535"/>
      <c r="B168" s="58"/>
      <c r="C168" s="58"/>
      <c r="D168" s="534"/>
      <c r="E168" s="531"/>
      <c r="F168" s="301"/>
      <c r="G168" s="301"/>
      <c r="H168" s="301"/>
      <c r="I168" s="301"/>
      <c r="J168" s="325"/>
      <c r="K168" s="325"/>
      <c r="L168" s="301"/>
      <c r="M168" s="301"/>
      <c r="N168" s="301"/>
      <c r="O168" s="301"/>
      <c r="P168" s="301"/>
      <c r="Q168" s="325"/>
      <c r="R168" s="325"/>
      <c r="S168" s="325"/>
      <c r="T168" s="532"/>
      <c r="U168" s="301"/>
      <c r="V168" s="532"/>
      <c r="W168" s="532">
        <f>+V168-'ROR-Model'!G168</f>
        <v>0</v>
      </c>
    </row>
    <row r="169" spans="1:23">
      <c r="A169" s="535"/>
      <c r="B169" s="32" t="s">
        <v>81</v>
      </c>
      <c r="C169" s="32" t="s">
        <v>14</v>
      </c>
      <c r="D169" s="534"/>
      <c r="E169" s="531"/>
      <c r="F169" s="301"/>
      <c r="G169" s="301">
        <f>G1*Revenue!$I$168</f>
        <v>0</v>
      </c>
      <c r="H169" s="301"/>
      <c r="I169" s="301"/>
      <c r="J169" s="325"/>
      <c r="K169" s="325"/>
      <c r="L169" s="301"/>
      <c r="M169" s="301"/>
      <c r="N169" s="301"/>
      <c r="O169" s="301"/>
      <c r="P169" s="301"/>
      <c r="Q169" s="325"/>
      <c r="R169" s="325"/>
      <c r="S169" s="325"/>
      <c r="T169" s="532">
        <f>SUM(F169:S169)</f>
        <v>0</v>
      </c>
      <c r="U169" s="301"/>
      <c r="V169" s="532">
        <f>SUM(T169:T169)</f>
        <v>0</v>
      </c>
      <c r="W169" s="532">
        <f>+V169-'ROR-Model'!G169</f>
        <v>0</v>
      </c>
    </row>
    <row r="170" spans="1:23">
      <c r="A170" s="535"/>
      <c r="B170" s="32"/>
      <c r="C170" s="32"/>
      <c r="D170" s="534"/>
      <c r="E170" s="531"/>
      <c r="F170" s="301"/>
      <c r="G170" s="301"/>
      <c r="H170" s="301"/>
      <c r="I170" s="301"/>
      <c r="J170" s="325"/>
      <c r="K170" s="325"/>
      <c r="L170" s="301"/>
      <c r="M170" s="301"/>
      <c r="N170" s="301"/>
      <c r="O170" s="301"/>
      <c r="P170" s="301"/>
      <c r="Q170" s="325"/>
      <c r="R170" s="325"/>
      <c r="S170" s="325"/>
      <c r="T170" s="532"/>
      <c r="U170" s="301"/>
      <c r="V170" s="532"/>
      <c r="W170" s="532">
        <f>+V170-'ROR-Model'!G170</f>
        <v>0</v>
      </c>
    </row>
    <row r="171" spans="1:23">
      <c r="A171" s="535"/>
      <c r="B171" s="32"/>
      <c r="C171" s="32" t="s">
        <v>15</v>
      </c>
      <c r="D171" s="534"/>
      <c r="E171" s="531"/>
      <c r="F171" s="301"/>
      <c r="G171" s="301">
        <f>G1*Revenue!$I$170</f>
        <v>0</v>
      </c>
      <c r="H171" s="301"/>
      <c r="I171" s="301"/>
      <c r="J171" s="325"/>
      <c r="K171" s="325"/>
      <c r="L171" s="301"/>
      <c r="M171" s="301"/>
      <c r="N171" s="301"/>
      <c r="O171" s="301"/>
      <c r="P171" s="301"/>
      <c r="Q171" s="325"/>
      <c r="R171" s="325"/>
      <c r="S171" s="325"/>
      <c r="T171" s="532">
        <f>SUM(F171:S171)</f>
        <v>0</v>
      </c>
      <c r="U171" s="301"/>
      <c r="V171" s="532">
        <f>SUM(T171:T171)</f>
        <v>0</v>
      </c>
      <c r="W171" s="532">
        <f>+V171-'ROR-Model'!G171</f>
        <v>0</v>
      </c>
    </row>
    <row r="172" spans="1:23">
      <c r="A172" s="535"/>
      <c r="B172" s="32"/>
      <c r="C172" s="32"/>
      <c r="D172" s="534"/>
      <c r="E172" s="531"/>
      <c r="F172" s="301"/>
      <c r="G172" s="301"/>
      <c r="H172" s="301"/>
      <c r="I172" s="301"/>
      <c r="J172" s="325"/>
      <c r="K172" s="325"/>
      <c r="L172" s="301"/>
      <c r="M172" s="301"/>
      <c r="N172" s="301"/>
      <c r="O172" s="301"/>
      <c r="P172" s="301"/>
      <c r="Q172" s="325"/>
      <c r="R172" s="325"/>
      <c r="S172" s="325"/>
      <c r="T172" s="532"/>
      <c r="U172" s="301"/>
      <c r="V172" s="532"/>
      <c r="W172" s="532">
        <f>+V172-'ROR-Model'!G172</f>
        <v>0</v>
      </c>
    </row>
    <row r="173" spans="1:23">
      <c r="A173" s="535"/>
      <c r="B173" s="32"/>
      <c r="C173" s="32" t="s">
        <v>16</v>
      </c>
      <c r="D173" s="534"/>
      <c r="E173" s="531"/>
      <c r="F173" s="301"/>
      <c r="G173" s="301">
        <f>G1*Revenue!$I$172</f>
        <v>0</v>
      </c>
      <c r="H173" s="301"/>
      <c r="I173" s="301"/>
      <c r="J173" s="325"/>
      <c r="K173" s="325"/>
      <c r="L173" s="301"/>
      <c r="M173" s="301"/>
      <c r="N173" s="301"/>
      <c r="O173" s="301"/>
      <c r="P173" s="301"/>
      <c r="Q173" s="325"/>
      <c r="R173" s="325"/>
      <c r="S173" s="325"/>
      <c r="T173" s="532">
        <f>SUM(F173:S173)</f>
        <v>0</v>
      </c>
      <c r="U173" s="301"/>
      <c r="V173" s="532">
        <f>SUM(T173:T173)</f>
        <v>0</v>
      </c>
      <c r="W173" s="532">
        <f>+V173-'ROR-Model'!G173</f>
        <v>0</v>
      </c>
    </row>
    <row r="174" spans="1:23">
      <c r="A174" s="535"/>
      <c r="B174" s="32"/>
      <c r="C174" s="32" t="s">
        <v>17</v>
      </c>
      <c r="D174" s="534"/>
      <c r="E174" s="531"/>
      <c r="F174" s="323">
        <f>SUM(F169:F173)</f>
        <v>0</v>
      </c>
      <c r="G174" s="323">
        <f>G1*SUM(G169:G173)</f>
        <v>0</v>
      </c>
      <c r="H174" s="323">
        <f>SUM(H169:H173)</f>
        <v>0</v>
      </c>
      <c r="I174" s="323">
        <f t="shared" ref="I174:P174" si="22">SUM(I169:I173)</f>
        <v>0</v>
      </c>
      <c r="J174" s="476">
        <f>SUM(J169:J173)</f>
        <v>0</v>
      </c>
      <c r="K174" s="476">
        <f>SUM(K169:K173)</f>
        <v>0</v>
      </c>
      <c r="L174" s="323">
        <f t="shared" si="22"/>
        <v>0</v>
      </c>
      <c r="M174" s="323">
        <f t="shared" si="22"/>
        <v>0</v>
      </c>
      <c r="N174" s="323">
        <f t="shared" si="22"/>
        <v>0</v>
      </c>
      <c r="O174" s="323">
        <f t="shared" si="22"/>
        <v>0</v>
      </c>
      <c r="P174" s="323">
        <f t="shared" si="22"/>
        <v>0</v>
      </c>
      <c r="Q174" s="476">
        <f>SUM(Q169:Q173)</f>
        <v>0</v>
      </c>
      <c r="R174" s="476">
        <f>SUM(R169:R173)</f>
        <v>0</v>
      </c>
      <c r="S174" s="476">
        <f>SUM(S169:S173)</f>
        <v>0</v>
      </c>
      <c r="T174" s="536">
        <f>SUM(T169:T173)</f>
        <v>0</v>
      </c>
      <c r="U174" s="323"/>
      <c r="V174" s="536">
        <f>SUM(V169:V173)</f>
        <v>0</v>
      </c>
      <c r="W174" s="536">
        <f>+V174-'ROR-Model'!G174</f>
        <v>0</v>
      </c>
    </row>
    <row r="175" spans="1:23">
      <c r="A175" s="535"/>
      <c r="B175" s="32"/>
      <c r="C175" s="32"/>
      <c r="D175" s="534"/>
      <c r="E175" s="531"/>
      <c r="F175" s="301"/>
      <c r="G175" s="301"/>
      <c r="H175" s="301"/>
      <c r="I175" s="301"/>
      <c r="J175" s="325"/>
      <c r="K175" s="325"/>
      <c r="L175" s="301"/>
      <c r="M175" s="301"/>
      <c r="N175" s="301"/>
      <c r="O175" s="301"/>
      <c r="P175" s="301"/>
      <c r="Q175" s="325"/>
      <c r="R175" s="325"/>
      <c r="S175" s="325"/>
      <c r="T175" s="532"/>
      <c r="U175" s="301"/>
      <c r="V175" s="532"/>
      <c r="W175" s="532">
        <f>+V175-'ROR-Model'!G175</f>
        <v>0</v>
      </c>
    </row>
    <row r="176" spans="1:23">
      <c r="A176" s="535"/>
      <c r="B176" s="32"/>
      <c r="C176" s="32" t="s">
        <v>18</v>
      </c>
      <c r="D176" s="534"/>
      <c r="E176" s="531"/>
      <c r="F176" s="301"/>
      <c r="G176" s="301">
        <f>G1*Revenue!$I$175</f>
        <v>0</v>
      </c>
      <c r="H176" s="301"/>
      <c r="I176" s="301"/>
      <c r="J176" s="325"/>
      <c r="K176" s="325"/>
      <c r="L176" s="301"/>
      <c r="M176" s="301"/>
      <c r="N176" s="301"/>
      <c r="O176" s="301"/>
      <c r="P176" s="301"/>
      <c r="Q176" s="325"/>
      <c r="R176" s="325"/>
      <c r="S176" s="325"/>
      <c r="T176" s="532">
        <f>SUM(F176:S176)</f>
        <v>0</v>
      </c>
      <c r="U176" s="301"/>
      <c r="V176" s="532">
        <f>SUM(T176:T176)</f>
        <v>0</v>
      </c>
      <c r="W176" s="532">
        <f>+V176-'ROR-Model'!G176</f>
        <v>0</v>
      </c>
    </row>
    <row r="177" spans="1:23">
      <c r="A177" s="535"/>
      <c r="B177" s="32"/>
      <c r="C177" s="32"/>
      <c r="D177" s="534"/>
      <c r="E177" s="531"/>
      <c r="F177" s="301"/>
      <c r="G177" s="301"/>
      <c r="H177" s="301"/>
      <c r="I177" s="301"/>
      <c r="J177" s="325"/>
      <c r="K177" s="325"/>
      <c r="L177" s="301"/>
      <c r="M177" s="301"/>
      <c r="N177" s="301"/>
      <c r="O177" s="301"/>
      <c r="P177" s="301"/>
      <c r="Q177" s="325"/>
      <c r="R177" s="325"/>
      <c r="S177" s="325"/>
      <c r="T177" s="532"/>
      <c r="U177" s="301"/>
      <c r="V177" s="532"/>
      <c r="W177" s="532">
        <f>+V177-'ROR-Model'!G177</f>
        <v>0</v>
      </c>
    </row>
    <row r="178" spans="1:23">
      <c r="A178" s="535"/>
      <c r="B178" s="32" t="s">
        <v>112</v>
      </c>
      <c r="C178" s="32" t="s">
        <v>14</v>
      </c>
      <c r="D178" s="534"/>
      <c r="E178" s="531"/>
      <c r="F178" s="301"/>
      <c r="G178" s="301">
        <f>G1*Revenue!$I$177</f>
        <v>0</v>
      </c>
      <c r="H178" s="301"/>
      <c r="I178" s="301"/>
      <c r="J178" s="325"/>
      <c r="K178" s="325"/>
      <c r="L178" s="301"/>
      <c r="M178" s="301"/>
      <c r="N178" s="301"/>
      <c r="O178" s="301"/>
      <c r="P178" s="301"/>
      <c r="Q178" s="325"/>
      <c r="R178" s="325"/>
      <c r="S178" s="325"/>
      <c r="T178" s="532">
        <f>SUM(F178:S178)</f>
        <v>0</v>
      </c>
      <c r="U178" s="301"/>
      <c r="V178" s="532">
        <f>SUM(T178:T178)</f>
        <v>0</v>
      </c>
      <c r="W178" s="532">
        <f>+V178-'ROR-Model'!G178</f>
        <v>0</v>
      </c>
    </row>
    <row r="179" spans="1:23">
      <c r="A179" s="535"/>
      <c r="B179" s="32"/>
      <c r="C179" s="32"/>
      <c r="D179" s="534"/>
      <c r="E179" s="531"/>
      <c r="F179" s="301"/>
      <c r="G179" s="301"/>
      <c r="H179" s="301"/>
      <c r="I179" s="301"/>
      <c r="J179" s="325"/>
      <c r="K179" s="325"/>
      <c r="L179" s="301"/>
      <c r="M179" s="301"/>
      <c r="N179" s="301"/>
      <c r="O179" s="301"/>
      <c r="P179" s="301"/>
      <c r="Q179" s="325"/>
      <c r="R179" s="325"/>
      <c r="S179" s="325"/>
      <c r="T179" s="532"/>
      <c r="U179" s="301"/>
      <c r="V179" s="532"/>
      <c r="W179" s="532">
        <f>+V179-'ROR-Model'!G179</f>
        <v>0</v>
      </c>
    </row>
    <row r="180" spans="1:23">
      <c r="A180" s="535"/>
      <c r="B180" s="32"/>
      <c r="C180" s="32" t="s">
        <v>15</v>
      </c>
      <c r="D180" s="534"/>
      <c r="E180" s="531"/>
      <c r="F180" s="301"/>
      <c r="G180" s="301">
        <f>G1*Revenue!$I$179</f>
        <v>0</v>
      </c>
      <c r="H180" s="301"/>
      <c r="I180" s="301"/>
      <c r="J180" s="325"/>
      <c r="K180" s="325"/>
      <c r="L180" s="301"/>
      <c r="M180" s="301"/>
      <c r="N180" s="301"/>
      <c r="O180" s="301"/>
      <c r="P180" s="301"/>
      <c r="Q180" s="325"/>
      <c r="R180" s="325"/>
      <c r="S180" s="325"/>
      <c r="T180" s="532">
        <f>SUM(F180:S180)</f>
        <v>0</v>
      </c>
      <c r="U180" s="301"/>
      <c r="V180" s="532">
        <f>SUM(T180:T180)</f>
        <v>0</v>
      </c>
      <c r="W180" s="532">
        <f>+V180-'ROR-Model'!G180</f>
        <v>0</v>
      </c>
    </row>
    <row r="181" spans="1:23">
      <c r="A181" s="535"/>
      <c r="B181" s="32"/>
      <c r="C181" s="32"/>
      <c r="D181" s="534"/>
      <c r="E181" s="531"/>
      <c r="F181" s="301"/>
      <c r="G181" s="301"/>
      <c r="H181" s="301"/>
      <c r="I181" s="301"/>
      <c r="J181" s="325"/>
      <c r="K181" s="325"/>
      <c r="L181" s="301"/>
      <c r="M181" s="301"/>
      <c r="N181" s="301"/>
      <c r="O181" s="301"/>
      <c r="P181" s="301"/>
      <c r="Q181" s="325"/>
      <c r="R181" s="325"/>
      <c r="S181" s="325"/>
      <c r="T181" s="532"/>
      <c r="U181" s="301"/>
      <c r="V181" s="532"/>
      <c r="W181" s="532">
        <f>+V181-'ROR-Model'!G181</f>
        <v>0</v>
      </c>
    </row>
    <row r="182" spans="1:23">
      <c r="A182" s="535"/>
      <c r="B182" s="32"/>
      <c r="C182" s="32" t="s">
        <v>16</v>
      </c>
      <c r="D182" s="534"/>
      <c r="E182" s="531"/>
      <c r="F182" s="301"/>
      <c r="G182" s="301">
        <f>G1*Revenue!$I$181</f>
        <v>0</v>
      </c>
      <c r="H182" s="301"/>
      <c r="I182" s="301"/>
      <c r="J182" s="325"/>
      <c r="K182" s="325"/>
      <c r="L182" s="301"/>
      <c r="M182" s="301"/>
      <c r="N182" s="301"/>
      <c r="O182" s="301"/>
      <c r="P182" s="301"/>
      <c r="Q182" s="325"/>
      <c r="R182" s="325"/>
      <c r="S182" s="325"/>
      <c r="T182" s="532">
        <f>SUM(F182:S182)</f>
        <v>0</v>
      </c>
      <c r="U182" s="301"/>
      <c r="V182" s="532">
        <f>SUM(T182:T182)</f>
        <v>0</v>
      </c>
      <c r="W182" s="532">
        <f>+V182-'ROR-Model'!G182</f>
        <v>0</v>
      </c>
    </row>
    <row r="183" spans="1:23">
      <c r="A183" s="535"/>
      <c r="B183" s="32"/>
      <c r="C183" s="32" t="s">
        <v>17</v>
      </c>
      <c r="D183" s="534"/>
      <c r="E183" s="531"/>
      <c r="F183" s="323">
        <f>SUM(F178:F182)</f>
        <v>0</v>
      </c>
      <c r="G183" s="323">
        <f>G1*SUM(G178:G182)</f>
        <v>0</v>
      </c>
      <c r="H183" s="323">
        <f>SUM(H178:H182)</f>
        <v>0</v>
      </c>
      <c r="I183" s="323">
        <f t="shared" ref="I183:P183" si="23">SUM(I178:I182)</f>
        <v>0</v>
      </c>
      <c r="J183" s="476">
        <f>SUM(J178:J182)</f>
        <v>0</v>
      </c>
      <c r="K183" s="476">
        <f>SUM(K178:K182)</f>
        <v>0</v>
      </c>
      <c r="L183" s="323">
        <f t="shared" si="23"/>
        <v>0</v>
      </c>
      <c r="M183" s="323">
        <f t="shared" si="23"/>
        <v>0</v>
      </c>
      <c r="N183" s="323">
        <f t="shared" si="23"/>
        <v>0</v>
      </c>
      <c r="O183" s="323">
        <f t="shared" si="23"/>
        <v>0</v>
      </c>
      <c r="P183" s="323">
        <f t="shared" si="23"/>
        <v>0</v>
      </c>
      <c r="Q183" s="476">
        <f>SUM(Q178:Q182)</f>
        <v>0</v>
      </c>
      <c r="R183" s="476">
        <f>SUM(R178:R182)</f>
        <v>0</v>
      </c>
      <c r="S183" s="476">
        <f>SUM(S178:S182)</f>
        <v>0</v>
      </c>
      <c r="T183" s="536">
        <f>SUM(T178:T182)</f>
        <v>0</v>
      </c>
      <c r="U183" s="323"/>
      <c r="V183" s="536">
        <f>SUM(V178:V182)</f>
        <v>0</v>
      </c>
      <c r="W183" s="536">
        <f>+V183-'ROR-Model'!G183</f>
        <v>0</v>
      </c>
    </row>
    <row r="184" spans="1:23">
      <c r="A184" s="535"/>
      <c r="B184" s="32"/>
      <c r="C184" s="32"/>
      <c r="D184" s="534"/>
      <c r="E184" s="531"/>
      <c r="F184" s="301"/>
      <c r="G184" s="301"/>
      <c r="H184" s="301"/>
      <c r="I184" s="301"/>
      <c r="J184" s="325"/>
      <c r="K184" s="325"/>
      <c r="L184" s="301"/>
      <c r="M184" s="301"/>
      <c r="N184" s="301"/>
      <c r="O184" s="301"/>
      <c r="P184" s="301"/>
      <c r="Q184" s="325"/>
      <c r="R184" s="325"/>
      <c r="S184" s="325"/>
      <c r="T184" s="532"/>
      <c r="U184" s="301"/>
      <c r="V184" s="532"/>
      <c r="W184" s="532">
        <f>+V184-'ROR-Model'!G184</f>
        <v>0</v>
      </c>
    </row>
    <row r="185" spans="1:23">
      <c r="A185" s="535"/>
      <c r="B185" s="32"/>
      <c r="C185" s="32" t="s">
        <v>18</v>
      </c>
      <c r="D185" s="534"/>
      <c r="E185" s="531"/>
      <c r="F185" s="301"/>
      <c r="G185" s="301">
        <f>G1*Revenue!$I$184</f>
        <v>0</v>
      </c>
      <c r="H185" s="301"/>
      <c r="I185" s="301"/>
      <c r="J185" s="325"/>
      <c r="K185" s="325"/>
      <c r="L185" s="301"/>
      <c r="M185" s="301"/>
      <c r="N185" s="301"/>
      <c r="O185" s="301"/>
      <c r="P185" s="301"/>
      <c r="Q185" s="325"/>
      <c r="R185" s="325"/>
      <c r="S185" s="325"/>
      <c r="T185" s="532">
        <f>SUM(F185:S185)</f>
        <v>0</v>
      </c>
      <c r="U185" s="301"/>
      <c r="V185" s="532">
        <f>SUM(T185:T185)</f>
        <v>0</v>
      </c>
      <c r="W185" s="532">
        <f>+V185-'ROR-Model'!G185</f>
        <v>0</v>
      </c>
    </row>
    <row r="186" spans="1:23">
      <c r="A186" s="535"/>
      <c r="B186" s="32"/>
      <c r="C186" s="32"/>
      <c r="D186" s="534"/>
      <c r="E186" s="531"/>
      <c r="F186" s="301"/>
      <c r="G186" s="301"/>
      <c r="H186" s="301"/>
      <c r="I186" s="301"/>
      <c r="J186" s="325"/>
      <c r="K186" s="325"/>
      <c r="L186" s="301"/>
      <c r="M186" s="301"/>
      <c r="N186" s="301"/>
      <c r="O186" s="301"/>
      <c r="P186" s="301"/>
      <c r="Q186" s="325"/>
      <c r="R186" s="325"/>
      <c r="S186" s="325"/>
      <c r="T186" s="532"/>
      <c r="U186" s="301"/>
      <c r="V186" s="532"/>
      <c r="W186" s="532">
        <f>+V186-'ROR-Model'!G186</f>
        <v>0</v>
      </c>
    </row>
    <row r="187" spans="1:23">
      <c r="A187" s="535"/>
      <c r="B187" s="32" t="s">
        <v>74</v>
      </c>
      <c r="C187" s="32" t="s">
        <v>14</v>
      </c>
      <c r="D187" s="534"/>
      <c r="E187" s="531"/>
      <c r="F187" s="301"/>
      <c r="G187" s="301">
        <f>G1*Revenue!$I$186</f>
        <v>0</v>
      </c>
      <c r="H187" s="301"/>
      <c r="I187" s="301"/>
      <c r="J187" s="325"/>
      <c r="K187" s="325"/>
      <c r="L187" s="301"/>
      <c r="M187" s="301"/>
      <c r="N187" s="301"/>
      <c r="O187" s="301"/>
      <c r="P187" s="301"/>
      <c r="Q187" s="325"/>
      <c r="R187" s="325"/>
      <c r="S187" s="325"/>
      <c r="T187" s="532">
        <f>SUM(F187:S187)</f>
        <v>0</v>
      </c>
      <c r="U187" s="301"/>
      <c r="V187" s="532">
        <f>SUM(T187:T187)</f>
        <v>0</v>
      </c>
      <c r="W187" s="532">
        <f>+V187-'ROR-Model'!G187</f>
        <v>0</v>
      </c>
    </row>
    <row r="188" spans="1:23">
      <c r="A188" s="535"/>
      <c r="B188" s="32"/>
      <c r="C188" s="32"/>
      <c r="D188" s="534"/>
      <c r="E188" s="531"/>
      <c r="F188" s="301"/>
      <c r="G188" s="301"/>
      <c r="H188" s="301"/>
      <c r="I188" s="301"/>
      <c r="J188" s="325"/>
      <c r="K188" s="325"/>
      <c r="L188" s="301"/>
      <c r="M188" s="301"/>
      <c r="N188" s="301"/>
      <c r="O188" s="301"/>
      <c r="P188" s="301"/>
      <c r="Q188" s="325"/>
      <c r="R188" s="325"/>
      <c r="S188" s="325"/>
      <c r="T188" s="532"/>
      <c r="U188" s="301"/>
      <c r="V188" s="532"/>
      <c r="W188" s="532">
        <f>+V188-'ROR-Model'!G188</f>
        <v>0</v>
      </c>
    </row>
    <row r="189" spans="1:23">
      <c r="A189" s="535"/>
      <c r="B189" s="32"/>
      <c r="C189" s="32" t="s">
        <v>15</v>
      </c>
      <c r="D189" s="534"/>
      <c r="E189" s="531"/>
      <c r="F189" s="301"/>
      <c r="G189" s="301">
        <f>G1*Revenue!$I$188</f>
        <v>0</v>
      </c>
      <c r="H189" s="301"/>
      <c r="I189" s="301"/>
      <c r="J189" s="325"/>
      <c r="K189" s="325"/>
      <c r="L189" s="301"/>
      <c r="M189" s="301"/>
      <c r="N189" s="301"/>
      <c r="O189" s="301"/>
      <c r="P189" s="301"/>
      <c r="Q189" s="325"/>
      <c r="R189" s="325"/>
      <c r="S189" s="325"/>
      <c r="T189" s="532">
        <f>SUM(F189:S189)</f>
        <v>0</v>
      </c>
      <c r="U189" s="301"/>
      <c r="V189" s="532">
        <f>SUM(T189:T189)</f>
        <v>0</v>
      </c>
      <c r="W189" s="532">
        <f>+V189-'ROR-Model'!G189</f>
        <v>0</v>
      </c>
    </row>
    <row r="190" spans="1:23">
      <c r="A190" s="535"/>
      <c r="B190" s="32"/>
      <c r="C190" s="32"/>
      <c r="D190" s="534"/>
      <c r="E190" s="531"/>
      <c r="F190" s="301"/>
      <c r="G190" s="301"/>
      <c r="H190" s="301"/>
      <c r="I190" s="301"/>
      <c r="J190" s="325"/>
      <c r="K190" s="325"/>
      <c r="L190" s="301"/>
      <c r="M190" s="301"/>
      <c r="N190" s="301"/>
      <c r="O190" s="301"/>
      <c r="P190" s="301"/>
      <c r="Q190" s="325"/>
      <c r="R190" s="325"/>
      <c r="S190" s="325"/>
      <c r="T190" s="532"/>
      <c r="U190" s="301"/>
      <c r="V190" s="532"/>
      <c r="W190" s="532">
        <f>+V190-'ROR-Model'!G190</f>
        <v>0</v>
      </c>
    </row>
    <row r="191" spans="1:23">
      <c r="A191" s="535"/>
      <c r="B191" s="32"/>
      <c r="C191" s="32" t="s">
        <v>16</v>
      </c>
      <c r="D191" s="534"/>
      <c r="E191" s="531"/>
      <c r="F191" s="301"/>
      <c r="G191" s="301">
        <f>G1*Revenue!$I$190</f>
        <v>0</v>
      </c>
      <c r="H191" s="301"/>
      <c r="I191" s="301"/>
      <c r="J191" s="325"/>
      <c r="K191" s="325"/>
      <c r="L191" s="301"/>
      <c r="M191" s="301"/>
      <c r="N191" s="301"/>
      <c r="O191" s="301"/>
      <c r="P191" s="301"/>
      <c r="Q191" s="325"/>
      <c r="R191" s="325"/>
      <c r="S191" s="325"/>
      <c r="T191" s="532">
        <f>SUM(F191:S191)</f>
        <v>0</v>
      </c>
      <c r="U191" s="301"/>
      <c r="V191" s="532">
        <f>SUM(T191:T191)</f>
        <v>0</v>
      </c>
      <c r="W191" s="532">
        <f>+V191-'ROR-Model'!G191</f>
        <v>0</v>
      </c>
    </row>
    <row r="192" spans="1:23">
      <c r="A192" s="535"/>
      <c r="B192" s="32"/>
      <c r="C192" s="32" t="s">
        <v>17</v>
      </c>
      <c r="D192" s="534"/>
      <c r="E192" s="531"/>
      <c r="F192" s="323">
        <f>SUM(F187:F191)</f>
        <v>0</v>
      </c>
      <c r="G192" s="323">
        <f>G1*SUM(G187:G191)</f>
        <v>0</v>
      </c>
      <c r="H192" s="323">
        <f>SUM(H187:H191)</f>
        <v>0</v>
      </c>
      <c r="I192" s="323">
        <f t="shared" ref="I192:P192" si="24">SUM(I187:I191)</f>
        <v>0</v>
      </c>
      <c r="J192" s="476">
        <f>SUM(J187:J191)</f>
        <v>0</v>
      </c>
      <c r="K192" s="476">
        <f>SUM(K187:K191)</f>
        <v>0</v>
      </c>
      <c r="L192" s="323">
        <f t="shared" si="24"/>
        <v>0</v>
      </c>
      <c r="M192" s="323">
        <f t="shared" si="24"/>
        <v>0</v>
      </c>
      <c r="N192" s="323">
        <f t="shared" si="24"/>
        <v>0</v>
      </c>
      <c r="O192" s="323">
        <f t="shared" si="24"/>
        <v>0</v>
      </c>
      <c r="P192" s="323">
        <f t="shared" si="24"/>
        <v>0</v>
      </c>
      <c r="Q192" s="476">
        <f>SUM(Q187:Q191)</f>
        <v>0</v>
      </c>
      <c r="R192" s="476">
        <f>SUM(R187:R191)</f>
        <v>0</v>
      </c>
      <c r="S192" s="476">
        <f>SUM(S187:S191)</f>
        <v>0</v>
      </c>
      <c r="T192" s="536">
        <f>SUM(T187:T191)</f>
        <v>0</v>
      </c>
      <c r="U192" s="323"/>
      <c r="V192" s="536">
        <f>SUM(V187:V191)</f>
        <v>0</v>
      </c>
      <c r="W192" s="536">
        <f>+V192-'ROR-Model'!G192</f>
        <v>0</v>
      </c>
    </row>
    <row r="193" spans="1:23">
      <c r="A193" s="535"/>
      <c r="B193" s="32"/>
      <c r="C193" s="32"/>
      <c r="D193" s="534"/>
      <c r="E193" s="531"/>
      <c r="F193" s="301"/>
      <c r="G193" s="301"/>
      <c r="H193" s="301"/>
      <c r="I193" s="301"/>
      <c r="J193" s="325"/>
      <c r="K193" s="325"/>
      <c r="L193" s="301"/>
      <c r="M193" s="301"/>
      <c r="N193" s="301"/>
      <c r="O193" s="301"/>
      <c r="P193" s="301"/>
      <c r="Q193" s="325"/>
      <c r="R193" s="325"/>
      <c r="S193" s="325"/>
      <c r="T193" s="532"/>
      <c r="U193" s="301"/>
      <c r="V193" s="532"/>
      <c r="W193" s="532">
        <f>+V193-'ROR-Model'!G193</f>
        <v>0</v>
      </c>
    </row>
    <row r="194" spans="1:23">
      <c r="A194" s="535"/>
      <c r="B194" s="32"/>
      <c r="C194" s="32" t="s">
        <v>18</v>
      </c>
      <c r="D194" s="534"/>
      <c r="E194" s="531"/>
      <c r="F194" s="301"/>
      <c r="G194" s="301">
        <f>G1*Revenue!$I$193</f>
        <v>0</v>
      </c>
      <c r="H194" s="301"/>
      <c r="I194" s="301"/>
      <c r="J194" s="325"/>
      <c r="K194" s="325"/>
      <c r="L194" s="301"/>
      <c r="M194" s="301"/>
      <c r="N194" s="301"/>
      <c r="O194" s="301"/>
      <c r="P194" s="301"/>
      <c r="Q194" s="325"/>
      <c r="R194" s="325"/>
      <c r="S194" s="325"/>
      <c r="T194" s="532">
        <f>SUM(F194:S194)</f>
        <v>0</v>
      </c>
      <c r="U194" s="301"/>
      <c r="V194" s="532">
        <f>SUM(T194:T194)</f>
        <v>0</v>
      </c>
      <c r="W194" s="532">
        <f>+V194-'ROR-Model'!G194</f>
        <v>0</v>
      </c>
    </row>
    <row r="195" spans="1:23">
      <c r="A195" s="535"/>
      <c r="B195" s="32"/>
      <c r="C195" s="32"/>
      <c r="D195" s="534"/>
      <c r="E195" s="531"/>
      <c r="F195" s="301"/>
      <c r="G195" s="301"/>
      <c r="H195" s="301"/>
      <c r="I195" s="301"/>
      <c r="J195" s="325"/>
      <c r="K195" s="325"/>
      <c r="L195" s="301"/>
      <c r="M195" s="301"/>
      <c r="N195" s="301"/>
      <c r="O195" s="301"/>
      <c r="P195" s="301"/>
      <c r="Q195" s="325"/>
      <c r="R195" s="325"/>
      <c r="S195" s="325"/>
      <c r="T195" s="532"/>
      <c r="U195" s="301"/>
      <c r="V195" s="532"/>
      <c r="W195" s="532">
        <f>+V195-'ROR-Model'!G195</f>
        <v>0</v>
      </c>
    </row>
    <row r="196" spans="1:23">
      <c r="B196" s="32" t="s">
        <v>634</v>
      </c>
      <c r="C196" s="32" t="s">
        <v>86</v>
      </c>
      <c r="F196">
        <v>0</v>
      </c>
      <c r="G196">
        <f>G1*Revenue!$I$195</f>
        <v>0</v>
      </c>
      <c r="H196">
        <v>0</v>
      </c>
      <c r="I196">
        <v>0</v>
      </c>
      <c r="J196" s="77">
        <v>0</v>
      </c>
      <c r="K196" s="77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 s="77">
        <v>0</v>
      </c>
      <c r="R196" s="77">
        <v>0</v>
      </c>
      <c r="S196" s="77">
        <v>0</v>
      </c>
      <c r="T196" s="532">
        <f>SUM(F196:S196)</f>
        <v>0</v>
      </c>
      <c r="V196" s="532">
        <f>SUM(T196:T196)</f>
        <v>0</v>
      </c>
      <c r="W196" s="532">
        <f>+V196-'ROR-Model'!G196</f>
        <v>0</v>
      </c>
    </row>
    <row r="197" spans="1:23">
      <c r="A197" s="535"/>
      <c r="B197" s="32" t="s">
        <v>103</v>
      </c>
      <c r="C197" s="32" t="s">
        <v>86</v>
      </c>
      <c r="D197" s="534"/>
      <c r="E197" s="531"/>
      <c r="F197">
        <v>0</v>
      </c>
      <c r="G197" s="74">
        <f>'ENERGY EFFICIENCY SERVICES ADJ'!E12</f>
        <v>-26124644.589999996</v>
      </c>
      <c r="H197" s="301">
        <v>0</v>
      </c>
      <c r="I197" s="301">
        <v>0</v>
      </c>
      <c r="J197" s="301">
        <v>0</v>
      </c>
      <c r="K197" s="301">
        <v>0</v>
      </c>
      <c r="L197" s="301">
        <v>0</v>
      </c>
      <c r="M197" s="301">
        <v>0</v>
      </c>
      <c r="N197" s="301">
        <v>0</v>
      </c>
      <c r="O197" s="301">
        <v>0</v>
      </c>
      <c r="P197" s="301">
        <v>0</v>
      </c>
      <c r="Q197" s="301">
        <v>0</v>
      </c>
      <c r="R197" s="301">
        <v>0</v>
      </c>
      <c r="S197" s="301">
        <v>0</v>
      </c>
      <c r="T197" s="532">
        <f>SUM(F197:S197)</f>
        <v>-26124644.589999996</v>
      </c>
      <c r="U197" s="301"/>
      <c r="V197" s="532">
        <f>SUM(T197:T197)</f>
        <v>-26124644.589999996</v>
      </c>
      <c r="W197" s="532">
        <f>+V197-'ROR-Model'!G197</f>
        <v>0</v>
      </c>
    </row>
    <row r="198" spans="1:23" ht="13.5" thickBot="1">
      <c r="A198" s="535"/>
      <c r="B198" s="58" t="s">
        <v>493</v>
      </c>
      <c r="C198" s="32"/>
      <c r="D198" s="534"/>
      <c r="E198" s="531"/>
      <c r="F198" s="470"/>
      <c r="G198" s="470"/>
      <c r="H198" s="470"/>
      <c r="I198" s="470"/>
      <c r="J198" s="477"/>
      <c r="K198" s="477"/>
      <c r="L198" s="470"/>
      <c r="M198" s="470"/>
      <c r="N198" s="470"/>
      <c r="O198" s="470"/>
      <c r="P198" s="470"/>
      <c r="Q198" s="477"/>
      <c r="R198" s="477"/>
      <c r="S198" s="477"/>
      <c r="T198" s="538"/>
      <c r="U198" s="470"/>
      <c r="V198" s="538"/>
      <c r="W198" s="538">
        <f>+V198-'ROR-Model'!G198</f>
        <v>0</v>
      </c>
    </row>
    <row r="199" spans="1:23" ht="13.5" thickTop="1">
      <c r="A199" s="535"/>
      <c r="D199" s="534"/>
      <c r="E199" s="531"/>
      <c r="F199" s="301"/>
      <c r="G199" s="301"/>
      <c r="H199" s="301"/>
      <c r="I199" s="301"/>
      <c r="J199" s="325"/>
      <c r="K199" s="325"/>
      <c r="L199" s="301"/>
      <c r="M199" s="301"/>
      <c r="N199" s="301"/>
      <c r="O199" s="301"/>
      <c r="P199" s="301"/>
      <c r="Q199" s="325"/>
      <c r="R199" s="325"/>
      <c r="S199" s="325"/>
      <c r="T199" s="532"/>
      <c r="U199" s="301"/>
      <c r="V199" s="532"/>
      <c r="W199" s="532">
        <f>+V199-'ROR-Model'!G199</f>
        <v>0</v>
      </c>
    </row>
    <row r="200" spans="1:23">
      <c r="A200" s="535"/>
      <c r="B200" s="58"/>
      <c r="C200" s="32" t="s">
        <v>14</v>
      </c>
      <c r="D200" s="534"/>
      <c r="E200" s="531"/>
      <c r="F200" s="302">
        <f t="shared" ref="F200" si="25">+F16+F34+F43+F52+F61+F70+F79+F88+F97+F106+F115+F124+F133+F142+F151+F160+F169+F178+F187+F25+F196+F197</f>
        <v>0</v>
      </c>
      <c r="G200" s="302">
        <f>+G16+G34+G43+G52+G61+G70+G79+G88+G97+G106+G115+G124+G133+G142+G151+G160+G169+G178+G187+G25+G196+G197</f>
        <v>-26124644.589999996</v>
      </c>
      <c r="H200" s="302">
        <f t="shared" ref="H200:Q200" si="26">+H16+H34+H43+H52+H61+H70+H79+H88+H97+H106+H115+H124+H133+H142+H151+H160+H169+H178+H187+H25+H196+H197</f>
        <v>0</v>
      </c>
      <c r="I200" s="302">
        <f t="shared" si="26"/>
        <v>0</v>
      </c>
      <c r="J200" s="302">
        <f>+J16+J34+J43+J52+J61+J70+J79+J88+J97+J106+J115+J124+J133+J142+J151+J160+J169+J178+J187+J25+J196+J197</f>
        <v>0</v>
      </c>
      <c r="K200" s="302">
        <f>+K16+K34+K43+K52+K61+K70+K79+K88+K97+K106+K115+K124+K133+K142+K151+K160+K169+K178+K187+K25+K196+K197</f>
        <v>0</v>
      </c>
      <c r="L200" s="302">
        <f>+L16+L34+L43+L52+L61+L70+L79+L88+L97+L106+L115+L124+L133+L142+L151+L160+L169+L178+L187+L25+L196+L197</f>
        <v>0</v>
      </c>
      <c r="M200" s="302">
        <f t="shared" si="26"/>
        <v>0</v>
      </c>
      <c r="N200" s="302">
        <f t="shared" si="26"/>
        <v>0</v>
      </c>
      <c r="O200" s="302">
        <f t="shared" si="26"/>
        <v>0</v>
      </c>
      <c r="P200" s="302">
        <f t="shared" si="26"/>
        <v>0</v>
      </c>
      <c r="Q200" s="302">
        <f t="shared" si="26"/>
        <v>0</v>
      </c>
      <c r="R200" s="302">
        <f>+R16+R34+R43+R52+R61+R70+R79+R88+R97+R106+R115+R124+R133+R142+R151+R160+R169+R178+R187+R25+R196+R197</f>
        <v>0</v>
      </c>
      <c r="S200" s="302">
        <f>+S16+S34+S43+S52+S61+S70+S79+S88+S97+S106+S115+S124+S133+S142+S151+S160+S169+S178+S187+S25+S196+S197</f>
        <v>0</v>
      </c>
      <c r="T200" s="529">
        <f>+T16+T34+T43+T52+T61+T70+T79+T88+T97+T106+T115+T124+T133+T142+T151+T160+T169+T178+T187+T25+T196+T197</f>
        <v>-26124644.589999996</v>
      </c>
      <c r="U200" s="302"/>
      <c r="V200" s="529">
        <f>+V16+V34+V43+V52+V61+V70+V79+V88+V97+V106+V115+V124+V133+V142+V151+V160+V169+V178+V187+V25+V196+V197</f>
        <v>-26124644.589999996</v>
      </c>
      <c r="W200" s="529">
        <f>+V200-'ROR-Model'!G200</f>
        <v>0</v>
      </c>
    </row>
    <row r="201" spans="1:23">
      <c r="A201" s="535"/>
      <c r="B201" s="58"/>
      <c r="C201" s="32" t="s">
        <v>15</v>
      </c>
      <c r="D201" s="534"/>
      <c r="E201" s="531"/>
      <c r="F201" s="302">
        <f>F1*+F18+F36+F45+F54+F62+F63+F72+F81+F90+F99+F108+F117+F126+F135+F144+F153+F162+F171+F180+F189+F27</f>
        <v>0</v>
      </c>
      <c r="G201" s="302">
        <f>G1*+G18+G36+G45+G54+G62+G63+G72+G81+G90+G99+G108+G117+G126+G135+G144+G153+G162+G171+G180+G189+G27</f>
        <v>0</v>
      </c>
      <c r="H201" s="302">
        <f>H1*+H18+H36+H45+H54+H62+H63+H72+H81+H90+H99+H108+H117+H126+H135+H144+H153+H162+H171+H180+H189+H27</f>
        <v>0</v>
      </c>
      <c r="I201" s="302">
        <f t="shared" ref="I201:Q201" si="27">I1*+I18+I36+I45+I54+I62+I63+I72+I81+I90+I99+I108+I117+I126+I135+I144+I153+I162+I171+I180+I189+I27</f>
        <v>0</v>
      </c>
      <c r="J201" s="302">
        <f>J1*+J18+J36+J45+J54+J62+J63+J72+J81+J90+J99+J108+J117+J126+J135+J144+J153+J162+J171+J180+J189+J27</f>
        <v>0</v>
      </c>
      <c r="K201" s="302">
        <f>K1*+K18+K36+K45+K54+K62+K63+K72+K81+K90+K99+K108+K117+K126+K135+K144+K153+K162+K171+K180+K189+K27</f>
        <v>0</v>
      </c>
      <c r="L201" s="302">
        <f t="shared" si="27"/>
        <v>0</v>
      </c>
      <c r="M201" s="302">
        <f t="shared" si="27"/>
        <v>0</v>
      </c>
      <c r="N201" s="302">
        <f t="shared" si="27"/>
        <v>0</v>
      </c>
      <c r="O201" s="302">
        <f t="shared" si="27"/>
        <v>0</v>
      </c>
      <c r="P201" s="302">
        <f t="shared" si="27"/>
        <v>0</v>
      </c>
      <c r="Q201" s="302">
        <f t="shared" si="27"/>
        <v>0</v>
      </c>
      <c r="R201" s="302">
        <f>R1*+R18+R36+R45+R54+R62+R63+R72+R81+R90+R99+R108+R117+R126+R135+R144+R153+R162+R171+R180+R189+R27</f>
        <v>0</v>
      </c>
      <c r="S201" s="302">
        <f>S1*+S18+S36+S45+S54+S62+S63+S72+S81+S90+S99+S108+S117+S126+S135+S144+S153+S162+S171+S180+S189+S27</f>
        <v>0</v>
      </c>
      <c r="T201" s="529">
        <f>+T18+T36+T45+T54+T62+T63+T72+T81+T90+T99+T108+T117+T126+T135+T144+T153+T162+T171+T180+T189+T27</f>
        <v>0</v>
      </c>
      <c r="U201" s="302"/>
      <c r="V201" s="529">
        <f>+V18+V36+V45+V54+V62+V63+V72+V81+V90+V99+V108+V117+V126+V135+V144+V153+V162+V171+V180+V189+V27</f>
        <v>0</v>
      </c>
      <c r="W201" s="529">
        <f>+V201-'ROR-Model'!G201</f>
        <v>0</v>
      </c>
    </row>
    <row r="202" spans="1:23">
      <c r="A202" s="535"/>
      <c r="B202" s="58"/>
      <c r="C202" s="32" t="s">
        <v>16</v>
      </c>
      <c r="D202" s="534"/>
      <c r="E202" s="531"/>
      <c r="F202" s="302">
        <f>F1*+F20+F38+F47+F56+F64+F65+F74+F83+F92+F101+F110+F119+F128+F137+F146+F155+F164+F173+F182+F191+F29</f>
        <v>0</v>
      </c>
      <c r="G202" s="302">
        <f>G1*+G20+G38+G47+G56+G64+G65+G74+G83+G92+G101+G110+G119+G128+G137+G146+G155+G164+G173+G182+G191+G29</f>
        <v>0</v>
      </c>
      <c r="H202" s="302">
        <f>H1*+H20+H38+H47+H56+H64+H65+H74+H83+H92+H101+H110+H119+H128+H137+H146+H155+H164+H173+H182+H191+H29</f>
        <v>0</v>
      </c>
      <c r="I202" s="302">
        <f t="shared" ref="I202:Q202" si="28">I1*+I20+I38+I47+I56+I64+I65+I74+I83+I92+I101+I110+I119+I128+I137+I146+I155+I164+I173+I182+I191+I29</f>
        <v>0</v>
      </c>
      <c r="J202" s="302">
        <f>J1*+J20+J38+J47+J56+J64+J65+J74+J83+J92+J101+J110+J119+J128+J137+J146+J155+J164+J173+J182+J191+J29</f>
        <v>0</v>
      </c>
      <c r="K202" s="302">
        <f>K1*+K20+K38+K47+K56+K64+K65+K74+K83+K92+K101+K110+K119+K128+K137+K146+K155+K164+K173+K182+K191+K29</f>
        <v>0</v>
      </c>
      <c r="L202" s="302">
        <f t="shared" si="28"/>
        <v>0</v>
      </c>
      <c r="M202" s="302">
        <f t="shared" si="28"/>
        <v>0</v>
      </c>
      <c r="N202" s="302">
        <f t="shared" si="28"/>
        <v>0</v>
      </c>
      <c r="O202" s="302">
        <f t="shared" si="28"/>
        <v>0</v>
      </c>
      <c r="P202" s="302">
        <f t="shared" si="28"/>
        <v>0</v>
      </c>
      <c r="Q202" s="302">
        <f t="shared" si="28"/>
        <v>0</v>
      </c>
      <c r="R202" s="302">
        <f>R1*+R20+R38+R47+R56+R64+R65+R74+R83+R92+R101+R110+R119+R128+R137+R146+R155+R164+R173+R182+R191+R29</f>
        <v>0</v>
      </c>
      <c r="S202" s="302">
        <f>S1*+S20+S38+S47+S56+S64+S65+S74+S83+S92+S101+S110+S119+S128+S137+S146+S155+S164+S173+S182+S191+S29</f>
        <v>0</v>
      </c>
      <c r="T202" s="529">
        <f>+T20+T38+T47+T56+T64+T65+T74+T83+T92+T101+T110+T119+T128+T137+T146+T155+T164+T173+T182+T191+T29</f>
        <v>0</v>
      </c>
      <c r="U202" s="302"/>
      <c r="V202" s="529">
        <f>+V20+V38+V47+V56+V64+V65+V74+V83+V92+V101+V110+V119+V128+V137+V146+V155+V164+V173+V182+V191+V29</f>
        <v>0</v>
      </c>
      <c r="W202" s="529">
        <f>+V202-'ROR-Model'!G202</f>
        <v>0</v>
      </c>
    </row>
    <row r="203" spans="1:23">
      <c r="A203" s="734"/>
      <c r="B203" s="58"/>
      <c r="C203" s="32" t="s">
        <v>412</v>
      </c>
      <c r="D203" s="277"/>
      <c r="E203" s="735"/>
      <c r="F203" s="324">
        <f>+F21+F39+F48+F57+F66+F75+F84+F93+F102+F111+F120+F129+F138+F147+F156+F165+F174+F183+F192+F30+F196+F197</f>
        <v>0</v>
      </c>
      <c r="G203" s="324">
        <f>+G21+G39+G48+G57+G66+G75+G84+G93+G102+G111+G120+G129+G138+G147+G156+G165+G174+G183+G192+G30+G196+G197</f>
        <v>-26124644.589999996</v>
      </c>
      <c r="H203" s="324">
        <f t="shared" ref="H203:N203" si="29">+H21+H39+H48+H57+H66+H75+H84+H93+H102+H111+H120+H129+H138+H147+H156+H165+H174+H183+H192+H30+H196+H197</f>
        <v>0</v>
      </c>
      <c r="I203" s="324">
        <f t="shared" si="29"/>
        <v>0</v>
      </c>
      <c r="J203" s="324">
        <f>+J21+J39+J48+J57+J66+J75+J84+J93+J102+J111+J120+J129+J138+J147+J156+J165+J174+J183+J192+J30+J196+J197</f>
        <v>0</v>
      </c>
      <c r="K203" s="324">
        <f>+K21+K39+K48+K57+K66+K75+K84+K93+K102+K111+K120+K129+K138+K147+K156+K165+K174+K183+K192+K30+K196+K197</f>
        <v>0</v>
      </c>
      <c r="L203" s="324">
        <f t="shared" si="29"/>
        <v>0</v>
      </c>
      <c r="M203" s="324">
        <f t="shared" si="29"/>
        <v>0</v>
      </c>
      <c r="N203" s="324">
        <f t="shared" si="29"/>
        <v>0</v>
      </c>
      <c r="O203" s="324">
        <f>+O21+O39+O48+O57+O66+O75+O84+O93+O102+O111+O120+O129+O138+O147+O156+O165+O174+O183+O192+O30+O196+O197</f>
        <v>0</v>
      </c>
      <c r="P203" s="324">
        <f t="shared" ref="P203:V203" si="30">+P21+P39+P48+P57+P66+P75+P84+P93+P102+P111+P120+P129+P138+P147+P156+P165+P174+P183+P192+P30+P196+P197</f>
        <v>0</v>
      </c>
      <c r="Q203" s="324">
        <f t="shared" si="30"/>
        <v>0</v>
      </c>
      <c r="R203" s="324">
        <f>+R21+R39+R48+R57+R66+R75+R84+R93+R102+R111+R120+R129+R138+R147+R156+R165+R174+R183+R192+R30+R196+R197</f>
        <v>0</v>
      </c>
      <c r="S203" s="324">
        <f>+S21+S39+S48+S57+S66+S75+S84+S93+S102+S111+S120+S129+S138+S147+S156+S165+S174+S183+S192+S30+S196+S197</f>
        <v>0</v>
      </c>
      <c r="T203" s="324">
        <f t="shared" si="30"/>
        <v>-26124644.589999996</v>
      </c>
      <c r="V203" s="324">
        <f t="shared" si="30"/>
        <v>-26124644.589999996</v>
      </c>
    </row>
    <row r="204" spans="1:23">
      <c r="A204" s="535"/>
      <c r="B204" s="58"/>
      <c r="C204" s="32"/>
      <c r="D204" s="534"/>
      <c r="E204" s="531"/>
      <c r="F204" s="325"/>
      <c r="G204" s="325"/>
      <c r="H204" s="325"/>
      <c r="I204" s="325"/>
      <c r="J204" s="325"/>
      <c r="K204" s="325"/>
      <c r="L204" s="325"/>
      <c r="M204" s="325"/>
      <c r="N204" s="325"/>
      <c r="O204" s="325"/>
      <c r="P204" s="325"/>
      <c r="Q204" s="325"/>
      <c r="R204" s="325"/>
      <c r="S204" s="325"/>
      <c r="T204" s="532"/>
      <c r="U204" s="325"/>
      <c r="V204" s="532"/>
      <c r="W204" s="532">
        <f>+V204-'ROR-Model'!G204</f>
        <v>0</v>
      </c>
    </row>
    <row r="205" spans="1:23">
      <c r="A205" s="535"/>
      <c r="B205" s="32"/>
      <c r="C205" s="32" t="s">
        <v>56</v>
      </c>
      <c r="D205" s="534"/>
      <c r="E205" s="531"/>
      <c r="F205" s="302">
        <f>F1*F23+F41+F50+F59+F68+F77+F86+F95+F104+F113+F194+F32</f>
        <v>0</v>
      </c>
      <c r="G205" s="302">
        <f>G1*G23+G41+G50+G59+G68+G77+G86+G95+G104+G113+G194+G32</f>
        <v>0</v>
      </c>
      <c r="H205" s="302">
        <f>H1*H23+H41+H50+H59+H68+H77+H86+H95+H104+H113+H194+H32</f>
        <v>0</v>
      </c>
      <c r="I205" s="302">
        <f t="shared" ref="I205:Q205" si="31">I1*I23+I41+I50+I59+I68+I77+I86+I95+I104+I113+I194+I32</f>
        <v>0</v>
      </c>
      <c r="J205" s="302">
        <f>J1*J23+J41+J50+J59+J68+J77+J86+J95+J104+J113+J194+J32</f>
        <v>0</v>
      </c>
      <c r="K205" s="302">
        <f>K1*K23+K41+K50+K59+K68+K77+K86+K95+K104+K113+K194+K32</f>
        <v>0</v>
      </c>
      <c r="L205" s="302">
        <f t="shared" si="31"/>
        <v>0</v>
      </c>
      <c r="M205" s="302">
        <f t="shared" si="31"/>
        <v>0</v>
      </c>
      <c r="N205" s="302">
        <f t="shared" si="31"/>
        <v>0</v>
      </c>
      <c r="O205" s="302">
        <f t="shared" si="31"/>
        <v>0</v>
      </c>
      <c r="P205" s="302">
        <f t="shared" si="31"/>
        <v>0</v>
      </c>
      <c r="Q205" s="302">
        <f t="shared" si="31"/>
        <v>0</v>
      </c>
      <c r="R205" s="302">
        <f>R1*R23+R41+R50+R59+R68+R77+R86+R95+R104+R113+R194+R32</f>
        <v>0</v>
      </c>
      <c r="S205" s="302">
        <f>S1*S23+S41+S50+S59+S68+S77+S86+S95+S104+S113+S194+S32</f>
        <v>0</v>
      </c>
      <c r="T205" s="529">
        <f>T23+T32+T41+T50+T59+T68+T77+T86+T95+T104+T113+T194</f>
        <v>0</v>
      </c>
      <c r="U205" s="302"/>
      <c r="V205" s="529">
        <f>V23+V32+V41+V50+V59+V68+V77+V86+V95+V104+V113+V194</f>
        <v>0</v>
      </c>
      <c r="W205" s="529">
        <f>+V205-'ROR-Model'!G205</f>
        <v>0</v>
      </c>
    </row>
    <row r="206" spans="1:23">
      <c r="A206" s="535"/>
      <c r="B206" s="32"/>
      <c r="C206" s="32" t="s">
        <v>57</v>
      </c>
      <c r="D206" s="534"/>
      <c r="E206" s="531"/>
      <c r="F206" s="302">
        <f>F1*F131+F140+F149+F158+F167+F176+F185+F122</f>
        <v>0</v>
      </c>
      <c r="G206" s="302">
        <f>G1*G131+G140+G149+G158+G167+G176+G185+G122</f>
        <v>0</v>
      </c>
      <c r="H206" s="302">
        <f>H1*H131+H140+H149+H158+H167+H176+H185+H122</f>
        <v>0</v>
      </c>
      <c r="I206" s="302">
        <f t="shared" ref="I206:Q206" si="32">I1*I131+I140+I149+I158+I167+I176+I185+I122</f>
        <v>0</v>
      </c>
      <c r="J206" s="302">
        <f>J1*J131+J140+J149+J158+J167+J176+J185+J122</f>
        <v>0</v>
      </c>
      <c r="K206" s="302">
        <f>K1*K131+K140+K149+K158+K167+K176+K185+K122</f>
        <v>0</v>
      </c>
      <c r="L206" s="302">
        <f t="shared" si="32"/>
        <v>0</v>
      </c>
      <c r="M206" s="302">
        <f t="shared" si="32"/>
        <v>0</v>
      </c>
      <c r="N206" s="302">
        <f t="shared" si="32"/>
        <v>0</v>
      </c>
      <c r="O206" s="302">
        <f t="shared" si="32"/>
        <v>0</v>
      </c>
      <c r="P206" s="302">
        <f t="shared" si="32"/>
        <v>0</v>
      </c>
      <c r="Q206" s="302">
        <f t="shared" si="32"/>
        <v>0</v>
      </c>
      <c r="R206" s="302">
        <f>R1*R131+R140+R149+R158+R167+R176+R185+R122</f>
        <v>0</v>
      </c>
      <c r="S206" s="302">
        <f>S1*S131+S140+S149+S158+S167+S176+S185+S122</f>
        <v>0</v>
      </c>
      <c r="T206" s="529">
        <f>T131+T140+T149+T158+T167+T176+T185+T122</f>
        <v>0</v>
      </c>
      <c r="U206" s="302"/>
      <c r="V206" s="529">
        <f>V131+V140+V149+V158+V167+V176+V185+V122</f>
        <v>0</v>
      </c>
      <c r="W206" s="529">
        <f>+V206-'ROR-Model'!G206</f>
        <v>0</v>
      </c>
    </row>
    <row r="207" spans="1:23">
      <c r="A207" s="535"/>
      <c r="B207" s="58"/>
      <c r="C207" s="32" t="s">
        <v>413</v>
      </c>
      <c r="D207" s="534"/>
      <c r="E207" s="531"/>
      <c r="F207" s="324">
        <f>F1*+F23+F41+F50+F59+F68+F77+F86+F95+F104+F113+F122+F131+F140+F149+F158+F167+F176+F185+F194+F32</f>
        <v>0</v>
      </c>
      <c r="G207" s="324">
        <f>G1*+G23+G41+G50+G59+G68+G77+G86+G95+G104+G113+G122+G131+G140+G149+G158+G167+G176+G185+G194+G32</f>
        <v>0</v>
      </c>
      <c r="H207" s="324">
        <f>H1*+H23+H41+H50+H59+H68+H77+H86+H95+H104+H113+H122+H131+H140+H149+H158+H167+H176+H185+H194+H32</f>
        <v>0</v>
      </c>
      <c r="I207" s="324">
        <f t="shared" ref="I207:Q207" si="33">I1*+I23+I41+I50+I59+I68+I77+I86+I95+I104+I113+I122+I131+I140+I149+I158+I167+I176+I185+I194+I32</f>
        <v>0</v>
      </c>
      <c r="J207" s="324">
        <f>J1*+J23+J41+J50+J59+J68+J77+J86+J95+J104+J113+J122+J131+J140+J149+J158+J167+J176+J185+J194+J32</f>
        <v>0</v>
      </c>
      <c r="K207" s="324">
        <f>K1*+K23+K41+K50+K59+K68+K77+K86+K95+K104+K113+K122+K131+K140+K149+K158+K167+K176+K185+K194+K32</f>
        <v>0</v>
      </c>
      <c r="L207" s="324">
        <f t="shared" si="33"/>
        <v>0</v>
      </c>
      <c r="M207" s="324">
        <f t="shared" si="33"/>
        <v>0</v>
      </c>
      <c r="N207" s="324">
        <f t="shared" si="33"/>
        <v>0</v>
      </c>
      <c r="O207" s="324">
        <f t="shared" si="33"/>
        <v>0</v>
      </c>
      <c r="P207" s="324">
        <f t="shared" si="33"/>
        <v>0</v>
      </c>
      <c r="Q207" s="324">
        <f t="shared" si="33"/>
        <v>0</v>
      </c>
      <c r="R207" s="324">
        <f>R1*+R23+R41+R50+R59+R68+R77+R86+R95+R104+R113+R122+R131+R140+R149+R158+R167+R176+R185+R194+R32</f>
        <v>0</v>
      </c>
      <c r="S207" s="324">
        <f>S1*+S23+S41+S50+S59+S68+S77+S86+S95+S104+S113+S122+S131+S140+S149+S158+S167+S176+S185+S194+S32</f>
        <v>0</v>
      </c>
      <c r="T207" s="539">
        <f>+T23+T41+T50+T59+T68+T77+T86+T95+T104+T113+T122+T131+T140+T149+T158+T167+T176+T185+T194+T32</f>
        <v>0</v>
      </c>
      <c r="U207" s="324"/>
      <c r="V207" s="539">
        <f>+V23+V41+V50+V59+V68+V77+V86+V95+V104+V113+V122+V131+V140+V149+V158+V167+V176+V185+V194+V32</f>
        <v>0</v>
      </c>
      <c r="W207" s="539">
        <f>+V207-'ROR-Model'!G207</f>
        <v>0</v>
      </c>
    </row>
    <row r="208" spans="1:23">
      <c r="A208" s="535"/>
      <c r="B208" s="32"/>
      <c r="C208" s="32"/>
      <c r="D208" s="534"/>
      <c r="E208" s="531"/>
      <c r="F208" s="301"/>
      <c r="G208" s="301"/>
      <c r="H208" s="301"/>
      <c r="I208" s="301"/>
      <c r="J208" s="325"/>
      <c r="K208" s="325"/>
      <c r="L208" s="301"/>
      <c r="M208" s="301"/>
      <c r="N208" s="301"/>
      <c r="O208" s="301"/>
      <c r="P208" s="301"/>
      <c r="Q208" s="325"/>
      <c r="R208" s="325"/>
      <c r="S208" s="325"/>
      <c r="T208" s="532"/>
      <c r="U208" s="301"/>
      <c r="V208" s="532"/>
      <c r="W208" s="532">
        <f>+V208-'ROR-Model'!G208</f>
        <v>0</v>
      </c>
    </row>
    <row r="209" spans="1:23">
      <c r="A209" s="167" t="s">
        <v>414</v>
      </c>
      <c r="B209" s="58"/>
      <c r="C209" s="58"/>
      <c r="D209" s="534"/>
      <c r="E209" s="531"/>
      <c r="F209" s="301"/>
      <c r="G209" s="301"/>
      <c r="H209" s="301"/>
      <c r="I209" s="301"/>
      <c r="J209" s="325"/>
      <c r="K209" s="325"/>
      <c r="L209" s="301"/>
      <c r="M209" s="301"/>
      <c r="N209" s="301"/>
      <c r="O209" s="301"/>
      <c r="P209" s="301"/>
      <c r="Q209" s="325"/>
      <c r="R209" s="325"/>
      <c r="S209" s="325"/>
      <c r="T209" s="532"/>
      <c r="U209" s="301"/>
      <c r="V209" s="532"/>
      <c r="W209" s="532">
        <f>+V209-'ROR-Model'!G209</f>
        <v>0</v>
      </c>
    </row>
    <row r="210" spans="1:23">
      <c r="A210" s="535"/>
      <c r="B210" s="32" t="s">
        <v>13</v>
      </c>
      <c r="C210" s="32" t="s">
        <v>14</v>
      </c>
      <c r="D210" s="534"/>
      <c r="E210" s="531"/>
      <c r="F210" s="301"/>
      <c r="G210" s="301">
        <f>G1*Revenue!$I$209</f>
        <v>0</v>
      </c>
      <c r="H210" s="301"/>
      <c r="I210" s="301"/>
      <c r="J210" s="325"/>
      <c r="K210" s="325"/>
      <c r="L210" s="301"/>
      <c r="M210" s="301"/>
      <c r="N210" s="301"/>
      <c r="O210" s="301"/>
      <c r="P210" s="301"/>
      <c r="Q210" s="325"/>
      <c r="R210" s="325"/>
      <c r="S210" s="325"/>
      <c r="T210" s="532">
        <f>SUM(F210:S210)</f>
        <v>0</v>
      </c>
      <c r="U210" s="301"/>
      <c r="V210" s="532">
        <f>SUM(T210:T210)</f>
        <v>0</v>
      </c>
      <c r="W210" s="532">
        <f>+V210-'ROR-Model'!G210</f>
        <v>0</v>
      </c>
    </row>
    <row r="211" spans="1:23">
      <c r="A211" s="535"/>
      <c r="B211" s="32"/>
      <c r="C211" s="32"/>
      <c r="D211" s="534"/>
      <c r="E211" s="531"/>
      <c r="F211" s="301"/>
      <c r="G211" s="301"/>
      <c r="H211" s="301"/>
      <c r="I211" s="301"/>
      <c r="J211" s="325"/>
      <c r="K211" s="325"/>
      <c r="L211" s="301"/>
      <c r="M211" s="301"/>
      <c r="N211" s="301"/>
      <c r="O211" s="301"/>
      <c r="P211" s="301"/>
      <c r="Q211" s="325"/>
      <c r="R211" s="325"/>
      <c r="S211" s="325"/>
      <c r="T211" s="532"/>
      <c r="U211" s="301"/>
      <c r="V211" s="532"/>
      <c r="W211" s="532">
        <f>+V211-'ROR-Model'!G211</f>
        <v>0</v>
      </c>
    </row>
    <row r="212" spans="1:23">
      <c r="A212" s="535"/>
      <c r="B212" s="32"/>
      <c r="C212" s="32" t="s">
        <v>15</v>
      </c>
      <c r="D212" s="534"/>
      <c r="E212" s="531"/>
      <c r="F212" s="301"/>
      <c r="G212" s="301">
        <f>G1*Revenue!$I$211</f>
        <v>0</v>
      </c>
      <c r="H212" s="301"/>
      <c r="I212" s="301"/>
      <c r="J212" s="325"/>
      <c r="K212" s="325"/>
      <c r="L212" s="301"/>
      <c r="M212" s="301"/>
      <c r="N212" s="301"/>
      <c r="O212" s="301"/>
      <c r="P212" s="301"/>
      <c r="Q212" s="325"/>
      <c r="R212" s="325"/>
      <c r="S212" s="325"/>
      <c r="T212" s="532">
        <f>SUM(F212:S212)</f>
        <v>0</v>
      </c>
      <c r="U212" s="301"/>
      <c r="V212" s="532">
        <f>SUM(T212:T212)</f>
        <v>0</v>
      </c>
      <c r="W212" s="532">
        <f>+V212-'ROR-Model'!G212</f>
        <v>0</v>
      </c>
    </row>
    <row r="213" spans="1:23">
      <c r="A213" s="535"/>
      <c r="B213" s="32"/>
      <c r="C213" s="32"/>
      <c r="D213" s="534"/>
      <c r="E213" s="531"/>
      <c r="F213" s="301"/>
      <c r="G213" s="301"/>
      <c r="H213" s="301"/>
      <c r="I213" s="301"/>
      <c r="J213" s="325"/>
      <c r="K213" s="325"/>
      <c r="L213" s="301"/>
      <c r="M213" s="301"/>
      <c r="N213" s="301"/>
      <c r="O213" s="301"/>
      <c r="P213" s="301"/>
      <c r="Q213" s="325"/>
      <c r="R213" s="325"/>
      <c r="S213" s="325"/>
      <c r="T213" s="532"/>
      <c r="U213" s="301"/>
      <c r="V213" s="532"/>
      <c r="W213" s="532">
        <f>+V213-'ROR-Model'!G213</f>
        <v>0</v>
      </c>
    </row>
    <row r="214" spans="1:23">
      <c r="A214" s="535"/>
      <c r="B214" s="32"/>
      <c r="C214" s="32" t="s">
        <v>16</v>
      </c>
      <c r="D214" s="534"/>
      <c r="E214" s="531"/>
      <c r="F214" s="301"/>
      <c r="G214" s="301">
        <f>G1*Revenue!$I$213</f>
        <v>0</v>
      </c>
      <c r="H214" s="301"/>
      <c r="I214" s="301"/>
      <c r="J214" s="325"/>
      <c r="K214" s="325"/>
      <c r="L214" s="301"/>
      <c r="M214" s="301"/>
      <c r="N214" s="301"/>
      <c r="O214" s="301"/>
      <c r="P214" s="301"/>
      <c r="Q214" s="325"/>
      <c r="R214" s="325"/>
      <c r="S214" s="325"/>
      <c r="T214" s="532">
        <f>SUM(F214:S214)</f>
        <v>0</v>
      </c>
      <c r="U214" s="301"/>
      <c r="V214" s="532">
        <f>SUM(T214:T214)</f>
        <v>0</v>
      </c>
      <c r="W214" s="532">
        <f>+V214-'ROR-Model'!G214</f>
        <v>0</v>
      </c>
    </row>
    <row r="215" spans="1:23">
      <c r="A215" s="535"/>
      <c r="B215" s="32"/>
      <c r="C215" s="32" t="s">
        <v>17</v>
      </c>
      <c r="D215" s="534"/>
      <c r="E215" s="531"/>
      <c r="F215" s="323">
        <f>SUM(F210:F214)</f>
        <v>0</v>
      </c>
      <c r="G215" s="323">
        <f>G1*SUM(G210:G214)</f>
        <v>0</v>
      </c>
      <c r="H215" s="323">
        <f>SUM(H210:H214)</f>
        <v>0</v>
      </c>
      <c r="I215" s="323">
        <f t="shared" ref="I215:P215" si="34">SUM(I210:I214)</f>
        <v>0</v>
      </c>
      <c r="J215" s="476">
        <f>SUM(J210:J214)</f>
        <v>0</v>
      </c>
      <c r="K215" s="476">
        <f>SUM(K210:K214)</f>
        <v>0</v>
      </c>
      <c r="L215" s="323">
        <f t="shared" si="34"/>
        <v>0</v>
      </c>
      <c r="M215" s="323">
        <f t="shared" si="34"/>
        <v>0</v>
      </c>
      <c r="N215" s="323">
        <f t="shared" si="34"/>
        <v>0</v>
      </c>
      <c r="O215" s="323">
        <f t="shared" si="34"/>
        <v>0</v>
      </c>
      <c r="P215" s="323">
        <f t="shared" si="34"/>
        <v>0</v>
      </c>
      <c r="Q215" s="476">
        <f>SUM(Q210:Q214)</f>
        <v>0</v>
      </c>
      <c r="R215" s="476">
        <f>SUM(R210:R214)</f>
        <v>0</v>
      </c>
      <c r="S215" s="476">
        <f>SUM(S210:S214)</f>
        <v>0</v>
      </c>
      <c r="T215" s="536">
        <f>SUM(T210:T214)</f>
        <v>0</v>
      </c>
      <c r="U215" s="323"/>
      <c r="V215" s="536">
        <f>SUM(V210:V214)</f>
        <v>0</v>
      </c>
      <c r="W215" s="536">
        <f>+V215-'ROR-Model'!G215</f>
        <v>0</v>
      </c>
    </row>
    <row r="216" spans="1:23">
      <c r="A216" s="535"/>
      <c r="B216" s="32"/>
      <c r="C216" s="32"/>
      <c r="D216" s="534"/>
      <c r="E216" s="531"/>
      <c r="F216" s="301"/>
      <c r="G216" s="301"/>
      <c r="H216" s="301"/>
      <c r="I216" s="301"/>
      <c r="J216" s="325"/>
      <c r="K216" s="325"/>
      <c r="L216" s="301"/>
      <c r="M216" s="301"/>
      <c r="N216" s="301"/>
      <c r="O216" s="301"/>
      <c r="P216" s="301"/>
      <c r="Q216" s="325"/>
      <c r="R216" s="325"/>
      <c r="S216" s="325"/>
      <c r="T216" s="532"/>
      <c r="U216" s="301"/>
      <c r="V216" s="532"/>
      <c r="W216" s="532">
        <f>+V216-'ROR-Model'!G216</f>
        <v>0</v>
      </c>
    </row>
    <row r="217" spans="1:23">
      <c r="A217" s="535"/>
      <c r="B217" s="32"/>
      <c r="C217" s="32" t="s">
        <v>18</v>
      </c>
      <c r="D217" s="534"/>
      <c r="E217" s="531"/>
      <c r="F217" s="301"/>
      <c r="G217" s="301">
        <f>G1*Revenue!$I$216</f>
        <v>0</v>
      </c>
      <c r="H217" s="301"/>
      <c r="I217" s="301"/>
      <c r="J217" s="325"/>
      <c r="K217" s="325"/>
      <c r="L217" s="301"/>
      <c r="M217" s="301"/>
      <c r="N217" s="301"/>
      <c r="O217" s="301"/>
      <c r="P217" s="301"/>
      <c r="Q217" s="325"/>
      <c r="R217" s="325"/>
      <c r="S217" s="325"/>
      <c r="T217" s="532">
        <f>SUM(F217:S217)</f>
        <v>0</v>
      </c>
      <c r="U217" s="301"/>
      <c r="V217" s="532">
        <f>SUM(T217:T217)</f>
        <v>0</v>
      </c>
      <c r="W217" s="532">
        <f>+V217-'ROR-Model'!G217</f>
        <v>0</v>
      </c>
    </row>
    <row r="218" spans="1:23">
      <c r="A218" s="535"/>
      <c r="B218" s="32"/>
      <c r="C218" s="32"/>
      <c r="D218" s="534"/>
      <c r="E218" s="531"/>
      <c r="F218" s="301"/>
      <c r="G218" s="301"/>
      <c r="H218" s="301"/>
      <c r="I218" s="301"/>
      <c r="J218" s="325"/>
      <c r="K218" s="325"/>
      <c r="L218" s="301"/>
      <c r="M218" s="301"/>
      <c r="N218" s="301"/>
      <c r="O218" s="301"/>
      <c r="P218" s="301"/>
      <c r="Q218" s="325"/>
      <c r="R218" s="325"/>
      <c r="S218" s="325"/>
      <c r="T218" s="532"/>
      <c r="U218" s="301"/>
      <c r="V218" s="532"/>
      <c r="W218" s="532">
        <f>+V218-'ROR-Model'!G218</f>
        <v>0</v>
      </c>
    </row>
    <row r="219" spans="1:23">
      <c r="A219" s="535"/>
      <c r="B219" s="32" t="s">
        <v>78</v>
      </c>
      <c r="C219" s="32" t="s">
        <v>14</v>
      </c>
      <c r="D219" s="534"/>
      <c r="E219" s="531"/>
      <c r="F219" s="301"/>
      <c r="G219" s="301">
        <f>G1*Revenue!$I$218</f>
        <v>0</v>
      </c>
      <c r="H219" s="301"/>
      <c r="I219" s="301"/>
      <c r="J219" s="325"/>
      <c r="K219" s="325"/>
      <c r="L219" s="301"/>
      <c r="M219" s="301"/>
      <c r="N219" s="301"/>
      <c r="O219" s="301"/>
      <c r="P219" s="301"/>
      <c r="Q219" s="325"/>
      <c r="R219" s="325"/>
      <c r="S219" s="325"/>
      <c r="T219" s="532">
        <f>SUM(F219:S219)</f>
        <v>0</v>
      </c>
      <c r="U219" s="301"/>
      <c r="V219" s="532">
        <f>SUM(T219:T219)</f>
        <v>0</v>
      </c>
      <c r="W219" s="532">
        <f>+V219-'ROR-Model'!G219</f>
        <v>0</v>
      </c>
    </row>
    <row r="220" spans="1:23">
      <c r="A220" s="535"/>
      <c r="B220" s="32"/>
      <c r="C220" s="32"/>
      <c r="D220" s="534"/>
      <c r="E220" s="531"/>
      <c r="F220" s="301"/>
      <c r="G220" s="301"/>
      <c r="H220" s="301"/>
      <c r="I220" s="301"/>
      <c r="J220" s="325"/>
      <c r="K220" s="325"/>
      <c r="L220" s="301"/>
      <c r="M220" s="301"/>
      <c r="N220" s="301"/>
      <c r="O220" s="301"/>
      <c r="P220" s="301"/>
      <c r="Q220" s="325"/>
      <c r="R220" s="325"/>
      <c r="S220" s="325"/>
      <c r="T220" s="532"/>
      <c r="U220" s="301"/>
      <c r="V220" s="532"/>
      <c r="W220" s="532">
        <f>+V220-'ROR-Model'!G220</f>
        <v>0</v>
      </c>
    </row>
    <row r="221" spans="1:23">
      <c r="A221" s="535"/>
      <c r="B221" s="32"/>
      <c r="C221" s="32" t="s">
        <v>15</v>
      </c>
      <c r="D221" s="534"/>
      <c r="E221" s="531"/>
      <c r="F221" s="301"/>
      <c r="G221" s="301">
        <f>G1*Revenue!$I$220</f>
        <v>0</v>
      </c>
      <c r="H221" s="301"/>
      <c r="I221" s="301"/>
      <c r="J221" s="325"/>
      <c r="K221" s="325"/>
      <c r="L221" s="301"/>
      <c r="M221" s="301"/>
      <c r="N221" s="301"/>
      <c r="O221" s="301"/>
      <c r="P221" s="301"/>
      <c r="Q221" s="325"/>
      <c r="R221" s="325"/>
      <c r="S221" s="325"/>
      <c r="T221" s="532">
        <f>SUM(F221:S221)</f>
        <v>0</v>
      </c>
      <c r="U221" s="301"/>
      <c r="V221" s="532">
        <f>SUM(T221:T221)</f>
        <v>0</v>
      </c>
      <c r="W221" s="532">
        <f>+V221-'ROR-Model'!G221</f>
        <v>0</v>
      </c>
    </row>
    <row r="222" spans="1:23">
      <c r="A222" s="535"/>
      <c r="B222" s="32"/>
      <c r="C222" s="32"/>
      <c r="D222" s="534"/>
      <c r="E222" s="531"/>
      <c r="F222" s="301"/>
      <c r="G222" s="301"/>
      <c r="H222" s="301"/>
      <c r="I222" s="301"/>
      <c r="J222" s="325"/>
      <c r="K222" s="325"/>
      <c r="L222" s="301"/>
      <c r="M222" s="301"/>
      <c r="N222" s="301"/>
      <c r="O222" s="301"/>
      <c r="P222" s="301"/>
      <c r="Q222" s="325"/>
      <c r="R222" s="325"/>
      <c r="S222" s="325"/>
      <c r="T222" s="532"/>
      <c r="U222" s="301"/>
      <c r="V222" s="532"/>
      <c r="W222" s="532">
        <f>+V222-'ROR-Model'!G222</f>
        <v>0</v>
      </c>
    </row>
    <row r="223" spans="1:23">
      <c r="A223" s="535"/>
      <c r="B223" s="32"/>
      <c r="C223" s="32" t="s">
        <v>16</v>
      </c>
      <c r="D223" s="534"/>
      <c r="E223" s="531"/>
      <c r="F223" s="301"/>
      <c r="G223" s="301">
        <f>G1*Revenue!$I$222</f>
        <v>0</v>
      </c>
      <c r="H223" s="301"/>
      <c r="I223" s="301"/>
      <c r="J223" s="325"/>
      <c r="K223" s="325"/>
      <c r="L223" s="301"/>
      <c r="M223" s="301"/>
      <c r="N223" s="301"/>
      <c r="O223" s="301"/>
      <c r="P223" s="301"/>
      <c r="Q223" s="325"/>
      <c r="R223" s="325"/>
      <c r="S223" s="325"/>
      <c r="T223" s="532">
        <f>SUM(F223:S223)</f>
        <v>0</v>
      </c>
      <c r="U223" s="301"/>
      <c r="V223" s="532">
        <f>SUM(T223:T223)</f>
        <v>0</v>
      </c>
      <c r="W223" s="532">
        <f>+V223-'ROR-Model'!G223</f>
        <v>0</v>
      </c>
    </row>
    <row r="224" spans="1:23">
      <c r="A224" s="535"/>
      <c r="B224" s="32"/>
      <c r="C224" s="32" t="s">
        <v>17</v>
      </c>
      <c r="D224" s="534"/>
      <c r="E224" s="531"/>
      <c r="F224" s="323">
        <f>SUM(F219:F223)</f>
        <v>0</v>
      </c>
      <c r="G224" s="323">
        <f>G1*SUM(G219:G223)</f>
        <v>0</v>
      </c>
      <c r="H224" s="323">
        <f>SUM(H219:H223)</f>
        <v>0</v>
      </c>
      <c r="I224" s="323">
        <f t="shared" ref="I224:P224" si="35">SUM(I219:I223)</f>
        <v>0</v>
      </c>
      <c r="J224" s="476">
        <f>SUM(J219:J223)</f>
        <v>0</v>
      </c>
      <c r="K224" s="476">
        <f>SUM(K219:K223)</f>
        <v>0</v>
      </c>
      <c r="L224" s="323">
        <f t="shared" si="35"/>
        <v>0</v>
      </c>
      <c r="M224" s="323">
        <f t="shared" si="35"/>
        <v>0</v>
      </c>
      <c r="N224" s="323">
        <f t="shared" si="35"/>
        <v>0</v>
      </c>
      <c r="O224" s="323">
        <f t="shared" si="35"/>
        <v>0</v>
      </c>
      <c r="P224" s="323">
        <f t="shared" si="35"/>
        <v>0</v>
      </c>
      <c r="Q224" s="476">
        <f>SUM(Q219:Q223)</f>
        <v>0</v>
      </c>
      <c r="R224" s="476">
        <f>SUM(R219:R223)</f>
        <v>0</v>
      </c>
      <c r="S224" s="476">
        <f>SUM(S219:S223)</f>
        <v>0</v>
      </c>
      <c r="T224" s="536">
        <f>SUM(T219:T223)</f>
        <v>0</v>
      </c>
      <c r="U224" s="323"/>
      <c r="V224" s="536">
        <f>SUM(V219:V223)</f>
        <v>0</v>
      </c>
      <c r="W224" s="536">
        <f>+V224-'ROR-Model'!G224</f>
        <v>0</v>
      </c>
    </row>
    <row r="225" spans="1:23">
      <c r="A225" s="535"/>
      <c r="B225" s="32"/>
      <c r="C225" s="32"/>
      <c r="D225" s="534"/>
      <c r="E225" s="531"/>
      <c r="F225" s="301"/>
      <c r="G225" s="301"/>
      <c r="H225" s="301"/>
      <c r="I225" s="301"/>
      <c r="J225" s="325"/>
      <c r="K225" s="325"/>
      <c r="L225" s="301"/>
      <c r="M225" s="301"/>
      <c r="N225" s="301"/>
      <c r="O225" s="301"/>
      <c r="P225" s="301"/>
      <c r="Q225" s="325"/>
      <c r="R225" s="325"/>
      <c r="S225" s="325"/>
      <c r="T225" s="532"/>
      <c r="U225" s="301"/>
      <c r="V225" s="532"/>
      <c r="W225" s="532">
        <f>+V225-'ROR-Model'!G225</f>
        <v>0</v>
      </c>
    </row>
    <row r="226" spans="1:23">
      <c r="A226" s="535"/>
      <c r="B226" s="32"/>
      <c r="C226" s="32" t="s">
        <v>18</v>
      </c>
      <c r="D226" s="534"/>
      <c r="E226" s="531"/>
      <c r="F226" s="301"/>
      <c r="G226" s="301">
        <f>G1*Revenue!$I$225</f>
        <v>0</v>
      </c>
      <c r="H226" s="301"/>
      <c r="I226" s="301"/>
      <c r="J226" s="325"/>
      <c r="K226" s="325"/>
      <c r="L226" s="301"/>
      <c r="M226" s="301"/>
      <c r="N226" s="301"/>
      <c r="O226" s="301"/>
      <c r="P226" s="301"/>
      <c r="Q226" s="325"/>
      <c r="R226" s="325"/>
      <c r="S226" s="325"/>
      <c r="T226" s="532">
        <f>SUM(F226:S226)</f>
        <v>0</v>
      </c>
      <c r="U226" s="301"/>
      <c r="V226" s="532">
        <f>SUM(T226:T226)</f>
        <v>0</v>
      </c>
      <c r="W226" s="532">
        <f>+V226-'ROR-Model'!G226</f>
        <v>0</v>
      </c>
    </row>
    <row r="227" spans="1:23" ht="13.5" thickBot="1">
      <c r="A227" s="535"/>
      <c r="B227" s="32"/>
      <c r="C227" s="32"/>
      <c r="D227" s="534"/>
      <c r="E227" s="531"/>
      <c r="F227" s="470"/>
      <c r="G227" s="470"/>
      <c r="H227" s="470"/>
      <c r="I227" s="470"/>
      <c r="J227" s="477"/>
      <c r="K227" s="477"/>
      <c r="L227" s="470"/>
      <c r="M227" s="470"/>
      <c r="N227" s="470"/>
      <c r="O227" s="470"/>
      <c r="P227" s="470"/>
      <c r="Q227" s="477"/>
      <c r="R227" s="477"/>
      <c r="S227" s="477"/>
      <c r="T227" s="538"/>
      <c r="U227" s="470"/>
      <c r="V227" s="538"/>
      <c r="W227" s="538">
        <f>+V227-'ROR-Model'!G227</f>
        <v>0</v>
      </c>
    </row>
    <row r="228" spans="1:23" ht="13.5" thickTop="1">
      <c r="A228" s="535"/>
      <c r="B228" s="32" t="s">
        <v>494</v>
      </c>
      <c r="C228" s="32"/>
      <c r="D228" s="534"/>
      <c r="E228" s="531"/>
      <c r="F228" s="301"/>
      <c r="G228" s="301"/>
      <c r="H228" s="301"/>
      <c r="I228" s="301"/>
      <c r="J228" s="325"/>
      <c r="K228" s="325"/>
      <c r="L228" s="301"/>
      <c r="M228" s="301"/>
      <c r="N228" s="301"/>
      <c r="O228" s="301"/>
      <c r="P228" s="301"/>
      <c r="Q228" s="325"/>
      <c r="R228" s="325"/>
      <c r="S228" s="325"/>
      <c r="T228" s="532"/>
      <c r="U228" s="301"/>
      <c r="V228" s="532"/>
      <c r="W228" s="532">
        <f>+V228-'ROR-Model'!G228</f>
        <v>0</v>
      </c>
    </row>
    <row r="229" spans="1:23">
      <c r="A229" s="535"/>
      <c r="B229" s="58"/>
      <c r="C229" s="32" t="s">
        <v>14</v>
      </c>
      <c r="D229" s="534"/>
      <c r="E229" s="531"/>
      <c r="F229" s="301">
        <f>+F210+F219</f>
        <v>0</v>
      </c>
      <c r="G229" s="301">
        <f>G1*+G210+G219</f>
        <v>0</v>
      </c>
      <c r="H229" s="301">
        <f>+H210+H219</f>
        <v>0</v>
      </c>
      <c r="I229" s="301">
        <f t="shared" ref="I229:Q229" si="36">+I210+I219</f>
        <v>0</v>
      </c>
      <c r="J229" s="325">
        <f>+J210+J219</f>
        <v>0</v>
      </c>
      <c r="K229" s="325">
        <f>+K210+K219</f>
        <v>0</v>
      </c>
      <c r="L229" s="301">
        <f t="shared" si="36"/>
        <v>0</v>
      </c>
      <c r="M229" s="301">
        <f t="shared" si="36"/>
        <v>0</v>
      </c>
      <c r="N229" s="301">
        <f t="shared" si="36"/>
        <v>0</v>
      </c>
      <c r="O229" s="301">
        <f t="shared" si="36"/>
        <v>0</v>
      </c>
      <c r="P229" s="301">
        <f t="shared" si="36"/>
        <v>0</v>
      </c>
      <c r="Q229" s="325">
        <f t="shared" si="36"/>
        <v>0</v>
      </c>
      <c r="R229" s="325">
        <f>+R210+R219</f>
        <v>0</v>
      </c>
      <c r="S229" s="325">
        <f>+S210+S219</f>
        <v>0</v>
      </c>
      <c r="T229" s="532">
        <f>+T210+T219</f>
        <v>0</v>
      </c>
      <c r="U229" s="301"/>
      <c r="V229" s="532">
        <f>+V210+V219</f>
        <v>0</v>
      </c>
      <c r="W229" s="532">
        <f>+V229-'ROR-Model'!G229</f>
        <v>0</v>
      </c>
    </row>
    <row r="230" spans="1:23">
      <c r="A230" s="535"/>
      <c r="B230" s="58"/>
      <c r="C230" s="32" t="s">
        <v>15</v>
      </c>
      <c r="D230" s="534"/>
      <c r="E230" s="531"/>
      <c r="F230" s="301">
        <f>+F212+F221</f>
        <v>0</v>
      </c>
      <c r="G230" s="301">
        <f>G1*+G212+G221</f>
        <v>0</v>
      </c>
      <c r="H230" s="301">
        <f>+H212+H221</f>
        <v>0</v>
      </c>
      <c r="I230" s="301">
        <f t="shared" ref="I230:Q230" si="37">+I212+I221</f>
        <v>0</v>
      </c>
      <c r="J230" s="325">
        <f>+J212+J221</f>
        <v>0</v>
      </c>
      <c r="K230" s="325">
        <f>+K212+K221</f>
        <v>0</v>
      </c>
      <c r="L230" s="301">
        <f t="shared" si="37"/>
        <v>0</v>
      </c>
      <c r="M230" s="301">
        <f t="shared" si="37"/>
        <v>0</v>
      </c>
      <c r="N230" s="301">
        <f t="shared" si="37"/>
        <v>0</v>
      </c>
      <c r="O230" s="301">
        <f t="shared" si="37"/>
        <v>0</v>
      </c>
      <c r="P230" s="301">
        <f t="shared" si="37"/>
        <v>0</v>
      </c>
      <c r="Q230" s="325">
        <f t="shared" si="37"/>
        <v>0</v>
      </c>
      <c r="R230" s="325">
        <f>+R212+R221</f>
        <v>0</v>
      </c>
      <c r="S230" s="325">
        <f>+S212+S221</f>
        <v>0</v>
      </c>
      <c r="T230" s="532">
        <f>+T212+T221</f>
        <v>0</v>
      </c>
      <c r="U230" s="301"/>
      <c r="V230" s="532">
        <f>+V212+V221</f>
        <v>0</v>
      </c>
      <c r="W230" s="532">
        <f>+V230-'ROR-Model'!G230</f>
        <v>0</v>
      </c>
    </row>
    <row r="231" spans="1:23">
      <c r="A231" s="535"/>
      <c r="B231" s="58"/>
      <c r="C231" s="32" t="s">
        <v>16</v>
      </c>
      <c r="D231" s="534"/>
      <c r="E231" s="531"/>
      <c r="F231" s="301">
        <f>+F214+F223</f>
        <v>0</v>
      </c>
      <c r="G231" s="301">
        <f>G1*+G214+G223</f>
        <v>0</v>
      </c>
      <c r="H231" s="301">
        <f>+H214+H223</f>
        <v>0</v>
      </c>
      <c r="I231" s="301">
        <f t="shared" ref="I231:R232" si="38">+I214+I223</f>
        <v>0</v>
      </c>
      <c r="J231" s="325">
        <f>+J214+J223</f>
        <v>0</v>
      </c>
      <c r="K231" s="325">
        <f>+K214+K223</f>
        <v>0</v>
      </c>
      <c r="L231" s="301">
        <f t="shared" si="38"/>
        <v>0</v>
      </c>
      <c r="M231" s="301">
        <f t="shared" si="38"/>
        <v>0</v>
      </c>
      <c r="N231" s="301">
        <f t="shared" si="38"/>
        <v>0</v>
      </c>
      <c r="O231" s="301">
        <f t="shared" si="38"/>
        <v>0</v>
      </c>
      <c r="P231" s="301">
        <f t="shared" si="38"/>
        <v>0</v>
      </c>
      <c r="Q231" s="325">
        <f t="shared" si="38"/>
        <v>0</v>
      </c>
      <c r="R231" s="325">
        <f t="shared" si="38"/>
        <v>0</v>
      </c>
      <c r="S231" s="325">
        <f t="shared" ref="S231:T232" si="39">+S214+S223</f>
        <v>0</v>
      </c>
      <c r="T231" s="532">
        <f t="shared" si="39"/>
        <v>0</v>
      </c>
      <c r="U231" s="301"/>
      <c r="V231" s="532">
        <f>+V214+V223</f>
        <v>0</v>
      </c>
      <c r="W231" s="532">
        <f>+V231-'ROR-Model'!G231</f>
        <v>0</v>
      </c>
    </row>
    <row r="232" spans="1:23">
      <c r="A232" s="535"/>
      <c r="B232" s="58"/>
      <c r="C232" s="32" t="s">
        <v>415</v>
      </c>
      <c r="D232" s="534"/>
      <c r="E232" s="531"/>
      <c r="F232" s="323">
        <f>+F215+F224</f>
        <v>0</v>
      </c>
      <c r="G232" s="323">
        <f>G1*+G215+G224</f>
        <v>0</v>
      </c>
      <c r="H232" s="323">
        <f>+H215+H224</f>
        <v>0</v>
      </c>
      <c r="I232" s="323">
        <f t="shared" si="38"/>
        <v>0</v>
      </c>
      <c r="J232" s="476">
        <f>+J215+J224</f>
        <v>0</v>
      </c>
      <c r="K232" s="476">
        <f>+K215+K224</f>
        <v>0</v>
      </c>
      <c r="L232" s="323">
        <f t="shared" si="38"/>
        <v>0</v>
      </c>
      <c r="M232" s="323">
        <f t="shared" si="38"/>
        <v>0</v>
      </c>
      <c r="N232" s="323">
        <f t="shared" si="38"/>
        <v>0</v>
      </c>
      <c r="O232" s="323">
        <f t="shared" si="38"/>
        <v>0</v>
      </c>
      <c r="P232" s="323">
        <f>+P215+P224</f>
        <v>0</v>
      </c>
      <c r="Q232" s="476">
        <f>+Q215+Q224</f>
        <v>0</v>
      </c>
      <c r="R232" s="476">
        <f t="shared" ref="R232" si="40">+R215+R224</f>
        <v>0</v>
      </c>
      <c r="S232" s="476">
        <f t="shared" si="39"/>
        <v>0</v>
      </c>
      <c r="T232" s="536">
        <f t="shared" si="39"/>
        <v>0</v>
      </c>
      <c r="U232" s="323"/>
      <c r="V232" s="536">
        <f>+V215+V224</f>
        <v>0</v>
      </c>
      <c r="W232" s="536">
        <f>+V232-'ROR-Model'!G232</f>
        <v>0</v>
      </c>
    </row>
    <row r="233" spans="1:23">
      <c r="A233" s="535"/>
      <c r="B233" s="58"/>
      <c r="C233" s="32"/>
      <c r="D233" s="534"/>
      <c r="E233" s="531"/>
      <c r="F233" s="301"/>
      <c r="G233" s="301"/>
      <c r="H233" s="301"/>
      <c r="I233" s="301"/>
      <c r="J233" s="325"/>
      <c r="K233" s="325"/>
      <c r="L233" s="301"/>
      <c r="M233" s="301"/>
      <c r="N233" s="301"/>
      <c r="O233" s="301"/>
      <c r="P233" s="301"/>
      <c r="Q233" s="325"/>
      <c r="R233" s="325"/>
      <c r="S233" s="325"/>
      <c r="T233" s="532"/>
      <c r="U233" s="301"/>
      <c r="V233" s="532"/>
      <c r="W233" s="532">
        <f>+V233-'ROR-Model'!G233</f>
        <v>0</v>
      </c>
    </row>
    <row r="234" spans="1:23">
      <c r="A234" s="535"/>
      <c r="B234" s="58"/>
      <c r="C234" s="32" t="s">
        <v>56</v>
      </c>
      <c r="D234" s="534"/>
      <c r="E234" s="531"/>
      <c r="F234" s="301">
        <f>F217+F226</f>
        <v>0</v>
      </c>
      <c r="G234" s="301">
        <f>G1*G217+G226</f>
        <v>0</v>
      </c>
      <c r="H234" s="301">
        <f>H217+H226</f>
        <v>0</v>
      </c>
      <c r="I234" s="301">
        <f t="shared" ref="I234:Q234" si="41">I217+I226</f>
        <v>0</v>
      </c>
      <c r="J234" s="325">
        <f>J217+J226</f>
        <v>0</v>
      </c>
      <c r="K234" s="325">
        <f>K217+K226</f>
        <v>0</v>
      </c>
      <c r="L234" s="301">
        <f t="shared" si="41"/>
        <v>0</v>
      </c>
      <c r="M234" s="301">
        <f t="shared" si="41"/>
        <v>0</v>
      </c>
      <c r="N234" s="301">
        <f t="shared" si="41"/>
        <v>0</v>
      </c>
      <c r="O234" s="301">
        <f t="shared" si="41"/>
        <v>0</v>
      </c>
      <c r="P234" s="301">
        <f t="shared" si="41"/>
        <v>0</v>
      </c>
      <c r="Q234" s="325">
        <f t="shared" si="41"/>
        <v>0</v>
      </c>
      <c r="R234" s="325">
        <f>R217+R226</f>
        <v>0</v>
      </c>
      <c r="S234" s="325">
        <f>S217+S226</f>
        <v>0</v>
      </c>
      <c r="T234" s="532">
        <f>T217+T226</f>
        <v>0</v>
      </c>
      <c r="U234" s="301"/>
      <c r="V234" s="532">
        <f>V217+V226</f>
        <v>0</v>
      </c>
      <c r="W234" s="532">
        <f>+V234-'ROR-Model'!G234</f>
        <v>0</v>
      </c>
    </row>
    <row r="235" spans="1:23">
      <c r="A235" s="535"/>
      <c r="B235" s="32"/>
      <c r="C235" s="32" t="s">
        <v>57</v>
      </c>
      <c r="D235" s="534"/>
      <c r="E235" s="531"/>
      <c r="F235" s="301">
        <v>0</v>
      </c>
      <c r="G235" s="301">
        <v>0</v>
      </c>
      <c r="H235" s="301">
        <v>0</v>
      </c>
      <c r="I235" s="301">
        <v>0</v>
      </c>
      <c r="J235" s="325">
        <v>0</v>
      </c>
      <c r="K235" s="325">
        <v>0</v>
      </c>
      <c r="L235" s="301">
        <v>0</v>
      </c>
      <c r="M235" s="301">
        <v>0</v>
      </c>
      <c r="N235" s="301">
        <v>0</v>
      </c>
      <c r="O235" s="301">
        <v>0</v>
      </c>
      <c r="P235" s="301">
        <v>0</v>
      </c>
      <c r="Q235" s="325">
        <v>0</v>
      </c>
      <c r="R235" s="325">
        <v>0</v>
      </c>
      <c r="S235" s="325">
        <v>0</v>
      </c>
      <c r="T235" s="532">
        <v>0</v>
      </c>
      <c r="U235" s="301"/>
      <c r="V235" s="532">
        <v>0</v>
      </c>
      <c r="W235" s="532">
        <f>+V235-'ROR-Model'!G235</f>
        <v>0</v>
      </c>
    </row>
    <row r="236" spans="1:23">
      <c r="A236" s="535"/>
      <c r="B236" s="58"/>
      <c r="C236" s="32" t="s">
        <v>416</v>
      </c>
      <c r="D236" s="534"/>
      <c r="E236" s="531"/>
      <c r="F236" s="323">
        <f>+F217+F226</f>
        <v>0</v>
      </c>
      <c r="G236" s="323">
        <f>G1*+G217+G226</f>
        <v>0</v>
      </c>
      <c r="H236" s="323">
        <f>+H217+H226</f>
        <v>0</v>
      </c>
      <c r="I236" s="323">
        <f t="shared" ref="I236:Q236" si="42">+I217+I226</f>
        <v>0</v>
      </c>
      <c r="J236" s="476">
        <f>+J217+J226</f>
        <v>0</v>
      </c>
      <c r="K236" s="476">
        <f>+K217+K226</f>
        <v>0</v>
      </c>
      <c r="L236" s="323">
        <f t="shared" si="42"/>
        <v>0</v>
      </c>
      <c r="M236" s="323">
        <f t="shared" si="42"/>
        <v>0</v>
      </c>
      <c r="N236" s="323">
        <f t="shared" si="42"/>
        <v>0</v>
      </c>
      <c r="O236" s="323">
        <f t="shared" si="42"/>
        <v>0</v>
      </c>
      <c r="P236" s="323">
        <f t="shared" si="42"/>
        <v>0</v>
      </c>
      <c r="Q236" s="476">
        <f t="shared" si="42"/>
        <v>0</v>
      </c>
      <c r="R236" s="476">
        <f>+R217+R226</f>
        <v>0</v>
      </c>
      <c r="S236" s="476">
        <f>+S217+S226</f>
        <v>0</v>
      </c>
      <c r="T236" s="536">
        <f>+T217+T226</f>
        <v>0</v>
      </c>
      <c r="U236" s="323"/>
      <c r="V236" s="536">
        <f>+V217+V226</f>
        <v>0</v>
      </c>
      <c r="W236" s="536">
        <f>+V236-'ROR-Model'!G236</f>
        <v>0</v>
      </c>
    </row>
    <row r="237" spans="1:23">
      <c r="A237" s="535"/>
      <c r="B237" s="540"/>
      <c r="C237" s="541"/>
      <c r="D237" s="534"/>
      <c r="E237" s="531"/>
      <c r="F237" s="301"/>
      <c r="G237" s="301"/>
      <c r="H237" s="301"/>
      <c r="I237" s="301"/>
      <c r="J237" s="325"/>
      <c r="K237" s="325"/>
      <c r="L237" s="301"/>
      <c r="M237" s="301"/>
      <c r="N237" s="301"/>
      <c r="O237" s="301"/>
      <c r="P237" s="301"/>
      <c r="Q237" s="325"/>
      <c r="R237" s="325"/>
      <c r="S237" s="325"/>
      <c r="T237" s="532"/>
      <c r="U237" s="301"/>
      <c r="V237" s="532"/>
      <c r="W237" s="532">
        <f>+V237-'ROR-Model'!G237</f>
        <v>0</v>
      </c>
    </row>
    <row r="238" spans="1:23">
      <c r="A238" s="167" t="s">
        <v>23</v>
      </c>
      <c r="B238" s="540"/>
      <c r="C238" s="541"/>
      <c r="D238" s="534"/>
      <c r="E238" s="531"/>
      <c r="F238" s="301"/>
      <c r="G238" s="301"/>
      <c r="H238" s="301"/>
      <c r="I238" s="301"/>
      <c r="J238" s="325"/>
      <c r="K238" s="325"/>
      <c r="L238" s="301"/>
      <c r="M238" s="301"/>
      <c r="N238" s="301"/>
      <c r="O238" s="301"/>
      <c r="P238" s="301"/>
      <c r="Q238" s="325"/>
      <c r="R238" s="325"/>
      <c r="S238" s="325"/>
      <c r="T238" s="532"/>
      <c r="U238" s="301"/>
      <c r="V238" s="532"/>
      <c r="W238" s="532">
        <f>+V238-'ROR-Model'!G238</f>
        <v>0</v>
      </c>
    </row>
    <row r="239" spans="1:23">
      <c r="A239" s="535"/>
      <c r="B239" s="58" t="s">
        <v>13</v>
      </c>
      <c r="C239" s="58" t="s">
        <v>14</v>
      </c>
      <c r="D239" s="534"/>
      <c r="E239" s="531"/>
      <c r="F239" s="301"/>
      <c r="G239" s="301">
        <f>G1*Revenue!$I$238</f>
        <v>0</v>
      </c>
      <c r="H239" s="301"/>
      <c r="I239" s="301"/>
      <c r="J239" s="325"/>
      <c r="K239" s="325"/>
      <c r="L239" s="301"/>
      <c r="M239" s="301"/>
      <c r="N239" s="301"/>
      <c r="O239" s="301"/>
      <c r="P239" s="301"/>
      <c r="Q239" s="325"/>
      <c r="R239" s="325"/>
      <c r="S239" s="325"/>
      <c r="T239" s="532">
        <f>SUM(F239:S239)</f>
        <v>0</v>
      </c>
      <c r="U239" s="301"/>
      <c r="V239" s="532">
        <f>SUM(T239:T239)</f>
        <v>0</v>
      </c>
      <c r="W239" s="532">
        <f>+V239-'ROR-Model'!G239</f>
        <v>0</v>
      </c>
    </row>
    <row r="240" spans="1:23">
      <c r="A240" s="535"/>
      <c r="B240" s="32"/>
      <c r="C240" s="32"/>
      <c r="D240" s="534"/>
      <c r="E240" s="531"/>
      <c r="F240" s="301"/>
      <c r="G240" s="301"/>
      <c r="H240" s="301"/>
      <c r="I240" s="301"/>
      <c r="J240" s="325"/>
      <c r="K240" s="325"/>
      <c r="L240" s="301"/>
      <c r="M240" s="301"/>
      <c r="N240" s="301"/>
      <c r="O240" s="301"/>
      <c r="P240" s="301"/>
      <c r="Q240" s="325"/>
      <c r="R240" s="325"/>
      <c r="S240" s="325"/>
      <c r="T240" s="532"/>
      <c r="U240" s="301"/>
      <c r="V240" s="532"/>
      <c r="W240" s="532">
        <f>+V240-'ROR-Model'!G240</f>
        <v>0</v>
      </c>
    </row>
    <row r="241" spans="1:23">
      <c r="A241" s="535"/>
      <c r="B241" s="32"/>
      <c r="C241" s="32"/>
      <c r="D241" s="534"/>
      <c r="E241" s="531"/>
      <c r="F241" s="301"/>
      <c r="G241" s="301"/>
      <c r="H241" s="301"/>
      <c r="I241" s="301"/>
      <c r="J241" s="325"/>
      <c r="K241" s="325"/>
      <c r="L241" s="301"/>
      <c r="M241" s="301"/>
      <c r="N241" s="301"/>
      <c r="O241" s="301"/>
      <c r="P241" s="301"/>
      <c r="Q241" s="325"/>
      <c r="R241" s="325"/>
      <c r="S241" s="325"/>
      <c r="T241" s="532">
        <f>SUM(F241:S241)</f>
        <v>0</v>
      </c>
      <c r="U241" s="301"/>
      <c r="V241" s="532">
        <f>SUM(T241:T241)</f>
        <v>0</v>
      </c>
      <c r="W241" s="532">
        <f>+V241-'ROR-Model'!G241</f>
        <v>0</v>
      </c>
    </row>
    <row r="242" spans="1:23">
      <c r="A242" s="535"/>
      <c r="B242" s="32"/>
      <c r="C242" s="32"/>
      <c r="D242" s="534"/>
      <c r="E242" s="531"/>
      <c r="F242" s="301"/>
      <c r="G242" s="301"/>
      <c r="H242" s="301"/>
      <c r="I242" s="301"/>
      <c r="J242" s="325"/>
      <c r="K242" s="325"/>
      <c r="L242" s="301"/>
      <c r="M242" s="301"/>
      <c r="N242" s="301"/>
      <c r="O242" s="301"/>
      <c r="P242" s="301"/>
      <c r="Q242" s="325"/>
      <c r="R242" s="325"/>
      <c r="S242" s="325"/>
      <c r="T242" s="532"/>
      <c r="U242" s="301"/>
      <c r="V242" s="532"/>
      <c r="W242" s="532">
        <f>+V242-'ROR-Model'!G242</f>
        <v>0</v>
      </c>
    </row>
    <row r="243" spans="1:23">
      <c r="A243" s="535"/>
      <c r="B243" s="58"/>
      <c r="C243" s="58" t="s">
        <v>16</v>
      </c>
      <c r="D243" s="534"/>
      <c r="E243" s="531"/>
      <c r="F243" s="301"/>
      <c r="G243" s="301">
        <f>G1*Revenue!$I$242</f>
        <v>0</v>
      </c>
      <c r="H243" s="301"/>
      <c r="I243" s="301"/>
      <c r="J243" s="325"/>
      <c r="K243" s="325"/>
      <c r="L243" s="301"/>
      <c r="M243" s="301"/>
      <c r="N243" s="301"/>
      <c r="O243" s="301"/>
      <c r="P243" s="301"/>
      <c r="Q243" s="325"/>
      <c r="R243" s="325"/>
      <c r="S243" s="325"/>
      <c r="T243" s="532">
        <f>SUM(F243:S243)</f>
        <v>0</v>
      </c>
      <c r="U243" s="301"/>
      <c r="V243" s="532">
        <f>SUM(T243:T243)</f>
        <v>0</v>
      </c>
      <c r="W243" s="532">
        <f>+V243-'ROR-Model'!G243</f>
        <v>0</v>
      </c>
    </row>
    <row r="244" spans="1:23">
      <c r="A244" s="535"/>
      <c r="B244" s="58"/>
      <c r="C244" s="58" t="s">
        <v>17</v>
      </c>
      <c r="D244" s="534"/>
      <c r="E244" s="531"/>
      <c r="F244" s="323">
        <f>SUM(F239:F243)</f>
        <v>0</v>
      </c>
      <c r="G244" s="323">
        <f>G1*SUM(G239:G243)</f>
        <v>0</v>
      </c>
      <c r="H244" s="323">
        <f>SUM(H239:H243)</f>
        <v>0</v>
      </c>
      <c r="I244" s="323">
        <f t="shared" ref="I244:P244" si="43">SUM(I239:I243)</f>
        <v>0</v>
      </c>
      <c r="J244" s="476">
        <f>SUM(J239:J243)</f>
        <v>0</v>
      </c>
      <c r="K244" s="476">
        <f>SUM(K239:K243)</f>
        <v>0</v>
      </c>
      <c r="L244" s="323">
        <f t="shared" si="43"/>
        <v>0</v>
      </c>
      <c r="M244" s="323">
        <f t="shared" si="43"/>
        <v>0</v>
      </c>
      <c r="N244" s="323">
        <f t="shared" si="43"/>
        <v>0</v>
      </c>
      <c r="O244" s="323">
        <f t="shared" si="43"/>
        <v>0</v>
      </c>
      <c r="P244" s="323">
        <f t="shared" si="43"/>
        <v>0</v>
      </c>
      <c r="Q244" s="476">
        <f>SUM(Q239:Q243)</f>
        <v>0</v>
      </c>
      <c r="R244" s="476">
        <f>SUM(R239:R243)</f>
        <v>0</v>
      </c>
      <c r="S244" s="476">
        <f>SUM(S239:S243)</f>
        <v>0</v>
      </c>
      <c r="T244" s="536">
        <f>SUM(T239:T243)</f>
        <v>0</v>
      </c>
      <c r="U244" s="323"/>
      <c r="V244" s="536">
        <f>SUM(V239:V243)</f>
        <v>0</v>
      </c>
      <c r="W244" s="536">
        <f>+V244-'ROR-Model'!G244</f>
        <v>0</v>
      </c>
    </row>
    <row r="245" spans="1:23">
      <c r="A245" s="535"/>
      <c r="B245" s="58"/>
      <c r="C245" s="58"/>
      <c r="D245" s="534"/>
      <c r="E245" s="531"/>
      <c r="F245" s="301"/>
      <c r="G245" s="301"/>
      <c r="H245" s="301"/>
      <c r="I245" s="301"/>
      <c r="J245" s="325"/>
      <c r="K245" s="325"/>
      <c r="L245" s="301"/>
      <c r="M245" s="301"/>
      <c r="N245" s="301"/>
      <c r="O245" s="301"/>
      <c r="P245" s="301"/>
      <c r="Q245" s="325"/>
      <c r="R245" s="325"/>
      <c r="S245" s="325"/>
      <c r="T245" s="532"/>
      <c r="U245" s="301"/>
      <c r="V245" s="532"/>
      <c r="W245" s="532">
        <f>+V245-'ROR-Model'!G245</f>
        <v>0</v>
      </c>
    </row>
    <row r="246" spans="1:23">
      <c r="A246" s="535"/>
      <c r="B246" s="58"/>
      <c r="C246" s="58" t="s">
        <v>18</v>
      </c>
      <c r="D246" s="534"/>
      <c r="E246" s="531"/>
      <c r="F246" s="301"/>
      <c r="G246" s="301">
        <f>G1*Revenue!$I$245</f>
        <v>0</v>
      </c>
      <c r="H246" s="301"/>
      <c r="I246" s="301"/>
      <c r="J246" s="325"/>
      <c r="K246" s="325"/>
      <c r="L246" s="301"/>
      <c r="M246" s="301"/>
      <c r="N246" s="301"/>
      <c r="O246" s="301"/>
      <c r="P246" s="301"/>
      <c r="Q246" s="325"/>
      <c r="R246" s="325"/>
      <c r="S246" s="325"/>
      <c r="T246" s="532">
        <f>SUM(F246:S246)</f>
        <v>0</v>
      </c>
      <c r="U246" s="301"/>
      <c r="V246" s="532">
        <f>SUM(T246:T246)</f>
        <v>0</v>
      </c>
      <c r="W246" s="532">
        <f>+V246-'ROR-Model'!G246</f>
        <v>0</v>
      </c>
    </row>
    <row r="247" spans="1:23">
      <c r="A247" s="535"/>
      <c r="B247" s="32"/>
      <c r="C247" s="32"/>
      <c r="D247" s="534"/>
      <c r="E247" s="531"/>
      <c r="F247" s="301"/>
      <c r="G247" s="301"/>
      <c r="H247" s="301"/>
      <c r="I247" s="301"/>
      <c r="J247" s="325"/>
      <c r="K247" s="325"/>
      <c r="L247" s="301"/>
      <c r="M247" s="301"/>
      <c r="N247" s="301"/>
      <c r="O247" s="301"/>
      <c r="P247" s="301"/>
      <c r="Q247" s="325"/>
      <c r="R247" s="325"/>
      <c r="S247" s="325"/>
      <c r="T247" s="532"/>
      <c r="U247" s="301"/>
      <c r="V247" s="532"/>
      <c r="W247" s="532">
        <f>+V247-'ROR-Model'!G247</f>
        <v>0</v>
      </c>
    </row>
    <row r="248" spans="1:23">
      <c r="A248" s="535"/>
      <c r="B248" s="58" t="s">
        <v>745</v>
      </c>
      <c r="C248" s="58" t="s">
        <v>14</v>
      </c>
      <c r="D248" s="534"/>
      <c r="E248" s="531"/>
      <c r="F248" s="301"/>
      <c r="G248" s="301">
        <f>G1*Revenue!$I$247</f>
        <v>0</v>
      </c>
      <c r="H248" s="301"/>
      <c r="I248" s="301"/>
      <c r="J248" s="325"/>
      <c r="K248" s="325"/>
      <c r="L248" s="301"/>
      <c r="M248" s="301"/>
      <c r="N248" s="301"/>
      <c r="O248" s="301"/>
      <c r="P248" s="301"/>
      <c r="Q248" s="325"/>
      <c r="R248" s="325"/>
      <c r="S248" s="325"/>
      <c r="T248" s="532">
        <f>SUM(F248:S248)</f>
        <v>0</v>
      </c>
      <c r="U248" s="301"/>
      <c r="V248" s="532">
        <f>SUM(T248:T248)</f>
        <v>0</v>
      </c>
      <c r="W248" s="532">
        <f>+V248-'ROR-Model'!G248</f>
        <v>0</v>
      </c>
    </row>
    <row r="249" spans="1:23">
      <c r="A249" s="535"/>
      <c r="B249" s="58"/>
      <c r="C249" s="58"/>
      <c r="D249" s="534"/>
      <c r="E249" s="531"/>
      <c r="F249" s="301"/>
      <c r="G249" s="301"/>
      <c r="H249" s="301"/>
      <c r="I249" s="301"/>
      <c r="J249" s="325"/>
      <c r="K249" s="325"/>
      <c r="L249" s="301"/>
      <c r="M249" s="301"/>
      <c r="N249" s="301"/>
      <c r="O249" s="301"/>
      <c r="P249" s="301"/>
      <c r="Q249" s="325"/>
      <c r="R249" s="325"/>
      <c r="S249" s="325"/>
      <c r="T249" s="532"/>
      <c r="U249" s="301"/>
      <c r="V249" s="532"/>
      <c r="W249" s="532">
        <f>+V249-'ROR-Model'!G249</f>
        <v>0</v>
      </c>
    </row>
    <row r="250" spans="1:23">
      <c r="A250" s="535"/>
      <c r="B250" s="58"/>
      <c r="C250" s="58"/>
      <c r="D250" s="534"/>
      <c r="E250" s="531"/>
      <c r="F250" s="301"/>
      <c r="G250" s="301"/>
      <c r="H250" s="301"/>
      <c r="I250" s="301"/>
      <c r="J250" s="325"/>
      <c r="K250" s="325"/>
      <c r="L250" s="301"/>
      <c r="M250" s="301"/>
      <c r="N250" s="301"/>
      <c r="O250" s="301"/>
      <c r="P250" s="301"/>
      <c r="Q250" s="325"/>
      <c r="R250" s="325"/>
      <c r="S250" s="325"/>
      <c r="T250" s="532">
        <f>SUM(F250:S250)</f>
        <v>0</v>
      </c>
      <c r="U250" s="301"/>
      <c r="V250" s="532">
        <f>SUM(T250:T250)</f>
        <v>0</v>
      </c>
      <c r="W250" s="532">
        <f>+V250-'ROR-Model'!G250</f>
        <v>0</v>
      </c>
    </row>
    <row r="251" spans="1:23">
      <c r="A251" s="535"/>
      <c r="B251" s="32"/>
      <c r="C251" s="32"/>
      <c r="D251" s="534"/>
      <c r="E251" s="531"/>
      <c r="F251" s="301"/>
      <c r="G251" s="301"/>
      <c r="H251" s="301"/>
      <c r="I251" s="301"/>
      <c r="J251" s="325"/>
      <c r="K251" s="325"/>
      <c r="L251" s="301"/>
      <c r="M251" s="301"/>
      <c r="N251" s="301"/>
      <c r="O251" s="301"/>
      <c r="P251" s="301"/>
      <c r="Q251" s="325"/>
      <c r="R251" s="325"/>
      <c r="S251" s="325"/>
      <c r="T251" s="532"/>
      <c r="U251" s="301"/>
      <c r="V251" s="532"/>
      <c r="W251" s="532">
        <f>+V251-'ROR-Model'!G251</f>
        <v>0</v>
      </c>
    </row>
    <row r="252" spans="1:23">
      <c r="A252" s="535"/>
      <c r="B252" s="58"/>
      <c r="C252" s="58" t="s">
        <v>16</v>
      </c>
      <c r="D252" s="534"/>
      <c r="E252" s="531"/>
      <c r="F252" s="301"/>
      <c r="G252" s="301">
        <f>G1*Revenue!$I$251</f>
        <v>0</v>
      </c>
      <c r="H252" s="301"/>
      <c r="I252" s="301"/>
      <c r="J252" s="325"/>
      <c r="K252" s="325"/>
      <c r="L252" s="301"/>
      <c r="M252" s="301"/>
      <c r="N252" s="301"/>
      <c r="O252" s="301"/>
      <c r="P252" s="301"/>
      <c r="Q252" s="325"/>
      <c r="R252" s="325"/>
      <c r="S252" s="325"/>
      <c r="T252" s="532">
        <f>SUM(F252:S252)</f>
        <v>0</v>
      </c>
      <c r="U252" s="301"/>
      <c r="V252" s="532">
        <f>SUM(T252:T252)</f>
        <v>0</v>
      </c>
      <c r="W252" s="532">
        <f>+V252-'ROR-Model'!G252</f>
        <v>0</v>
      </c>
    </row>
    <row r="253" spans="1:23">
      <c r="A253" s="535"/>
      <c r="B253" s="58"/>
      <c r="C253" s="58" t="s">
        <v>17</v>
      </c>
      <c r="D253" s="534"/>
      <c r="E253" s="531"/>
      <c r="F253" s="323">
        <f>SUM(F248:F252)</f>
        <v>0</v>
      </c>
      <c r="G253" s="323">
        <f>G1*SUM(G248:G252)</f>
        <v>0</v>
      </c>
      <c r="H253" s="323">
        <f>SUM(H248:H252)</f>
        <v>0</v>
      </c>
      <c r="I253" s="323">
        <f t="shared" ref="I253:P253" si="44">SUM(I248:I252)</f>
        <v>0</v>
      </c>
      <c r="J253" s="476">
        <f>SUM(J248:J252)</f>
        <v>0</v>
      </c>
      <c r="K253" s="476">
        <f>SUM(K248:K252)</f>
        <v>0</v>
      </c>
      <c r="L253" s="323">
        <f t="shared" si="44"/>
        <v>0</v>
      </c>
      <c r="M253" s="323">
        <f t="shared" si="44"/>
        <v>0</v>
      </c>
      <c r="N253" s="323">
        <f t="shared" si="44"/>
        <v>0</v>
      </c>
      <c r="O253" s="323">
        <f t="shared" si="44"/>
        <v>0</v>
      </c>
      <c r="P253" s="323">
        <f t="shared" si="44"/>
        <v>0</v>
      </c>
      <c r="Q253" s="476">
        <f>SUM(Q248:Q252)</f>
        <v>0</v>
      </c>
      <c r="R253" s="476">
        <f>SUM(R248:R252)</f>
        <v>0</v>
      </c>
      <c r="S253" s="476">
        <f>SUM(S248:S252)</f>
        <v>0</v>
      </c>
      <c r="T253" s="536">
        <f>SUM(T248:T252)</f>
        <v>0</v>
      </c>
      <c r="U253" s="323"/>
      <c r="V253" s="536">
        <f>SUM(V248:V252)</f>
        <v>0</v>
      </c>
      <c r="W253" s="536">
        <f>+V253-'ROR-Model'!G253</f>
        <v>0</v>
      </c>
    </row>
    <row r="254" spans="1:23">
      <c r="A254" s="535"/>
      <c r="B254" s="58"/>
      <c r="C254" s="58"/>
      <c r="D254" s="534"/>
      <c r="E254" s="531"/>
      <c r="F254" s="301"/>
      <c r="G254" s="301"/>
      <c r="H254" s="301"/>
      <c r="I254" s="301"/>
      <c r="J254" s="325"/>
      <c r="K254" s="325"/>
      <c r="L254" s="301"/>
      <c r="M254" s="301"/>
      <c r="N254" s="301"/>
      <c r="O254" s="301"/>
      <c r="P254" s="301"/>
      <c r="Q254" s="325"/>
      <c r="R254" s="325"/>
      <c r="S254" s="325"/>
      <c r="T254" s="532"/>
      <c r="U254" s="301"/>
      <c r="V254" s="532"/>
      <c r="W254" s="532">
        <f>+V254-'ROR-Model'!G254</f>
        <v>0</v>
      </c>
    </row>
    <row r="255" spans="1:23">
      <c r="A255" s="535"/>
      <c r="B255" s="58"/>
      <c r="C255" s="58" t="s">
        <v>18</v>
      </c>
      <c r="D255" s="534"/>
      <c r="E255" s="531"/>
      <c r="F255" s="301"/>
      <c r="G255" s="301">
        <f>G1*Revenue!$I$254</f>
        <v>0</v>
      </c>
      <c r="H255" s="301"/>
      <c r="I255" s="301"/>
      <c r="J255" s="325"/>
      <c r="K255" s="325"/>
      <c r="L255" s="301"/>
      <c r="M255" s="301"/>
      <c r="N255" s="301"/>
      <c r="O255" s="301"/>
      <c r="P255" s="301"/>
      <c r="Q255" s="325"/>
      <c r="R255" s="325"/>
      <c r="S255" s="325"/>
      <c r="T255" s="532">
        <f>SUM(F255:S255)</f>
        <v>0</v>
      </c>
      <c r="U255" s="301"/>
      <c r="V255" s="532">
        <f>SUM(T255:T255)</f>
        <v>0</v>
      </c>
      <c r="W255" s="532">
        <f>+V255-'ROR-Model'!G255</f>
        <v>0</v>
      </c>
    </row>
    <row r="256" spans="1:23">
      <c r="A256" s="535"/>
      <c r="B256" s="32"/>
      <c r="C256" s="32"/>
      <c r="D256" s="534"/>
      <c r="E256" s="531"/>
      <c r="F256" s="301"/>
      <c r="G256" s="301"/>
      <c r="H256" s="301"/>
      <c r="I256" s="301"/>
      <c r="J256" s="325"/>
      <c r="K256" s="325"/>
      <c r="L256" s="301"/>
      <c r="M256" s="301"/>
      <c r="N256" s="301"/>
      <c r="O256" s="301"/>
      <c r="P256" s="301"/>
      <c r="Q256" s="325"/>
      <c r="R256" s="325"/>
      <c r="S256" s="325"/>
      <c r="T256" s="532"/>
      <c r="U256" s="301"/>
      <c r="V256" s="532"/>
      <c r="W256" s="532">
        <f>+V256-'ROR-Model'!G256</f>
        <v>0</v>
      </c>
    </row>
    <row r="257" spans="1:23">
      <c r="A257" s="535"/>
      <c r="B257" s="58" t="s">
        <v>746</v>
      </c>
      <c r="C257" s="58" t="s">
        <v>14</v>
      </c>
      <c r="D257" s="534"/>
      <c r="E257" s="531"/>
      <c r="F257" s="301"/>
      <c r="G257" s="301">
        <f>G1*Revenue!$I$256</f>
        <v>0</v>
      </c>
      <c r="H257" s="301"/>
      <c r="I257" s="301"/>
      <c r="J257" s="325"/>
      <c r="K257" s="325"/>
      <c r="L257" s="301"/>
      <c r="M257" s="301"/>
      <c r="N257" s="301"/>
      <c r="O257" s="301"/>
      <c r="P257" s="301"/>
      <c r="Q257" s="325"/>
      <c r="R257" s="325"/>
      <c r="S257" s="325"/>
      <c r="T257" s="532">
        <f>SUM(F257:S257)</f>
        <v>0</v>
      </c>
      <c r="U257" s="301"/>
      <c r="V257" s="532">
        <f>SUM(T257:T257)</f>
        <v>0</v>
      </c>
      <c r="W257" s="532">
        <f>+V257-'ROR-Model'!G257</f>
        <v>0</v>
      </c>
    </row>
    <row r="258" spans="1:23">
      <c r="A258" s="535"/>
      <c r="B258" s="58"/>
      <c r="C258" s="58"/>
      <c r="D258" s="534"/>
      <c r="E258" s="531"/>
      <c r="F258" s="301"/>
      <c r="G258" s="301"/>
      <c r="H258" s="301"/>
      <c r="I258" s="301"/>
      <c r="J258" s="325"/>
      <c r="K258" s="325"/>
      <c r="L258" s="301"/>
      <c r="M258" s="301"/>
      <c r="N258" s="301"/>
      <c r="O258" s="301"/>
      <c r="P258" s="301"/>
      <c r="Q258" s="325"/>
      <c r="R258" s="325"/>
      <c r="S258" s="325"/>
      <c r="T258" s="532"/>
      <c r="U258" s="301"/>
      <c r="V258" s="532"/>
      <c r="W258" s="532">
        <f>+V258-'ROR-Model'!G258</f>
        <v>0</v>
      </c>
    </row>
    <row r="259" spans="1:23">
      <c r="A259" s="535"/>
      <c r="B259" s="58"/>
      <c r="C259" s="58"/>
      <c r="D259" s="534"/>
      <c r="E259" s="531"/>
      <c r="F259" s="301"/>
      <c r="G259" s="301"/>
      <c r="H259" s="301"/>
      <c r="I259" s="301"/>
      <c r="J259" s="325"/>
      <c r="K259" s="325"/>
      <c r="L259" s="301"/>
      <c r="M259" s="301"/>
      <c r="N259" s="301"/>
      <c r="O259" s="301"/>
      <c r="P259" s="301"/>
      <c r="Q259" s="325"/>
      <c r="R259" s="325"/>
      <c r="S259" s="325"/>
      <c r="T259" s="532">
        <f>SUM(F259:S259)</f>
        <v>0</v>
      </c>
      <c r="U259" s="301"/>
      <c r="V259" s="532">
        <f>SUM(T259:T259)</f>
        <v>0</v>
      </c>
      <c r="W259" s="532">
        <f>+V259-'ROR-Model'!G259</f>
        <v>0</v>
      </c>
    </row>
    <row r="260" spans="1:23">
      <c r="A260" s="535"/>
      <c r="B260" s="32"/>
      <c r="C260" s="32"/>
      <c r="D260" s="534"/>
      <c r="E260" s="531"/>
      <c r="F260" s="301"/>
      <c r="G260" s="301"/>
      <c r="H260" s="301"/>
      <c r="I260" s="301"/>
      <c r="J260" s="325"/>
      <c r="K260" s="325"/>
      <c r="L260" s="301"/>
      <c r="M260" s="301"/>
      <c r="N260" s="301"/>
      <c r="O260" s="301"/>
      <c r="P260" s="301"/>
      <c r="Q260" s="325"/>
      <c r="R260" s="325"/>
      <c r="S260" s="325"/>
      <c r="T260" s="532"/>
      <c r="U260" s="301"/>
      <c r="V260" s="532"/>
      <c r="W260" s="532">
        <f>+V260-'ROR-Model'!G260</f>
        <v>0</v>
      </c>
    </row>
    <row r="261" spans="1:23">
      <c r="A261" s="535"/>
      <c r="B261" s="58"/>
      <c r="C261" s="58" t="s">
        <v>16</v>
      </c>
      <c r="D261" s="534"/>
      <c r="E261" s="531"/>
      <c r="F261" s="301"/>
      <c r="G261" s="301">
        <f>G1*Revenue!$I$260</f>
        <v>0</v>
      </c>
      <c r="H261" s="301"/>
      <c r="I261" s="301"/>
      <c r="J261" s="325"/>
      <c r="K261" s="325"/>
      <c r="L261" s="301"/>
      <c r="M261" s="301"/>
      <c r="N261" s="301"/>
      <c r="O261" s="301"/>
      <c r="P261" s="301"/>
      <c r="Q261" s="325"/>
      <c r="R261" s="325"/>
      <c r="S261" s="325"/>
      <c r="T261" s="532">
        <f>SUM(F261:S261)</f>
        <v>0</v>
      </c>
      <c r="U261" s="301"/>
      <c r="V261" s="532">
        <f>SUM(T261:T261)</f>
        <v>0</v>
      </c>
      <c r="W261" s="532">
        <f>+V261-'ROR-Model'!G261</f>
        <v>0</v>
      </c>
    </row>
    <row r="262" spans="1:23">
      <c r="A262" s="535"/>
      <c r="B262" s="58"/>
      <c r="C262" s="58" t="s">
        <v>17</v>
      </c>
      <c r="D262" s="534"/>
      <c r="E262" s="531"/>
      <c r="F262" s="323">
        <f>SUM(F257:F261)</f>
        <v>0</v>
      </c>
      <c r="G262" s="323">
        <f>G1*SUM(G257:G261)</f>
        <v>0</v>
      </c>
      <c r="H262" s="323">
        <f>SUM(H257:H261)</f>
        <v>0</v>
      </c>
      <c r="I262" s="323">
        <f t="shared" ref="I262:P262" si="45">SUM(I257:I261)</f>
        <v>0</v>
      </c>
      <c r="J262" s="476">
        <f>SUM(J257:J261)</f>
        <v>0</v>
      </c>
      <c r="K262" s="476">
        <f>SUM(K257:K261)</f>
        <v>0</v>
      </c>
      <c r="L262" s="323">
        <f t="shared" si="45"/>
        <v>0</v>
      </c>
      <c r="M262" s="323">
        <f t="shared" si="45"/>
        <v>0</v>
      </c>
      <c r="N262" s="323">
        <f t="shared" si="45"/>
        <v>0</v>
      </c>
      <c r="O262" s="323">
        <f t="shared" si="45"/>
        <v>0</v>
      </c>
      <c r="P262" s="323">
        <f t="shared" si="45"/>
        <v>0</v>
      </c>
      <c r="Q262" s="476">
        <f>SUM(Q257:Q261)</f>
        <v>0</v>
      </c>
      <c r="R262" s="476">
        <f>SUM(R257:R261)</f>
        <v>0</v>
      </c>
      <c r="S262" s="476">
        <f>SUM(S257:S261)</f>
        <v>0</v>
      </c>
      <c r="T262" s="536">
        <f>SUM(T257:T261)</f>
        <v>0</v>
      </c>
      <c r="U262" s="323"/>
      <c r="V262" s="536">
        <f>SUM(V257:V261)</f>
        <v>0</v>
      </c>
      <c r="W262" s="536">
        <f>+V262-'ROR-Model'!G262</f>
        <v>0</v>
      </c>
    </row>
    <row r="263" spans="1:23">
      <c r="A263" s="535"/>
      <c r="B263" s="58"/>
      <c r="C263" s="58"/>
      <c r="D263" s="534"/>
      <c r="E263" s="531"/>
      <c r="F263" s="301"/>
      <c r="G263" s="301"/>
      <c r="H263" s="301"/>
      <c r="I263" s="301"/>
      <c r="J263" s="325"/>
      <c r="K263" s="325"/>
      <c r="L263" s="301"/>
      <c r="M263" s="301"/>
      <c r="N263" s="301"/>
      <c r="O263" s="301"/>
      <c r="P263" s="301"/>
      <c r="Q263" s="325"/>
      <c r="R263" s="325"/>
      <c r="S263" s="325"/>
      <c r="T263" s="532"/>
      <c r="U263" s="301"/>
      <c r="V263" s="532"/>
      <c r="W263" s="532">
        <f>+V263-'ROR-Model'!G263</f>
        <v>0</v>
      </c>
    </row>
    <row r="264" spans="1:23">
      <c r="A264" s="535"/>
      <c r="B264" s="58"/>
      <c r="C264" s="58" t="s">
        <v>18</v>
      </c>
      <c r="D264" s="534"/>
      <c r="E264" s="531"/>
      <c r="F264" s="301"/>
      <c r="G264" s="301">
        <f>G1*Revenue!$I$263</f>
        <v>0</v>
      </c>
      <c r="H264" s="301"/>
      <c r="I264" s="301"/>
      <c r="J264" s="325"/>
      <c r="K264" s="325"/>
      <c r="L264" s="301"/>
      <c r="M264" s="301"/>
      <c r="N264" s="301"/>
      <c r="O264" s="301"/>
      <c r="P264" s="301"/>
      <c r="Q264" s="325"/>
      <c r="R264" s="325"/>
      <c r="S264" s="325"/>
      <c r="T264" s="532">
        <f>SUM(F264:S264)</f>
        <v>0</v>
      </c>
      <c r="U264" s="301"/>
      <c r="V264" s="532">
        <f>SUM(T264:T264)</f>
        <v>0</v>
      </c>
      <c r="W264" s="532">
        <f>+V264-'ROR-Model'!G264</f>
        <v>0</v>
      </c>
    </row>
    <row r="265" spans="1:23">
      <c r="A265" s="535"/>
      <c r="B265" s="32"/>
      <c r="C265" s="32"/>
      <c r="D265" s="534"/>
      <c r="E265" s="531"/>
      <c r="F265" s="301"/>
      <c r="G265" s="301"/>
      <c r="H265" s="301"/>
      <c r="I265" s="301"/>
      <c r="J265" s="325"/>
      <c r="K265" s="325"/>
      <c r="L265" s="301"/>
      <c r="M265" s="301"/>
      <c r="N265" s="301"/>
      <c r="O265" s="301"/>
      <c r="P265" s="301"/>
      <c r="Q265" s="325"/>
      <c r="R265" s="325"/>
      <c r="S265" s="325"/>
      <c r="T265" s="532"/>
      <c r="U265" s="301"/>
      <c r="V265" s="532"/>
      <c r="W265" s="532">
        <f>+V265-'ROR-Model'!G265</f>
        <v>0</v>
      </c>
    </row>
    <row r="266" spans="1:23">
      <c r="A266" s="535"/>
      <c r="B266" s="58" t="s">
        <v>708</v>
      </c>
      <c r="C266" s="58" t="s">
        <v>14</v>
      </c>
      <c r="D266" s="534"/>
      <c r="E266" s="531"/>
      <c r="F266" s="301"/>
      <c r="G266" s="301">
        <f>G1*Revenue!$I$265</f>
        <v>0</v>
      </c>
      <c r="H266" s="301"/>
      <c r="I266" s="301"/>
      <c r="J266" s="325"/>
      <c r="K266" s="325"/>
      <c r="L266" s="301"/>
      <c r="M266" s="301"/>
      <c r="N266" s="301"/>
      <c r="O266" s="301"/>
      <c r="P266" s="301"/>
      <c r="Q266" s="325"/>
      <c r="R266" s="325"/>
      <c r="S266" s="325"/>
      <c r="T266" s="532">
        <f>SUM(F266:S266)</f>
        <v>0</v>
      </c>
      <c r="U266" s="301"/>
      <c r="V266" s="532">
        <f>SUM(T266:T266)</f>
        <v>0</v>
      </c>
      <c r="W266" s="532">
        <f>+V266-'ROR-Model'!G266</f>
        <v>0</v>
      </c>
    </row>
    <row r="267" spans="1:23">
      <c r="A267" s="535"/>
      <c r="B267" s="58"/>
      <c r="C267" s="58"/>
      <c r="D267" s="534"/>
      <c r="E267" s="531"/>
      <c r="F267" s="301"/>
      <c r="G267" s="301"/>
      <c r="H267" s="301"/>
      <c r="I267" s="301"/>
      <c r="J267" s="325"/>
      <c r="K267" s="325"/>
      <c r="L267" s="301"/>
      <c r="M267" s="301"/>
      <c r="N267" s="301"/>
      <c r="O267" s="301"/>
      <c r="P267" s="301"/>
      <c r="Q267" s="325"/>
      <c r="R267" s="325"/>
      <c r="S267" s="325"/>
      <c r="T267" s="532"/>
      <c r="U267" s="301"/>
      <c r="V267" s="532"/>
      <c r="W267" s="532">
        <f>+V267-'ROR-Model'!G267</f>
        <v>0</v>
      </c>
    </row>
    <row r="268" spans="1:23">
      <c r="A268" s="535"/>
      <c r="B268" s="58"/>
      <c r="C268" s="58"/>
      <c r="D268" s="534"/>
      <c r="E268" s="531"/>
      <c r="F268" s="301"/>
      <c r="G268" s="301"/>
      <c r="H268" s="301"/>
      <c r="I268" s="301"/>
      <c r="J268" s="325"/>
      <c r="K268" s="325"/>
      <c r="L268" s="301"/>
      <c r="M268" s="301"/>
      <c r="N268" s="301"/>
      <c r="O268" s="301"/>
      <c r="P268" s="301"/>
      <c r="Q268" s="325"/>
      <c r="R268" s="325"/>
      <c r="S268" s="325"/>
      <c r="T268" s="532">
        <f>SUM(F268:S268)</f>
        <v>0</v>
      </c>
      <c r="U268" s="301"/>
      <c r="V268" s="532">
        <f>SUM(T268:T268)</f>
        <v>0</v>
      </c>
      <c r="W268" s="532">
        <f>+V268-'ROR-Model'!G268</f>
        <v>0</v>
      </c>
    </row>
    <row r="269" spans="1:23">
      <c r="A269" s="535"/>
      <c r="B269" s="32"/>
      <c r="C269" s="32"/>
      <c r="D269" s="534"/>
      <c r="E269" s="531"/>
      <c r="F269" s="301"/>
      <c r="G269" s="301"/>
      <c r="H269" s="301"/>
      <c r="I269" s="301"/>
      <c r="J269" s="325"/>
      <c r="K269" s="325"/>
      <c r="L269" s="301"/>
      <c r="M269" s="301"/>
      <c r="N269" s="301"/>
      <c r="O269" s="301"/>
      <c r="P269" s="301"/>
      <c r="Q269" s="325"/>
      <c r="R269" s="325"/>
      <c r="S269" s="325"/>
      <c r="T269" s="532"/>
      <c r="U269" s="301"/>
      <c r="V269" s="532"/>
      <c r="W269" s="532">
        <f>+V269-'ROR-Model'!G269</f>
        <v>0</v>
      </c>
    </row>
    <row r="270" spans="1:23">
      <c r="A270" s="535"/>
      <c r="B270" s="58"/>
      <c r="C270" s="58" t="s">
        <v>16</v>
      </c>
      <c r="D270" s="534"/>
      <c r="E270" s="531"/>
      <c r="F270" s="301"/>
      <c r="G270" s="301">
        <f>G1*Revenue!$I$269</f>
        <v>0</v>
      </c>
      <c r="H270" s="301"/>
      <c r="I270" s="301"/>
      <c r="J270" s="325"/>
      <c r="K270" s="325"/>
      <c r="L270" s="301"/>
      <c r="M270" s="301"/>
      <c r="N270" s="301"/>
      <c r="O270" s="301"/>
      <c r="P270" s="301"/>
      <c r="Q270" s="325"/>
      <c r="R270" s="325"/>
      <c r="S270" s="325"/>
      <c r="T270" s="532">
        <f>SUM(F270:S270)</f>
        <v>0</v>
      </c>
      <c r="U270" s="301"/>
      <c r="V270" s="532">
        <f>SUM(T270:T270)</f>
        <v>0</v>
      </c>
      <c r="W270" s="532">
        <f>+V270-'ROR-Model'!G270</f>
        <v>0</v>
      </c>
    </row>
    <row r="271" spans="1:23">
      <c r="A271" s="535"/>
      <c r="B271" s="58"/>
      <c r="C271" s="58" t="s">
        <v>17</v>
      </c>
      <c r="D271" s="534"/>
      <c r="E271" s="531"/>
      <c r="F271" s="323">
        <f>SUM(F266:F270)</f>
        <v>0</v>
      </c>
      <c r="G271" s="323">
        <f>G1*SUM(G266:G270)</f>
        <v>0</v>
      </c>
      <c r="H271" s="323">
        <f>SUM(H266:H270)</f>
        <v>0</v>
      </c>
      <c r="I271" s="323">
        <f t="shared" ref="I271:P271" si="46">SUM(I266:I270)</f>
        <v>0</v>
      </c>
      <c r="J271" s="476">
        <f>SUM(J266:J270)</f>
        <v>0</v>
      </c>
      <c r="K271" s="476">
        <f>SUM(K266:K270)</f>
        <v>0</v>
      </c>
      <c r="L271" s="323">
        <f t="shared" si="46"/>
        <v>0</v>
      </c>
      <c r="M271" s="323">
        <f t="shared" si="46"/>
        <v>0</v>
      </c>
      <c r="N271" s="323">
        <f t="shared" si="46"/>
        <v>0</v>
      </c>
      <c r="O271" s="323">
        <f t="shared" si="46"/>
        <v>0</v>
      </c>
      <c r="P271" s="323">
        <f t="shared" si="46"/>
        <v>0</v>
      </c>
      <c r="Q271" s="476">
        <f>SUM(Q266:Q270)</f>
        <v>0</v>
      </c>
      <c r="R271" s="476">
        <f>SUM(R266:R270)</f>
        <v>0</v>
      </c>
      <c r="S271" s="476">
        <f>SUM(S266:S270)</f>
        <v>0</v>
      </c>
      <c r="T271" s="536">
        <f>SUM(T266:T270)</f>
        <v>0</v>
      </c>
      <c r="U271" s="323"/>
      <c r="V271" s="536">
        <f>SUM(V266:V270)</f>
        <v>0</v>
      </c>
      <c r="W271" s="536">
        <f>+V271-'ROR-Model'!G271</f>
        <v>0</v>
      </c>
    </row>
    <row r="272" spans="1:23">
      <c r="A272" s="535"/>
      <c r="B272" s="58"/>
      <c r="C272" s="58"/>
      <c r="D272" s="534"/>
      <c r="E272" s="531"/>
      <c r="F272" s="301"/>
      <c r="G272" s="301"/>
      <c r="H272" s="301"/>
      <c r="I272" s="301"/>
      <c r="J272" s="325"/>
      <c r="K272" s="325"/>
      <c r="L272" s="301"/>
      <c r="M272" s="301"/>
      <c r="N272" s="301"/>
      <c r="O272" s="301"/>
      <c r="P272" s="301"/>
      <c r="Q272" s="325"/>
      <c r="R272" s="325"/>
      <c r="S272" s="325"/>
      <c r="T272" s="532"/>
      <c r="U272" s="301"/>
      <c r="V272" s="532"/>
      <c r="W272" s="532">
        <f>+V272-'ROR-Model'!G272</f>
        <v>0</v>
      </c>
    </row>
    <row r="273" spans="1:23">
      <c r="A273" s="535"/>
      <c r="B273" s="58"/>
      <c r="C273" s="58" t="s">
        <v>18</v>
      </c>
      <c r="D273" s="534"/>
      <c r="E273" s="531"/>
      <c r="F273" s="301"/>
      <c r="G273" s="301">
        <f>G1*Revenue!$I$272</f>
        <v>0</v>
      </c>
      <c r="H273" s="301"/>
      <c r="I273" s="301"/>
      <c r="J273" s="325"/>
      <c r="K273" s="325"/>
      <c r="L273" s="301"/>
      <c r="M273" s="301"/>
      <c r="N273" s="301"/>
      <c r="O273" s="301"/>
      <c r="P273" s="301"/>
      <c r="Q273" s="325"/>
      <c r="R273" s="325"/>
      <c r="S273" s="325"/>
      <c r="T273" s="532">
        <f>SUM(F273:S273)</f>
        <v>0</v>
      </c>
      <c r="U273" s="301"/>
      <c r="V273" s="532">
        <f>SUM(T273:T273)</f>
        <v>0</v>
      </c>
      <c r="W273" s="532">
        <f>+V273-'ROR-Model'!G273</f>
        <v>0</v>
      </c>
    </row>
    <row r="274" spans="1:23">
      <c r="A274" s="535"/>
      <c r="B274" s="32"/>
      <c r="C274" s="32"/>
      <c r="D274" s="534"/>
      <c r="E274" s="531"/>
      <c r="F274" s="301"/>
      <c r="G274" s="301"/>
      <c r="H274" s="301"/>
      <c r="I274" s="301"/>
      <c r="J274" s="325"/>
      <c r="K274" s="325"/>
      <c r="L274" s="301"/>
      <c r="M274" s="301"/>
      <c r="N274" s="301"/>
      <c r="O274" s="301"/>
      <c r="P274" s="301"/>
      <c r="Q274" s="325"/>
      <c r="R274" s="325"/>
      <c r="S274" s="325"/>
      <c r="T274" s="532"/>
      <c r="U274" s="301"/>
      <c r="V274" s="532"/>
      <c r="W274" s="532">
        <f>+V274-'ROR-Model'!G274</f>
        <v>0</v>
      </c>
    </row>
    <row r="275" spans="1:23">
      <c r="A275" s="535"/>
      <c r="B275" s="58" t="s">
        <v>78</v>
      </c>
      <c r="C275" s="32" t="s">
        <v>14</v>
      </c>
      <c r="D275" s="534"/>
      <c r="E275" s="531"/>
      <c r="F275" s="301"/>
      <c r="G275" s="301">
        <f>G1*Revenue!$I$274</f>
        <v>0</v>
      </c>
      <c r="H275" s="301"/>
      <c r="I275" s="301"/>
      <c r="J275" s="325"/>
      <c r="K275" s="325"/>
      <c r="L275" s="301"/>
      <c r="M275" s="301"/>
      <c r="N275" s="301"/>
      <c r="O275" s="301"/>
      <c r="P275" s="301"/>
      <c r="Q275" s="325"/>
      <c r="R275" s="325"/>
      <c r="S275" s="325"/>
      <c r="T275" s="532">
        <f>SUM(F275:S275)</f>
        <v>0</v>
      </c>
      <c r="U275" s="301"/>
      <c r="V275" s="532">
        <f>SUM(T275:T275)</f>
        <v>0</v>
      </c>
      <c r="W275" s="532">
        <f>+V275-'ROR-Model'!G275</f>
        <v>0</v>
      </c>
    </row>
    <row r="276" spans="1:23">
      <c r="A276" s="535"/>
      <c r="B276" s="32"/>
      <c r="C276" s="32"/>
      <c r="D276" s="534"/>
      <c r="E276" s="531"/>
      <c r="F276" s="301"/>
      <c r="G276" s="301"/>
      <c r="H276" s="301"/>
      <c r="I276" s="301"/>
      <c r="J276" s="325"/>
      <c r="K276" s="325"/>
      <c r="L276" s="301"/>
      <c r="M276" s="301"/>
      <c r="N276" s="301"/>
      <c r="O276" s="301"/>
      <c r="P276" s="301"/>
      <c r="Q276" s="325"/>
      <c r="R276" s="325"/>
      <c r="S276" s="325"/>
      <c r="T276" s="532"/>
      <c r="U276" s="301"/>
      <c r="V276" s="532"/>
      <c r="W276" s="532">
        <f>+V276-'ROR-Model'!G276</f>
        <v>0</v>
      </c>
    </row>
    <row r="277" spans="1:23">
      <c r="A277" s="535"/>
      <c r="B277" s="32"/>
      <c r="C277" s="32" t="s">
        <v>15</v>
      </c>
      <c r="D277" s="534"/>
      <c r="E277" s="531"/>
      <c r="F277" s="301"/>
      <c r="G277" s="301">
        <f>G1*Revenue!$I$276</f>
        <v>0</v>
      </c>
      <c r="H277" s="301"/>
      <c r="I277" s="301"/>
      <c r="J277" s="325"/>
      <c r="K277" s="325"/>
      <c r="L277" s="301"/>
      <c r="M277" s="301"/>
      <c r="N277" s="301"/>
      <c r="O277" s="301"/>
      <c r="P277" s="301"/>
      <c r="Q277" s="325"/>
      <c r="R277" s="325"/>
      <c r="S277" s="325"/>
      <c r="T277" s="532">
        <f>SUM(F277:S277)</f>
        <v>0</v>
      </c>
      <c r="U277" s="301"/>
      <c r="V277" s="532">
        <f>SUM(T277:T277)</f>
        <v>0</v>
      </c>
      <c r="W277" s="532">
        <f>+V277-'ROR-Model'!G277</f>
        <v>0</v>
      </c>
    </row>
    <row r="278" spans="1:23">
      <c r="A278" s="535"/>
      <c r="B278" s="32"/>
      <c r="C278" s="32"/>
      <c r="D278" s="534"/>
      <c r="E278" s="531"/>
      <c r="F278" s="301"/>
      <c r="G278" s="301"/>
      <c r="H278" s="301"/>
      <c r="I278" s="301"/>
      <c r="J278" s="325"/>
      <c r="K278" s="325"/>
      <c r="L278" s="301"/>
      <c r="M278" s="301"/>
      <c r="N278" s="301"/>
      <c r="O278" s="301"/>
      <c r="P278" s="301"/>
      <c r="Q278" s="325"/>
      <c r="R278" s="325"/>
      <c r="S278" s="325"/>
      <c r="T278" s="532"/>
      <c r="U278" s="301"/>
      <c r="V278" s="532"/>
      <c r="W278" s="532">
        <f>+V278-'ROR-Model'!G278</f>
        <v>0</v>
      </c>
    </row>
    <row r="279" spans="1:23">
      <c r="A279" s="535"/>
      <c r="B279" s="58"/>
      <c r="C279" s="32" t="s">
        <v>16</v>
      </c>
      <c r="D279" s="534"/>
      <c r="E279" s="531"/>
      <c r="F279" s="301"/>
      <c r="G279" s="301">
        <f>G1*Revenue!$I$278</f>
        <v>0</v>
      </c>
      <c r="H279" s="301"/>
      <c r="I279" s="301"/>
      <c r="J279" s="325"/>
      <c r="K279" s="325"/>
      <c r="L279" s="301"/>
      <c r="M279" s="301"/>
      <c r="N279" s="301"/>
      <c r="O279" s="301"/>
      <c r="P279" s="301"/>
      <c r="Q279" s="325"/>
      <c r="R279" s="325"/>
      <c r="S279" s="325"/>
      <c r="T279" s="532">
        <f>SUM(F279:S279)</f>
        <v>0</v>
      </c>
      <c r="U279" s="301"/>
      <c r="V279" s="532">
        <f>SUM(T279:T279)</f>
        <v>0</v>
      </c>
      <c r="W279" s="532">
        <f>+V279-'ROR-Model'!G279</f>
        <v>0</v>
      </c>
    </row>
    <row r="280" spans="1:23">
      <c r="A280" s="535"/>
      <c r="B280" s="58"/>
      <c r="C280" s="32" t="s">
        <v>17</v>
      </c>
      <c r="D280" s="534"/>
      <c r="E280" s="531"/>
      <c r="F280" s="323">
        <f>SUM(F275:F279)</f>
        <v>0</v>
      </c>
      <c r="G280" s="323">
        <f>G1*SUM(G275:G279)</f>
        <v>0</v>
      </c>
      <c r="H280" s="323">
        <f>SUM(H275:H279)</f>
        <v>0</v>
      </c>
      <c r="I280" s="323">
        <f t="shared" ref="I280:P280" si="47">SUM(I275:I279)</f>
        <v>0</v>
      </c>
      <c r="J280" s="476">
        <f>SUM(J275:J279)</f>
        <v>0</v>
      </c>
      <c r="K280" s="476">
        <f>SUM(K275:K279)</f>
        <v>0</v>
      </c>
      <c r="L280" s="323">
        <f t="shared" si="47"/>
        <v>0</v>
      </c>
      <c r="M280" s="323">
        <f t="shared" si="47"/>
        <v>0</v>
      </c>
      <c r="N280" s="323">
        <f t="shared" si="47"/>
        <v>0</v>
      </c>
      <c r="O280" s="323">
        <f t="shared" si="47"/>
        <v>0</v>
      </c>
      <c r="P280" s="323">
        <f t="shared" si="47"/>
        <v>0</v>
      </c>
      <c r="Q280" s="476">
        <f>SUM(Q275:Q279)</f>
        <v>0</v>
      </c>
      <c r="R280" s="476">
        <f>SUM(R275:R279)</f>
        <v>0</v>
      </c>
      <c r="S280" s="476">
        <f>SUM(S275:S279)</f>
        <v>0</v>
      </c>
      <c r="T280" s="536">
        <f>SUM(T275:T279)</f>
        <v>0</v>
      </c>
      <c r="U280" s="323"/>
      <c r="V280" s="536">
        <f>SUM(V275:V279)</f>
        <v>0</v>
      </c>
      <c r="W280" s="536">
        <f>+V280-'ROR-Model'!G280</f>
        <v>0</v>
      </c>
    </row>
    <row r="281" spans="1:23">
      <c r="A281" s="535"/>
      <c r="B281" s="58"/>
      <c r="C281" s="32"/>
      <c r="D281" s="534"/>
      <c r="E281" s="531"/>
      <c r="F281" s="301"/>
      <c r="G281" s="301"/>
      <c r="H281" s="301"/>
      <c r="I281" s="301"/>
      <c r="J281" s="325"/>
      <c r="K281" s="325"/>
      <c r="L281" s="301"/>
      <c r="M281" s="301"/>
      <c r="N281" s="301"/>
      <c r="O281" s="301"/>
      <c r="P281" s="301"/>
      <c r="Q281" s="325"/>
      <c r="R281" s="325"/>
      <c r="S281" s="325"/>
      <c r="T281" s="532"/>
      <c r="U281" s="301"/>
      <c r="V281" s="532"/>
      <c r="W281" s="532">
        <f>+V281-'ROR-Model'!G281</f>
        <v>0</v>
      </c>
    </row>
    <row r="282" spans="1:23">
      <c r="A282" s="535"/>
      <c r="B282" s="58"/>
      <c r="C282" s="32" t="s">
        <v>18</v>
      </c>
      <c r="D282" s="534"/>
      <c r="E282" s="531"/>
      <c r="F282" s="301"/>
      <c r="G282" s="301">
        <f>G1*Revenue!$I$281</f>
        <v>0</v>
      </c>
      <c r="H282" s="301"/>
      <c r="I282" s="301"/>
      <c r="J282" s="325"/>
      <c r="K282" s="325"/>
      <c r="L282" s="301"/>
      <c r="M282" s="301"/>
      <c r="N282" s="301"/>
      <c r="O282" s="301"/>
      <c r="P282" s="301"/>
      <c r="Q282" s="325"/>
      <c r="R282" s="325"/>
      <c r="S282" s="325"/>
      <c r="T282" s="532">
        <f>SUM(F282:S282)</f>
        <v>0</v>
      </c>
      <c r="U282" s="301"/>
      <c r="V282" s="532">
        <f>SUM(T282:T282)</f>
        <v>0</v>
      </c>
      <c r="W282" s="532">
        <f>+V282-'ROR-Model'!G282</f>
        <v>0</v>
      </c>
    </row>
    <row r="283" spans="1:23">
      <c r="A283" s="535"/>
      <c r="B283" s="32"/>
      <c r="C283" s="32"/>
      <c r="D283" s="534"/>
      <c r="E283" s="531"/>
      <c r="F283" s="301"/>
      <c r="G283" s="301"/>
      <c r="H283" s="301"/>
      <c r="I283" s="301"/>
      <c r="J283" s="325"/>
      <c r="K283" s="325"/>
      <c r="L283" s="301"/>
      <c r="M283" s="301"/>
      <c r="N283" s="301"/>
      <c r="O283" s="301"/>
      <c r="P283" s="301"/>
      <c r="Q283" s="325"/>
      <c r="R283" s="325"/>
      <c r="S283" s="325"/>
      <c r="T283" s="532"/>
      <c r="U283" s="301"/>
      <c r="V283" s="532"/>
      <c r="W283" s="532">
        <f>+V283-'ROR-Model'!G283</f>
        <v>0</v>
      </c>
    </row>
    <row r="284" spans="1:23">
      <c r="A284" s="535"/>
      <c r="B284" s="58" t="s">
        <v>79</v>
      </c>
      <c r="C284" s="32" t="s">
        <v>14</v>
      </c>
      <c r="D284" s="534"/>
      <c r="E284" s="531"/>
      <c r="F284" s="301"/>
      <c r="G284" s="301">
        <f>G1*Revenue!$I$283</f>
        <v>0</v>
      </c>
      <c r="H284" s="301"/>
      <c r="I284" s="301"/>
      <c r="J284" s="325"/>
      <c r="K284" s="325"/>
      <c r="L284" s="301"/>
      <c r="M284" s="301"/>
      <c r="N284" s="301"/>
      <c r="O284" s="301"/>
      <c r="P284" s="301"/>
      <c r="Q284" s="325"/>
      <c r="R284" s="325"/>
      <c r="S284" s="325"/>
      <c r="T284" s="532">
        <f>SUM(F284:S284)</f>
        <v>0</v>
      </c>
      <c r="U284" s="301"/>
      <c r="V284" s="532">
        <f>SUM(T284:T284)</f>
        <v>0</v>
      </c>
      <c r="W284" s="532">
        <f>+V284-'ROR-Model'!G284</f>
        <v>0</v>
      </c>
    </row>
    <row r="285" spans="1:23">
      <c r="A285" s="535"/>
      <c r="B285" s="32"/>
      <c r="C285" s="32"/>
      <c r="D285" s="542" t="s">
        <v>496</v>
      </c>
      <c r="E285" s="531"/>
      <c r="F285" s="301"/>
      <c r="G285" s="301"/>
      <c r="H285" s="301"/>
      <c r="I285" s="301"/>
      <c r="J285" s="325"/>
      <c r="K285" s="325"/>
      <c r="L285" s="301"/>
      <c r="M285" s="301"/>
      <c r="N285" s="301"/>
      <c r="O285" s="301"/>
      <c r="P285" s="301"/>
      <c r="Q285" s="325"/>
      <c r="R285" s="325"/>
      <c r="S285" s="325"/>
      <c r="T285" s="532"/>
      <c r="U285" s="301"/>
      <c r="V285" s="532"/>
      <c r="W285" s="532">
        <f>+V285-'ROR-Model'!G285</f>
        <v>0</v>
      </c>
    </row>
    <row r="286" spans="1:23">
      <c r="A286" s="535"/>
      <c r="B286" s="32"/>
      <c r="C286" s="32" t="s">
        <v>15</v>
      </c>
      <c r="D286" s="534"/>
      <c r="E286" s="531"/>
      <c r="F286" s="301"/>
      <c r="G286" s="301">
        <f>G1*Revenue!$I$285</f>
        <v>0</v>
      </c>
      <c r="H286" s="301"/>
      <c r="I286" s="301"/>
      <c r="J286" s="325"/>
      <c r="K286" s="325"/>
      <c r="L286" s="301"/>
      <c r="M286" s="301"/>
      <c r="N286" s="301"/>
      <c r="O286" s="301"/>
      <c r="P286" s="301"/>
      <c r="Q286" s="325"/>
      <c r="R286" s="325"/>
      <c r="S286" s="325"/>
      <c r="T286" s="532">
        <f>SUM(F286:S286)</f>
        <v>0</v>
      </c>
      <c r="U286" s="301"/>
      <c r="V286" s="532">
        <f>SUM(T286:T286)</f>
        <v>0</v>
      </c>
      <c r="W286" s="532">
        <f>+V286-'ROR-Model'!G286</f>
        <v>0</v>
      </c>
    </row>
    <row r="287" spans="1:23">
      <c r="A287" s="535"/>
      <c r="B287" s="32"/>
      <c r="C287" s="32"/>
      <c r="D287" s="534"/>
      <c r="E287" s="531"/>
      <c r="F287" s="301"/>
      <c r="G287" s="301"/>
      <c r="H287" s="301"/>
      <c r="I287" s="301"/>
      <c r="J287" s="325"/>
      <c r="K287" s="325"/>
      <c r="L287" s="301"/>
      <c r="M287" s="301"/>
      <c r="N287" s="301"/>
      <c r="O287" s="301"/>
      <c r="P287" s="301"/>
      <c r="Q287" s="325"/>
      <c r="R287" s="325"/>
      <c r="S287" s="325"/>
      <c r="T287" s="532"/>
      <c r="U287" s="301"/>
      <c r="V287" s="532"/>
      <c r="W287" s="532">
        <f>+V287-'ROR-Model'!G287</f>
        <v>0</v>
      </c>
    </row>
    <row r="288" spans="1:23">
      <c r="A288" s="535"/>
      <c r="B288" s="58"/>
      <c r="C288" s="32" t="s">
        <v>16</v>
      </c>
      <c r="D288" s="534"/>
      <c r="E288" s="531"/>
      <c r="F288" s="301"/>
      <c r="G288" s="301">
        <f>G1*Revenue!$I$287</f>
        <v>0</v>
      </c>
      <c r="H288" s="301"/>
      <c r="I288" s="301"/>
      <c r="J288" s="325"/>
      <c r="K288" s="325"/>
      <c r="L288" s="301"/>
      <c r="M288" s="301"/>
      <c r="N288" s="301"/>
      <c r="O288" s="301"/>
      <c r="P288" s="301"/>
      <c r="Q288" s="325"/>
      <c r="R288" s="325"/>
      <c r="S288" s="325"/>
      <c r="T288" s="532">
        <f>SUM(F288:S288)</f>
        <v>0</v>
      </c>
      <c r="U288" s="301"/>
      <c r="V288" s="532">
        <f>SUM(T288:T288)</f>
        <v>0</v>
      </c>
      <c r="W288" s="532">
        <f>+V288-'ROR-Model'!G288</f>
        <v>0</v>
      </c>
    </row>
    <row r="289" spans="1:23">
      <c r="A289" s="535"/>
      <c r="B289" s="58"/>
      <c r="C289" s="32" t="s">
        <v>17</v>
      </c>
      <c r="D289" s="534"/>
      <c r="E289" s="531"/>
      <c r="F289" s="323">
        <f>SUM(F284:F288)</f>
        <v>0</v>
      </c>
      <c r="G289" s="323">
        <f>G1*SUM(G284:G288)</f>
        <v>0</v>
      </c>
      <c r="H289" s="323">
        <f>SUM(H284:H288)</f>
        <v>0</v>
      </c>
      <c r="I289" s="323">
        <f t="shared" ref="I289:P289" si="48">SUM(I284:I288)</f>
        <v>0</v>
      </c>
      <c r="J289" s="476">
        <f>SUM(J284:J288)</f>
        <v>0</v>
      </c>
      <c r="K289" s="476">
        <f>SUM(K284:K288)</f>
        <v>0</v>
      </c>
      <c r="L289" s="323">
        <f t="shared" si="48"/>
        <v>0</v>
      </c>
      <c r="M289" s="323">
        <f t="shared" si="48"/>
        <v>0</v>
      </c>
      <c r="N289" s="323">
        <f t="shared" si="48"/>
        <v>0</v>
      </c>
      <c r="O289" s="323">
        <f t="shared" si="48"/>
        <v>0</v>
      </c>
      <c r="P289" s="323">
        <f t="shared" si="48"/>
        <v>0</v>
      </c>
      <c r="Q289" s="476">
        <f>SUM(Q284:Q288)</f>
        <v>0</v>
      </c>
      <c r="R289" s="476">
        <f>SUM(R284:R288)</f>
        <v>0</v>
      </c>
      <c r="S289" s="476">
        <f>SUM(S284:S288)</f>
        <v>0</v>
      </c>
      <c r="T289" s="536">
        <f>SUM(T284:T288)</f>
        <v>0</v>
      </c>
      <c r="U289" s="323"/>
      <c r="V289" s="536">
        <f>SUM(V284:V288)</f>
        <v>0</v>
      </c>
      <c r="W289" s="536">
        <f>+V289-'ROR-Model'!G289</f>
        <v>0</v>
      </c>
    </row>
    <row r="290" spans="1:23">
      <c r="A290" s="535"/>
      <c r="B290" s="58"/>
      <c r="C290" s="32"/>
      <c r="D290" s="534"/>
      <c r="E290" s="531"/>
      <c r="F290" s="301"/>
      <c r="G290" s="301"/>
      <c r="H290" s="301"/>
      <c r="I290" s="301"/>
      <c r="J290" s="325"/>
      <c r="K290" s="325"/>
      <c r="L290" s="301"/>
      <c r="M290" s="301"/>
      <c r="N290" s="301"/>
      <c r="O290" s="301"/>
      <c r="P290" s="301"/>
      <c r="Q290" s="325"/>
      <c r="R290" s="325"/>
      <c r="S290" s="325"/>
      <c r="T290" s="532"/>
      <c r="U290" s="301"/>
      <c r="V290" s="532"/>
      <c r="W290" s="532">
        <f>+V290-'ROR-Model'!G290</f>
        <v>0</v>
      </c>
    </row>
    <row r="291" spans="1:23">
      <c r="A291" s="535"/>
      <c r="B291" s="58"/>
      <c r="C291" s="32" t="s">
        <v>18</v>
      </c>
      <c r="D291" s="534"/>
      <c r="E291" s="531"/>
      <c r="F291" s="301"/>
      <c r="G291" s="301">
        <f>G1*Revenue!$I$290</f>
        <v>0</v>
      </c>
      <c r="H291" s="301"/>
      <c r="I291" s="301"/>
      <c r="J291" s="325"/>
      <c r="K291" s="325"/>
      <c r="L291" s="301"/>
      <c r="M291" s="301"/>
      <c r="N291" s="301"/>
      <c r="O291" s="301"/>
      <c r="P291" s="301"/>
      <c r="Q291" s="325"/>
      <c r="R291" s="325"/>
      <c r="S291" s="325"/>
      <c r="T291" s="532">
        <f>SUM(F291:S291)</f>
        <v>0</v>
      </c>
      <c r="U291" s="301"/>
      <c r="V291" s="532">
        <f>SUM(T291:T291)</f>
        <v>0</v>
      </c>
      <c r="W291" s="532">
        <f>+V291-'ROR-Model'!G291</f>
        <v>0</v>
      </c>
    </row>
    <row r="292" spans="1:23">
      <c r="A292" s="535"/>
      <c r="B292" s="32"/>
      <c r="C292" s="32"/>
      <c r="D292" s="534"/>
      <c r="E292" s="531"/>
      <c r="F292" s="301"/>
      <c r="G292" s="301"/>
      <c r="H292" s="301"/>
      <c r="I292" s="301"/>
      <c r="J292" s="325"/>
      <c r="K292" s="325"/>
      <c r="L292" s="301"/>
      <c r="M292" s="301"/>
      <c r="N292" s="301"/>
      <c r="O292" s="301"/>
      <c r="P292" s="301"/>
      <c r="Q292" s="325"/>
      <c r="R292" s="325"/>
      <c r="S292" s="325"/>
      <c r="T292" s="532"/>
      <c r="U292" s="301"/>
      <c r="V292" s="532"/>
      <c r="W292" s="532">
        <f>+V292-'ROR-Model'!G292</f>
        <v>0</v>
      </c>
    </row>
    <row r="293" spans="1:23">
      <c r="A293" s="535"/>
      <c r="B293" s="32" t="s">
        <v>24</v>
      </c>
      <c r="C293" s="32" t="s">
        <v>14</v>
      </c>
      <c r="D293" s="534"/>
      <c r="E293" s="531"/>
      <c r="F293" s="301"/>
      <c r="G293" s="301">
        <f>G1*Revenue!$I$292</f>
        <v>0</v>
      </c>
      <c r="H293" s="301"/>
      <c r="I293" s="301"/>
      <c r="J293" s="325"/>
      <c r="K293" s="325"/>
      <c r="L293" s="301"/>
      <c r="M293" s="301"/>
      <c r="N293" s="301"/>
      <c r="O293" s="301"/>
      <c r="P293" s="301"/>
      <c r="Q293" s="325"/>
      <c r="R293" s="325"/>
      <c r="S293" s="325"/>
      <c r="T293" s="532">
        <f>SUM(F293:S293)</f>
        <v>0</v>
      </c>
      <c r="U293" s="301"/>
      <c r="V293" s="532">
        <f>SUM(T293:T293)</f>
        <v>0</v>
      </c>
      <c r="W293" s="532">
        <f>+V293-'ROR-Model'!G293</f>
        <v>0</v>
      </c>
    </row>
    <row r="294" spans="1:23">
      <c r="A294" s="535"/>
      <c r="B294" s="32" t="s">
        <v>637</v>
      </c>
      <c r="C294" s="32" t="s">
        <v>417</v>
      </c>
      <c r="D294" s="542" t="s">
        <v>496</v>
      </c>
      <c r="E294" s="531"/>
      <c r="F294" s="301"/>
      <c r="G294" s="301"/>
      <c r="H294" s="301"/>
      <c r="I294" s="301"/>
      <c r="J294" s="325"/>
      <c r="K294" s="325"/>
      <c r="L294" s="301"/>
      <c r="M294" s="301"/>
      <c r="N294" s="301"/>
      <c r="O294" s="301"/>
      <c r="P294" s="301"/>
      <c r="Q294" s="325"/>
      <c r="R294" s="325"/>
      <c r="S294" s="325"/>
      <c r="T294" s="532"/>
      <c r="U294" s="301"/>
      <c r="V294" s="532"/>
      <c r="W294" s="532">
        <f>+V294-'ROR-Model'!G294</f>
        <v>0</v>
      </c>
    </row>
    <row r="295" spans="1:23">
      <c r="A295" s="535"/>
      <c r="B295" s="32"/>
      <c r="C295" s="32"/>
      <c r="D295" s="534"/>
      <c r="E295" s="531"/>
      <c r="F295" s="301"/>
      <c r="G295" s="301"/>
      <c r="H295" s="301"/>
      <c r="I295" s="301"/>
      <c r="J295" s="325"/>
      <c r="K295" s="325"/>
      <c r="L295" s="301"/>
      <c r="M295" s="301"/>
      <c r="N295" s="301"/>
      <c r="O295" s="301"/>
      <c r="P295" s="301"/>
      <c r="Q295" s="325"/>
      <c r="R295" s="325"/>
      <c r="S295" s="325"/>
      <c r="T295" s="532">
        <f>SUM(F295:S295)</f>
        <v>0</v>
      </c>
      <c r="U295" s="301"/>
      <c r="V295" s="532">
        <f>SUM(T295:T295)</f>
        <v>0</v>
      </c>
      <c r="W295" s="532">
        <f>+V295-'ROR-Model'!G295</f>
        <v>0</v>
      </c>
    </row>
    <row r="296" spans="1:23">
      <c r="A296" s="535"/>
      <c r="B296" s="32"/>
      <c r="C296" s="32"/>
      <c r="D296" s="534"/>
      <c r="E296" s="531"/>
      <c r="F296" s="301"/>
      <c r="G296" s="301"/>
      <c r="H296" s="301"/>
      <c r="I296" s="301"/>
      <c r="J296" s="325"/>
      <c r="K296" s="325"/>
      <c r="L296" s="301"/>
      <c r="M296" s="301"/>
      <c r="N296" s="301"/>
      <c r="O296" s="301"/>
      <c r="P296" s="301"/>
      <c r="Q296" s="325"/>
      <c r="R296" s="325"/>
      <c r="S296" s="325"/>
      <c r="T296" s="532"/>
      <c r="U296" s="301"/>
      <c r="V296" s="532"/>
      <c r="W296" s="532">
        <f>+V296-'ROR-Model'!G296</f>
        <v>0</v>
      </c>
    </row>
    <row r="297" spans="1:23">
      <c r="A297" s="535"/>
      <c r="B297" s="58"/>
      <c r="C297" s="58" t="s">
        <v>16</v>
      </c>
      <c r="D297" s="534"/>
      <c r="E297" s="531"/>
      <c r="F297" s="301"/>
      <c r="G297" s="301">
        <f>G1*Revenue!$I$296</f>
        <v>0</v>
      </c>
      <c r="H297" s="301"/>
      <c r="I297" s="301"/>
      <c r="J297" s="325"/>
      <c r="K297" s="325"/>
      <c r="L297" s="301"/>
      <c r="M297" s="301"/>
      <c r="N297" s="301"/>
      <c r="O297" s="301"/>
      <c r="P297" s="301"/>
      <c r="Q297" s="325"/>
      <c r="R297" s="325"/>
      <c r="S297" s="325"/>
      <c r="T297" s="532">
        <f>SUM(F297:S297)</f>
        <v>0</v>
      </c>
      <c r="U297" s="301"/>
      <c r="V297" s="532">
        <f>SUM(T297:T297)</f>
        <v>0</v>
      </c>
      <c r="W297" s="532">
        <f>+V297-'ROR-Model'!G297</f>
        <v>0</v>
      </c>
    </row>
    <row r="298" spans="1:23">
      <c r="A298" s="535"/>
      <c r="B298" s="58"/>
      <c r="C298" s="58" t="s">
        <v>17</v>
      </c>
      <c r="D298" s="534"/>
      <c r="E298" s="531"/>
      <c r="F298" s="323">
        <f>SUM(F293:F297)</f>
        <v>0</v>
      </c>
      <c r="G298" s="323">
        <f>G1*SUM(G293:G297)</f>
        <v>0</v>
      </c>
      <c r="H298" s="323">
        <f>SUM(H293:H297)</f>
        <v>0</v>
      </c>
      <c r="I298" s="323">
        <f t="shared" ref="I298:P298" si="49">SUM(I293:I297)</f>
        <v>0</v>
      </c>
      <c r="J298" s="476">
        <f>SUM(J293:J297)</f>
        <v>0</v>
      </c>
      <c r="K298" s="476">
        <f>SUM(K293:K297)</f>
        <v>0</v>
      </c>
      <c r="L298" s="323">
        <f t="shared" si="49"/>
        <v>0</v>
      </c>
      <c r="M298" s="323">
        <f t="shared" si="49"/>
        <v>0</v>
      </c>
      <c r="N298" s="323">
        <f t="shared" si="49"/>
        <v>0</v>
      </c>
      <c r="O298" s="323">
        <f t="shared" si="49"/>
        <v>0</v>
      </c>
      <c r="P298" s="323">
        <f t="shared" si="49"/>
        <v>0</v>
      </c>
      <c r="Q298" s="476">
        <f>SUM(Q293:Q297)</f>
        <v>0</v>
      </c>
      <c r="R298" s="476">
        <f>SUM(R293:R297)</f>
        <v>0</v>
      </c>
      <c r="S298" s="476">
        <f>SUM(S293:S297)</f>
        <v>0</v>
      </c>
      <c r="T298" s="536">
        <f>SUM(T293:T297)</f>
        <v>0</v>
      </c>
      <c r="U298" s="323"/>
      <c r="V298" s="536">
        <f>SUM(V293:V297)</f>
        <v>0</v>
      </c>
      <c r="W298" s="536">
        <f>+V298-'ROR-Model'!G298</f>
        <v>0</v>
      </c>
    </row>
    <row r="299" spans="1:23">
      <c r="A299" s="535"/>
      <c r="B299" s="58"/>
      <c r="C299" s="58"/>
      <c r="D299" s="534"/>
      <c r="E299" s="531"/>
      <c r="F299" s="301"/>
      <c r="G299" s="301"/>
      <c r="H299" s="301"/>
      <c r="I299" s="301"/>
      <c r="J299" s="325"/>
      <c r="K299" s="325"/>
      <c r="L299" s="301"/>
      <c r="M299" s="301"/>
      <c r="N299" s="301"/>
      <c r="O299" s="301"/>
      <c r="P299" s="301"/>
      <c r="Q299" s="325"/>
      <c r="R299" s="325"/>
      <c r="S299" s="325"/>
      <c r="T299" s="532"/>
      <c r="U299" s="301"/>
      <c r="V299" s="532"/>
      <c r="W299" s="532">
        <f>+V299-'ROR-Model'!G299</f>
        <v>0</v>
      </c>
    </row>
    <row r="300" spans="1:23">
      <c r="A300" s="535"/>
      <c r="B300" s="58"/>
      <c r="C300" s="58" t="s">
        <v>18</v>
      </c>
      <c r="D300" s="534"/>
      <c r="E300" s="531"/>
      <c r="F300" s="301"/>
      <c r="G300" s="301">
        <f>G1*Revenue!$I$299</f>
        <v>0</v>
      </c>
      <c r="H300" s="301"/>
      <c r="I300" s="301"/>
      <c r="J300" s="325"/>
      <c r="K300" s="325"/>
      <c r="L300" s="301"/>
      <c r="M300" s="301"/>
      <c r="N300" s="301"/>
      <c r="O300" s="301"/>
      <c r="P300" s="301"/>
      <c r="Q300" s="325"/>
      <c r="R300" s="325"/>
      <c r="S300" s="325"/>
      <c r="T300" s="532">
        <f>SUM(F300:S300)</f>
        <v>0</v>
      </c>
      <c r="U300" s="301"/>
      <c r="V300" s="532">
        <f>SUM(T300:T300)</f>
        <v>0</v>
      </c>
      <c r="W300" s="532">
        <f>+V300-'ROR-Model'!G300</f>
        <v>0</v>
      </c>
    </row>
    <row r="301" spans="1:23">
      <c r="A301" s="535"/>
      <c r="B301" s="32"/>
      <c r="C301" s="32"/>
      <c r="D301" s="534"/>
      <c r="E301" s="531"/>
      <c r="F301" s="301"/>
      <c r="G301" s="301"/>
      <c r="H301" s="301"/>
      <c r="I301" s="301"/>
      <c r="J301" s="325"/>
      <c r="K301" s="325"/>
      <c r="L301" s="301"/>
      <c r="M301" s="301"/>
      <c r="N301" s="301"/>
      <c r="O301" s="301"/>
      <c r="P301" s="301"/>
      <c r="Q301" s="325"/>
      <c r="R301" s="325"/>
      <c r="S301" s="325"/>
      <c r="T301" s="532"/>
      <c r="U301" s="301"/>
      <c r="V301" s="532"/>
      <c r="W301" s="532">
        <f>+V301-'ROR-Model'!G301</f>
        <v>0</v>
      </c>
    </row>
    <row r="302" spans="1:23">
      <c r="A302" s="535"/>
      <c r="B302" s="58" t="s">
        <v>25</v>
      </c>
      <c r="C302" s="58" t="s">
        <v>14</v>
      </c>
      <c r="D302" s="534"/>
      <c r="E302" s="531"/>
      <c r="F302" s="301"/>
      <c r="G302" s="301">
        <f>G1*Revenue!$I$301</f>
        <v>0</v>
      </c>
      <c r="H302" s="301"/>
      <c r="I302" s="301"/>
      <c r="J302" s="325"/>
      <c r="K302" s="325"/>
      <c r="L302" s="301"/>
      <c r="M302" s="301"/>
      <c r="N302" s="301"/>
      <c r="O302" s="301"/>
      <c r="P302" s="301"/>
      <c r="Q302" s="325"/>
      <c r="R302" s="325"/>
      <c r="S302" s="325"/>
      <c r="T302" s="532">
        <f>SUM(F302:S302)</f>
        <v>0</v>
      </c>
      <c r="U302" s="301"/>
      <c r="V302" s="532">
        <f>SUM(T302:T302)</f>
        <v>0</v>
      </c>
      <c r="W302" s="532">
        <f>+V302-'ROR-Model'!G302</f>
        <v>0</v>
      </c>
    </row>
    <row r="303" spans="1:23">
      <c r="A303" s="535"/>
      <c r="B303" s="32"/>
      <c r="C303" s="58"/>
      <c r="D303" s="542" t="s">
        <v>496</v>
      </c>
      <c r="E303" s="531"/>
      <c r="F303" s="301"/>
      <c r="G303" s="301"/>
      <c r="H303" s="301"/>
      <c r="I303" s="301"/>
      <c r="J303" s="325"/>
      <c r="K303" s="325"/>
      <c r="L303" s="301"/>
      <c r="M303" s="301"/>
      <c r="N303" s="301"/>
      <c r="O303" s="301"/>
      <c r="P303" s="301"/>
      <c r="Q303" s="325"/>
      <c r="R303" s="325"/>
      <c r="S303" s="325"/>
      <c r="T303" s="532"/>
      <c r="U303" s="301"/>
      <c r="V303" s="532"/>
      <c r="W303" s="532">
        <f>+V303-'ROR-Model'!G303</f>
        <v>0</v>
      </c>
    </row>
    <row r="304" spans="1:23">
      <c r="A304" s="535"/>
      <c r="B304" s="32"/>
      <c r="C304" s="58"/>
      <c r="D304" s="534"/>
      <c r="E304" s="531"/>
      <c r="F304" s="301"/>
      <c r="G304" s="301"/>
      <c r="H304" s="301"/>
      <c r="I304" s="301"/>
      <c r="J304" s="325"/>
      <c r="K304" s="325"/>
      <c r="L304" s="301"/>
      <c r="M304" s="301"/>
      <c r="N304" s="301"/>
      <c r="O304" s="301"/>
      <c r="P304" s="301"/>
      <c r="Q304" s="325"/>
      <c r="R304" s="325"/>
      <c r="S304" s="325"/>
      <c r="T304" s="532">
        <f>SUM(F304:S304)</f>
        <v>0</v>
      </c>
      <c r="U304" s="301"/>
      <c r="V304" s="532">
        <f>SUM(T304:T304)</f>
        <v>0</v>
      </c>
      <c r="W304" s="532">
        <f>+V304-'ROR-Model'!G304</f>
        <v>0</v>
      </c>
    </row>
    <row r="305" spans="1:23">
      <c r="A305" s="535"/>
      <c r="B305" s="32"/>
      <c r="C305" s="58"/>
      <c r="D305" s="534"/>
      <c r="E305" s="531"/>
      <c r="F305" s="301"/>
      <c r="G305" s="301"/>
      <c r="H305" s="301"/>
      <c r="I305" s="301"/>
      <c r="J305" s="325"/>
      <c r="K305" s="325"/>
      <c r="L305" s="301"/>
      <c r="M305" s="301"/>
      <c r="N305" s="301"/>
      <c r="O305" s="301"/>
      <c r="P305" s="301"/>
      <c r="Q305" s="325"/>
      <c r="R305" s="325"/>
      <c r="S305" s="325"/>
      <c r="T305" s="532"/>
      <c r="U305" s="301"/>
      <c r="V305" s="532"/>
      <c r="W305" s="532">
        <f>+V305-'ROR-Model'!G305</f>
        <v>0</v>
      </c>
    </row>
    <row r="306" spans="1:23">
      <c r="A306" s="535"/>
      <c r="B306" s="58"/>
      <c r="C306" s="58" t="s">
        <v>16</v>
      </c>
      <c r="D306" s="534"/>
      <c r="E306" s="531"/>
      <c r="F306" s="301"/>
      <c r="G306" s="301">
        <f>G1*Revenue!$I$305</f>
        <v>0</v>
      </c>
      <c r="H306" s="301"/>
      <c r="I306" s="301"/>
      <c r="J306" s="325"/>
      <c r="K306" s="325"/>
      <c r="L306" s="301"/>
      <c r="M306" s="301"/>
      <c r="N306" s="301"/>
      <c r="O306" s="301"/>
      <c r="P306" s="301"/>
      <c r="Q306" s="325"/>
      <c r="R306" s="325"/>
      <c r="S306" s="325"/>
      <c r="T306" s="532">
        <f>SUM(F306:S306)</f>
        <v>0</v>
      </c>
      <c r="U306" s="301"/>
      <c r="V306" s="532">
        <f>SUM(T306:T306)</f>
        <v>0</v>
      </c>
      <c r="W306" s="532">
        <f>+V306-'ROR-Model'!G306</f>
        <v>0</v>
      </c>
    </row>
    <row r="307" spans="1:23">
      <c r="A307" s="535"/>
      <c r="B307" s="58"/>
      <c r="C307" s="58" t="s">
        <v>17</v>
      </c>
      <c r="D307" s="534"/>
      <c r="E307" s="531"/>
      <c r="F307" s="323">
        <f>SUM(F302:F306)</f>
        <v>0</v>
      </c>
      <c r="G307" s="323">
        <f>G1*SUM(G302:G306)</f>
        <v>0</v>
      </c>
      <c r="H307" s="323">
        <f>SUM(H302:H306)</f>
        <v>0</v>
      </c>
      <c r="I307" s="323">
        <f t="shared" ref="I307:P307" si="50">SUM(I302:I306)</f>
        <v>0</v>
      </c>
      <c r="J307" s="476">
        <f>SUM(J302:J306)</f>
        <v>0</v>
      </c>
      <c r="K307" s="476">
        <f>SUM(K302:K306)</f>
        <v>0</v>
      </c>
      <c r="L307" s="323">
        <f t="shared" si="50"/>
        <v>0</v>
      </c>
      <c r="M307" s="323">
        <f t="shared" si="50"/>
        <v>0</v>
      </c>
      <c r="N307" s="323">
        <f t="shared" si="50"/>
        <v>0</v>
      </c>
      <c r="O307" s="323">
        <f t="shared" si="50"/>
        <v>0</v>
      </c>
      <c r="P307" s="323">
        <f t="shared" si="50"/>
        <v>0</v>
      </c>
      <c r="Q307" s="476">
        <f>SUM(Q302:Q306)</f>
        <v>0</v>
      </c>
      <c r="R307" s="476">
        <f>SUM(R302:R306)</f>
        <v>0</v>
      </c>
      <c r="S307" s="476">
        <f>SUM(S302:S306)</f>
        <v>0</v>
      </c>
      <c r="T307" s="536">
        <f>SUM(T302:T306)</f>
        <v>0</v>
      </c>
      <c r="U307" s="323"/>
      <c r="V307" s="536">
        <f>SUM(V302:V306)</f>
        <v>0</v>
      </c>
      <c r="W307" s="536">
        <f>+V307-'ROR-Model'!G307</f>
        <v>0</v>
      </c>
    </row>
    <row r="308" spans="1:23">
      <c r="A308" s="535"/>
      <c r="B308" s="58"/>
      <c r="C308" s="58"/>
      <c r="D308" s="534"/>
      <c r="E308" s="531"/>
      <c r="F308" s="301"/>
      <c r="G308" s="301"/>
      <c r="H308" s="301"/>
      <c r="I308" s="301"/>
      <c r="J308" s="325"/>
      <c r="K308" s="325"/>
      <c r="L308" s="301"/>
      <c r="M308" s="301"/>
      <c r="N308" s="301"/>
      <c r="O308" s="301"/>
      <c r="P308" s="301"/>
      <c r="Q308" s="325"/>
      <c r="R308" s="325"/>
      <c r="S308" s="325"/>
      <c r="T308" s="532"/>
      <c r="U308" s="301"/>
      <c r="V308" s="532"/>
      <c r="W308" s="532">
        <f>+V308-'ROR-Model'!G308</f>
        <v>0</v>
      </c>
    </row>
    <row r="309" spans="1:23">
      <c r="A309" s="535"/>
      <c r="B309" s="58"/>
      <c r="C309" s="58" t="s">
        <v>18</v>
      </c>
      <c r="D309" s="534"/>
      <c r="E309" s="531"/>
      <c r="F309" s="301"/>
      <c r="G309" s="301">
        <f>G1*Revenue!$I$308</f>
        <v>0</v>
      </c>
      <c r="H309" s="301"/>
      <c r="I309" s="301"/>
      <c r="J309" s="325"/>
      <c r="K309" s="325"/>
      <c r="L309" s="301"/>
      <c r="M309" s="301"/>
      <c r="N309" s="301"/>
      <c r="O309" s="301"/>
      <c r="P309" s="301"/>
      <c r="Q309" s="325"/>
      <c r="R309" s="325"/>
      <c r="S309" s="325"/>
      <c r="T309" s="532">
        <f>SUM(F309:S309)</f>
        <v>0</v>
      </c>
      <c r="U309" s="301"/>
      <c r="V309" s="532">
        <f>SUM(T309:T309)</f>
        <v>0</v>
      </c>
      <c r="W309" s="532">
        <f>+V309-'ROR-Model'!G309</f>
        <v>0</v>
      </c>
    </row>
    <row r="310" spans="1:23">
      <c r="A310" s="535"/>
      <c r="B310" s="32"/>
      <c r="C310" s="32"/>
      <c r="D310" s="534"/>
      <c r="E310" s="531"/>
      <c r="F310" s="301"/>
      <c r="G310" s="301"/>
      <c r="H310" s="301"/>
      <c r="I310" s="301"/>
      <c r="J310" s="325"/>
      <c r="K310" s="325"/>
      <c r="L310" s="301"/>
      <c r="M310" s="301"/>
      <c r="N310" s="301"/>
      <c r="O310" s="301"/>
      <c r="P310" s="301"/>
      <c r="Q310" s="325"/>
      <c r="R310" s="325"/>
      <c r="S310" s="325"/>
      <c r="T310" s="532"/>
      <c r="U310" s="301"/>
      <c r="V310" s="532"/>
      <c r="W310" s="532">
        <f>+V310-'ROR-Model'!G310</f>
        <v>0</v>
      </c>
    </row>
    <row r="311" spans="1:23">
      <c r="A311" s="535"/>
      <c r="B311" s="32" t="s">
        <v>24</v>
      </c>
      <c r="C311" s="58" t="s">
        <v>14</v>
      </c>
      <c r="D311" s="534"/>
      <c r="E311" s="531"/>
      <c r="F311" s="301"/>
      <c r="G311" s="301">
        <f>G1*Revenue!$I$310</f>
        <v>0</v>
      </c>
      <c r="H311" s="301"/>
      <c r="I311" s="301"/>
      <c r="J311" s="325"/>
      <c r="K311" s="325"/>
      <c r="L311" s="301"/>
      <c r="M311" s="301"/>
      <c r="N311" s="301"/>
      <c r="O311" s="301"/>
      <c r="P311" s="301"/>
      <c r="Q311" s="325"/>
      <c r="R311" s="325"/>
      <c r="S311" s="325"/>
      <c r="T311" s="532">
        <f>SUM(F311:S311)</f>
        <v>0</v>
      </c>
      <c r="U311" s="301"/>
      <c r="V311" s="532">
        <f>SUM(T311:T311)</f>
        <v>0</v>
      </c>
      <c r="W311" s="532">
        <f>+V311-'ROR-Model'!G311</f>
        <v>0</v>
      </c>
    </row>
    <row r="312" spans="1:23">
      <c r="A312" s="535"/>
      <c r="B312" s="32" t="s">
        <v>638</v>
      </c>
      <c r="C312" s="58"/>
      <c r="D312" s="542" t="s">
        <v>496</v>
      </c>
      <c r="E312" s="531"/>
      <c r="F312" s="301"/>
      <c r="G312" s="301"/>
      <c r="H312" s="301"/>
      <c r="I312" s="301"/>
      <c r="J312" s="325"/>
      <c r="K312" s="325"/>
      <c r="L312" s="301"/>
      <c r="M312" s="301"/>
      <c r="N312" s="301"/>
      <c r="O312" s="301"/>
      <c r="P312" s="301"/>
      <c r="Q312" s="325"/>
      <c r="R312" s="325"/>
      <c r="S312" s="325"/>
      <c r="T312" s="532"/>
      <c r="U312" s="301"/>
      <c r="V312" s="532"/>
      <c r="W312" s="532">
        <f>+V312-'ROR-Model'!G312</f>
        <v>0</v>
      </c>
    </row>
    <row r="313" spans="1:23">
      <c r="A313" s="535"/>
      <c r="B313" s="32"/>
      <c r="C313" s="58"/>
      <c r="D313" s="534"/>
      <c r="E313" s="531"/>
      <c r="F313" s="301"/>
      <c r="G313" s="301"/>
      <c r="H313" s="301"/>
      <c r="I313" s="301"/>
      <c r="J313" s="325"/>
      <c r="K313" s="325"/>
      <c r="L313" s="301"/>
      <c r="M313" s="301"/>
      <c r="N313" s="301"/>
      <c r="O313" s="301"/>
      <c r="P313" s="301"/>
      <c r="Q313" s="325"/>
      <c r="R313" s="325"/>
      <c r="S313" s="325"/>
      <c r="T313" s="532">
        <f>SUM(F313:S313)</f>
        <v>0</v>
      </c>
      <c r="U313" s="301"/>
      <c r="V313" s="532">
        <f>SUM(T313:T313)</f>
        <v>0</v>
      </c>
      <c r="W313" s="532">
        <f>+V313-'ROR-Model'!G313</f>
        <v>0</v>
      </c>
    </row>
    <row r="314" spans="1:23">
      <c r="A314" s="535"/>
      <c r="B314" s="32"/>
      <c r="C314" s="58"/>
      <c r="D314" s="534"/>
      <c r="E314" s="531"/>
      <c r="F314" s="301"/>
      <c r="G314" s="301"/>
      <c r="H314" s="301"/>
      <c r="I314" s="301"/>
      <c r="J314" s="325"/>
      <c r="K314" s="325"/>
      <c r="L314" s="301"/>
      <c r="M314" s="301"/>
      <c r="N314" s="301"/>
      <c r="O314" s="301"/>
      <c r="P314" s="301"/>
      <c r="Q314" s="325"/>
      <c r="R314" s="325"/>
      <c r="S314" s="325"/>
      <c r="T314" s="532"/>
      <c r="U314" s="301"/>
      <c r="V314" s="532"/>
      <c r="W314" s="532">
        <f>+V314-'ROR-Model'!G314</f>
        <v>0</v>
      </c>
    </row>
    <row r="315" spans="1:23">
      <c r="A315" s="535"/>
      <c r="B315" s="58"/>
      <c r="C315" s="58" t="s">
        <v>16</v>
      </c>
      <c r="D315" s="534"/>
      <c r="E315" s="531"/>
      <c r="F315" s="301"/>
      <c r="G315" s="301">
        <f>G1*Revenue!$I$314</f>
        <v>0</v>
      </c>
      <c r="H315" s="301"/>
      <c r="I315" s="301"/>
      <c r="J315" s="325"/>
      <c r="K315" s="325"/>
      <c r="L315" s="301"/>
      <c r="M315" s="301"/>
      <c r="N315" s="301"/>
      <c r="O315" s="301"/>
      <c r="P315" s="301"/>
      <c r="Q315" s="325"/>
      <c r="R315" s="325"/>
      <c r="S315" s="325"/>
      <c r="T315" s="532">
        <f>SUM(F315:S315)</f>
        <v>0</v>
      </c>
      <c r="U315" s="301"/>
      <c r="V315" s="532">
        <f>SUM(T315:T315)</f>
        <v>0</v>
      </c>
      <c r="W315" s="532">
        <f>+V315-'ROR-Model'!G315</f>
        <v>0</v>
      </c>
    </row>
    <row r="316" spans="1:23">
      <c r="A316" s="535"/>
      <c r="B316" s="58"/>
      <c r="C316" s="58" t="s">
        <v>17</v>
      </c>
      <c r="D316" s="534"/>
      <c r="E316" s="531"/>
      <c r="F316" s="323">
        <f>SUM(F311:F315)</f>
        <v>0</v>
      </c>
      <c r="G316" s="323">
        <f>G1*SUM(G311:G315)</f>
        <v>0</v>
      </c>
      <c r="H316" s="323">
        <f>SUM(H311:H315)</f>
        <v>0</v>
      </c>
      <c r="I316" s="323">
        <f t="shared" ref="I316:P316" si="51">SUM(I311:I315)</f>
        <v>0</v>
      </c>
      <c r="J316" s="476">
        <f>SUM(J311:J315)</f>
        <v>0</v>
      </c>
      <c r="K316" s="476">
        <f>SUM(K311:K315)</f>
        <v>0</v>
      </c>
      <c r="L316" s="323">
        <f t="shared" si="51"/>
        <v>0</v>
      </c>
      <c r="M316" s="323">
        <f t="shared" si="51"/>
        <v>0</v>
      </c>
      <c r="N316" s="323">
        <f t="shared" si="51"/>
        <v>0</v>
      </c>
      <c r="O316" s="323">
        <f t="shared" si="51"/>
        <v>0</v>
      </c>
      <c r="P316" s="323">
        <f t="shared" si="51"/>
        <v>0</v>
      </c>
      <c r="Q316" s="476">
        <f>SUM(Q311:Q315)</f>
        <v>0</v>
      </c>
      <c r="R316" s="476">
        <f>SUM(R311:R315)</f>
        <v>0</v>
      </c>
      <c r="S316" s="476">
        <f>SUM(S311:S315)</f>
        <v>0</v>
      </c>
      <c r="T316" s="536">
        <f>SUM(T311:T315)</f>
        <v>0</v>
      </c>
      <c r="U316" s="323"/>
      <c r="V316" s="536">
        <f>SUM(V311:V315)</f>
        <v>0</v>
      </c>
      <c r="W316" s="536">
        <f>+V316-'ROR-Model'!G316</f>
        <v>0</v>
      </c>
    </row>
    <row r="317" spans="1:23">
      <c r="A317" s="535"/>
      <c r="B317" s="58"/>
      <c r="C317" s="58"/>
      <c r="D317" s="534"/>
      <c r="E317" s="531"/>
      <c r="F317" s="301"/>
      <c r="G317" s="301"/>
      <c r="H317" s="301"/>
      <c r="I317" s="301"/>
      <c r="J317" s="325"/>
      <c r="K317" s="325"/>
      <c r="L317" s="301"/>
      <c r="M317" s="301"/>
      <c r="N317" s="301"/>
      <c r="O317" s="301"/>
      <c r="P317" s="301"/>
      <c r="Q317" s="325"/>
      <c r="R317" s="325"/>
      <c r="S317" s="325"/>
      <c r="T317" s="532"/>
      <c r="U317" s="301"/>
      <c r="V317" s="532"/>
      <c r="W317" s="532">
        <f>+V317-'ROR-Model'!G317</f>
        <v>0</v>
      </c>
    </row>
    <row r="318" spans="1:23">
      <c r="A318" s="535"/>
      <c r="B318" s="58"/>
      <c r="C318" s="58" t="s">
        <v>18</v>
      </c>
      <c r="D318" s="534"/>
      <c r="E318" s="531"/>
      <c r="F318" s="301"/>
      <c r="G318" s="301"/>
      <c r="H318" s="301"/>
      <c r="I318" s="301"/>
      <c r="J318" s="325"/>
      <c r="K318" s="325"/>
      <c r="L318" s="301"/>
      <c r="M318" s="301"/>
      <c r="N318" s="301"/>
      <c r="O318" s="301"/>
      <c r="P318" s="301"/>
      <c r="Q318" s="325"/>
      <c r="R318" s="325"/>
      <c r="S318" s="325"/>
      <c r="T318" s="532">
        <f>SUM(F318:S318)</f>
        <v>0</v>
      </c>
      <c r="U318" s="301"/>
      <c r="V318" s="532">
        <f>SUM(T318:T318)</f>
        <v>0</v>
      </c>
      <c r="W318" s="532">
        <f>+V318-'ROR-Model'!G318</f>
        <v>0</v>
      </c>
    </row>
    <row r="319" spans="1:23">
      <c r="A319" s="535"/>
      <c r="B319" s="58"/>
      <c r="C319" s="58"/>
      <c r="D319" s="534"/>
      <c r="E319" s="531"/>
      <c r="F319" s="301"/>
      <c r="G319" s="301"/>
      <c r="H319" s="301"/>
      <c r="I319" s="301"/>
      <c r="J319" s="325"/>
      <c r="K319" s="325"/>
      <c r="L319" s="301"/>
      <c r="M319" s="301"/>
      <c r="N319" s="301"/>
      <c r="O319" s="301"/>
      <c r="P319" s="301"/>
      <c r="Q319" s="325"/>
      <c r="R319" s="325"/>
      <c r="S319" s="325"/>
      <c r="T319" s="532"/>
      <c r="U319" s="301"/>
      <c r="V319" s="532"/>
      <c r="W319" s="532"/>
    </row>
    <row r="320" spans="1:23">
      <c r="A320" s="612"/>
      <c r="B320" s="613" t="s">
        <v>634</v>
      </c>
      <c r="C320" s="613" t="s">
        <v>86</v>
      </c>
      <c r="D320" s="614"/>
      <c r="E320" s="615"/>
      <c r="F320" s="611">
        <v>0</v>
      </c>
      <c r="G320" s="611">
        <f>G1*Revenue!$I$319</f>
        <v>0</v>
      </c>
      <c r="H320" s="611">
        <v>0</v>
      </c>
      <c r="I320" s="611">
        <v>0</v>
      </c>
      <c r="J320" s="611">
        <v>0</v>
      </c>
      <c r="K320" s="611">
        <v>0</v>
      </c>
      <c r="L320" s="611">
        <v>0</v>
      </c>
      <c r="M320" s="611">
        <v>0</v>
      </c>
      <c r="N320" s="611">
        <v>0</v>
      </c>
      <c r="O320" s="611">
        <v>0</v>
      </c>
      <c r="P320" s="611">
        <v>0</v>
      </c>
      <c r="Q320" s="611">
        <v>0</v>
      </c>
      <c r="R320" s="611">
        <v>0</v>
      </c>
      <c r="S320" s="611">
        <v>0</v>
      </c>
      <c r="T320" s="611">
        <f>SUM(F320:S320)</f>
        <v>0</v>
      </c>
      <c r="U320" s="611"/>
      <c r="V320" s="616">
        <f>SUM(T320:T320)</f>
        <v>0</v>
      </c>
      <c r="W320" s="616">
        <f>+V320-'ROR-Model'!G320</f>
        <v>0</v>
      </c>
    </row>
    <row r="321" spans="1:23" ht="13.5" thickBot="1">
      <c r="A321" s="612"/>
      <c r="B321" s="613" t="s">
        <v>103</v>
      </c>
      <c r="C321" s="613" t="s">
        <v>86</v>
      </c>
      <c r="D321" s="614"/>
      <c r="E321" s="615"/>
      <c r="F321" s="617">
        <v>0</v>
      </c>
      <c r="G321" s="617">
        <f>G1*'ENERGY EFFICIENCY SERVICES ADJ'!E13</f>
        <v>-107131.26999999999</v>
      </c>
      <c r="H321" s="617">
        <v>0</v>
      </c>
      <c r="I321" s="617">
        <v>0</v>
      </c>
      <c r="J321" s="617">
        <v>0</v>
      </c>
      <c r="K321" s="617">
        <v>0</v>
      </c>
      <c r="L321" s="617">
        <v>0</v>
      </c>
      <c r="M321" s="617">
        <v>0</v>
      </c>
      <c r="N321" s="617">
        <v>0</v>
      </c>
      <c r="O321" s="617">
        <v>0</v>
      </c>
      <c r="P321" s="617">
        <v>0</v>
      </c>
      <c r="Q321" s="617">
        <v>0</v>
      </c>
      <c r="R321" s="617">
        <v>0</v>
      </c>
      <c r="S321" s="617">
        <v>0</v>
      </c>
      <c r="T321" s="617">
        <f>SUM(F321:S321)</f>
        <v>-107131.26999999999</v>
      </c>
      <c r="U321" s="617"/>
      <c r="V321" s="618">
        <f>SUM(T321:T321)</f>
        <v>-107131.26999999999</v>
      </c>
      <c r="W321" s="618">
        <f>+V321-'ROR-Model'!G321</f>
        <v>0</v>
      </c>
    </row>
    <row r="322" spans="1:23" ht="13.5" thickTop="1">
      <c r="A322" s="535"/>
      <c r="B322" s="32" t="s">
        <v>495</v>
      </c>
      <c r="C322" s="32"/>
      <c r="D322" s="534"/>
      <c r="E322" s="531"/>
      <c r="F322" s="301"/>
      <c r="G322" s="301"/>
      <c r="H322" s="301"/>
      <c r="I322" s="301"/>
      <c r="J322" s="301"/>
      <c r="K322" s="301"/>
      <c r="L322" s="301"/>
      <c r="M322" s="301"/>
      <c r="N322" s="301"/>
      <c r="O322" s="301"/>
      <c r="P322" s="301"/>
      <c r="Q322" s="301"/>
      <c r="R322" s="301"/>
      <c r="S322" s="301"/>
      <c r="T322" s="532"/>
      <c r="U322" s="301"/>
      <c r="V322" s="532"/>
      <c r="W322" s="532">
        <f>+V322-'ROR-Model'!G322</f>
        <v>0</v>
      </c>
    </row>
    <row r="323" spans="1:23">
      <c r="A323" s="535"/>
      <c r="B323" s="58"/>
      <c r="C323" s="58" t="s">
        <v>14</v>
      </c>
      <c r="D323" s="534"/>
      <c r="E323" s="531"/>
      <c r="F323" s="325">
        <f>F1*(+F239+F248+F257+F266+F275+F320+F321)</f>
        <v>0</v>
      </c>
      <c r="G323" s="325">
        <f t="shared" ref="G323:Q323" si="52">G1*(+G239+G248+G257+G266+G275+G320+G321)</f>
        <v>-107131.26999999999</v>
      </c>
      <c r="H323" s="325">
        <f t="shared" si="52"/>
        <v>0</v>
      </c>
      <c r="I323" s="325">
        <f t="shared" si="52"/>
        <v>0</v>
      </c>
      <c r="J323" s="325">
        <f>J1*(+J239+J248+J257+J266+J275+J320+J321)</f>
        <v>0</v>
      </c>
      <c r="K323" s="325">
        <f>K1*(+K239+K248+K257+K266+K275+K320+K321)</f>
        <v>0</v>
      </c>
      <c r="L323" s="325">
        <f t="shared" si="52"/>
        <v>0</v>
      </c>
      <c r="M323" s="325">
        <f t="shared" si="52"/>
        <v>0</v>
      </c>
      <c r="N323" s="325">
        <f t="shared" si="52"/>
        <v>0</v>
      </c>
      <c r="O323" s="325">
        <f t="shared" si="52"/>
        <v>0</v>
      </c>
      <c r="P323" s="325">
        <f t="shared" si="52"/>
        <v>0</v>
      </c>
      <c r="Q323" s="325">
        <f t="shared" si="52"/>
        <v>0</v>
      </c>
      <c r="R323" s="325">
        <f>R1*(+R239+R248+R257+R266+R275+R320+R321)</f>
        <v>0</v>
      </c>
      <c r="S323" s="325">
        <f>S1*(+S239+S248+S257+S266+S275+S320+S321)</f>
        <v>0</v>
      </c>
      <c r="T323" s="532">
        <f>+T239+T248+T257+T266+T275+T320+T321</f>
        <v>-107131.26999999999</v>
      </c>
      <c r="U323" s="325"/>
      <c r="V323" s="532">
        <f>+V239+V248+V257+V266+V275+V320+V321</f>
        <v>-107131.26999999999</v>
      </c>
      <c r="W323" s="532">
        <f>+V323-'ROR-Model'!G323</f>
        <v>0</v>
      </c>
    </row>
    <row r="324" spans="1:23">
      <c r="A324" s="535"/>
      <c r="B324" s="58"/>
      <c r="C324" s="58" t="s">
        <v>15</v>
      </c>
      <c r="D324" s="534"/>
      <c r="E324" s="531"/>
      <c r="F324" s="325">
        <f>F1*(+F277+F286)</f>
        <v>0</v>
      </c>
      <c r="G324" s="325">
        <f>G1*(+G277+G286)</f>
        <v>0</v>
      </c>
      <c r="H324" s="325">
        <f>H1*(+H277+H286)</f>
        <v>0</v>
      </c>
      <c r="I324" s="325">
        <f t="shared" ref="I324:Q324" si="53">I1*(+I277+I286)</f>
        <v>0</v>
      </c>
      <c r="J324" s="325">
        <f>J1*(+J277+J286)</f>
        <v>0</v>
      </c>
      <c r="K324" s="325">
        <f>K1*(+K277+K286)</f>
        <v>0</v>
      </c>
      <c r="L324" s="325">
        <f t="shared" si="53"/>
        <v>0</v>
      </c>
      <c r="M324" s="325">
        <f t="shared" si="53"/>
        <v>0</v>
      </c>
      <c r="N324" s="325">
        <f t="shared" si="53"/>
        <v>0</v>
      </c>
      <c r="O324" s="325">
        <f t="shared" si="53"/>
        <v>0</v>
      </c>
      <c r="P324" s="325">
        <f t="shared" si="53"/>
        <v>0</v>
      </c>
      <c r="Q324" s="325">
        <f t="shared" si="53"/>
        <v>0</v>
      </c>
      <c r="R324" s="325">
        <f>R1*(+R277+R286)</f>
        <v>0</v>
      </c>
      <c r="S324" s="325">
        <f>S1*(+S277+S286)</f>
        <v>0</v>
      </c>
      <c r="T324" s="532">
        <f>+T277+T286</f>
        <v>0</v>
      </c>
      <c r="U324" s="325"/>
      <c r="V324" s="532">
        <f>+V277+V286</f>
        <v>0</v>
      </c>
      <c r="W324" s="532">
        <f>+V324-'ROR-Model'!G324</f>
        <v>0</v>
      </c>
    </row>
    <row r="325" spans="1:23">
      <c r="A325" s="535"/>
      <c r="B325" s="58"/>
      <c r="C325" s="32" t="s">
        <v>498</v>
      </c>
      <c r="D325" s="534"/>
      <c r="E325" s="531"/>
      <c r="F325" s="325">
        <f>F1*(+F284+F293+F302+F311)</f>
        <v>0</v>
      </c>
      <c r="G325" s="325">
        <f>G1*(+G284+G293+G302+G311)</f>
        <v>0</v>
      </c>
      <c r="H325" s="325">
        <f>H1*(+H284+H293+H302+H311)</f>
        <v>0</v>
      </c>
      <c r="I325" s="325">
        <f t="shared" ref="I325:Q325" si="54">I1*(+I284+I293+I302+I311)</f>
        <v>0</v>
      </c>
      <c r="J325" s="325">
        <f>J1*(+J284+J293+J302+J311)</f>
        <v>0</v>
      </c>
      <c r="K325" s="325">
        <f>K1*(+K284+K293+K302+K311)</f>
        <v>0</v>
      </c>
      <c r="L325" s="325">
        <f t="shared" si="54"/>
        <v>0</v>
      </c>
      <c r="M325" s="325">
        <f t="shared" si="54"/>
        <v>0</v>
      </c>
      <c r="N325" s="325">
        <f t="shared" si="54"/>
        <v>0</v>
      </c>
      <c r="O325" s="325">
        <f t="shared" si="54"/>
        <v>0</v>
      </c>
      <c r="P325" s="325">
        <f t="shared" si="54"/>
        <v>0</v>
      </c>
      <c r="Q325" s="325">
        <f t="shared" si="54"/>
        <v>0</v>
      </c>
      <c r="R325" s="325">
        <f>R1*(+R284+R293+R302+R311)</f>
        <v>0</v>
      </c>
      <c r="S325" s="325">
        <f>S1*(+S284+S293+S302+S311)</f>
        <v>0</v>
      </c>
      <c r="T325" s="532">
        <f>+T284+T293+T302+T311</f>
        <v>0</v>
      </c>
      <c r="U325" s="325"/>
      <c r="V325" s="532">
        <f>+V284+V293+V302+V311</f>
        <v>0</v>
      </c>
      <c r="W325" s="532">
        <f>+V325-'ROR-Model'!G325</f>
        <v>0</v>
      </c>
    </row>
    <row r="326" spans="1:23">
      <c r="A326" s="535"/>
      <c r="B326" s="58"/>
      <c r="C326" s="58" t="s">
        <v>16</v>
      </c>
      <c r="D326" s="534"/>
      <c r="E326" s="531"/>
      <c r="F326" s="325">
        <f>F1*(+F243+F252+F261+F270+F279+F288+F297+F306+F315)</f>
        <v>0</v>
      </c>
      <c r="G326" s="325">
        <f>G1*(+G243+G252+G261+G270+G279+G288+G297+G306+G315)</f>
        <v>0</v>
      </c>
      <c r="H326" s="325">
        <f>H1*(+H243+H252+H261+H270+H279+H288+H297+H306+H315)</f>
        <v>0</v>
      </c>
      <c r="I326" s="325">
        <f t="shared" ref="I326:Q326" si="55">I1*(+I243+I252+I261+I270+I279+I288+I297+I306+I315)</f>
        <v>0</v>
      </c>
      <c r="J326" s="325">
        <f>J1*(+J243+J252+J261+J270+J279+J288+J297+J306+J315)</f>
        <v>0</v>
      </c>
      <c r="K326" s="325">
        <f>K1*(+K243+K252+K261+K270+K279+K288+K297+K306+K315)</f>
        <v>0</v>
      </c>
      <c r="L326" s="325">
        <f t="shared" si="55"/>
        <v>0</v>
      </c>
      <c r="M326" s="325">
        <f t="shared" si="55"/>
        <v>0</v>
      </c>
      <c r="N326" s="325">
        <f t="shared" si="55"/>
        <v>0</v>
      </c>
      <c r="O326" s="325">
        <f t="shared" si="55"/>
        <v>0</v>
      </c>
      <c r="P326" s="325">
        <f t="shared" si="55"/>
        <v>0</v>
      </c>
      <c r="Q326" s="325">
        <f t="shared" si="55"/>
        <v>0</v>
      </c>
      <c r="R326" s="325">
        <f>R1*(+R243+R252+R261+R270+R279+R288+R297+R306+R315)</f>
        <v>0</v>
      </c>
      <c r="S326" s="325">
        <f>S1*(+S243+S252+S261+S270+S279+S288+S297+S306+S315)</f>
        <v>0</v>
      </c>
      <c r="T326" s="532">
        <f>+T243+T252+T261+T270+T279+T288+T297+T306+T315</f>
        <v>0</v>
      </c>
      <c r="U326" s="325"/>
      <c r="V326" s="532">
        <f>+V243+V252+V261+V270+V279+V288+V297+V306+V315</f>
        <v>0</v>
      </c>
      <c r="W326" s="532">
        <f>+V326-'ROR-Model'!G326</f>
        <v>0</v>
      </c>
    </row>
    <row r="327" spans="1:23">
      <c r="A327" s="535"/>
      <c r="B327" s="58"/>
      <c r="C327" s="58" t="s">
        <v>26</v>
      </c>
      <c r="D327" s="534"/>
      <c r="E327" s="531"/>
      <c r="F327" s="736">
        <f t="shared" ref="F327" si="56">F1*+F244+F253+F262+F271+F280+F289+F298+F307+F316+F320+F321</f>
        <v>0</v>
      </c>
      <c r="G327" s="736">
        <f>G1*+G244+G253+G262+G271+G280+G289+G298+G307+G316+G320+G321</f>
        <v>-107131.26999999999</v>
      </c>
      <c r="H327" s="736">
        <f t="shared" ref="H327:Q327" si="57">H1*+H244+H253+H262+H271+H280+H289+H298+H307+H316+H320+H321</f>
        <v>0</v>
      </c>
      <c r="I327" s="736">
        <f t="shared" si="57"/>
        <v>0</v>
      </c>
      <c r="J327" s="736">
        <f>J1*+J244+J253+J262+J271+J280+J289+J298+J307+J316+J320+J321</f>
        <v>0</v>
      </c>
      <c r="K327" s="736">
        <f>K1*+K244+K253+K262+K271+K280+K289+K298+K307+K316+K320+K321</f>
        <v>0</v>
      </c>
      <c r="L327" s="736">
        <f t="shared" si="57"/>
        <v>0</v>
      </c>
      <c r="M327" s="736">
        <f t="shared" si="57"/>
        <v>0</v>
      </c>
      <c r="N327" s="736">
        <f t="shared" si="57"/>
        <v>0</v>
      </c>
      <c r="O327" s="736">
        <f t="shared" si="57"/>
        <v>0</v>
      </c>
      <c r="P327" s="736">
        <f t="shared" si="57"/>
        <v>0</v>
      </c>
      <c r="Q327" s="736">
        <f t="shared" si="57"/>
        <v>0</v>
      </c>
      <c r="R327" s="736">
        <f>R1*+R244+R253+R262+R271+R280+R289+R298+R307+R316+R320+R321</f>
        <v>0</v>
      </c>
      <c r="S327" s="736">
        <f>S1*+S244+S253+S262+S271+S280+S289+S298+S307+S316+S320+S321</f>
        <v>0</v>
      </c>
      <c r="T327" s="736">
        <f>T1*+T244+T253+T262+T271+T280+T289+T298+T307+T316+T320+T321</f>
        <v>-107131.26999999999</v>
      </c>
      <c r="U327" s="476"/>
      <c r="V327" s="736">
        <f t="shared" ref="V327" si="58">V1*+V244+V253+V262+V271+V280+V289+V298+V307+V316+V320+V321</f>
        <v>-107131.26999999999</v>
      </c>
      <c r="W327" s="536">
        <f>+V327-'ROR-Model'!G327</f>
        <v>0</v>
      </c>
    </row>
    <row r="328" spans="1:23">
      <c r="A328" s="535"/>
      <c r="B328" s="58"/>
      <c r="C328" s="58"/>
      <c r="D328" s="534"/>
      <c r="E328" s="531"/>
      <c r="F328" s="476"/>
      <c r="G328" s="476"/>
      <c r="H328" s="476"/>
      <c r="I328" s="476"/>
      <c r="J328" s="476"/>
      <c r="K328" s="476"/>
      <c r="L328" s="476"/>
      <c r="M328" s="476"/>
      <c r="N328" s="476"/>
      <c r="O328" s="476"/>
      <c r="P328" s="476"/>
      <c r="Q328" s="476"/>
      <c r="R328" s="476"/>
      <c r="S328" s="476"/>
      <c r="T328" s="536"/>
      <c r="U328" s="476"/>
      <c r="V328" s="536"/>
      <c r="W328" s="536">
        <f>+V328-'ROR-Model'!G328</f>
        <v>0</v>
      </c>
    </row>
    <row r="329" spans="1:23">
      <c r="A329" s="535"/>
      <c r="B329" s="58"/>
      <c r="C329" s="32" t="s">
        <v>56</v>
      </c>
      <c r="D329" s="534"/>
      <c r="E329" s="531"/>
      <c r="F329" s="325">
        <f>F1*(F246+F255+F264+F273+F282+F291)</f>
        <v>0</v>
      </c>
      <c r="G329" s="325">
        <f>G1*(G246+G255+G264+G273+G282+G291)</f>
        <v>0</v>
      </c>
      <c r="H329" s="325">
        <f>H1*(H246+H255+H264+H273+H282+H291)</f>
        <v>0</v>
      </c>
      <c r="I329" s="325">
        <f t="shared" ref="I329:Q329" si="59">I1*(I246+I255+I264+I273+I282+I291)</f>
        <v>0</v>
      </c>
      <c r="J329" s="325">
        <f>J1*(J246+J255+J264+J273+J282+J291)</f>
        <v>0</v>
      </c>
      <c r="K329" s="325">
        <f>K1*(K246+K255+K264+K273+K282+K291)</f>
        <v>0</v>
      </c>
      <c r="L329" s="325">
        <f t="shared" si="59"/>
        <v>0</v>
      </c>
      <c r="M329" s="325">
        <f t="shared" si="59"/>
        <v>0</v>
      </c>
      <c r="N329" s="325">
        <f t="shared" si="59"/>
        <v>0</v>
      </c>
      <c r="O329" s="325">
        <f t="shared" si="59"/>
        <v>0</v>
      </c>
      <c r="P329" s="325">
        <f t="shared" si="59"/>
        <v>0</v>
      </c>
      <c r="Q329" s="325">
        <f t="shared" si="59"/>
        <v>0</v>
      </c>
      <c r="R329" s="325">
        <f>R1*(R246+R255+R264+R273+R282+R291)</f>
        <v>0</v>
      </c>
      <c r="S329" s="325">
        <f>S1*(S246+S255+S264+S273+S282+S291)</f>
        <v>0</v>
      </c>
      <c r="T329" s="532">
        <f>T246+T255+T264+T273+T282+T291</f>
        <v>0</v>
      </c>
      <c r="U329" s="325"/>
      <c r="V329" s="532">
        <f>V246+V255+V264+V273+V282+V291</f>
        <v>0</v>
      </c>
      <c r="W329" s="532">
        <f>+V329-'ROR-Model'!G329</f>
        <v>0</v>
      </c>
    </row>
    <row r="330" spans="1:23">
      <c r="A330" s="535"/>
      <c r="B330" s="58"/>
      <c r="C330" s="58" t="s">
        <v>57</v>
      </c>
      <c r="D330" s="534"/>
      <c r="E330" s="531"/>
      <c r="F330" s="325">
        <f>F1*(F309+F318+F300)</f>
        <v>0</v>
      </c>
      <c r="G330" s="325">
        <f>G1*(G309+G318+G300)</f>
        <v>0</v>
      </c>
      <c r="H330" s="325">
        <f>H1*(H309+H318+H300)</f>
        <v>0</v>
      </c>
      <c r="I330" s="325">
        <f t="shared" ref="I330:Q330" si="60">I1*(I309+I318+I300)</f>
        <v>0</v>
      </c>
      <c r="J330" s="325">
        <f>J1*(J309+J318+J300)</f>
        <v>0</v>
      </c>
      <c r="K330" s="325">
        <f>K1*(K309+K318+K300)</f>
        <v>0</v>
      </c>
      <c r="L330" s="325">
        <f t="shared" si="60"/>
        <v>0</v>
      </c>
      <c r="M330" s="325">
        <f t="shared" si="60"/>
        <v>0</v>
      </c>
      <c r="N330" s="325">
        <f t="shared" si="60"/>
        <v>0</v>
      </c>
      <c r="O330" s="325">
        <f t="shared" si="60"/>
        <v>0</v>
      </c>
      <c r="P330" s="325">
        <f t="shared" si="60"/>
        <v>0</v>
      </c>
      <c r="Q330" s="325">
        <f t="shared" si="60"/>
        <v>0</v>
      </c>
      <c r="R330" s="325">
        <f>R1*(R309+R318+R300)</f>
        <v>0</v>
      </c>
      <c r="S330" s="325">
        <f>S1*(S309+S318+S300)</f>
        <v>0</v>
      </c>
      <c r="T330" s="532">
        <f>T309+T318+T300</f>
        <v>0</v>
      </c>
      <c r="U330" s="325"/>
      <c r="V330" s="532">
        <f>V309+V318+V300</f>
        <v>0</v>
      </c>
      <c r="W330" s="532">
        <f>+V330-'ROR-Model'!G330</f>
        <v>0</v>
      </c>
    </row>
    <row r="331" spans="1:23">
      <c r="A331" s="535"/>
      <c r="B331" s="58"/>
      <c r="C331" s="58" t="s">
        <v>27</v>
      </c>
      <c r="D331" s="534"/>
      <c r="E331" s="531"/>
      <c r="F331" s="476">
        <f>F1*+F246+F255+F264+F273+F282+F291+F300+F309+F318</f>
        <v>0</v>
      </c>
      <c r="G331" s="476">
        <f>G1*+G246+G255+G264+G273+G282+G291+G300+G309+G318</f>
        <v>0</v>
      </c>
      <c r="H331" s="476">
        <f>H1*+H246+H255+H264+H273+H282+H291+H300+H309+H318</f>
        <v>0</v>
      </c>
      <c r="I331" s="476">
        <f t="shared" ref="I331:Q331" si="61">I1*+I246+I255+I264+I273+I282+I291+I300+I309+I318</f>
        <v>0</v>
      </c>
      <c r="J331" s="476">
        <f>J1*+J246+J255+J264+J273+J282+J291+J300+J309+J318</f>
        <v>0</v>
      </c>
      <c r="K331" s="476">
        <f>K1*+K246+K255+K264+K273+K282+K291+K300+K309+K318</f>
        <v>0</v>
      </c>
      <c r="L331" s="476">
        <f t="shared" si="61"/>
        <v>0</v>
      </c>
      <c r="M331" s="476">
        <f t="shared" si="61"/>
        <v>0</v>
      </c>
      <c r="N331" s="476">
        <f t="shared" si="61"/>
        <v>0</v>
      </c>
      <c r="O331" s="476">
        <f t="shared" si="61"/>
        <v>0</v>
      </c>
      <c r="P331" s="476">
        <f t="shared" si="61"/>
        <v>0</v>
      </c>
      <c r="Q331" s="476">
        <f t="shared" si="61"/>
        <v>0</v>
      </c>
      <c r="R331" s="476">
        <f>R1*+R246+R255+R264+R273+R282+R291+R300+R309+R318</f>
        <v>0</v>
      </c>
      <c r="S331" s="476">
        <f>S1*+S246+S255+S264+S273+S282+S291+S300+S309+S318</f>
        <v>0</v>
      </c>
      <c r="T331" s="536">
        <f>+T246+T255+T264+T273+T282+T291+T300+T309+T318</f>
        <v>0</v>
      </c>
      <c r="U331" s="476"/>
      <c r="V331" s="536">
        <f>+V246+V255+V264+V273+V282+V291+V300+V309+V318</f>
        <v>0</v>
      </c>
      <c r="W331" s="536">
        <f>+V331-'ROR-Model'!G331</f>
        <v>0</v>
      </c>
    </row>
    <row r="332" spans="1:23">
      <c r="A332" s="535"/>
      <c r="B332" s="32"/>
      <c r="C332" s="32"/>
      <c r="D332" s="534"/>
      <c r="E332" s="531"/>
      <c r="F332" s="301"/>
      <c r="G332" s="301"/>
      <c r="H332" s="301"/>
      <c r="I332" s="301"/>
      <c r="J332" s="325"/>
      <c r="K332" s="325"/>
      <c r="L332" s="301"/>
      <c r="M332" s="301"/>
      <c r="N332" s="301"/>
      <c r="O332" s="301"/>
      <c r="P332" s="301"/>
      <c r="Q332" s="325"/>
      <c r="R332" s="325"/>
      <c r="S332" s="325"/>
      <c r="T332" s="532"/>
      <c r="U332" s="301"/>
      <c r="V332" s="532"/>
      <c r="W332" s="532">
        <f>+V332-'ROR-Model'!G332</f>
        <v>0</v>
      </c>
    </row>
    <row r="333" spans="1:23">
      <c r="A333" s="167" t="s">
        <v>28</v>
      </c>
      <c r="B333" s="58"/>
      <c r="C333" s="58"/>
      <c r="D333" s="534"/>
      <c r="E333" s="531"/>
      <c r="F333" s="301"/>
      <c r="G333" s="301"/>
      <c r="H333" s="301"/>
      <c r="I333" s="301"/>
      <c r="J333" s="325"/>
      <c r="K333" s="325"/>
      <c r="L333" s="301"/>
      <c r="M333" s="301"/>
      <c r="N333" s="301"/>
      <c r="O333" s="301"/>
      <c r="P333" s="301"/>
      <c r="Q333" s="325"/>
      <c r="R333" s="325"/>
      <c r="S333" s="325"/>
      <c r="T333" s="532"/>
      <c r="U333" s="301"/>
      <c r="V333" s="532"/>
      <c r="W333" s="532">
        <f>+V333-'ROR-Model'!G333</f>
        <v>0</v>
      </c>
    </row>
    <row r="334" spans="1:23">
      <c r="A334" s="535"/>
      <c r="B334" s="32" t="s">
        <v>79</v>
      </c>
      <c r="C334" s="32" t="s">
        <v>14</v>
      </c>
      <c r="D334" s="534"/>
      <c r="E334" s="531"/>
      <c r="F334" s="301"/>
      <c r="G334" s="301">
        <f>G1*Revenue!$I$333</f>
        <v>0</v>
      </c>
      <c r="H334" s="301"/>
      <c r="I334" s="301"/>
      <c r="J334" s="325"/>
      <c r="K334" s="325"/>
      <c r="L334" s="301"/>
      <c r="M334" s="301"/>
      <c r="N334" s="301"/>
      <c r="O334" s="301"/>
      <c r="P334" s="301"/>
      <c r="Q334" s="325"/>
      <c r="R334" s="325"/>
      <c r="S334" s="325"/>
      <c r="T334" s="532">
        <f>SUM(F334:S334)</f>
        <v>0</v>
      </c>
      <c r="U334" s="301"/>
      <c r="V334" s="532">
        <f>SUM(T334:T334)</f>
        <v>0</v>
      </c>
      <c r="W334" s="532">
        <f>+V334-'ROR-Model'!G334</f>
        <v>0</v>
      </c>
    </row>
    <row r="335" spans="1:23">
      <c r="A335" s="535"/>
      <c r="B335" s="32"/>
      <c r="C335" s="32"/>
      <c r="D335" s="534"/>
      <c r="E335" s="531"/>
      <c r="F335" s="301"/>
      <c r="G335" s="301"/>
      <c r="H335" s="301"/>
      <c r="I335" s="301"/>
      <c r="J335" s="325"/>
      <c r="K335" s="325"/>
      <c r="L335" s="301"/>
      <c r="M335" s="301"/>
      <c r="N335" s="301"/>
      <c r="O335" s="301"/>
      <c r="P335" s="301"/>
      <c r="Q335" s="325"/>
      <c r="R335" s="325"/>
      <c r="S335" s="325"/>
      <c r="T335" s="532"/>
      <c r="U335" s="301"/>
      <c r="V335" s="532"/>
      <c r="W335" s="532">
        <f>+V335-'ROR-Model'!G335</f>
        <v>0</v>
      </c>
    </row>
    <row r="336" spans="1:23">
      <c r="A336" s="535"/>
      <c r="B336" s="32"/>
      <c r="C336" s="32"/>
      <c r="D336" s="534"/>
      <c r="E336" s="531"/>
      <c r="F336" s="301"/>
      <c r="G336" s="301"/>
      <c r="H336" s="301"/>
      <c r="I336" s="301"/>
      <c r="J336" s="325"/>
      <c r="K336" s="325"/>
      <c r="L336" s="301"/>
      <c r="M336" s="301"/>
      <c r="N336" s="301"/>
      <c r="O336" s="301"/>
      <c r="P336" s="301"/>
      <c r="Q336" s="325"/>
      <c r="R336" s="325"/>
      <c r="S336" s="325"/>
      <c r="T336" s="532">
        <f>SUM(F336:S336)</f>
        <v>0</v>
      </c>
      <c r="U336" s="301"/>
      <c r="V336" s="532">
        <f>SUM(T336:T336)</f>
        <v>0</v>
      </c>
      <c r="W336" s="532">
        <f>+V336-'ROR-Model'!G336</f>
        <v>0</v>
      </c>
    </row>
    <row r="337" spans="1:23">
      <c r="A337" s="535"/>
      <c r="B337" s="32"/>
      <c r="C337" s="32"/>
      <c r="D337" s="534"/>
      <c r="E337" s="531"/>
      <c r="F337" s="301"/>
      <c r="G337" s="301"/>
      <c r="H337" s="301"/>
      <c r="I337" s="301"/>
      <c r="J337" s="325"/>
      <c r="K337" s="325"/>
      <c r="L337" s="301"/>
      <c r="M337" s="301"/>
      <c r="N337" s="301"/>
      <c r="O337" s="301"/>
      <c r="P337" s="301"/>
      <c r="Q337" s="325"/>
      <c r="R337" s="325"/>
      <c r="S337" s="325"/>
      <c r="T337" s="532"/>
      <c r="U337" s="301"/>
      <c r="V337" s="532"/>
      <c r="W337" s="532">
        <f>+V337-'ROR-Model'!G337</f>
        <v>0</v>
      </c>
    </row>
    <row r="338" spans="1:23">
      <c r="A338" s="535"/>
      <c r="B338" s="32"/>
      <c r="C338" s="32" t="s">
        <v>16</v>
      </c>
      <c r="D338" s="534"/>
      <c r="E338" s="531"/>
      <c r="F338" s="301"/>
      <c r="G338" s="301">
        <f>G1*Revenue!$I$337</f>
        <v>0</v>
      </c>
      <c r="H338" s="301"/>
      <c r="I338" s="301"/>
      <c r="J338" s="325"/>
      <c r="K338" s="325"/>
      <c r="L338" s="301"/>
      <c r="M338" s="301"/>
      <c r="N338" s="301"/>
      <c r="O338" s="301"/>
      <c r="P338" s="301"/>
      <c r="Q338" s="325"/>
      <c r="R338" s="325"/>
      <c r="S338" s="325"/>
      <c r="T338" s="532">
        <f>SUM(F338:S338)</f>
        <v>0</v>
      </c>
      <c r="U338" s="301"/>
      <c r="V338" s="532">
        <f>SUM(T338:T338)</f>
        <v>0</v>
      </c>
      <c r="W338" s="532">
        <f>+V338-'ROR-Model'!G338</f>
        <v>0</v>
      </c>
    </row>
    <row r="339" spans="1:23">
      <c r="A339" s="535"/>
      <c r="B339" s="32"/>
      <c r="C339" s="32" t="s">
        <v>17</v>
      </c>
      <c r="D339" s="534"/>
      <c r="E339" s="531"/>
      <c r="F339" s="323">
        <f>SUM(F334:F338)</f>
        <v>0</v>
      </c>
      <c r="G339" s="323">
        <f>G1*SUM(G334:G338)</f>
        <v>0</v>
      </c>
      <c r="H339" s="323">
        <f>SUM(H334:H338)</f>
        <v>0</v>
      </c>
      <c r="I339" s="323">
        <f t="shared" ref="I339:P339" si="62">SUM(I334:I338)</f>
        <v>0</v>
      </c>
      <c r="J339" s="476">
        <f>SUM(J334:J338)</f>
        <v>0</v>
      </c>
      <c r="K339" s="476">
        <f>SUM(K334:K338)</f>
        <v>0</v>
      </c>
      <c r="L339" s="323">
        <f t="shared" si="62"/>
        <v>0</v>
      </c>
      <c r="M339" s="323">
        <f t="shared" si="62"/>
        <v>0</v>
      </c>
      <c r="N339" s="323">
        <f t="shared" si="62"/>
        <v>0</v>
      </c>
      <c r="O339" s="323">
        <f t="shared" si="62"/>
        <v>0</v>
      </c>
      <c r="P339" s="323">
        <f t="shared" si="62"/>
        <v>0</v>
      </c>
      <c r="Q339" s="476">
        <f>SUM(Q334:Q338)</f>
        <v>0</v>
      </c>
      <c r="R339" s="476">
        <f>SUM(R334:R338)</f>
        <v>0</v>
      </c>
      <c r="S339" s="476">
        <f>SUM(S334:S338)</f>
        <v>0</v>
      </c>
      <c r="T339" s="536">
        <f>SUM(T334:T338)</f>
        <v>0</v>
      </c>
      <c r="U339" s="323"/>
      <c r="V339" s="536">
        <f>SUM(V334:V338)</f>
        <v>0</v>
      </c>
      <c r="W339" s="536">
        <f>+V339-'ROR-Model'!G339</f>
        <v>0</v>
      </c>
    </row>
    <row r="340" spans="1:23">
      <c r="A340" s="535"/>
      <c r="B340" s="32"/>
      <c r="C340" s="32"/>
      <c r="D340" s="534"/>
      <c r="E340" s="531"/>
      <c r="F340" s="301"/>
      <c r="G340" s="301"/>
      <c r="H340" s="301"/>
      <c r="I340" s="301"/>
      <c r="J340" s="325"/>
      <c r="K340" s="325"/>
      <c r="L340" s="301"/>
      <c r="M340" s="301"/>
      <c r="N340" s="301"/>
      <c r="O340" s="301"/>
      <c r="P340" s="301"/>
      <c r="Q340" s="325"/>
      <c r="R340" s="325"/>
      <c r="S340" s="325"/>
      <c r="T340" s="532"/>
      <c r="U340" s="301"/>
      <c r="V340" s="532"/>
      <c r="W340" s="532">
        <f>+V340-'ROR-Model'!G340</f>
        <v>0</v>
      </c>
    </row>
    <row r="341" spans="1:23">
      <c r="A341" s="535"/>
      <c r="B341" s="32"/>
      <c r="C341" s="32" t="s">
        <v>18</v>
      </c>
      <c r="D341" s="534"/>
      <c r="E341" s="531"/>
      <c r="F341" s="301"/>
      <c r="G341" s="301">
        <f>G1*Revenue!$I$340</f>
        <v>0</v>
      </c>
      <c r="H341" s="301"/>
      <c r="I341" s="301"/>
      <c r="J341" s="325"/>
      <c r="K341" s="325"/>
      <c r="L341" s="301"/>
      <c r="M341" s="301"/>
      <c r="N341" s="301"/>
      <c r="O341" s="301"/>
      <c r="P341" s="301"/>
      <c r="Q341" s="325"/>
      <c r="R341" s="325"/>
      <c r="S341" s="325"/>
      <c r="T341" s="532">
        <f>SUM(F341:S341)</f>
        <v>0</v>
      </c>
      <c r="U341" s="301"/>
      <c r="V341" s="532">
        <f>SUM(T341:T341)</f>
        <v>0</v>
      </c>
      <c r="W341" s="532">
        <f>+V341-'ROR-Model'!G341</f>
        <v>0</v>
      </c>
    </row>
    <row r="342" spans="1:23">
      <c r="A342" s="535"/>
      <c r="B342" s="58"/>
      <c r="C342" s="58"/>
      <c r="D342" s="534"/>
      <c r="E342" s="531"/>
      <c r="F342" s="301"/>
      <c r="G342" s="301"/>
      <c r="H342" s="301"/>
      <c r="I342" s="301"/>
      <c r="J342" s="325"/>
      <c r="K342" s="325"/>
      <c r="L342" s="301"/>
      <c r="M342" s="301"/>
      <c r="N342" s="301"/>
      <c r="O342" s="301"/>
      <c r="P342" s="301"/>
      <c r="Q342" s="325"/>
      <c r="R342" s="325"/>
      <c r="S342" s="325"/>
      <c r="T342" s="532"/>
      <c r="U342" s="301"/>
      <c r="V342" s="532"/>
      <c r="W342" s="532">
        <f>+V342-'ROR-Model'!G342</f>
        <v>0</v>
      </c>
    </row>
    <row r="343" spans="1:23">
      <c r="A343" s="535"/>
      <c r="B343" s="32" t="s">
        <v>24</v>
      </c>
      <c r="C343" s="32" t="s">
        <v>14</v>
      </c>
      <c r="D343" s="534"/>
      <c r="E343" s="531"/>
      <c r="F343" s="301"/>
      <c r="G343" s="301">
        <f>G1*Revenue!$I$342</f>
        <v>0</v>
      </c>
      <c r="H343" s="301"/>
      <c r="I343" s="301"/>
      <c r="J343" s="325"/>
      <c r="K343" s="325"/>
      <c r="L343" s="301"/>
      <c r="M343" s="301"/>
      <c r="N343" s="301"/>
      <c r="O343" s="301"/>
      <c r="P343" s="301"/>
      <c r="Q343" s="325"/>
      <c r="R343" s="325"/>
      <c r="S343" s="325"/>
      <c r="T343" s="532">
        <f>SUM(F343:S343)</f>
        <v>0</v>
      </c>
      <c r="U343" s="301"/>
      <c r="V343" s="532">
        <f>SUM(T343:T343)</f>
        <v>0</v>
      </c>
      <c r="W343" s="532">
        <f>+V343-'ROR-Model'!G343</f>
        <v>0</v>
      </c>
    </row>
    <row r="344" spans="1:23">
      <c r="A344" s="535"/>
      <c r="B344" s="32"/>
      <c r="C344" s="32"/>
      <c r="D344" s="534"/>
      <c r="E344" s="531"/>
      <c r="F344" s="301"/>
      <c r="G344" s="301"/>
      <c r="H344" s="301"/>
      <c r="I344" s="301"/>
      <c r="J344" s="325"/>
      <c r="K344" s="325"/>
      <c r="L344" s="301"/>
      <c r="M344" s="301"/>
      <c r="N344" s="301"/>
      <c r="O344" s="301"/>
      <c r="P344" s="301"/>
      <c r="Q344" s="325"/>
      <c r="R344" s="325"/>
      <c r="S344" s="325"/>
      <c r="T344" s="532"/>
      <c r="U344" s="301"/>
      <c r="V344" s="532"/>
      <c r="W344" s="532">
        <f>+V344-'ROR-Model'!G344</f>
        <v>0</v>
      </c>
    </row>
    <row r="345" spans="1:23">
      <c r="A345" s="535"/>
      <c r="B345" s="32"/>
      <c r="C345" s="32"/>
      <c r="D345" s="534"/>
      <c r="E345" s="531"/>
      <c r="F345" s="301"/>
      <c r="G345" s="301"/>
      <c r="H345" s="301"/>
      <c r="I345" s="301"/>
      <c r="J345" s="325"/>
      <c r="K345" s="325"/>
      <c r="L345" s="301"/>
      <c r="M345" s="301"/>
      <c r="N345" s="301"/>
      <c r="O345" s="301"/>
      <c r="P345" s="301"/>
      <c r="Q345" s="325"/>
      <c r="R345" s="325"/>
      <c r="S345" s="325"/>
      <c r="T345" s="532">
        <f>SUM(F345:S345)</f>
        <v>0</v>
      </c>
      <c r="U345" s="301"/>
      <c r="V345" s="532">
        <f>SUM(T345:T345)</f>
        <v>0</v>
      </c>
      <c r="W345" s="532">
        <f>+V345-'ROR-Model'!G345</f>
        <v>0</v>
      </c>
    </row>
    <row r="346" spans="1:23">
      <c r="A346" s="535"/>
      <c r="B346" s="32"/>
      <c r="C346" s="32"/>
      <c r="D346" s="534"/>
      <c r="E346" s="531"/>
      <c r="F346" s="301"/>
      <c r="G346" s="301"/>
      <c r="H346" s="301"/>
      <c r="I346" s="301"/>
      <c r="J346" s="325"/>
      <c r="K346" s="325"/>
      <c r="L346" s="301"/>
      <c r="M346" s="301"/>
      <c r="N346" s="301"/>
      <c r="O346" s="301"/>
      <c r="P346" s="301"/>
      <c r="Q346" s="325"/>
      <c r="R346" s="325"/>
      <c r="S346" s="325"/>
      <c r="T346" s="532"/>
      <c r="U346" s="301"/>
      <c r="V346" s="532"/>
      <c r="W346" s="532">
        <f>+V346-'ROR-Model'!G346</f>
        <v>0</v>
      </c>
    </row>
    <row r="347" spans="1:23">
      <c r="A347" s="535"/>
      <c r="B347" s="32"/>
      <c r="C347" s="32" t="s">
        <v>16</v>
      </c>
      <c r="D347" s="534"/>
      <c r="E347" s="531"/>
      <c r="F347" s="301"/>
      <c r="G347" s="301">
        <f>G1*Revenue!$I$346</f>
        <v>0</v>
      </c>
      <c r="H347" s="301"/>
      <c r="I347" s="301"/>
      <c r="J347" s="325"/>
      <c r="K347" s="325"/>
      <c r="L347" s="301"/>
      <c r="M347" s="301"/>
      <c r="N347" s="301"/>
      <c r="O347" s="301"/>
      <c r="P347" s="301"/>
      <c r="Q347" s="325"/>
      <c r="R347" s="325"/>
      <c r="S347" s="325"/>
      <c r="T347" s="532">
        <f>SUM(F347:S347)</f>
        <v>0</v>
      </c>
      <c r="U347" s="301"/>
      <c r="V347" s="532">
        <f>SUM(T347:T347)</f>
        <v>0</v>
      </c>
      <c r="W347" s="532">
        <f>+V347-'ROR-Model'!G347</f>
        <v>0</v>
      </c>
    </row>
    <row r="348" spans="1:23">
      <c r="A348" s="535"/>
      <c r="B348" s="32"/>
      <c r="C348" s="32" t="s">
        <v>17</v>
      </c>
      <c r="D348" s="534"/>
      <c r="E348" s="531"/>
      <c r="F348" s="323">
        <f>SUM(F343:F347)</f>
        <v>0</v>
      </c>
      <c r="G348" s="323">
        <f>G1*SUM(G343:G347)</f>
        <v>0</v>
      </c>
      <c r="H348" s="323">
        <f>SUM(H343:H347)</f>
        <v>0</v>
      </c>
      <c r="I348" s="323">
        <f t="shared" ref="I348:P348" si="63">SUM(I343:I347)</f>
        <v>0</v>
      </c>
      <c r="J348" s="476">
        <f>SUM(J343:J347)</f>
        <v>0</v>
      </c>
      <c r="K348" s="476">
        <f>SUM(K343:K347)</f>
        <v>0</v>
      </c>
      <c r="L348" s="323">
        <f t="shared" si="63"/>
        <v>0</v>
      </c>
      <c r="M348" s="323">
        <f t="shared" si="63"/>
        <v>0</v>
      </c>
      <c r="N348" s="323">
        <f t="shared" si="63"/>
        <v>0</v>
      </c>
      <c r="O348" s="323">
        <f t="shared" si="63"/>
        <v>0</v>
      </c>
      <c r="P348" s="323">
        <f t="shared" si="63"/>
        <v>0</v>
      </c>
      <c r="Q348" s="476">
        <f>SUM(Q343:Q347)</f>
        <v>0</v>
      </c>
      <c r="R348" s="476">
        <f>SUM(R343:R347)</f>
        <v>0</v>
      </c>
      <c r="S348" s="476">
        <f>SUM(S343:S347)</f>
        <v>0</v>
      </c>
      <c r="T348" s="536">
        <f>SUM(T343:T347)</f>
        <v>0</v>
      </c>
      <c r="U348" s="323"/>
      <c r="V348" s="536">
        <f>SUM(V343:V347)</f>
        <v>0</v>
      </c>
      <c r="W348" s="536">
        <f>+V348-'ROR-Model'!G348</f>
        <v>0</v>
      </c>
    </row>
    <row r="349" spans="1:23">
      <c r="A349" s="535"/>
      <c r="B349" s="32"/>
      <c r="C349" s="32"/>
      <c r="D349" s="534"/>
      <c r="E349" s="531"/>
      <c r="F349" s="301"/>
      <c r="G349" s="301"/>
      <c r="H349" s="301"/>
      <c r="I349" s="301"/>
      <c r="J349" s="325"/>
      <c r="K349" s="325"/>
      <c r="L349" s="301"/>
      <c r="M349" s="301"/>
      <c r="N349" s="301"/>
      <c r="O349" s="301"/>
      <c r="P349" s="301"/>
      <c r="Q349" s="325"/>
      <c r="R349" s="325"/>
      <c r="S349" s="325"/>
      <c r="T349" s="532"/>
      <c r="U349" s="301"/>
      <c r="V349" s="532"/>
      <c r="W349" s="532"/>
    </row>
    <row r="350" spans="1:23">
      <c r="A350" s="535"/>
      <c r="B350" s="32"/>
      <c r="C350" s="32" t="s">
        <v>18</v>
      </c>
      <c r="D350" s="534"/>
      <c r="E350" s="531"/>
      <c r="F350" s="301"/>
      <c r="G350" s="301">
        <f>G1*Revenue!$I$349</f>
        <v>0</v>
      </c>
      <c r="H350" s="301"/>
      <c r="I350" s="301"/>
      <c r="J350" s="325"/>
      <c r="K350" s="325"/>
      <c r="L350" s="301"/>
      <c r="M350" s="301"/>
      <c r="N350" s="301"/>
      <c r="O350" s="301"/>
      <c r="P350" s="301"/>
      <c r="Q350" s="325"/>
      <c r="R350" s="325"/>
      <c r="S350" s="325"/>
      <c r="T350" s="532">
        <f>SUM(F350:S350)</f>
        <v>0</v>
      </c>
      <c r="U350" s="301"/>
      <c r="V350" s="532">
        <f>SUM(T350:T350)</f>
        <v>0</v>
      </c>
      <c r="W350" s="532">
        <f>+V350-'ROR-Model'!G350</f>
        <v>0</v>
      </c>
    </row>
    <row r="351" spans="1:23" ht="13.5" thickBot="1">
      <c r="A351" s="535"/>
      <c r="B351" s="58"/>
      <c r="C351" s="58"/>
      <c r="D351" s="534"/>
      <c r="E351" s="531"/>
      <c r="F351" s="470"/>
      <c r="G351" s="470"/>
      <c r="H351" s="470"/>
      <c r="I351" s="470"/>
      <c r="J351" s="477"/>
      <c r="K351" s="477"/>
      <c r="L351" s="470"/>
      <c r="M351" s="470"/>
      <c r="N351" s="470"/>
      <c r="O351" s="470"/>
      <c r="P351" s="470"/>
      <c r="Q351" s="477"/>
      <c r="R351" s="477"/>
      <c r="S351" s="477"/>
      <c r="T351" s="538"/>
      <c r="U351" s="470"/>
      <c r="V351" s="538"/>
      <c r="W351" s="538">
        <f>+V351-'ROR-Model'!G351</f>
        <v>0</v>
      </c>
    </row>
    <row r="352" spans="1:23" ht="13.5" thickTop="1">
      <c r="A352" s="535"/>
      <c r="B352" s="58" t="s">
        <v>497</v>
      </c>
      <c r="C352" s="32"/>
      <c r="D352" s="534"/>
      <c r="E352" s="531"/>
      <c r="F352" s="301"/>
      <c r="G352" s="301"/>
      <c r="H352" s="301"/>
      <c r="I352" s="301"/>
      <c r="J352" s="325"/>
      <c r="K352" s="325"/>
      <c r="L352" s="301"/>
      <c r="M352" s="301"/>
      <c r="N352" s="301"/>
      <c r="O352" s="301"/>
      <c r="P352" s="301"/>
      <c r="Q352" s="325"/>
      <c r="R352" s="325"/>
      <c r="S352" s="325"/>
      <c r="T352" s="532"/>
      <c r="U352" s="301"/>
      <c r="V352" s="532"/>
      <c r="W352" s="532">
        <f>+V352-'ROR-Model'!G352</f>
        <v>0</v>
      </c>
    </row>
    <row r="353" spans="1:23">
      <c r="A353" s="535"/>
      <c r="B353" s="58"/>
      <c r="C353" s="32" t="s">
        <v>14</v>
      </c>
      <c r="D353" s="534"/>
      <c r="E353" s="531"/>
      <c r="F353" s="325">
        <f>+F334+F343</f>
        <v>0</v>
      </c>
      <c r="G353" s="325">
        <f>G1*+G334+G343</f>
        <v>0</v>
      </c>
      <c r="H353" s="325">
        <f>+H334+H343</f>
        <v>0</v>
      </c>
      <c r="I353" s="325">
        <f t="shared" ref="I353:Q353" si="64">+I334+I343</f>
        <v>0</v>
      </c>
      <c r="J353" s="325">
        <f>+J334+J343</f>
        <v>0</v>
      </c>
      <c r="K353" s="325">
        <f>+K334+K343</f>
        <v>0</v>
      </c>
      <c r="L353" s="325">
        <f t="shared" si="64"/>
        <v>0</v>
      </c>
      <c r="M353" s="325">
        <f t="shared" si="64"/>
        <v>0</v>
      </c>
      <c r="N353" s="325">
        <f t="shared" si="64"/>
        <v>0</v>
      </c>
      <c r="O353" s="325">
        <f t="shared" si="64"/>
        <v>0</v>
      </c>
      <c r="P353" s="325">
        <f t="shared" si="64"/>
        <v>0</v>
      </c>
      <c r="Q353" s="325">
        <f t="shared" si="64"/>
        <v>0</v>
      </c>
      <c r="R353" s="325">
        <f>+R334+R343</f>
        <v>0</v>
      </c>
      <c r="S353" s="325">
        <f>+S334+S343</f>
        <v>0</v>
      </c>
      <c r="T353" s="532">
        <f>+T334+T343</f>
        <v>0</v>
      </c>
      <c r="U353" s="325"/>
      <c r="V353" s="532">
        <f>+V334+V343</f>
        <v>0</v>
      </c>
      <c r="W353" s="532">
        <f>+V353-'ROR-Model'!G353</f>
        <v>0</v>
      </c>
    </row>
    <row r="354" spans="1:23">
      <c r="A354" s="535"/>
      <c r="B354" s="58"/>
      <c r="C354" s="32" t="s">
        <v>16</v>
      </c>
      <c r="D354" s="534"/>
      <c r="E354" s="531"/>
      <c r="F354" s="325">
        <f>+F337+F346</f>
        <v>0</v>
      </c>
      <c r="G354" s="325">
        <f>G1*+G337+G346</f>
        <v>0</v>
      </c>
      <c r="H354" s="325">
        <f>+H337+H346</f>
        <v>0</v>
      </c>
      <c r="I354" s="325">
        <f t="shared" ref="I354:Q354" si="65">+I337+I346</f>
        <v>0</v>
      </c>
      <c r="J354" s="325">
        <f>+J337+J346</f>
        <v>0</v>
      </c>
      <c r="K354" s="325">
        <f>+K337+K346</f>
        <v>0</v>
      </c>
      <c r="L354" s="325">
        <f t="shared" si="65"/>
        <v>0</v>
      </c>
      <c r="M354" s="325">
        <f t="shared" si="65"/>
        <v>0</v>
      </c>
      <c r="N354" s="325">
        <f t="shared" si="65"/>
        <v>0</v>
      </c>
      <c r="O354" s="325">
        <f t="shared" si="65"/>
        <v>0</v>
      </c>
      <c r="P354" s="325">
        <f t="shared" si="65"/>
        <v>0</v>
      </c>
      <c r="Q354" s="325">
        <f t="shared" si="65"/>
        <v>0</v>
      </c>
      <c r="R354" s="325">
        <f>+R337+R346</f>
        <v>0</v>
      </c>
      <c r="S354" s="325">
        <f>+S337+S346</f>
        <v>0</v>
      </c>
      <c r="T354" s="532">
        <f>+T337+T346</f>
        <v>0</v>
      </c>
      <c r="U354" s="325"/>
      <c r="V354" s="532">
        <f>+V337+V346</f>
        <v>0</v>
      </c>
      <c r="W354" s="532">
        <f>+V354-'ROR-Model'!G354</f>
        <v>0</v>
      </c>
    </row>
    <row r="355" spans="1:23">
      <c r="A355" s="535"/>
      <c r="B355" s="58"/>
      <c r="C355" s="58" t="s">
        <v>29</v>
      </c>
      <c r="D355" s="534"/>
      <c r="E355" s="531"/>
      <c r="F355" s="325">
        <f>F339+F348</f>
        <v>0</v>
      </c>
      <c r="G355" s="325">
        <f>G1*G339+G348</f>
        <v>0</v>
      </c>
      <c r="H355" s="325">
        <f>H339+H348</f>
        <v>0</v>
      </c>
      <c r="I355" s="325">
        <f t="shared" ref="I355:Q355" si="66">I339+I348</f>
        <v>0</v>
      </c>
      <c r="J355" s="325">
        <f>J339+J348</f>
        <v>0</v>
      </c>
      <c r="K355" s="325">
        <f>K339+K348</f>
        <v>0</v>
      </c>
      <c r="L355" s="325">
        <f t="shared" si="66"/>
        <v>0</v>
      </c>
      <c r="M355" s="325">
        <f t="shared" si="66"/>
        <v>0</v>
      </c>
      <c r="N355" s="325">
        <f t="shared" si="66"/>
        <v>0</v>
      </c>
      <c r="O355" s="325">
        <f t="shared" si="66"/>
        <v>0</v>
      </c>
      <c r="P355" s="325">
        <f t="shared" si="66"/>
        <v>0</v>
      </c>
      <c r="Q355" s="325">
        <f t="shared" si="66"/>
        <v>0</v>
      </c>
      <c r="R355" s="325">
        <f>R339+R348</f>
        <v>0</v>
      </c>
      <c r="S355" s="325">
        <f>S339+S348</f>
        <v>0</v>
      </c>
      <c r="T355" s="532">
        <f>T339+T348</f>
        <v>0</v>
      </c>
      <c r="U355" s="325"/>
      <c r="V355" s="532">
        <f>V339+V348</f>
        <v>0</v>
      </c>
      <c r="W355" s="532">
        <f>+V355-'ROR-Model'!G355</f>
        <v>0</v>
      </c>
    </row>
    <row r="356" spans="1:23">
      <c r="A356" s="535"/>
      <c r="B356" s="58"/>
      <c r="C356" s="58"/>
      <c r="D356" s="534"/>
      <c r="E356" s="531"/>
      <c r="F356" s="325"/>
      <c r="G356" s="325"/>
      <c r="H356" s="325"/>
      <c r="I356" s="325"/>
      <c r="J356" s="325"/>
      <c r="K356" s="325"/>
      <c r="L356" s="325"/>
      <c r="M356" s="325"/>
      <c r="N356" s="325"/>
      <c r="O356" s="325"/>
      <c r="P356" s="325"/>
      <c r="Q356" s="325"/>
      <c r="R356" s="325"/>
      <c r="S356" s="325"/>
      <c r="T356" s="532"/>
      <c r="U356" s="325"/>
      <c r="V356" s="532"/>
      <c r="W356" s="532">
        <f>+V356-'ROR-Model'!G356</f>
        <v>0</v>
      </c>
    </row>
    <row r="357" spans="1:23">
      <c r="A357" s="535"/>
      <c r="B357" s="32"/>
      <c r="C357" s="58" t="s">
        <v>56</v>
      </c>
      <c r="D357" s="534"/>
      <c r="E357" s="531"/>
      <c r="F357" s="325">
        <f>F341</f>
        <v>0</v>
      </c>
      <c r="G357" s="325">
        <f>G1*G341</f>
        <v>0</v>
      </c>
      <c r="H357" s="325">
        <f>H341</f>
        <v>0</v>
      </c>
      <c r="I357" s="325">
        <f t="shared" ref="I357:Q357" si="67">I341</f>
        <v>0</v>
      </c>
      <c r="J357" s="325">
        <f>J341</f>
        <v>0</v>
      </c>
      <c r="K357" s="325">
        <f>K341</f>
        <v>0</v>
      </c>
      <c r="L357" s="325">
        <f t="shared" si="67"/>
        <v>0</v>
      </c>
      <c r="M357" s="325">
        <f t="shared" si="67"/>
        <v>0</v>
      </c>
      <c r="N357" s="325">
        <f t="shared" si="67"/>
        <v>0</v>
      </c>
      <c r="O357" s="325">
        <f t="shared" si="67"/>
        <v>0</v>
      </c>
      <c r="P357" s="325">
        <f t="shared" si="67"/>
        <v>0</v>
      </c>
      <c r="Q357" s="325">
        <f t="shared" si="67"/>
        <v>0</v>
      </c>
      <c r="R357" s="325">
        <f>R341</f>
        <v>0</v>
      </c>
      <c r="S357" s="325">
        <f>S341</f>
        <v>0</v>
      </c>
      <c r="T357" s="532">
        <f>T341</f>
        <v>0</v>
      </c>
      <c r="U357" s="325"/>
      <c r="V357" s="532">
        <f>V341</f>
        <v>0</v>
      </c>
      <c r="W357" s="532">
        <f>+V357-'ROR-Model'!G357</f>
        <v>0</v>
      </c>
    </row>
    <row r="358" spans="1:23">
      <c r="A358" s="535"/>
      <c r="B358" s="32"/>
      <c r="C358" s="32" t="s">
        <v>57</v>
      </c>
      <c r="D358" s="534"/>
      <c r="E358" s="531"/>
      <c r="F358" s="325">
        <f>F350</f>
        <v>0</v>
      </c>
      <c r="G358" s="325">
        <f>G1*G350</f>
        <v>0</v>
      </c>
      <c r="H358" s="325">
        <f>H350</f>
        <v>0</v>
      </c>
      <c r="I358" s="325">
        <f t="shared" ref="I358:Q358" si="68">I350</f>
        <v>0</v>
      </c>
      <c r="J358" s="325">
        <f>J350</f>
        <v>0</v>
      </c>
      <c r="K358" s="325">
        <f>K350</f>
        <v>0</v>
      </c>
      <c r="L358" s="325">
        <f t="shared" si="68"/>
        <v>0</v>
      </c>
      <c r="M358" s="325">
        <f t="shared" si="68"/>
        <v>0</v>
      </c>
      <c r="N358" s="325">
        <f t="shared" si="68"/>
        <v>0</v>
      </c>
      <c r="O358" s="325">
        <f t="shared" si="68"/>
        <v>0</v>
      </c>
      <c r="P358" s="325">
        <f t="shared" si="68"/>
        <v>0</v>
      </c>
      <c r="Q358" s="325">
        <f t="shared" si="68"/>
        <v>0</v>
      </c>
      <c r="R358" s="325">
        <f>R350</f>
        <v>0</v>
      </c>
      <c r="S358" s="325">
        <f>S350</f>
        <v>0</v>
      </c>
      <c r="T358" s="532">
        <f>T350</f>
        <v>0</v>
      </c>
      <c r="U358" s="325"/>
      <c r="V358" s="532">
        <f>V350</f>
        <v>0</v>
      </c>
      <c r="W358" s="532">
        <f>+V358-'ROR-Model'!G358</f>
        <v>0</v>
      </c>
    </row>
    <row r="359" spans="1:23">
      <c r="A359" s="535"/>
      <c r="B359" s="32"/>
      <c r="C359" s="58" t="s">
        <v>30</v>
      </c>
      <c r="D359" s="534"/>
      <c r="E359" s="531"/>
      <c r="F359" s="325">
        <f>F341+F350</f>
        <v>0</v>
      </c>
      <c r="G359" s="325">
        <f>G1*G341+G350</f>
        <v>0</v>
      </c>
      <c r="H359" s="325">
        <f>H341+H350</f>
        <v>0</v>
      </c>
      <c r="I359" s="325">
        <f t="shared" ref="I359:Q359" si="69">I341+I350</f>
        <v>0</v>
      </c>
      <c r="J359" s="325">
        <f>J341+J350</f>
        <v>0</v>
      </c>
      <c r="K359" s="325">
        <f>K341+K350</f>
        <v>0</v>
      </c>
      <c r="L359" s="325">
        <f t="shared" si="69"/>
        <v>0</v>
      </c>
      <c r="M359" s="325">
        <f t="shared" si="69"/>
        <v>0</v>
      </c>
      <c r="N359" s="325">
        <f t="shared" si="69"/>
        <v>0</v>
      </c>
      <c r="O359" s="325">
        <f t="shared" si="69"/>
        <v>0</v>
      </c>
      <c r="P359" s="325">
        <f t="shared" si="69"/>
        <v>0</v>
      </c>
      <c r="Q359" s="325">
        <f t="shared" si="69"/>
        <v>0</v>
      </c>
      <c r="R359" s="325">
        <f>R341+R350</f>
        <v>0</v>
      </c>
      <c r="S359" s="325">
        <f>S341+S350</f>
        <v>0</v>
      </c>
      <c r="T359" s="532">
        <f>T341+T350</f>
        <v>0</v>
      </c>
      <c r="U359" s="325"/>
      <c r="V359" s="532">
        <f>V341+V350</f>
        <v>0</v>
      </c>
      <c r="W359" s="532">
        <f>+V359-'ROR-Model'!G359</f>
        <v>0</v>
      </c>
    </row>
    <row r="360" spans="1:23" ht="13.5" thickBot="1">
      <c r="A360" s="535"/>
      <c r="B360" s="58"/>
      <c r="C360" s="58"/>
      <c r="D360" s="534"/>
      <c r="E360" s="531"/>
      <c r="F360" s="470"/>
      <c r="G360" s="470"/>
      <c r="H360" s="470"/>
      <c r="I360" s="470"/>
      <c r="J360" s="477"/>
      <c r="K360" s="477"/>
      <c r="L360" s="470"/>
      <c r="M360" s="470"/>
      <c r="N360" s="470"/>
      <c r="O360" s="470"/>
      <c r="P360" s="470"/>
      <c r="Q360" s="477"/>
      <c r="R360" s="477"/>
      <c r="S360" s="477"/>
      <c r="T360" s="538"/>
      <c r="U360" s="470"/>
      <c r="V360" s="538"/>
      <c r="W360" s="538">
        <f>+V360-'ROR-Model'!G360</f>
        <v>0</v>
      </c>
    </row>
    <row r="361" spans="1:23" ht="13.5" thickTop="1">
      <c r="A361" s="167" t="s">
        <v>31</v>
      </c>
      <c r="B361" s="58"/>
      <c r="C361" s="58"/>
      <c r="D361" s="534"/>
      <c r="E361" s="531"/>
      <c r="F361" s="301"/>
      <c r="G361" s="301"/>
      <c r="H361" s="301"/>
      <c r="I361" s="301"/>
      <c r="J361" s="325"/>
      <c r="K361" s="325"/>
      <c r="L361" s="301"/>
      <c r="M361" s="301"/>
      <c r="N361" s="301"/>
      <c r="O361" s="301"/>
      <c r="P361" s="301"/>
      <c r="Q361" s="325"/>
      <c r="R361" s="325"/>
      <c r="S361" s="325"/>
      <c r="T361" s="532"/>
      <c r="U361" s="301"/>
      <c r="V361" s="532"/>
      <c r="W361" s="532"/>
    </row>
    <row r="362" spans="1:23">
      <c r="A362" s="535"/>
      <c r="B362" s="58" t="s">
        <v>605</v>
      </c>
      <c r="C362" s="32"/>
      <c r="D362" s="534"/>
      <c r="E362" s="531"/>
      <c r="F362" s="301"/>
      <c r="G362" s="301"/>
      <c r="H362" s="301"/>
      <c r="I362" s="301"/>
      <c r="J362" s="325"/>
      <c r="K362" s="325"/>
      <c r="L362" s="301"/>
      <c r="M362" s="301"/>
      <c r="N362" s="301"/>
      <c r="O362" s="301"/>
      <c r="P362" s="301"/>
      <c r="Q362" s="325"/>
      <c r="R362" s="325"/>
      <c r="S362" s="325"/>
      <c r="T362" s="532"/>
      <c r="U362" s="301"/>
      <c r="V362" s="532"/>
      <c r="W362" s="532"/>
    </row>
    <row r="363" spans="1:23">
      <c r="A363" s="535"/>
      <c r="B363" s="58"/>
      <c r="C363" s="32" t="s">
        <v>14</v>
      </c>
      <c r="D363" s="534"/>
      <c r="E363" s="531"/>
      <c r="F363" s="325">
        <f t="shared" ref="F363:Q363" si="70">F1*(F200+F229+F323+F353)</f>
        <v>0</v>
      </c>
      <c r="G363" s="325">
        <f t="shared" si="70"/>
        <v>-26231775.859999996</v>
      </c>
      <c r="H363" s="325">
        <f t="shared" si="70"/>
        <v>0</v>
      </c>
      <c r="I363" s="325">
        <f t="shared" si="70"/>
        <v>0</v>
      </c>
      <c r="J363" s="325">
        <f>J1*(J200+J229+J323+J353)</f>
        <v>0</v>
      </c>
      <c r="K363" s="325">
        <f>K1*(K200+K229+K323+K353)</f>
        <v>0</v>
      </c>
      <c r="L363" s="325">
        <f t="shared" si="70"/>
        <v>0</v>
      </c>
      <c r="M363" s="325">
        <f t="shared" si="70"/>
        <v>0</v>
      </c>
      <c r="N363" s="325">
        <f t="shared" si="70"/>
        <v>0</v>
      </c>
      <c r="O363" s="325">
        <f t="shared" si="70"/>
        <v>0</v>
      </c>
      <c r="P363" s="325">
        <f t="shared" si="70"/>
        <v>0</v>
      </c>
      <c r="Q363" s="325">
        <f t="shared" si="70"/>
        <v>0</v>
      </c>
      <c r="R363" s="325">
        <f>R1*(R200+R229+R323+R353)</f>
        <v>0</v>
      </c>
      <c r="S363" s="325">
        <f>S1*(S200+S229+S323+S353)</f>
        <v>0</v>
      </c>
      <c r="T363" s="532">
        <f>(T200+T229+T323+T353)</f>
        <v>-26231775.859999996</v>
      </c>
      <c r="U363" s="325"/>
      <c r="V363" s="532">
        <f>(V200+V229+V323+V353)</f>
        <v>-26231775.859999996</v>
      </c>
      <c r="W363" s="532">
        <f>+V363-'ROR-Model'!G363</f>
        <v>0</v>
      </c>
    </row>
    <row r="364" spans="1:23">
      <c r="A364" s="535"/>
      <c r="B364" s="58"/>
      <c r="C364" s="32" t="s">
        <v>15</v>
      </c>
      <c r="D364" s="534"/>
      <c r="E364" s="531"/>
      <c r="F364" s="325">
        <f t="shared" ref="F364:Q364" si="71">F1*(F201+F230+F324)</f>
        <v>0</v>
      </c>
      <c r="G364" s="325">
        <f t="shared" si="71"/>
        <v>0</v>
      </c>
      <c r="H364" s="325">
        <f t="shared" si="71"/>
        <v>0</v>
      </c>
      <c r="I364" s="325">
        <f t="shared" si="71"/>
        <v>0</v>
      </c>
      <c r="J364" s="325">
        <f>J1*(J201+J230+J324)</f>
        <v>0</v>
      </c>
      <c r="K364" s="325">
        <f>K1*(K201+K230+K324)</f>
        <v>0</v>
      </c>
      <c r="L364" s="325">
        <f t="shared" si="71"/>
        <v>0</v>
      </c>
      <c r="M364" s="325">
        <f t="shared" si="71"/>
        <v>0</v>
      </c>
      <c r="N364" s="325">
        <f t="shared" si="71"/>
        <v>0</v>
      </c>
      <c r="O364" s="325">
        <f t="shared" si="71"/>
        <v>0</v>
      </c>
      <c r="P364" s="325">
        <f t="shared" si="71"/>
        <v>0</v>
      </c>
      <c r="Q364" s="325">
        <f t="shared" si="71"/>
        <v>0</v>
      </c>
      <c r="R364" s="325">
        <f>R1*(R201+R230+R324)</f>
        <v>0</v>
      </c>
      <c r="S364" s="325">
        <f>S1*(S201+S230+S324)</f>
        <v>0</v>
      </c>
      <c r="T364" s="532">
        <f>(T201+T230+T324)</f>
        <v>0</v>
      </c>
      <c r="U364" s="325"/>
      <c r="V364" s="532">
        <f>(V201+V230+V324)</f>
        <v>0</v>
      </c>
      <c r="W364" s="532">
        <f>+V364-'ROR-Model'!G364</f>
        <v>0</v>
      </c>
    </row>
    <row r="365" spans="1:23">
      <c r="A365" s="535"/>
      <c r="B365" s="58"/>
      <c r="C365" s="32" t="s">
        <v>498</v>
      </c>
      <c r="D365" s="534"/>
      <c r="E365" s="531"/>
      <c r="F365" s="325">
        <f t="shared" ref="F365:Q365" si="72">F1*(F325)</f>
        <v>0</v>
      </c>
      <c r="G365" s="325">
        <f t="shared" si="72"/>
        <v>0</v>
      </c>
      <c r="H365" s="325">
        <f t="shared" si="72"/>
        <v>0</v>
      </c>
      <c r="I365" s="325">
        <f t="shared" si="72"/>
        <v>0</v>
      </c>
      <c r="J365" s="325">
        <f>J1*(J325)</f>
        <v>0</v>
      </c>
      <c r="K365" s="325">
        <f>K1*(K325)</f>
        <v>0</v>
      </c>
      <c r="L365" s="325">
        <f t="shared" si="72"/>
        <v>0</v>
      </c>
      <c r="M365" s="325">
        <f t="shared" si="72"/>
        <v>0</v>
      </c>
      <c r="N365" s="325">
        <f t="shared" si="72"/>
        <v>0</v>
      </c>
      <c r="O365" s="325">
        <f t="shared" si="72"/>
        <v>0</v>
      </c>
      <c r="P365" s="325">
        <f t="shared" si="72"/>
        <v>0</v>
      </c>
      <c r="Q365" s="325">
        <f t="shared" si="72"/>
        <v>0</v>
      </c>
      <c r="R365" s="325">
        <f>R1*(R325)</f>
        <v>0</v>
      </c>
      <c r="S365" s="325">
        <f>S1*(S325)</f>
        <v>0</v>
      </c>
      <c r="T365" s="532">
        <f>(T325)</f>
        <v>0</v>
      </c>
      <c r="U365" s="325"/>
      <c r="V365" s="532">
        <f>(V325)</f>
        <v>0</v>
      </c>
      <c r="W365" s="532">
        <f>+V365-'ROR-Model'!G365</f>
        <v>0</v>
      </c>
    </row>
    <row r="366" spans="1:23">
      <c r="A366" s="535"/>
      <c r="B366" s="58"/>
      <c r="C366" s="32" t="s">
        <v>16</v>
      </c>
      <c r="D366" s="534"/>
      <c r="E366" s="531"/>
      <c r="F366" s="325">
        <f t="shared" ref="F366:Q366" si="73">F1*(F202+F231+F326+F354)</f>
        <v>0</v>
      </c>
      <c r="G366" s="325">
        <f t="shared" si="73"/>
        <v>0</v>
      </c>
      <c r="H366" s="325">
        <f t="shared" si="73"/>
        <v>0</v>
      </c>
      <c r="I366" s="325">
        <f t="shared" si="73"/>
        <v>0</v>
      </c>
      <c r="J366" s="325">
        <f>J1*(J202+J231+J326+J354)</f>
        <v>0</v>
      </c>
      <c r="K366" s="325">
        <f>K1*(K202+K231+K326+K354)</f>
        <v>0</v>
      </c>
      <c r="L366" s="325">
        <f t="shared" si="73"/>
        <v>0</v>
      </c>
      <c r="M366" s="325">
        <f t="shared" si="73"/>
        <v>0</v>
      </c>
      <c r="N366" s="325">
        <f t="shared" si="73"/>
        <v>0</v>
      </c>
      <c r="O366" s="325">
        <f t="shared" si="73"/>
        <v>0</v>
      </c>
      <c r="P366" s="325">
        <f t="shared" si="73"/>
        <v>0</v>
      </c>
      <c r="Q366" s="325">
        <f t="shared" si="73"/>
        <v>0</v>
      </c>
      <c r="R366" s="325">
        <f>R1*(R202+R231+R326+R354)</f>
        <v>0</v>
      </c>
      <c r="S366" s="325">
        <f>S1*(S202+S231+S326+S354)</f>
        <v>0</v>
      </c>
      <c r="T366" s="532">
        <f>(T202+T231+T326+T354)</f>
        <v>0</v>
      </c>
      <c r="U366" s="325"/>
      <c r="V366" s="532">
        <f>(V202+V231+V326+V354)</f>
        <v>0</v>
      </c>
      <c r="W366" s="532">
        <f>+V366-'ROR-Model'!G366</f>
        <v>0</v>
      </c>
    </row>
    <row r="367" spans="1:23">
      <c r="A367" s="535"/>
      <c r="B367" s="58"/>
      <c r="C367" s="32"/>
      <c r="D367" s="534"/>
      <c r="E367" s="531"/>
      <c r="F367" s="325"/>
      <c r="G367" s="325"/>
      <c r="H367" s="325"/>
      <c r="I367" s="325"/>
      <c r="J367" s="325"/>
      <c r="K367" s="325"/>
      <c r="L367" s="325"/>
      <c r="M367" s="325"/>
      <c r="N367" s="325"/>
      <c r="O367" s="325"/>
      <c r="P367" s="325"/>
      <c r="Q367" s="325"/>
      <c r="R367" s="325"/>
      <c r="S367" s="325"/>
      <c r="T367" s="532"/>
      <c r="U367" s="325"/>
      <c r="V367" s="532"/>
      <c r="W367" s="532">
        <f>+V367-'ROR-Model'!G367</f>
        <v>0</v>
      </c>
    </row>
    <row r="368" spans="1:23">
      <c r="A368" s="535"/>
      <c r="B368" s="58"/>
      <c r="C368" s="58" t="s">
        <v>605</v>
      </c>
      <c r="D368" s="534"/>
      <c r="E368" s="531"/>
      <c r="F368" s="325">
        <f t="shared" ref="F368:Q368" si="74">F1*(F203+F232+F327+F355)</f>
        <v>0</v>
      </c>
      <c r="G368" s="325">
        <f t="shared" si="74"/>
        <v>-26231775.859999996</v>
      </c>
      <c r="H368" s="325">
        <f t="shared" si="74"/>
        <v>0</v>
      </c>
      <c r="I368" s="325">
        <f t="shared" si="74"/>
        <v>0</v>
      </c>
      <c r="J368" s="325">
        <f>J1*(J203+J232+J327+J355)</f>
        <v>0</v>
      </c>
      <c r="K368" s="325">
        <f>K1*(K203+K232+K327+K355)</f>
        <v>0</v>
      </c>
      <c r="L368" s="325">
        <f t="shared" si="74"/>
        <v>0</v>
      </c>
      <c r="M368" s="325">
        <f t="shared" si="74"/>
        <v>0</v>
      </c>
      <c r="N368" s="325">
        <f t="shared" si="74"/>
        <v>0</v>
      </c>
      <c r="O368" s="325">
        <f t="shared" si="74"/>
        <v>0</v>
      </c>
      <c r="P368" s="325">
        <f t="shared" si="74"/>
        <v>0</v>
      </c>
      <c r="Q368" s="325">
        <f t="shared" si="74"/>
        <v>0</v>
      </c>
      <c r="R368" s="325">
        <f>R1*(R203+R232+R327+R355)</f>
        <v>0</v>
      </c>
      <c r="S368" s="325">
        <f>S1*(S203+S232+S327+S355)</f>
        <v>0</v>
      </c>
      <c r="T368" s="532">
        <f>(T203+T232+T327+T355)</f>
        <v>-26231775.859999996</v>
      </c>
      <c r="U368" s="325"/>
      <c r="V368" s="532">
        <f>(V203+V232+V327+V355)</f>
        <v>-26231775.859999996</v>
      </c>
      <c r="W368" s="532">
        <f>+V368-'ROR-Model'!G368</f>
        <v>0</v>
      </c>
    </row>
    <row r="369" spans="1:23">
      <c r="A369" s="535"/>
      <c r="B369" s="58"/>
      <c r="C369" s="58"/>
      <c r="D369" s="534"/>
      <c r="E369" s="531"/>
      <c r="F369" s="325"/>
      <c r="G369" s="325"/>
      <c r="H369" s="325"/>
      <c r="I369" s="325"/>
      <c r="J369" s="325"/>
      <c r="K369" s="325"/>
      <c r="L369" s="325"/>
      <c r="M369" s="325"/>
      <c r="N369" s="325"/>
      <c r="O369" s="325"/>
      <c r="P369" s="325"/>
      <c r="Q369" s="325"/>
      <c r="R369" s="325"/>
      <c r="S369" s="325"/>
      <c r="T369" s="532"/>
      <c r="U369" s="325"/>
      <c r="V369" s="532"/>
      <c r="W369" s="532">
        <f>+V369-'ROR-Model'!G369</f>
        <v>0</v>
      </c>
    </row>
    <row r="370" spans="1:23">
      <c r="A370" s="535"/>
      <c r="B370" s="32"/>
      <c r="C370" s="58" t="s">
        <v>56</v>
      </c>
      <c r="D370" s="534"/>
      <c r="E370" s="531"/>
      <c r="F370" s="325">
        <f t="shared" ref="F370:Q370" si="75">F1*(F205+F234+F329+F357)</f>
        <v>0</v>
      </c>
      <c r="G370" s="325">
        <f t="shared" si="75"/>
        <v>0</v>
      </c>
      <c r="H370" s="325">
        <f t="shared" si="75"/>
        <v>0</v>
      </c>
      <c r="I370" s="325">
        <f t="shared" si="75"/>
        <v>0</v>
      </c>
      <c r="J370" s="325">
        <f>J1*(J205+J234+J329+J357)</f>
        <v>0</v>
      </c>
      <c r="K370" s="325">
        <f>K1*(K205+K234+K329+K357)</f>
        <v>0</v>
      </c>
      <c r="L370" s="325">
        <f t="shared" si="75"/>
        <v>0</v>
      </c>
      <c r="M370" s="325">
        <f t="shared" si="75"/>
        <v>0</v>
      </c>
      <c r="N370" s="325">
        <f t="shared" si="75"/>
        <v>0</v>
      </c>
      <c r="O370" s="325">
        <f t="shared" si="75"/>
        <v>0</v>
      </c>
      <c r="P370" s="325">
        <f t="shared" si="75"/>
        <v>0</v>
      </c>
      <c r="Q370" s="325">
        <f t="shared" si="75"/>
        <v>0</v>
      </c>
      <c r="R370" s="325">
        <f>R1*(R205+R234+R329+R357)</f>
        <v>0</v>
      </c>
      <c r="S370" s="325">
        <f>S1*(S205+S234+S329+S357)</f>
        <v>0</v>
      </c>
      <c r="T370" s="532">
        <f>(T205+T234+T329+T357)</f>
        <v>0</v>
      </c>
      <c r="U370" s="325"/>
      <c r="V370" s="532">
        <f>(V205+V234+V329+V357)</f>
        <v>0</v>
      </c>
      <c r="W370" s="532">
        <f>+V370-'ROR-Model'!G370</f>
        <v>0</v>
      </c>
    </row>
    <row r="371" spans="1:23">
      <c r="A371" s="535"/>
      <c r="B371" s="32"/>
      <c r="C371" s="32" t="s">
        <v>57</v>
      </c>
      <c r="D371" s="534"/>
      <c r="E371" s="531"/>
      <c r="F371" s="325">
        <f t="shared" ref="F371:Q371" si="76">F1*(F206+F235+F330+F358)</f>
        <v>0</v>
      </c>
      <c r="G371" s="325">
        <f t="shared" si="76"/>
        <v>0</v>
      </c>
      <c r="H371" s="325">
        <f t="shared" si="76"/>
        <v>0</v>
      </c>
      <c r="I371" s="325">
        <f t="shared" si="76"/>
        <v>0</v>
      </c>
      <c r="J371" s="325">
        <f>J1*(J206+J235+J330+J358)</f>
        <v>0</v>
      </c>
      <c r="K371" s="325">
        <f>K1*(K206+K235+K330+K358)</f>
        <v>0</v>
      </c>
      <c r="L371" s="325">
        <f t="shared" si="76"/>
        <v>0</v>
      </c>
      <c r="M371" s="325">
        <f t="shared" si="76"/>
        <v>0</v>
      </c>
      <c r="N371" s="325">
        <f t="shared" si="76"/>
        <v>0</v>
      </c>
      <c r="O371" s="325">
        <f t="shared" si="76"/>
        <v>0</v>
      </c>
      <c r="P371" s="325">
        <f t="shared" si="76"/>
        <v>0</v>
      </c>
      <c r="Q371" s="325">
        <f t="shared" si="76"/>
        <v>0</v>
      </c>
      <c r="R371" s="325">
        <f>R1*(R206+R235+R330+R358)</f>
        <v>0</v>
      </c>
      <c r="S371" s="325">
        <f>S1*(S206+S235+S330+S358)</f>
        <v>0</v>
      </c>
      <c r="T371" s="532">
        <f>(T206+T235+T330+T358)</f>
        <v>0</v>
      </c>
      <c r="U371" s="325"/>
      <c r="V371" s="532">
        <f>(V206+V235+V330+V358)</f>
        <v>0</v>
      </c>
      <c r="W371" s="532">
        <f>+V371-'ROR-Model'!G371</f>
        <v>0</v>
      </c>
    </row>
    <row r="372" spans="1:23">
      <c r="A372" s="535"/>
      <c r="C372" s="58" t="s">
        <v>32</v>
      </c>
      <c r="D372" s="534"/>
      <c r="E372" s="531"/>
      <c r="F372" s="325">
        <f t="shared" ref="F372:Q372" si="77">F1*(F207+F236+F331+F359)</f>
        <v>0</v>
      </c>
      <c r="G372" s="325">
        <f t="shared" si="77"/>
        <v>0</v>
      </c>
      <c r="H372" s="325">
        <f t="shared" si="77"/>
        <v>0</v>
      </c>
      <c r="I372" s="325">
        <f t="shared" si="77"/>
        <v>0</v>
      </c>
      <c r="J372" s="325">
        <f>J1*(J207+J236+J331+J359)</f>
        <v>0</v>
      </c>
      <c r="K372" s="325">
        <f>K1*(K207+K236+K331+K359)</f>
        <v>0</v>
      </c>
      <c r="L372" s="325">
        <f t="shared" si="77"/>
        <v>0</v>
      </c>
      <c r="M372" s="325">
        <f t="shared" si="77"/>
        <v>0</v>
      </c>
      <c r="N372" s="325">
        <f t="shared" si="77"/>
        <v>0</v>
      </c>
      <c r="O372" s="325">
        <f t="shared" si="77"/>
        <v>0</v>
      </c>
      <c r="P372" s="325">
        <f t="shared" si="77"/>
        <v>0</v>
      </c>
      <c r="Q372" s="325">
        <f t="shared" si="77"/>
        <v>0</v>
      </c>
      <c r="R372" s="325">
        <f>R1*(R207+R236+R331+R359)</f>
        <v>0</v>
      </c>
      <c r="S372" s="325">
        <f>S1*(S207+S236+S331+S359)</f>
        <v>0</v>
      </c>
      <c r="T372" s="532">
        <f>(T207+T236+T331+T359)</f>
        <v>0</v>
      </c>
      <c r="U372" s="325"/>
      <c r="V372" s="532">
        <f>(V207+V236+V331+V359)</f>
        <v>0</v>
      </c>
      <c r="W372" s="532">
        <f>+V372-'ROR-Model'!G372</f>
        <v>0</v>
      </c>
    </row>
    <row r="373" spans="1:23">
      <c r="A373" s="535"/>
      <c r="B373" s="534"/>
      <c r="C373" s="534"/>
      <c r="D373" s="534"/>
      <c r="E373" s="531"/>
      <c r="F373" s="301"/>
      <c r="G373" s="301"/>
      <c r="H373" s="301"/>
      <c r="I373" s="301"/>
      <c r="J373" s="325"/>
      <c r="K373" s="325"/>
      <c r="L373" s="301"/>
      <c r="M373" s="301"/>
      <c r="N373" s="301"/>
      <c r="O373" s="301"/>
      <c r="P373" s="301"/>
      <c r="Q373" s="325"/>
      <c r="R373" s="325"/>
      <c r="S373" s="325"/>
      <c r="T373" s="532"/>
      <c r="U373" s="301"/>
      <c r="V373" s="532"/>
      <c r="W373" s="532">
        <f>+V373-'ROR-Model'!G373</f>
        <v>0</v>
      </c>
    </row>
    <row r="374" spans="1:23">
      <c r="A374" s="535"/>
      <c r="B374" s="534"/>
      <c r="C374" s="534"/>
      <c r="D374" s="534"/>
      <c r="E374" s="531"/>
      <c r="F374" s="301"/>
      <c r="G374" s="301"/>
      <c r="H374" s="301"/>
      <c r="I374" s="301"/>
      <c r="J374" s="325"/>
      <c r="K374" s="325"/>
      <c r="L374" s="301"/>
      <c r="M374" s="301"/>
      <c r="N374" s="301"/>
      <c r="O374" s="301"/>
      <c r="P374" s="301"/>
      <c r="Q374" s="325"/>
      <c r="R374" s="325"/>
      <c r="S374" s="325"/>
      <c r="T374" s="532"/>
      <c r="U374" s="301"/>
      <c r="V374" s="532"/>
      <c r="W374" s="532">
        <f>+V374-'ROR-Model'!G374</f>
        <v>0</v>
      </c>
    </row>
    <row r="375" spans="1:23">
      <c r="A375" s="167" t="s">
        <v>142</v>
      </c>
      <c r="B375" s="534"/>
      <c r="C375" s="534"/>
      <c r="D375" s="534"/>
      <c r="E375" s="531"/>
      <c r="F375" s="301"/>
      <c r="G375" s="301"/>
      <c r="H375" s="301"/>
      <c r="I375" s="301"/>
      <c r="J375" s="325"/>
      <c r="K375" s="325"/>
      <c r="L375" s="301"/>
      <c r="M375" s="301"/>
      <c r="N375" s="301"/>
      <c r="O375" s="301"/>
      <c r="P375" s="301"/>
      <c r="Q375" s="325"/>
      <c r="R375" s="325"/>
      <c r="S375" s="325"/>
      <c r="T375" s="532"/>
      <c r="U375" s="301"/>
      <c r="V375" s="532"/>
      <c r="W375" s="532">
        <f>+V375-'ROR-Model'!G375</f>
        <v>0</v>
      </c>
    </row>
    <row r="376" spans="1:23">
      <c r="A376" s="535"/>
      <c r="B376" s="534"/>
      <c r="C376" s="534"/>
      <c r="D376" s="534"/>
      <c r="E376" s="531"/>
      <c r="F376" s="301"/>
      <c r="G376" s="301"/>
      <c r="H376" s="301"/>
      <c r="I376" s="301"/>
      <c r="J376" s="325"/>
      <c r="K376" s="325"/>
      <c r="L376" s="301"/>
      <c r="M376" s="301"/>
      <c r="N376" s="301"/>
      <c r="O376" s="301"/>
      <c r="P376" s="301"/>
      <c r="Q376" s="325"/>
      <c r="R376" s="325"/>
      <c r="S376" s="325"/>
      <c r="T376" s="532"/>
      <c r="U376" s="301"/>
      <c r="V376" s="532"/>
      <c r="W376" s="532">
        <f>+V376-'ROR-Model'!G376</f>
        <v>0</v>
      </c>
    </row>
    <row r="377" spans="1:23">
      <c r="A377" s="543"/>
      <c r="B377" s="534" t="s">
        <v>143</v>
      </c>
      <c r="C377" s="534"/>
      <c r="D377" s="534"/>
      <c r="E377" s="531"/>
      <c r="F377" s="301"/>
      <c r="G377" s="301"/>
      <c r="H377" s="301"/>
      <c r="I377" s="301"/>
      <c r="J377" s="325"/>
      <c r="K377" s="325"/>
      <c r="L377" s="301"/>
      <c r="M377" s="301"/>
      <c r="N377" s="301"/>
      <c r="O377" s="301"/>
      <c r="P377" s="301"/>
      <c r="Q377" s="325"/>
      <c r="R377" s="325"/>
      <c r="S377" s="325"/>
      <c r="T377" s="532"/>
      <c r="U377" s="301"/>
      <c r="V377" s="532"/>
      <c r="W377" s="532">
        <f>+V377-'ROR-Model'!G377</f>
        <v>0</v>
      </c>
    </row>
    <row r="378" spans="1:23">
      <c r="A378" s="543"/>
      <c r="B378" s="534"/>
      <c r="C378" s="534"/>
      <c r="D378" s="534"/>
      <c r="E378" s="531"/>
      <c r="F378" s="301"/>
      <c r="G378" s="301"/>
      <c r="H378" s="301"/>
      <c r="I378" s="301"/>
      <c r="J378" s="325"/>
      <c r="K378" s="325"/>
      <c r="L378" s="301"/>
      <c r="M378" s="301"/>
      <c r="N378" s="301"/>
      <c r="O378" s="301"/>
      <c r="P378" s="301"/>
      <c r="Q378" s="325"/>
      <c r="R378" s="325"/>
      <c r="S378" s="325"/>
      <c r="T378" s="532"/>
      <c r="U378" s="301"/>
      <c r="V378" s="532"/>
      <c r="W378" s="532">
        <f>+V378-'ROR-Model'!G378</f>
        <v>0</v>
      </c>
    </row>
    <row r="379" spans="1:23">
      <c r="A379" s="543">
        <v>483</v>
      </c>
      <c r="B379" s="534" t="s">
        <v>144</v>
      </c>
      <c r="C379" s="534"/>
      <c r="D379" s="534"/>
      <c r="E379" s="531"/>
      <c r="F379" s="301"/>
      <c r="G379" s="301"/>
      <c r="H379" s="301"/>
      <c r="I379" s="301"/>
      <c r="J379" s="325"/>
      <c r="K379" s="325"/>
      <c r="L379" s="301"/>
      <c r="M379" s="301"/>
      <c r="N379" s="301"/>
      <c r="O379" s="301"/>
      <c r="P379" s="301"/>
      <c r="Q379" s="325"/>
      <c r="R379" s="325"/>
      <c r="S379" s="325"/>
      <c r="T379" s="532"/>
      <c r="U379" s="301"/>
      <c r="V379" s="532"/>
      <c r="W379" s="532">
        <f>+V379-'ROR-Model'!G379</f>
        <v>0</v>
      </c>
    </row>
    <row r="380" spans="1:23">
      <c r="A380" s="543"/>
      <c r="B380" s="534"/>
      <c r="C380" s="534" t="s">
        <v>12</v>
      </c>
      <c r="D380" s="534"/>
      <c r="E380" s="544"/>
      <c r="F380" s="301"/>
      <c r="G380" s="301"/>
      <c r="H380" s="301"/>
      <c r="I380" s="301"/>
      <c r="J380" s="325"/>
      <c r="K380" s="325"/>
      <c r="L380" s="301"/>
      <c r="M380" s="301"/>
      <c r="N380" s="301"/>
      <c r="O380" s="301"/>
      <c r="P380" s="301"/>
      <c r="Q380" s="325"/>
      <c r="R380" s="325"/>
      <c r="S380" s="325"/>
      <c r="T380" s="532">
        <f>SUM(F380:S380)</f>
        <v>0</v>
      </c>
      <c r="U380" s="301"/>
      <c r="V380" s="532">
        <f>SUM(T380:T380)</f>
        <v>0</v>
      </c>
      <c r="W380" s="532">
        <f>+V380-'ROR-Model'!G380</f>
        <v>0</v>
      </c>
    </row>
    <row r="381" spans="1:23">
      <c r="A381" s="543"/>
      <c r="B381" s="534"/>
      <c r="C381" s="534" t="s">
        <v>23</v>
      </c>
      <c r="D381" s="534"/>
      <c r="E381" s="544"/>
      <c r="F381" s="301"/>
      <c r="G381" s="301"/>
      <c r="H381" s="301"/>
      <c r="I381" s="301"/>
      <c r="J381" s="325"/>
      <c r="K381" s="325"/>
      <c r="L381" s="301"/>
      <c r="M381" s="301"/>
      <c r="N381" s="301"/>
      <c r="O381" s="301"/>
      <c r="P381" s="301"/>
      <c r="Q381" s="325"/>
      <c r="R381" s="325"/>
      <c r="S381" s="325"/>
      <c r="T381" s="532">
        <f>SUM(F381:S381)</f>
        <v>0</v>
      </c>
      <c r="U381" s="301"/>
      <c r="V381" s="532">
        <f>SUM(T381:T381)</f>
        <v>0</v>
      </c>
      <c r="W381" s="532">
        <f>+V381-'ROR-Model'!G381</f>
        <v>0</v>
      </c>
    </row>
    <row r="382" spans="1:23">
      <c r="A382" s="543"/>
      <c r="B382" s="534"/>
      <c r="C382" s="534" t="s">
        <v>145</v>
      </c>
      <c r="D382" s="534"/>
      <c r="E382" s="544"/>
      <c r="F382" s="323">
        <f>SUM(F380:F381)</f>
        <v>0</v>
      </c>
      <c r="G382" s="323">
        <f>G1*SUM(G380:G381)</f>
        <v>0</v>
      </c>
      <c r="H382" s="323">
        <f>SUM(H380:H381)</f>
        <v>0</v>
      </c>
      <c r="I382" s="323">
        <f t="shared" ref="I382:P382" si="78">SUM(I380:I381)</f>
        <v>0</v>
      </c>
      <c r="J382" s="476">
        <f>J1*SUM(J380:J381)</f>
        <v>0</v>
      </c>
      <c r="K382" s="476">
        <f>K1*SUM(K380:K381)</f>
        <v>0</v>
      </c>
      <c r="L382" s="323">
        <f t="shared" si="78"/>
        <v>0</v>
      </c>
      <c r="M382" s="323">
        <f t="shared" si="78"/>
        <v>0</v>
      </c>
      <c r="N382" s="323">
        <f t="shared" si="78"/>
        <v>0</v>
      </c>
      <c r="O382" s="323">
        <f t="shared" si="78"/>
        <v>0</v>
      </c>
      <c r="P382" s="323">
        <f t="shared" si="78"/>
        <v>0</v>
      </c>
      <c r="Q382" s="476">
        <f>SUM(Q380:Q381)</f>
        <v>0</v>
      </c>
      <c r="R382" s="476">
        <f>R1*SUM(R380:R381)</f>
        <v>0</v>
      </c>
      <c r="S382" s="476">
        <f>S1*SUM(S380:S381)</f>
        <v>0</v>
      </c>
      <c r="T382" s="536">
        <f>SUM(T380:T381)</f>
        <v>0</v>
      </c>
      <c r="U382" s="323"/>
      <c r="V382" s="536">
        <f>SUM(V380:V381)</f>
        <v>0</v>
      </c>
      <c r="W382" s="536">
        <f>+V382-'ROR-Model'!G382</f>
        <v>0</v>
      </c>
    </row>
    <row r="383" spans="1:23">
      <c r="A383" s="543"/>
      <c r="B383" s="534"/>
      <c r="C383" s="534"/>
      <c r="D383" s="534"/>
      <c r="E383" s="544"/>
      <c r="F383" s="301"/>
      <c r="G383" s="301"/>
      <c r="H383" s="301"/>
      <c r="I383" s="301"/>
      <c r="J383" s="325"/>
      <c r="K383" s="325"/>
      <c r="L383" s="301"/>
      <c r="M383" s="301"/>
      <c r="N383" s="301"/>
      <c r="O383" s="301"/>
      <c r="P383" s="301"/>
      <c r="Q383" s="325"/>
      <c r="R383" s="325"/>
      <c r="S383" s="325"/>
      <c r="T383" s="532"/>
      <c r="U383" s="301"/>
      <c r="V383" s="532"/>
      <c r="W383" s="532">
        <f>+V383-'ROR-Model'!G383</f>
        <v>0</v>
      </c>
    </row>
    <row r="384" spans="1:23">
      <c r="A384" s="543">
        <v>487</v>
      </c>
      <c r="B384" s="534" t="s">
        <v>148</v>
      </c>
      <c r="C384" s="534"/>
      <c r="D384" s="534"/>
      <c r="E384" s="544"/>
      <c r="F384" s="301"/>
      <c r="G384" s="301"/>
      <c r="H384" s="301"/>
      <c r="I384" s="301"/>
      <c r="J384" s="325"/>
      <c r="K384" s="325"/>
      <c r="L384" s="301"/>
      <c r="M384" s="301"/>
      <c r="N384" s="301"/>
      <c r="O384" s="301"/>
      <c r="P384" s="301"/>
      <c r="Q384" s="325"/>
      <c r="R384" s="325"/>
      <c r="S384" s="325"/>
      <c r="T384" s="532"/>
      <c r="U384" s="301"/>
      <c r="V384" s="532"/>
      <c r="W384" s="532">
        <f>+V384-'ROR-Model'!G384</f>
        <v>0</v>
      </c>
    </row>
    <row r="385" spans="1:23">
      <c r="A385" s="543"/>
      <c r="B385" s="534"/>
      <c r="C385" s="534" t="s">
        <v>12</v>
      </c>
      <c r="D385" s="534"/>
      <c r="E385" s="544"/>
      <c r="F385" s="301"/>
      <c r="G385" s="301"/>
      <c r="H385" s="301"/>
      <c r="I385" s="301"/>
      <c r="J385" s="325"/>
      <c r="K385" s="325"/>
      <c r="L385" s="301"/>
      <c r="M385" s="301"/>
      <c r="N385" s="301"/>
      <c r="O385" s="301"/>
      <c r="P385" s="301"/>
      <c r="Q385" s="325"/>
      <c r="R385" s="325"/>
      <c r="S385" s="325"/>
      <c r="T385" s="532">
        <f>SUM(F385:S385)</f>
        <v>0</v>
      </c>
      <c r="U385" s="301"/>
      <c r="V385" s="532">
        <f>SUM(T385:T385)</f>
        <v>0</v>
      </c>
      <c r="W385" s="532">
        <f>+V385-'ROR-Model'!G385</f>
        <v>0</v>
      </c>
    </row>
    <row r="386" spans="1:23">
      <c r="A386" s="543"/>
      <c r="B386" s="534"/>
      <c r="C386" s="534" t="s">
        <v>23</v>
      </c>
      <c r="D386" s="534"/>
      <c r="E386" s="544"/>
      <c r="F386" s="301"/>
      <c r="G386" s="301"/>
      <c r="H386" s="301"/>
      <c r="I386" s="301"/>
      <c r="J386" s="325"/>
      <c r="K386" s="325"/>
      <c r="L386" s="301"/>
      <c r="M386" s="301"/>
      <c r="N386" s="301"/>
      <c r="O386" s="301"/>
      <c r="P386" s="301"/>
      <c r="Q386" s="325"/>
      <c r="R386" s="325"/>
      <c r="S386" s="325"/>
      <c r="T386" s="532">
        <f>SUM(F386:S386)</f>
        <v>0</v>
      </c>
      <c r="U386" s="301"/>
      <c r="V386" s="532">
        <f>SUM(T386:T386)</f>
        <v>0</v>
      </c>
      <c r="W386" s="532">
        <f>+V386-'ROR-Model'!G386</f>
        <v>0</v>
      </c>
    </row>
    <row r="387" spans="1:23">
      <c r="A387" s="543"/>
      <c r="B387" s="534"/>
      <c r="C387" s="534" t="s">
        <v>145</v>
      </c>
      <c r="D387" s="534"/>
      <c r="E387" s="544"/>
      <c r="F387" s="323">
        <f>SUM(F385:F386)</f>
        <v>0</v>
      </c>
      <c r="G387" s="323">
        <f>G1*SUM(G385:G386)</f>
        <v>0</v>
      </c>
      <c r="H387" s="323">
        <f>SUM(H385:H386)</f>
        <v>0</v>
      </c>
      <c r="I387" s="323">
        <f t="shared" ref="I387:P387" si="79">SUM(I385:I386)</f>
        <v>0</v>
      </c>
      <c r="J387" s="476">
        <f>J1*SUM(J385:J386)</f>
        <v>0</v>
      </c>
      <c r="K387" s="476">
        <f>K1*SUM(K385:K386)</f>
        <v>0</v>
      </c>
      <c r="L387" s="323">
        <f t="shared" si="79"/>
        <v>0</v>
      </c>
      <c r="M387" s="323">
        <f t="shared" si="79"/>
        <v>0</v>
      </c>
      <c r="N387" s="323">
        <f t="shared" si="79"/>
        <v>0</v>
      </c>
      <c r="O387" s="323">
        <f t="shared" si="79"/>
        <v>0</v>
      </c>
      <c r="P387" s="323">
        <f t="shared" si="79"/>
        <v>0</v>
      </c>
      <c r="Q387" s="476">
        <f>SUM(Q385:Q386)</f>
        <v>0</v>
      </c>
      <c r="R387" s="476">
        <f>R1*SUM(R385:R386)</f>
        <v>0</v>
      </c>
      <c r="S387" s="476">
        <f>S1*SUM(S385:S386)</f>
        <v>0</v>
      </c>
      <c r="T387" s="536">
        <f>SUM(T385:T386)</f>
        <v>0</v>
      </c>
      <c r="U387" s="323"/>
      <c r="V387" s="536">
        <f>SUM(V385:V386)</f>
        <v>0</v>
      </c>
      <c r="W387" s="536">
        <f>+V387-'ROR-Model'!G387</f>
        <v>0</v>
      </c>
    </row>
    <row r="388" spans="1:23">
      <c r="A388" s="543"/>
      <c r="B388" s="534"/>
      <c r="C388" s="534"/>
      <c r="D388" s="534"/>
      <c r="E388" s="544"/>
      <c r="F388" s="301"/>
      <c r="G388" s="301"/>
      <c r="H388" s="301"/>
      <c r="I388" s="301"/>
      <c r="J388" s="325"/>
      <c r="K388" s="325"/>
      <c r="L388" s="301"/>
      <c r="M388" s="301"/>
      <c r="N388" s="301"/>
      <c r="O388" s="301"/>
      <c r="P388" s="301"/>
      <c r="Q388" s="325"/>
      <c r="R388" s="325"/>
      <c r="S388" s="325"/>
      <c r="T388" s="532"/>
      <c r="U388" s="301"/>
      <c r="V388" s="532"/>
      <c r="W388" s="532">
        <f>+V388-'ROR-Model'!G388</f>
        <v>0</v>
      </c>
    </row>
    <row r="389" spans="1:23">
      <c r="A389" s="543">
        <v>4860</v>
      </c>
      <c r="B389" s="534" t="s">
        <v>279</v>
      </c>
      <c r="C389" s="534"/>
      <c r="D389" s="534"/>
      <c r="E389" s="544"/>
      <c r="F389" s="301"/>
      <c r="G389" s="301"/>
      <c r="H389" s="301"/>
      <c r="I389" s="301"/>
      <c r="J389" s="325"/>
      <c r="K389" s="325"/>
      <c r="L389" s="301"/>
      <c r="M389" s="301"/>
      <c r="N389" s="301"/>
      <c r="O389" s="301"/>
      <c r="P389" s="301"/>
      <c r="Q389" s="325"/>
      <c r="R389" s="325"/>
      <c r="S389" s="325"/>
      <c r="T389" s="532"/>
      <c r="U389" s="301"/>
      <c r="V389" s="532"/>
      <c r="W389" s="532">
        <f>+V389-'ROR-Model'!G389</f>
        <v>0</v>
      </c>
    </row>
    <row r="390" spans="1:23">
      <c r="A390" s="543"/>
      <c r="B390" s="534"/>
      <c r="C390" s="534" t="s">
        <v>12</v>
      </c>
      <c r="D390" s="534"/>
      <c r="E390" s="544"/>
      <c r="F390" s="301"/>
      <c r="G390" s="301"/>
      <c r="H390" s="301"/>
      <c r="I390" s="301"/>
      <c r="J390" s="325"/>
      <c r="K390" s="325"/>
      <c r="L390" s="301"/>
      <c r="M390" s="301"/>
      <c r="N390" s="301"/>
      <c r="O390" s="301"/>
      <c r="P390" s="301"/>
      <c r="Q390" s="325"/>
      <c r="R390" s="325"/>
      <c r="S390" s="325"/>
      <c r="T390" s="532">
        <f>SUM(F390:S390)</f>
        <v>0</v>
      </c>
      <c r="U390" s="301"/>
      <c r="V390" s="532">
        <f>SUM(T390:T390)</f>
        <v>0</v>
      </c>
      <c r="W390" s="532">
        <f>+V390-'ROR-Model'!G390</f>
        <v>0</v>
      </c>
    </row>
    <row r="391" spans="1:23">
      <c r="A391" s="543"/>
      <c r="B391" s="534"/>
      <c r="C391" s="534" t="s">
        <v>23</v>
      </c>
      <c r="D391" s="534"/>
      <c r="E391" s="544"/>
      <c r="F391" s="301"/>
      <c r="G391" s="301"/>
      <c r="H391" s="301"/>
      <c r="I391" s="301"/>
      <c r="J391" s="325"/>
      <c r="K391" s="325"/>
      <c r="L391" s="301"/>
      <c r="M391" s="301"/>
      <c r="N391" s="301"/>
      <c r="O391" s="301"/>
      <c r="P391" s="301"/>
      <c r="Q391" s="325"/>
      <c r="R391" s="325"/>
      <c r="S391" s="325"/>
      <c r="T391" s="532">
        <f>SUM(F391:S391)</f>
        <v>0</v>
      </c>
      <c r="U391" s="301"/>
      <c r="V391" s="532">
        <f>SUM(T391:T391)</f>
        <v>0</v>
      </c>
      <c r="W391" s="532">
        <f>+V391-'ROR-Model'!G391</f>
        <v>0</v>
      </c>
    </row>
    <row r="392" spans="1:23">
      <c r="A392" s="543"/>
      <c r="B392" s="534"/>
      <c r="C392" s="534" t="s">
        <v>145</v>
      </c>
      <c r="D392" s="534"/>
      <c r="E392" s="544"/>
      <c r="F392" s="323">
        <f>SUM(F390:F391)</f>
        <v>0</v>
      </c>
      <c r="G392" s="323">
        <f>G1*SUM(G390:G391)</f>
        <v>0</v>
      </c>
      <c r="H392" s="323">
        <f>SUM(H390:H391)</f>
        <v>0</v>
      </c>
      <c r="I392" s="323">
        <f t="shared" ref="I392:P392" si="80">SUM(I390:I391)</f>
        <v>0</v>
      </c>
      <c r="J392" s="476">
        <f>J1*SUM(J390:J391)</f>
        <v>0</v>
      </c>
      <c r="K392" s="476">
        <f>K1*SUM(K390:K391)</f>
        <v>0</v>
      </c>
      <c r="L392" s="323">
        <f t="shared" si="80"/>
        <v>0</v>
      </c>
      <c r="M392" s="323">
        <f t="shared" si="80"/>
        <v>0</v>
      </c>
      <c r="N392" s="323">
        <f t="shared" si="80"/>
        <v>0</v>
      </c>
      <c r="O392" s="323">
        <f t="shared" si="80"/>
        <v>0</v>
      </c>
      <c r="P392" s="323">
        <f t="shared" si="80"/>
        <v>0</v>
      </c>
      <c r="Q392" s="476">
        <f>SUM(Q390:Q391)</f>
        <v>0</v>
      </c>
      <c r="R392" s="476">
        <f>R1*SUM(R390:R391)</f>
        <v>0</v>
      </c>
      <c r="S392" s="476">
        <f>S1*SUM(S390:S391)</f>
        <v>0</v>
      </c>
      <c r="T392" s="536">
        <f>SUM(T390:T391)</f>
        <v>0</v>
      </c>
      <c r="U392" s="323"/>
      <c r="V392" s="536">
        <f>SUM(V390:V391)</f>
        <v>0</v>
      </c>
      <c r="W392" s="536">
        <f>+V392-'ROR-Model'!G392</f>
        <v>0</v>
      </c>
    </row>
    <row r="393" spans="1:23">
      <c r="A393" s="543"/>
      <c r="B393" s="534"/>
      <c r="C393" s="534"/>
      <c r="D393" s="534"/>
      <c r="E393" s="544"/>
      <c r="F393" s="301"/>
      <c r="G393" s="301"/>
      <c r="H393" s="301"/>
      <c r="I393" s="301"/>
      <c r="J393" s="325"/>
      <c r="K393" s="325"/>
      <c r="L393" s="301"/>
      <c r="M393" s="301"/>
      <c r="N393" s="301"/>
      <c r="O393" s="301"/>
      <c r="P393" s="301"/>
      <c r="Q393" s="325"/>
      <c r="R393" s="325"/>
      <c r="S393" s="325"/>
      <c r="T393" s="532"/>
      <c r="U393" s="301"/>
      <c r="V393" s="532"/>
      <c r="W393" s="532">
        <f>+V393-'ROR-Model'!G393</f>
        <v>0</v>
      </c>
    </row>
    <row r="394" spans="1:23">
      <c r="A394" s="543">
        <v>4861</v>
      </c>
      <c r="B394" s="534" t="s">
        <v>280</v>
      </c>
      <c r="C394" s="534"/>
      <c r="D394" s="534"/>
      <c r="E394" s="544"/>
      <c r="F394" s="301"/>
      <c r="G394" s="301"/>
      <c r="H394" s="301"/>
      <c r="I394" s="301"/>
      <c r="J394" s="325"/>
      <c r="K394" s="325"/>
      <c r="L394" s="301"/>
      <c r="M394" s="301"/>
      <c r="N394" s="301"/>
      <c r="O394" s="301"/>
      <c r="P394" s="301"/>
      <c r="Q394" s="325"/>
      <c r="R394" s="325"/>
      <c r="S394" s="325"/>
      <c r="T394" s="532"/>
      <c r="U394" s="301"/>
      <c r="V394" s="532"/>
      <c r="W394" s="532">
        <f>+V394-'ROR-Model'!G394</f>
        <v>0</v>
      </c>
    </row>
    <row r="395" spans="1:23">
      <c r="A395" s="543"/>
      <c r="B395" s="534"/>
      <c r="C395" s="534" t="s">
        <v>12</v>
      </c>
      <c r="D395" s="534"/>
      <c r="E395" s="544"/>
      <c r="F395" s="301"/>
      <c r="G395" s="301"/>
      <c r="H395" s="301"/>
      <c r="I395" s="301"/>
      <c r="J395" s="325"/>
      <c r="K395" s="325"/>
      <c r="L395" s="301"/>
      <c r="M395" s="301"/>
      <c r="N395" s="301"/>
      <c r="O395" s="301"/>
      <c r="P395" s="301"/>
      <c r="Q395" s="325"/>
      <c r="R395" s="325"/>
      <c r="S395" s="325"/>
      <c r="T395" s="532">
        <f>SUM(F395:S395)</f>
        <v>0</v>
      </c>
      <c r="U395" s="301"/>
      <c r="V395" s="532">
        <f>SUM(T395:T395)</f>
        <v>0</v>
      </c>
      <c r="W395" s="532">
        <f>+V395-'ROR-Model'!G395</f>
        <v>0</v>
      </c>
    </row>
    <row r="396" spans="1:23">
      <c r="A396" s="543"/>
      <c r="B396" s="534"/>
      <c r="C396" s="534" t="s">
        <v>23</v>
      </c>
      <c r="D396" s="534"/>
      <c r="E396" s="544"/>
      <c r="F396" s="301"/>
      <c r="G396" s="301"/>
      <c r="H396" s="301"/>
      <c r="I396" s="301"/>
      <c r="J396" s="325"/>
      <c r="K396" s="325"/>
      <c r="L396" s="301"/>
      <c r="M396" s="301"/>
      <c r="N396" s="301"/>
      <c r="O396" s="301"/>
      <c r="P396" s="301"/>
      <c r="Q396" s="325"/>
      <c r="R396" s="325"/>
      <c r="S396" s="325"/>
      <c r="T396" s="532">
        <f>SUM(F396:S396)</f>
        <v>0</v>
      </c>
      <c r="U396" s="301"/>
      <c r="V396" s="532">
        <f>SUM(T396:T396)</f>
        <v>0</v>
      </c>
      <c r="W396" s="532">
        <f>+V396-'ROR-Model'!G396</f>
        <v>0</v>
      </c>
    </row>
    <row r="397" spans="1:23">
      <c r="A397" s="543"/>
      <c r="B397" s="534"/>
      <c r="C397" s="534" t="s">
        <v>145</v>
      </c>
      <c r="D397" s="534"/>
      <c r="E397" s="544"/>
      <c r="F397" s="323">
        <f>SUM(F395:F396)</f>
        <v>0</v>
      </c>
      <c r="G397" s="323">
        <f>G1*SUM(G395:G396)</f>
        <v>0</v>
      </c>
      <c r="H397" s="323">
        <f>SUM(H395:H396)</f>
        <v>0</v>
      </c>
      <c r="I397" s="323">
        <f t="shared" ref="I397:P397" si="81">SUM(I395:I396)</f>
        <v>0</v>
      </c>
      <c r="J397" s="476">
        <f>J1*SUM(J395:J396)</f>
        <v>0</v>
      </c>
      <c r="K397" s="476">
        <f>K1*SUM(K395:K396)</f>
        <v>0</v>
      </c>
      <c r="L397" s="323">
        <f t="shared" si="81"/>
        <v>0</v>
      </c>
      <c r="M397" s="323">
        <f t="shared" si="81"/>
        <v>0</v>
      </c>
      <c r="N397" s="323">
        <f t="shared" si="81"/>
        <v>0</v>
      </c>
      <c r="O397" s="323">
        <f t="shared" si="81"/>
        <v>0</v>
      </c>
      <c r="P397" s="323">
        <f t="shared" si="81"/>
        <v>0</v>
      </c>
      <c r="Q397" s="476">
        <f>SUM(Q395:Q396)</f>
        <v>0</v>
      </c>
      <c r="R397" s="476">
        <f>R1*SUM(R395:R396)</f>
        <v>0</v>
      </c>
      <c r="S397" s="476">
        <f>S1*SUM(S395:S396)</f>
        <v>0</v>
      </c>
      <c r="T397" s="536">
        <f>SUM(T395:T396)</f>
        <v>0</v>
      </c>
      <c r="U397" s="323"/>
      <c r="V397" s="536">
        <f>SUM(V395:V396)</f>
        <v>0</v>
      </c>
      <c r="W397" s="536">
        <f>+V397-'ROR-Model'!G397</f>
        <v>0</v>
      </c>
    </row>
    <row r="398" spans="1:23">
      <c r="A398" s="543"/>
      <c r="B398" s="534"/>
      <c r="C398" s="534"/>
      <c r="D398" s="534"/>
      <c r="E398" s="544"/>
      <c r="F398" s="301"/>
      <c r="G398" s="301"/>
      <c r="H398" s="301"/>
      <c r="I398" s="301"/>
      <c r="J398" s="325"/>
      <c r="K398" s="325"/>
      <c r="L398" s="301"/>
      <c r="M398" s="301"/>
      <c r="N398" s="301"/>
      <c r="O398" s="301"/>
      <c r="P398" s="301"/>
      <c r="Q398" s="325"/>
      <c r="R398" s="325"/>
      <c r="S398" s="325"/>
      <c r="T398" s="532"/>
      <c r="U398" s="301"/>
      <c r="V398" s="532"/>
      <c r="W398" s="532">
        <f>+V398-'ROR-Model'!G398</f>
        <v>0</v>
      </c>
    </row>
    <row r="399" spans="1:23">
      <c r="A399" s="543">
        <v>4862</v>
      </c>
      <c r="B399" s="534" t="s">
        <v>281</v>
      </c>
      <c r="C399" s="534"/>
      <c r="D399" s="534"/>
      <c r="E399" s="544"/>
      <c r="F399" s="301"/>
      <c r="G399" s="301"/>
      <c r="H399" s="301"/>
      <c r="I399" s="301"/>
      <c r="J399" s="325"/>
      <c r="K399" s="325"/>
      <c r="L399" s="301"/>
      <c r="M399" s="301"/>
      <c r="N399" s="301"/>
      <c r="O399" s="301"/>
      <c r="P399" s="301"/>
      <c r="Q399" s="325"/>
      <c r="R399" s="325"/>
      <c r="S399" s="325"/>
      <c r="T399" s="532"/>
      <c r="U399" s="301"/>
      <c r="V399" s="532"/>
      <c r="W399" s="532">
        <f>+V399-'ROR-Model'!G399</f>
        <v>0</v>
      </c>
    </row>
    <row r="400" spans="1:23">
      <c r="A400" s="543"/>
      <c r="B400" s="534"/>
      <c r="C400" s="534" t="s">
        <v>12</v>
      </c>
      <c r="D400" s="534"/>
      <c r="E400" s="544"/>
      <c r="F400" s="301"/>
      <c r="G400" s="301"/>
      <c r="H400" s="301"/>
      <c r="I400" s="301"/>
      <c r="J400" s="325"/>
      <c r="K400" s="325"/>
      <c r="L400" s="301"/>
      <c r="M400" s="301"/>
      <c r="N400" s="301"/>
      <c r="O400" s="301"/>
      <c r="P400" s="301"/>
      <c r="Q400" s="325"/>
      <c r="R400" s="325"/>
      <c r="S400" s="325"/>
      <c r="T400" s="532">
        <f>SUM(F400:S400)</f>
        <v>0</v>
      </c>
      <c r="U400" s="301"/>
      <c r="V400" s="532">
        <f>SUM(T400:T400)</f>
        <v>0</v>
      </c>
      <c r="W400" s="532">
        <f>+V400-'ROR-Model'!G400</f>
        <v>0</v>
      </c>
    </row>
    <row r="401" spans="1:23">
      <c r="A401" s="543"/>
      <c r="B401" s="534"/>
      <c r="C401" s="534" t="s">
        <v>23</v>
      </c>
      <c r="D401" s="534"/>
      <c r="E401" s="544"/>
      <c r="F401" s="301"/>
      <c r="G401" s="301"/>
      <c r="H401" s="301"/>
      <c r="I401" s="301"/>
      <c r="J401" s="325"/>
      <c r="K401" s="325"/>
      <c r="L401" s="301"/>
      <c r="M401" s="301"/>
      <c r="N401" s="301"/>
      <c r="O401" s="301"/>
      <c r="P401" s="301"/>
      <c r="Q401" s="325"/>
      <c r="R401" s="325"/>
      <c r="S401" s="325"/>
      <c r="T401" s="532">
        <f>SUM(F401:S401)</f>
        <v>0</v>
      </c>
      <c r="U401" s="301"/>
      <c r="V401" s="532">
        <f>SUM(T401:T401)</f>
        <v>0</v>
      </c>
      <c r="W401" s="532">
        <f>+V401-'ROR-Model'!G401</f>
        <v>0</v>
      </c>
    </row>
    <row r="402" spans="1:23">
      <c r="A402" s="543"/>
      <c r="B402" s="534"/>
      <c r="C402" s="534" t="s">
        <v>145</v>
      </c>
      <c r="D402" s="534"/>
      <c r="E402" s="544"/>
      <c r="F402" s="323">
        <f>SUM(F400:F401)</f>
        <v>0</v>
      </c>
      <c r="G402" s="323">
        <f>G1*SUM(G400:G401)</f>
        <v>0</v>
      </c>
      <c r="H402" s="323">
        <f>SUM(H400:H401)</f>
        <v>0</v>
      </c>
      <c r="I402" s="323">
        <f t="shared" ref="I402:P402" si="82">SUM(I400:I401)</f>
        <v>0</v>
      </c>
      <c r="J402" s="476">
        <f>J1*SUM(J400:J401)</f>
        <v>0</v>
      </c>
      <c r="K402" s="476">
        <f>K1*SUM(K400:K401)</f>
        <v>0</v>
      </c>
      <c r="L402" s="323">
        <f t="shared" si="82"/>
        <v>0</v>
      </c>
      <c r="M402" s="323">
        <f t="shared" si="82"/>
        <v>0</v>
      </c>
      <c r="N402" s="323">
        <f t="shared" si="82"/>
        <v>0</v>
      </c>
      <c r="O402" s="323">
        <f t="shared" si="82"/>
        <v>0</v>
      </c>
      <c r="P402" s="323">
        <f t="shared" si="82"/>
        <v>0</v>
      </c>
      <c r="Q402" s="476">
        <f>SUM(Q400:Q401)</f>
        <v>0</v>
      </c>
      <c r="R402" s="476">
        <f>R1*SUM(R400:R401)</f>
        <v>0</v>
      </c>
      <c r="S402" s="476">
        <f>S1*SUM(S400:S401)</f>
        <v>0</v>
      </c>
      <c r="T402" s="536">
        <f>SUM(T400:T401)</f>
        <v>0</v>
      </c>
      <c r="U402" s="323"/>
      <c r="V402" s="536">
        <f>SUM(V400:V401)</f>
        <v>0</v>
      </c>
      <c r="W402" s="536">
        <f>+V402-'ROR-Model'!G402</f>
        <v>0</v>
      </c>
    </row>
    <row r="403" spans="1:23">
      <c r="A403" s="543"/>
      <c r="B403" s="534"/>
      <c r="C403" s="534"/>
      <c r="D403" s="534"/>
      <c r="E403" s="544"/>
      <c r="F403" s="301"/>
      <c r="G403" s="301"/>
      <c r="H403" s="301"/>
      <c r="I403" s="301"/>
      <c r="J403" s="325"/>
      <c r="K403" s="325"/>
      <c r="L403" s="301"/>
      <c r="M403" s="301"/>
      <c r="N403" s="301"/>
      <c r="O403" s="301"/>
      <c r="P403" s="301"/>
      <c r="Q403" s="325"/>
      <c r="R403" s="325"/>
      <c r="S403" s="325"/>
      <c r="T403" s="532"/>
      <c r="U403" s="301"/>
      <c r="V403" s="532"/>
      <c r="W403" s="532">
        <f>+V403-'ROR-Model'!G403</f>
        <v>0</v>
      </c>
    </row>
    <row r="404" spans="1:23">
      <c r="A404" s="543" t="s">
        <v>369</v>
      </c>
      <c r="B404" s="534" t="s">
        <v>282</v>
      </c>
      <c r="C404" s="534"/>
      <c r="D404" s="534"/>
      <c r="E404" s="544"/>
      <c r="F404" s="301"/>
      <c r="G404" s="301"/>
      <c r="H404" s="301"/>
      <c r="I404" s="301"/>
      <c r="J404" s="325"/>
      <c r="K404" s="325"/>
      <c r="L404" s="301"/>
      <c r="M404" s="301"/>
      <c r="N404" s="301"/>
      <c r="O404" s="301"/>
      <c r="P404" s="301"/>
      <c r="Q404" s="325"/>
      <c r="R404" s="325"/>
      <c r="S404" s="325"/>
      <c r="T404" s="532"/>
      <c r="U404" s="301"/>
      <c r="V404" s="532"/>
      <c r="W404" s="532">
        <f>+V404-'ROR-Model'!G404</f>
        <v>0</v>
      </c>
    </row>
    <row r="405" spans="1:23">
      <c r="A405" s="543"/>
      <c r="B405" s="534"/>
      <c r="C405" s="534" t="s">
        <v>12</v>
      </c>
      <c r="D405" s="534"/>
      <c r="E405" s="544"/>
      <c r="F405" s="301"/>
      <c r="G405" s="301"/>
      <c r="H405" s="301"/>
      <c r="I405" s="301"/>
      <c r="J405" s="325"/>
      <c r="K405" s="325"/>
      <c r="L405" s="301"/>
      <c r="M405" s="301"/>
      <c r="N405" s="301"/>
      <c r="O405" s="301"/>
      <c r="P405" s="301"/>
      <c r="Q405" s="325"/>
      <c r="R405" s="325"/>
      <c r="S405" s="325"/>
      <c r="T405" s="532">
        <f>SUM(F405:S405)</f>
        <v>0</v>
      </c>
      <c r="U405" s="301"/>
      <c r="V405" s="532">
        <f>SUM(T405:T405)</f>
        <v>0</v>
      </c>
      <c r="W405" s="532">
        <f>+V405-'ROR-Model'!G405</f>
        <v>0</v>
      </c>
    </row>
    <row r="406" spans="1:23">
      <c r="A406" s="543"/>
      <c r="B406" s="534"/>
      <c r="C406" s="534" t="s">
        <v>23</v>
      </c>
      <c r="D406" s="534"/>
      <c r="E406" s="544"/>
      <c r="F406" s="301"/>
      <c r="G406" s="301"/>
      <c r="H406" s="301"/>
      <c r="I406" s="301"/>
      <c r="J406" s="325"/>
      <c r="K406" s="325"/>
      <c r="L406" s="301"/>
      <c r="M406" s="301"/>
      <c r="N406" s="301"/>
      <c r="O406" s="301"/>
      <c r="P406" s="301"/>
      <c r="Q406" s="325"/>
      <c r="R406" s="325"/>
      <c r="S406" s="325"/>
      <c r="T406" s="532">
        <f>SUM(F406:S406)</f>
        <v>0</v>
      </c>
      <c r="U406" s="301"/>
      <c r="V406" s="532">
        <f>SUM(T406:T406)</f>
        <v>0</v>
      </c>
      <c r="W406" s="532">
        <f>+V406-'ROR-Model'!G406</f>
        <v>0</v>
      </c>
    </row>
    <row r="407" spans="1:23">
      <c r="A407" s="543"/>
      <c r="B407" s="534"/>
      <c r="C407" s="534" t="s">
        <v>145</v>
      </c>
      <c r="D407" s="534"/>
      <c r="E407" s="544"/>
      <c r="F407" s="323">
        <f>SUM(F405:F406)</f>
        <v>0</v>
      </c>
      <c r="G407" s="323">
        <f>G1*SUM(G405:G406)</f>
        <v>0</v>
      </c>
      <c r="H407" s="323">
        <f>SUM(H405:H406)</f>
        <v>0</v>
      </c>
      <c r="I407" s="323">
        <f t="shared" ref="I407:P407" si="83">SUM(I405:I406)</f>
        <v>0</v>
      </c>
      <c r="J407" s="476">
        <f>J1*SUM(J405:J406)</f>
        <v>0</v>
      </c>
      <c r="K407" s="476">
        <f>K1*SUM(K405:K406)</f>
        <v>0</v>
      </c>
      <c r="L407" s="323">
        <f t="shared" si="83"/>
        <v>0</v>
      </c>
      <c r="M407" s="323">
        <f t="shared" si="83"/>
        <v>0</v>
      </c>
      <c r="N407" s="323">
        <f t="shared" si="83"/>
        <v>0</v>
      </c>
      <c r="O407" s="323">
        <f t="shared" si="83"/>
        <v>0</v>
      </c>
      <c r="P407" s="323">
        <f t="shared" si="83"/>
        <v>0</v>
      </c>
      <c r="Q407" s="476">
        <f>SUM(Q405:Q406)</f>
        <v>0</v>
      </c>
      <c r="R407" s="476">
        <f>R1*SUM(R405:R406)</f>
        <v>0</v>
      </c>
      <c r="S407" s="476">
        <f>S1*SUM(S405:S406)</f>
        <v>0</v>
      </c>
      <c r="T407" s="536">
        <f>SUM(T405:T406)</f>
        <v>0</v>
      </c>
      <c r="U407" s="323"/>
      <c r="V407" s="536">
        <f>SUM(V405:V406)</f>
        <v>0</v>
      </c>
      <c r="W407" s="536">
        <f>+V407-'ROR-Model'!G407</f>
        <v>0</v>
      </c>
    </row>
    <row r="408" spans="1:23">
      <c r="A408" s="543"/>
      <c r="B408" s="534"/>
      <c r="C408" s="534"/>
      <c r="D408" s="534"/>
      <c r="E408" s="544"/>
      <c r="F408" s="301"/>
      <c r="G408" s="301"/>
      <c r="H408" s="301"/>
      <c r="I408" s="301"/>
      <c r="J408" s="325"/>
      <c r="K408" s="325"/>
      <c r="L408" s="301"/>
      <c r="M408" s="301"/>
      <c r="N408" s="301"/>
      <c r="O408" s="301"/>
      <c r="P408" s="301"/>
      <c r="Q408" s="325"/>
      <c r="R408" s="325"/>
      <c r="S408" s="325"/>
      <c r="T408" s="532"/>
      <c r="U408" s="301"/>
      <c r="V408" s="532"/>
      <c r="W408" s="532">
        <f>+V408-'ROR-Model'!G408</f>
        <v>0</v>
      </c>
    </row>
    <row r="409" spans="1:23">
      <c r="A409" s="543" t="s">
        <v>370</v>
      </c>
      <c r="B409" s="534" t="s">
        <v>283</v>
      </c>
      <c r="C409" s="534"/>
      <c r="D409" s="534"/>
      <c r="E409" s="544"/>
      <c r="F409" s="301"/>
      <c r="G409" s="301"/>
      <c r="H409" s="301"/>
      <c r="I409" s="301"/>
      <c r="J409" s="325"/>
      <c r="K409" s="325"/>
      <c r="L409" s="301"/>
      <c r="M409" s="301"/>
      <c r="N409" s="301"/>
      <c r="O409" s="301"/>
      <c r="P409" s="301"/>
      <c r="Q409" s="325"/>
      <c r="R409" s="325"/>
      <c r="S409" s="325"/>
      <c r="T409" s="532"/>
      <c r="U409" s="301"/>
      <c r="V409" s="532"/>
      <c r="W409" s="532">
        <f>+V409-'ROR-Model'!G409</f>
        <v>0</v>
      </c>
    </row>
    <row r="410" spans="1:23">
      <c r="A410" s="543"/>
      <c r="B410" s="534"/>
      <c r="C410" s="534" t="s">
        <v>12</v>
      </c>
      <c r="D410" s="534"/>
      <c r="E410" s="544"/>
      <c r="F410" s="301"/>
      <c r="G410" s="301"/>
      <c r="H410" s="301"/>
      <c r="I410" s="301"/>
      <c r="J410" s="325"/>
      <c r="K410" s="325"/>
      <c r="L410" s="301"/>
      <c r="M410" s="301"/>
      <c r="N410" s="301"/>
      <c r="O410" s="301"/>
      <c r="P410" s="301"/>
      <c r="Q410" s="325"/>
      <c r="R410" s="325"/>
      <c r="S410" s="325"/>
      <c r="T410" s="532">
        <f>SUM(F410:S410)</f>
        <v>0</v>
      </c>
      <c r="U410" s="301"/>
      <c r="V410" s="532">
        <f>SUM(T410:T410)</f>
        <v>0</v>
      </c>
      <c r="W410" s="532">
        <f>+V410-'ROR-Model'!G410</f>
        <v>0</v>
      </c>
    </row>
    <row r="411" spans="1:23">
      <c r="A411" s="543"/>
      <c r="B411" s="534"/>
      <c r="C411" s="534" t="s">
        <v>23</v>
      </c>
      <c r="D411" s="534"/>
      <c r="E411" s="544"/>
      <c r="F411" s="301"/>
      <c r="G411" s="301"/>
      <c r="H411" s="301"/>
      <c r="I411" s="301"/>
      <c r="J411" s="325"/>
      <c r="K411" s="325"/>
      <c r="L411" s="301"/>
      <c r="M411" s="301"/>
      <c r="N411" s="301"/>
      <c r="O411" s="301"/>
      <c r="P411" s="301"/>
      <c r="Q411" s="325"/>
      <c r="R411" s="325"/>
      <c r="S411" s="325"/>
      <c r="T411" s="532">
        <f>SUM(F411:S411)</f>
        <v>0</v>
      </c>
      <c r="U411" s="301"/>
      <c r="V411" s="532">
        <f>SUM(T411:T411)</f>
        <v>0</v>
      </c>
      <c r="W411" s="532">
        <f>+V411-'ROR-Model'!G411</f>
        <v>0</v>
      </c>
    </row>
    <row r="412" spans="1:23">
      <c r="A412" s="543"/>
      <c r="B412" s="534"/>
      <c r="C412" s="534" t="s">
        <v>145</v>
      </c>
      <c r="D412" s="534"/>
      <c r="E412" s="544"/>
      <c r="F412" s="323">
        <f>SUM(F410:F411)</f>
        <v>0</v>
      </c>
      <c r="G412" s="323">
        <f>G1*SUM(G410:G411)</f>
        <v>0</v>
      </c>
      <c r="H412" s="323">
        <f>SUM(H410:H411)</f>
        <v>0</v>
      </c>
      <c r="I412" s="323">
        <f t="shared" ref="I412:P412" si="84">SUM(I410:I411)</f>
        <v>0</v>
      </c>
      <c r="J412" s="476">
        <f>J1*SUM(J410:J411)</f>
        <v>0</v>
      </c>
      <c r="K412" s="476">
        <f>K1*SUM(K410:K411)</f>
        <v>0</v>
      </c>
      <c r="L412" s="323">
        <f t="shared" si="84"/>
        <v>0</v>
      </c>
      <c r="M412" s="323">
        <f t="shared" si="84"/>
        <v>0</v>
      </c>
      <c r="N412" s="323">
        <f t="shared" si="84"/>
        <v>0</v>
      </c>
      <c r="O412" s="323">
        <f t="shared" si="84"/>
        <v>0</v>
      </c>
      <c r="P412" s="323">
        <f t="shared" si="84"/>
        <v>0</v>
      </c>
      <c r="Q412" s="476">
        <f>SUM(Q410:Q411)</f>
        <v>0</v>
      </c>
      <c r="R412" s="476">
        <f>R1*SUM(R410:R411)</f>
        <v>0</v>
      </c>
      <c r="S412" s="476">
        <f>S1*SUM(S410:S411)</f>
        <v>0</v>
      </c>
      <c r="T412" s="536">
        <f>SUM(T410:T411)</f>
        <v>0</v>
      </c>
      <c r="U412" s="323"/>
      <c r="V412" s="536">
        <f>SUM(V410:V411)</f>
        <v>0</v>
      </c>
      <c r="W412" s="536">
        <f>+V412-'ROR-Model'!G412</f>
        <v>0</v>
      </c>
    </row>
    <row r="413" spans="1:23">
      <c r="A413" s="543"/>
      <c r="B413" s="534"/>
      <c r="C413" s="534"/>
      <c r="D413" s="534"/>
      <c r="E413" s="544"/>
      <c r="F413" s="301"/>
      <c r="G413" s="301"/>
      <c r="H413" s="301"/>
      <c r="I413" s="301"/>
      <c r="J413" s="325"/>
      <c r="K413" s="325"/>
      <c r="L413" s="301"/>
      <c r="M413" s="301"/>
      <c r="N413" s="301"/>
      <c r="O413" s="301"/>
      <c r="P413" s="301"/>
      <c r="Q413" s="325"/>
      <c r="R413" s="325"/>
      <c r="S413" s="325"/>
      <c r="T413" s="532"/>
      <c r="U413" s="301"/>
      <c r="V413" s="532"/>
      <c r="W413" s="532">
        <f>+V413-'ROR-Model'!G413</f>
        <v>0</v>
      </c>
    </row>
    <row r="414" spans="1:23">
      <c r="A414" s="543" t="s">
        <v>371</v>
      </c>
      <c r="B414" s="534" t="s">
        <v>284</v>
      </c>
      <c r="C414" s="534"/>
      <c r="D414" s="534"/>
      <c r="E414" s="544"/>
      <c r="F414" s="301"/>
      <c r="G414" s="301"/>
      <c r="H414" s="301"/>
      <c r="I414" s="301"/>
      <c r="J414" s="325"/>
      <c r="K414" s="325"/>
      <c r="L414" s="301"/>
      <c r="M414" s="301"/>
      <c r="N414" s="301"/>
      <c r="O414" s="301"/>
      <c r="P414" s="301"/>
      <c r="Q414" s="325"/>
      <c r="R414" s="325"/>
      <c r="S414" s="325"/>
      <c r="T414" s="532"/>
      <c r="U414" s="301"/>
      <c r="V414" s="532"/>
      <c r="W414" s="532">
        <f>+V414-'ROR-Model'!G414</f>
        <v>0</v>
      </c>
    </row>
    <row r="415" spans="1:23">
      <c r="A415" s="543"/>
      <c r="B415" s="534"/>
      <c r="C415" s="534" t="s">
        <v>12</v>
      </c>
      <c r="D415" s="534"/>
      <c r="E415" s="544"/>
      <c r="F415" s="301"/>
      <c r="G415" s="301"/>
      <c r="H415" s="301"/>
      <c r="I415" s="301"/>
      <c r="J415" s="325"/>
      <c r="K415" s="325"/>
      <c r="L415" s="301"/>
      <c r="M415" s="301"/>
      <c r="N415" s="301"/>
      <c r="O415" s="301"/>
      <c r="P415" s="301"/>
      <c r="Q415" s="325"/>
      <c r="R415" s="325"/>
      <c r="S415" s="325"/>
      <c r="T415" s="532">
        <f>SUM(F415:S415)</f>
        <v>0</v>
      </c>
      <c r="U415" s="301"/>
      <c r="V415" s="532">
        <f>SUM(T415:T415)</f>
        <v>0</v>
      </c>
      <c r="W415" s="532">
        <f>+V415-'ROR-Model'!G415</f>
        <v>0</v>
      </c>
    </row>
    <row r="416" spans="1:23">
      <c r="A416" s="543"/>
      <c r="B416" s="534"/>
      <c r="C416" s="534" t="s">
        <v>23</v>
      </c>
      <c r="D416" s="534"/>
      <c r="E416" s="544"/>
      <c r="F416" s="301"/>
      <c r="G416" s="301"/>
      <c r="H416" s="301"/>
      <c r="I416" s="301"/>
      <c r="J416" s="325"/>
      <c r="K416" s="325"/>
      <c r="L416" s="301"/>
      <c r="M416" s="301"/>
      <c r="N416" s="301"/>
      <c r="O416" s="301"/>
      <c r="P416" s="301"/>
      <c r="Q416" s="325"/>
      <c r="R416" s="325"/>
      <c r="S416" s="325"/>
      <c r="T416" s="532">
        <f>SUM(F416:S416)</f>
        <v>0</v>
      </c>
      <c r="U416" s="301"/>
      <c r="V416" s="532">
        <f>SUM(T416:T416)</f>
        <v>0</v>
      </c>
      <c r="W416" s="532">
        <f>+V416-'ROR-Model'!G416</f>
        <v>0</v>
      </c>
    </row>
    <row r="417" spans="1:23">
      <c r="A417" s="543"/>
      <c r="B417" s="534"/>
      <c r="C417" s="534" t="s">
        <v>145</v>
      </c>
      <c r="D417" s="534"/>
      <c r="E417" s="544"/>
      <c r="F417" s="323">
        <f>SUM(F415:F416)</f>
        <v>0</v>
      </c>
      <c r="G417" s="323">
        <f>G1*SUM(G415:G416)</f>
        <v>0</v>
      </c>
      <c r="H417" s="323">
        <f>SUM(H415:H416)</f>
        <v>0</v>
      </c>
      <c r="I417" s="323">
        <f t="shared" ref="I417:P417" si="85">SUM(I415:I416)</f>
        <v>0</v>
      </c>
      <c r="J417" s="476">
        <f>J1*SUM(J415:J416)</f>
        <v>0</v>
      </c>
      <c r="K417" s="476">
        <f>K1*SUM(K415:K416)</f>
        <v>0</v>
      </c>
      <c r="L417" s="323">
        <f t="shared" si="85"/>
        <v>0</v>
      </c>
      <c r="M417" s="323">
        <f t="shared" si="85"/>
        <v>0</v>
      </c>
      <c r="N417" s="323">
        <f t="shared" si="85"/>
        <v>0</v>
      </c>
      <c r="O417" s="323">
        <f t="shared" si="85"/>
        <v>0</v>
      </c>
      <c r="P417" s="323">
        <f t="shared" si="85"/>
        <v>0</v>
      </c>
      <c r="Q417" s="476">
        <f>SUM(Q415:Q416)</f>
        <v>0</v>
      </c>
      <c r="R417" s="476">
        <f>R1*SUM(R415:R416)</f>
        <v>0</v>
      </c>
      <c r="S417" s="476">
        <f>S1*SUM(S415:S416)</f>
        <v>0</v>
      </c>
      <c r="T417" s="536">
        <f>SUM(T415:T416)</f>
        <v>0</v>
      </c>
      <c r="U417" s="323"/>
      <c r="V417" s="536">
        <f>SUM(V415:V416)</f>
        <v>0</v>
      </c>
      <c r="W417" s="536">
        <f>+V417-'ROR-Model'!G417</f>
        <v>0</v>
      </c>
    </row>
    <row r="418" spans="1:23">
      <c r="A418" s="543"/>
      <c r="B418" s="534"/>
      <c r="C418" s="534"/>
      <c r="D418" s="534"/>
      <c r="E418" s="544"/>
      <c r="F418" s="301"/>
      <c r="G418" s="301"/>
      <c r="H418" s="301"/>
      <c r="I418" s="301"/>
      <c r="J418" s="325"/>
      <c r="K418" s="325"/>
      <c r="L418" s="301"/>
      <c r="M418" s="301"/>
      <c r="N418" s="301"/>
      <c r="O418" s="301"/>
      <c r="P418" s="301"/>
      <c r="Q418" s="325"/>
      <c r="R418" s="325"/>
      <c r="S418" s="325"/>
      <c r="T418" s="532"/>
      <c r="U418" s="301"/>
      <c r="V418" s="532"/>
      <c r="W418" s="532">
        <f>+V418-'ROR-Model'!G418</f>
        <v>0</v>
      </c>
    </row>
    <row r="419" spans="1:23">
      <c r="A419" s="543" t="s">
        <v>372</v>
      </c>
      <c r="B419" s="534" t="s">
        <v>373</v>
      </c>
      <c r="C419" s="534"/>
      <c r="D419" s="534"/>
      <c r="E419" s="544"/>
      <c r="F419" s="301"/>
      <c r="G419" s="301"/>
      <c r="H419" s="301"/>
      <c r="I419" s="301"/>
      <c r="J419" s="325"/>
      <c r="K419" s="325"/>
      <c r="L419" s="301"/>
      <c r="M419" s="301"/>
      <c r="N419" s="301"/>
      <c r="O419" s="301"/>
      <c r="P419" s="301"/>
      <c r="Q419" s="325"/>
      <c r="R419" s="325"/>
      <c r="S419" s="325"/>
      <c r="T419" s="532"/>
      <c r="U419" s="301"/>
      <c r="V419" s="532"/>
      <c r="W419" s="532">
        <f>+V419-'ROR-Model'!G419</f>
        <v>0</v>
      </c>
    </row>
    <row r="420" spans="1:23">
      <c r="A420" s="543"/>
      <c r="B420" s="534"/>
      <c r="C420" s="534" t="s">
        <v>12</v>
      </c>
      <c r="D420" s="534"/>
      <c r="E420" s="544"/>
      <c r="F420" s="301"/>
      <c r="G420" s="301"/>
      <c r="H420" s="301"/>
      <c r="I420" s="301"/>
      <c r="J420" s="325"/>
      <c r="K420" s="325"/>
      <c r="L420" s="301"/>
      <c r="M420" s="301"/>
      <c r="N420" s="301"/>
      <c r="O420" s="301"/>
      <c r="P420" s="301"/>
      <c r="Q420" s="325"/>
      <c r="R420" s="325"/>
      <c r="S420" s="325"/>
      <c r="T420" s="532">
        <f>SUM(F420:S420)</f>
        <v>0</v>
      </c>
      <c r="U420" s="301"/>
      <c r="V420" s="532">
        <f>SUM(T420:T420)</f>
        <v>0</v>
      </c>
      <c r="W420" s="532">
        <f>+V420-'ROR-Model'!G420</f>
        <v>0</v>
      </c>
    </row>
    <row r="421" spans="1:23">
      <c r="A421" s="543"/>
      <c r="B421" s="534"/>
      <c r="C421" s="534" t="s">
        <v>23</v>
      </c>
      <c r="D421" s="534"/>
      <c r="E421" s="544"/>
      <c r="F421" s="301"/>
      <c r="G421" s="301"/>
      <c r="H421" s="301"/>
      <c r="I421" s="301"/>
      <c r="J421" s="325"/>
      <c r="K421" s="325"/>
      <c r="L421" s="301"/>
      <c r="M421" s="301"/>
      <c r="N421" s="301"/>
      <c r="O421" s="301"/>
      <c r="P421" s="301"/>
      <c r="Q421" s="325"/>
      <c r="R421" s="325"/>
      <c r="S421" s="325"/>
      <c r="T421" s="532">
        <f>SUM(F421:S421)</f>
        <v>0</v>
      </c>
      <c r="U421" s="301"/>
      <c r="V421" s="532">
        <f>SUM(T421:T421)</f>
        <v>0</v>
      </c>
      <c r="W421" s="532">
        <f>+V421-'ROR-Model'!G421</f>
        <v>0</v>
      </c>
    </row>
    <row r="422" spans="1:23">
      <c r="A422" s="543"/>
      <c r="B422" s="534"/>
      <c r="C422" s="534" t="s">
        <v>145</v>
      </c>
      <c r="D422" s="534"/>
      <c r="E422" s="544"/>
      <c r="F422" s="323">
        <f>SUM(F420:F421)</f>
        <v>0</v>
      </c>
      <c r="G422" s="323">
        <f>G1*SUM(G420:G421)</f>
        <v>0</v>
      </c>
      <c r="H422" s="323">
        <f>SUM(H420:H421)</f>
        <v>0</v>
      </c>
      <c r="I422" s="323">
        <f t="shared" ref="I422:P422" si="86">SUM(I420:I421)</f>
        <v>0</v>
      </c>
      <c r="J422" s="476">
        <f>J1*SUM(J420:J421)</f>
        <v>0</v>
      </c>
      <c r="K422" s="476">
        <f>K1*SUM(K420:K421)</f>
        <v>0</v>
      </c>
      <c r="L422" s="323">
        <f t="shared" si="86"/>
        <v>0</v>
      </c>
      <c r="M422" s="323">
        <f t="shared" si="86"/>
        <v>0</v>
      </c>
      <c r="N422" s="323">
        <f t="shared" si="86"/>
        <v>0</v>
      </c>
      <c r="O422" s="323">
        <f t="shared" si="86"/>
        <v>0</v>
      </c>
      <c r="P422" s="323">
        <f t="shared" si="86"/>
        <v>0</v>
      </c>
      <c r="Q422" s="476">
        <f>SUM(Q420:Q421)</f>
        <v>0</v>
      </c>
      <c r="R422" s="476">
        <f>R1*SUM(R420:R421)</f>
        <v>0</v>
      </c>
      <c r="S422" s="476">
        <f>S1*SUM(S420:S421)</f>
        <v>0</v>
      </c>
      <c r="T422" s="536">
        <f>SUM(T420:T421)</f>
        <v>0</v>
      </c>
      <c r="U422" s="323"/>
      <c r="V422" s="536">
        <f>SUM(V420:V421)</f>
        <v>0</v>
      </c>
      <c r="W422" s="536">
        <f>+V422-'ROR-Model'!G422</f>
        <v>0</v>
      </c>
    </row>
    <row r="423" spans="1:23">
      <c r="A423" s="543"/>
      <c r="B423" s="534"/>
      <c r="C423" s="534"/>
      <c r="D423" s="534"/>
      <c r="E423" s="544"/>
      <c r="F423" s="301"/>
      <c r="G423" s="301"/>
      <c r="H423" s="301"/>
      <c r="I423" s="301"/>
      <c r="J423" s="325"/>
      <c r="K423" s="325"/>
      <c r="L423" s="301"/>
      <c r="M423" s="301"/>
      <c r="N423" s="301"/>
      <c r="O423" s="301"/>
      <c r="P423" s="301"/>
      <c r="Q423" s="325"/>
      <c r="R423" s="325"/>
      <c r="S423" s="325"/>
      <c r="T423" s="532"/>
      <c r="U423" s="301"/>
      <c r="V423" s="532"/>
      <c r="W423" s="532">
        <f>+V423-'ROR-Model'!G423</f>
        <v>0</v>
      </c>
    </row>
    <row r="424" spans="1:23">
      <c r="A424" s="543" t="s">
        <v>374</v>
      </c>
      <c r="B424" s="534" t="s">
        <v>285</v>
      </c>
      <c r="C424" s="534"/>
      <c r="D424" s="534"/>
      <c r="E424" s="544"/>
      <c r="F424" s="301"/>
      <c r="G424" s="301"/>
      <c r="H424" s="301"/>
      <c r="I424" s="301"/>
      <c r="J424" s="325"/>
      <c r="K424" s="325"/>
      <c r="L424" s="301"/>
      <c r="M424" s="301"/>
      <c r="N424" s="301"/>
      <c r="O424" s="301"/>
      <c r="P424" s="301"/>
      <c r="Q424" s="325"/>
      <c r="R424" s="325"/>
      <c r="S424" s="325"/>
      <c r="T424" s="532"/>
      <c r="U424" s="301"/>
      <c r="V424" s="532"/>
      <c r="W424" s="532">
        <f>+V424-'ROR-Model'!G424</f>
        <v>0</v>
      </c>
    </row>
    <row r="425" spans="1:23">
      <c r="A425" s="543"/>
      <c r="B425" s="534"/>
      <c r="C425" s="534" t="s">
        <v>12</v>
      </c>
      <c r="D425" s="534"/>
      <c r="E425" s="544"/>
      <c r="F425" s="301"/>
      <c r="G425" s="301"/>
      <c r="H425" s="301"/>
      <c r="I425" s="301"/>
      <c r="J425" s="325"/>
      <c r="K425" s="325"/>
      <c r="L425" s="301"/>
      <c r="M425" s="301"/>
      <c r="N425" s="301"/>
      <c r="O425" s="301"/>
      <c r="P425" s="301"/>
      <c r="Q425" s="325"/>
      <c r="R425" s="325"/>
      <c r="S425" s="325"/>
      <c r="T425" s="532">
        <f>SUM(F425:S425)</f>
        <v>0</v>
      </c>
      <c r="U425" s="301"/>
      <c r="V425" s="532">
        <f>SUM(T425:T425)</f>
        <v>0</v>
      </c>
      <c r="W425" s="532">
        <f>+V425-'ROR-Model'!G425</f>
        <v>0</v>
      </c>
    </row>
    <row r="426" spans="1:23">
      <c r="A426" s="543"/>
      <c r="B426" s="534"/>
      <c r="C426" s="534" t="s">
        <v>23</v>
      </c>
      <c r="D426" s="534"/>
      <c r="E426" s="544"/>
      <c r="F426" s="301"/>
      <c r="G426" s="301"/>
      <c r="H426" s="301"/>
      <c r="I426" s="301"/>
      <c r="J426" s="325"/>
      <c r="K426" s="325"/>
      <c r="L426" s="301"/>
      <c r="M426" s="301"/>
      <c r="N426" s="301"/>
      <c r="O426" s="301"/>
      <c r="P426" s="301"/>
      <c r="Q426" s="325"/>
      <c r="R426" s="325"/>
      <c r="S426" s="325"/>
      <c r="T426" s="532">
        <f>SUM(F426:S426)</f>
        <v>0</v>
      </c>
      <c r="U426" s="301"/>
      <c r="V426" s="532">
        <f>SUM(T426:T426)</f>
        <v>0</v>
      </c>
      <c r="W426" s="532">
        <f>+V426-'ROR-Model'!G426</f>
        <v>0</v>
      </c>
    </row>
    <row r="427" spans="1:23">
      <c r="A427" s="543"/>
      <c r="B427" s="534"/>
      <c r="C427" s="534" t="s">
        <v>145</v>
      </c>
      <c r="D427" s="534"/>
      <c r="E427" s="544"/>
      <c r="F427" s="323">
        <f>SUM(F425:F426)</f>
        <v>0</v>
      </c>
      <c r="G427" s="323">
        <f>G1*SUM(G425:G426)</f>
        <v>0</v>
      </c>
      <c r="H427" s="323">
        <f>SUM(H425:H426)</f>
        <v>0</v>
      </c>
      <c r="I427" s="323">
        <f t="shared" ref="I427:P427" si="87">SUM(I425:I426)</f>
        <v>0</v>
      </c>
      <c r="J427" s="476">
        <f>J1*SUM(J425:J426)</f>
        <v>0</v>
      </c>
      <c r="K427" s="476">
        <f>K1*SUM(K425:K426)</f>
        <v>0</v>
      </c>
      <c r="L427" s="323">
        <f t="shared" si="87"/>
        <v>0</v>
      </c>
      <c r="M427" s="323">
        <f t="shared" si="87"/>
        <v>0</v>
      </c>
      <c r="N427" s="323">
        <f t="shared" si="87"/>
        <v>0</v>
      </c>
      <c r="O427" s="323">
        <f t="shared" si="87"/>
        <v>0</v>
      </c>
      <c r="P427" s="323">
        <f t="shared" si="87"/>
        <v>0</v>
      </c>
      <c r="Q427" s="476">
        <f>SUM(Q425:Q426)</f>
        <v>0</v>
      </c>
      <c r="R427" s="476">
        <f>R1*SUM(R425:R426)</f>
        <v>0</v>
      </c>
      <c r="S427" s="476">
        <f>S1*SUM(S425:S426)</f>
        <v>0</v>
      </c>
      <c r="T427" s="536">
        <f>SUM(T425:T426)</f>
        <v>0</v>
      </c>
      <c r="U427" s="323"/>
      <c r="V427" s="536">
        <f>SUM(V425:V426)</f>
        <v>0</v>
      </c>
      <c r="W427" s="536">
        <f>+V427-'ROR-Model'!G427</f>
        <v>0</v>
      </c>
    </row>
    <row r="428" spans="1:23">
      <c r="A428" s="543"/>
      <c r="B428" s="534"/>
      <c r="C428" s="534"/>
      <c r="D428" s="534"/>
      <c r="E428" s="544"/>
      <c r="F428" s="301"/>
      <c r="G428" s="301"/>
      <c r="H428" s="301"/>
      <c r="I428" s="301"/>
      <c r="J428" s="325"/>
      <c r="K428" s="325"/>
      <c r="L428" s="301"/>
      <c r="M428" s="301"/>
      <c r="N428" s="301"/>
      <c r="O428" s="301"/>
      <c r="P428" s="301"/>
      <c r="Q428" s="325"/>
      <c r="R428" s="325"/>
      <c r="S428" s="325"/>
      <c r="T428" s="532"/>
      <c r="U428" s="301"/>
      <c r="V428" s="532"/>
      <c r="W428" s="532">
        <f>+V428-'ROR-Model'!G428</f>
        <v>0</v>
      </c>
    </row>
    <row r="429" spans="1:23">
      <c r="A429" s="545" t="s">
        <v>375</v>
      </c>
      <c r="B429" s="534" t="s">
        <v>286</v>
      </c>
      <c r="C429" s="534"/>
      <c r="D429" s="534"/>
      <c r="E429" s="544"/>
      <c r="F429" s="301"/>
      <c r="G429" s="301"/>
      <c r="H429" s="301"/>
      <c r="I429" s="301"/>
      <c r="J429" s="325"/>
      <c r="K429" s="325"/>
      <c r="L429" s="301"/>
      <c r="M429" s="301"/>
      <c r="N429" s="301"/>
      <c r="O429" s="301"/>
      <c r="P429" s="301"/>
      <c r="Q429" s="325"/>
      <c r="R429" s="325"/>
      <c r="S429" s="325"/>
      <c r="T429" s="532"/>
      <c r="U429" s="301"/>
      <c r="V429" s="532"/>
      <c r="W429" s="532">
        <f>+V429-'ROR-Model'!G429</f>
        <v>0</v>
      </c>
    </row>
    <row r="430" spans="1:23">
      <c r="A430" s="543"/>
      <c r="B430" s="534"/>
      <c r="C430" s="534" t="s">
        <v>12</v>
      </c>
      <c r="D430" s="534"/>
      <c r="E430" s="544"/>
      <c r="F430" s="301"/>
      <c r="G430" s="301"/>
      <c r="H430" s="301"/>
      <c r="I430" s="301"/>
      <c r="J430" s="325"/>
      <c r="K430" s="325"/>
      <c r="L430" s="301"/>
      <c r="M430" s="301"/>
      <c r="N430" s="301"/>
      <c r="O430" s="301"/>
      <c r="P430" s="301"/>
      <c r="Q430" s="325"/>
      <c r="R430" s="325"/>
      <c r="S430" s="325"/>
      <c r="T430" s="532">
        <f>SUM(F430:S430)</f>
        <v>0</v>
      </c>
      <c r="U430" s="301"/>
      <c r="V430" s="532">
        <f>SUM(T430:T430)</f>
        <v>0</v>
      </c>
      <c r="W430" s="532">
        <f>+V430-'ROR-Model'!G430</f>
        <v>0</v>
      </c>
    </row>
    <row r="431" spans="1:23">
      <c r="A431" s="543"/>
      <c r="B431" s="534"/>
      <c r="C431" s="534" t="s">
        <v>23</v>
      </c>
      <c r="D431" s="534"/>
      <c r="E431" s="544"/>
      <c r="F431" s="301"/>
      <c r="G431" s="301"/>
      <c r="H431" s="301"/>
      <c r="I431" s="301"/>
      <c r="J431" s="325"/>
      <c r="K431" s="325"/>
      <c r="L431" s="301"/>
      <c r="M431" s="301"/>
      <c r="N431" s="301"/>
      <c r="O431" s="301"/>
      <c r="P431" s="301"/>
      <c r="Q431" s="325"/>
      <c r="R431" s="325"/>
      <c r="S431" s="325"/>
      <c r="T431" s="532">
        <f>SUM(F431:S431)</f>
        <v>0</v>
      </c>
      <c r="U431" s="301"/>
      <c r="V431" s="532">
        <f>SUM(T431:T431)</f>
        <v>0</v>
      </c>
      <c r="W431" s="532">
        <f>+V431-'ROR-Model'!G431</f>
        <v>0</v>
      </c>
    </row>
    <row r="432" spans="1:23">
      <c r="A432" s="543"/>
      <c r="B432" s="534"/>
      <c r="C432" s="534" t="s">
        <v>145</v>
      </c>
      <c r="D432" s="534"/>
      <c r="E432" s="544"/>
      <c r="F432" s="323">
        <f>SUM(F430:F431)</f>
        <v>0</v>
      </c>
      <c r="G432" s="323">
        <f>G1*SUM(G430:G431)</f>
        <v>0</v>
      </c>
      <c r="H432" s="323">
        <f>SUM(H430:H431)</f>
        <v>0</v>
      </c>
      <c r="I432" s="323">
        <f t="shared" ref="I432:P432" si="88">SUM(I430:I431)</f>
        <v>0</v>
      </c>
      <c r="J432" s="476">
        <f>J1*SUM(J430:J431)</f>
        <v>0</v>
      </c>
      <c r="K432" s="476">
        <f>K1*SUM(K430:K431)</f>
        <v>0</v>
      </c>
      <c r="L432" s="323">
        <f t="shared" si="88"/>
        <v>0</v>
      </c>
      <c r="M432" s="323">
        <f t="shared" si="88"/>
        <v>0</v>
      </c>
      <c r="N432" s="323">
        <f t="shared" si="88"/>
        <v>0</v>
      </c>
      <c r="O432" s="323">
        <f t="shared" si="88"/>
        <v>0</v>
      </c>
      <c r="P432" s="323">
        <f t="shared" si="88"/>
        <v>0</v>
      </c>
      <c r="Q432" s="476">
        <f>SUM(Q430:Q431)</f>
        <v>0</v>
      </c>
      <c r="R432" s="476">
        <f>R1*SUM(R430:R431)</f>
        <v>0</v>
      </c>
      <c r="S432" s="476">
        <f>S1*SUM(S430:S431)</f>
        <v>0</v>
      </c>
      <c r="T432" s="536">
        <f>SUM(T430:T431)</f>
        <v>0</v>
      </c>
      <c r="U432" s="323"/>
      <c r="V432" s="536">
        <f>SUM(V430:V431)</f>
        <v>0</v>
      </c>
      <c r="W432" s="536">
        <f>+V432-'ROR-Model'!G432</f>
        <v>0</v>
      </c>
    </row>
    <row r="433" spans="1:23">
      <c r="A433" s="543"/>
      <c r="B433" s="534"/>
      <c r="C433" s="534"/>
      <c r="D433" s="534"/>
      <c r="E433" s="544"/>
      <c r="F433" s="301"/>
      <c r="G433" s="301"/>
      <c r="H433" s="301"/>
      <c r="I433" s="301"/>
      <c r="J433" s="325"/>
      <c r="K433" s="325"/>
      <c r="L433" s="301"/>
      <c r="M433" s="301"/>
      <c r="N433" s="301"/>
      <c r="O433" s="301"/>
      <c r="P433" s="301"/>
      <c r="Q433" s="325"/>
      <c r="R433" s="325"/>
      <c r="S433" s="325"/>
      <c r="T433" s="532"/>
      <c r="U433" s="301"/>
      <c r="V433" s="532"/>
      <c r="W433" s="532">
        <f>+V433-'ROR-Model'!G433</f>
        <v>0</v>
      </c>
    </row>
    <row r="434" spans="1:23">
      <c r="A434" s="543" t="s">
        <v>376</v>
      </c>
      <c r="B434" s="534" t="s">
        <v>288</v>
      </c>
      <c r="C434" s="534"/>
      <c r="D434" s="534"/>
      <c r="E434" s="544"/>
      <c r="F434" s="301"/>
      <c r="G434" s="301"/>
      <c r="H434" s="301"/>
      <c r="I434" s="301"/>
      <c r="J434" s="325"/>
      <c r="K434" s="325"/>
      <c r="L434" s="301"/>
      <c r="M434" s="301"/>
      <c r="N434" s="301"/>
      <c r="O434" s="301"/>
      <c r="P434" s="301"/>
      <c r="Q434" s="325"/>
      <c r="R434" s="325"/>
      <c r="S434" s="325"/>
      <c r="T434" s="532"/>
      <c r="U434" s="301"/>
      <c r="V434" s="532"/>
      <c r="W434" s="532">
        <f>+V434-'ROR-Model'!G434</f>
        <v>0</v>
      </c>
    </row>
    <row r="435" spans="1:23">
      <c r="A435" s="543"/>
      <c r="B435" s="534"/>
      <c r="C435" s="534" t="s">
        <v>12</v>
      </c>
      <c r="D435" s="534"/>
      <c r="E435" s="544"/>
      <c r="F435" s="301"/>
      <c r="G435" s="301"/>
      <c r="H435" s="301"/>
      <c r="I435" s="301"/>
      <c r="J435" s="325"/>
      <c r="K435" s="325"/>
      <c r="L435" s="301"/>
      <c r="M435" s="301"/>
      <c r="N435" s="301"/>
      <c r="O435" s="301"/>
      <c r="P435" s="301"/>
      <c r="Q435" s="325"/>
      <c r="R435" s="325"/>
      <c r="S435" s="325"/>
      <c r="T435" s="532">
        <f>SUM(F435:S435)</f>
        <v>0</v>
      </c>
      <c r="U435" s="301"/>
      <c r="V435" s="532">
        <f>SUM(T435:T435)</f>
        <v>0</v>
      </c>
      <c r="W435" s="532">
        <f>+V435-'ROR-Model'!G435</f>
        <v>0</v>
      </c>
    </row>
    <row r="436" spans="1:23">
      <c r="A436" s="543"/>
      <c r="B436" s="534"/>
      <c r="C436" s="534" t="s">
        <v>23</v>
      </c>
      <c r="D436" s="534"/>
      <c r="E436" s="544"/>
      <c r="F436" s="301"/>
      <c r="G436" s="301"/>
      <c r="H436" s="301"/>
      <c r="I436" s="301"/>
      <c r="J436" s="325"/>
      <c r="K436" s="325"/>
      <c r="L436" s="301"/>
      <c r="M436" s="301"/>
      <c r="N436" s="301"/>
      <c r="O436" s="301"/>
      <c r="P436" s="301"/>
      <c r="Q436" s="325"/>
      <c r="R436" s="325"/>
      <c r="S436" s="325"/>
      <c r="T436" s="532">
        <f>SUM(F436:S436)</f>
        <v>0</v>
      </c>
      <c r="U436" s="301"/>
      <c r="V436" s="532">
        <f>SUM(T436:T436)</f>
        <v>0</v>
      </c>
      <c r="W436" s="532">
        <f>+V436-'ROR-Model'!G436</f>
        <v>0</v>
      </c>
    </row>
    <row r="437" spans="1:23">
      <c r="A437" s="543"/>
      <c r="B437" s="534"/>
      <c r="C437" s="534" t="s">
        <v>145</v>
      </c>
      <c r="D437" s="534"/>
      <c r="E437" s="544"/>
      <c r="F437" s="323">
        <f>SUM(F435:F436)</f>
        <v>0</v>
      </c>
      <c r="G437" s="323">
        <f>G1*SUM(G435:G436)</f>
        <v>0</v>
      </c>
      <c r="H437" s="323">
        <f>SUM(H435:H436)</f>
        <v>0</v>
      </c>
      <c r="I437" s="323">
        <f t="shared" ref="I437:P437" si="89">SUM(I435:I436)</f>
        <v>0</v>
      </c>
      <c r="J437" s="476">
        <f>J1*SUM(J435:J436)</f>
        <v>0</v>
      </c>
      <c r="K437" s="476">
        <f>K1*SUM(K435:K436)</f>
        <v>0</v>
      </c>
      <c r="L437" s="323">
        <f t="shared" si="89"/>
        <v>0</v>
      </c>
      <c r="M437" s="323">
        <f t="shared" si="89"/>
        <v>0</v>
      </c>
      <c r="N437" s="323">
        <f t="shared" si="89"/>
        <v>0</v>
      </c>
      <c r="O437" s="323">
        <f t="shared" si="89"/>
        <v>0</v>
      </c>
      <c r="P437" s="323">
        <f t="shared" si="89"/>
        <v>0</v>
      </c>
      <c r="Q437" s="476">
        <f>SUM(Q435:Q436)</f>
        <v>0</v>
      </c>
      <c r="R437" s="476">
        <f>R1*SUM(R435:R436)</f>
        <v>0</v>
      </c>
      <c r="S437" s="476">
        <f>S1*SUM(S435:S436)</f>
        <v>0</v>
      </c>
      <c r="T437" s="536">
        <f>SUM(T435:T436)</f>
        <v>0</v>
      </c>
      <c r="U437" s="323"/>
      <c r="V437" s="536">
        <f>SUM(V435:V436)</f>
        <v>0</v>
      </c>
      <c r="W437" s="536">
        <f>+V437-'ROR-Model'!G437</f>
        <v>0</v>
      </c>
    </row>
    <row r="438" spans="1:23">
      <c r="A438" s="543"/>
      <c r="B438" s="534"/>
      <c r="C438" s="534"/>
      <c r="D438" s="534"/>
      <c r="E438" s="544"/>
      <c r="F438" s="301"/>
      <c r="G438" s="301"/>
      <c r="H438" s="301"/>
      <c r="I438" s="301"/>
      <c r="J438" s="325"/>
      <c r="K438" s="325"/>
      <c r="L438" s="301"/>
      <c r="M438" s="301"/>
      <c r="N438" s="301"/>
      <c r="O438" s="301"/>
      <c r="P438" s="301"/>
      <c r="Q438" s="325"/>
      <c r="R438" s="325"/>
      <c r="S438" s="325"/>
      <c r="T438" s="532"/>
      <c r="U438" s="301"/>
      <c r="V438" s="532"/>
      <c r="W438" s="532">
        <f>+V438-'ROR-Model'!G438</f>
        <v>0</v>
      </c>
    </row>
    <row r="439" spans="1:23">
      <c r="A439" s="543" t="s">
        <v>377</v>
      </c>
      <c r="B439" s="534" t="s">
        <v>289</v>
      </c>
      <c r="C439" s="534"/>
      <c r="D439" s="534"/>
      <c r="E439" s="544"/>
      <c r="F439" s="301"/>
      <c r="G439" s="301"/>
      <c r="H439" s="301"/>
      <c r="I439" s="301"/>
      <c r="J439" s="325"/>
      <c r="K439" s="325"/>
      <c r="L439" s="301"/>
      <c r="M439" s="301"/>
      <c r="N439" s="301"/>
      <c r="O439" s="301"/>
      <c r="P439" s="301"/>
      <c r="Q439" s="325"/>
      <c r="R439" s="325"/>
      <c r="S439" s="325"/>
      <c r="T439" s="532"/>
      <c r="U439" s="301"/>
      <c r="V439" s="532"/>
      <c r="W439" s="532">
        <f>+V439-'ROR-Model'!G439</f>
        <v>0</v>
      </c>
    </row>
    <row r="440" spans="1:23">
      <c r="A440" s="543"/>
      <c r="B440" s="534"/>
      <c r="C440" s="534" t="s">
        <v>12</v>
      </c>
      <c r="D440" s="534"/>
      <c r="E440" s="544"/>
      <c r="F440" s="301"/>
      <c r="G440" s="301"/>
      <c r="H440" s="301"/>
      <c r="I440" s="301"/>
      <c r="J440" s="325"/>
      <c r="K440" s="325"/>
      <c r="L440" s="301"/>
      <c r="M440" s="301"/>
      <c r="N440" s="301"/>
      <c r="O440" s="301"/>
      <c r="P440" s="301"/>
      <c r="Q440" s="325"/>
      <c r="R440" s="325"/>
      <c r="S440" s="325"/>
      <c r="T440" s="532">
        <f>SUM(F440:S440)</f>
        <v>0</v>
      </c>
      <c r="U440" s="301"/>
      <c r="V440" s="532">
        <f>SUM(T440:T440)</f>
        <v>0</v>
      </c>
      <c r="W440" s="532">
        <f>+V440-'ROR-Model'!G440</f>
        <v>0</v>
      </c>
    </row>
    <row r="441" spans="1:23">
      <c r="A441" s="543"/>
      <c r="B441" s="534"/>
      <c r="C441" s="534" t="s">
        <v>23</v>
      </c>
      <c r="D441" s="534"/>
      <c r="E441" s="544"/>
      <c r="F441" s="301"/>
      <c r="G441" s="301"/>
      <c r="H441" s="301"/>
      <c r="I441" s="301"/>
      <c r="J441" s="325"/>
      <c r="K441" s="325"/>
      <c r="L441" s="301"/>
      <c r="M441" s="301"/>
      <c r="N441" s="301"/>
      <c r="O441" s="301"/>
      <c r="P441" s="301"/>
      <c r="Q441" s="325"/>
      <c r="R441" s="325"/>
      <c r="S441" s="325"/>
      <c r="T441" s="532">
        <f>SUM(F441:S441)</f>
        <v>0</v>
      </c>
      <c r="U441" s="301"/>
      <c r="V441" s="532">
        <f>SUM(T441:T441)</f>
        <v>0</v>
      </c>
      <c r="W441" s="532">
        <f>+V441-'ROR-Model'!G441</f>
        <v>0</v>
      </c>
    </row>
    <row r="442" spans="1:23">
      <c r="A442" s="543"/>
      <c r="B442" s="534"/>
      <c r="C442" s="534" t="s">
        <v>145</v>
      </c>
      <c r="D442" s="534"/>
      <c r="E442" s="544"/>
      <c r="F442" s="323">
        <f>SUM(F440:F441)</f>
        <v>0</v>
      </c>
      <c r="G442" s="323">
        <f>G1*SUM(G440:G441)</f>
        <v>0</v>
      </c>
      <c r="H442" s="323">
        <f>SUM(H440:H441)</f>
        <v>0</v>
      </c>
      <c r="I442" s="323">
        <f t="shared" ref="I442:P442" si="90">SUM(I440:I441)</f>
        <v>0</v>
      </c>
      <c r="J442" s="476">
        <f>J1*SUM(J440:J441)</f>
        <v>0</v>
      </c>
      <c r="K442" s="476">
        <f>K1*SUM(K440:K441)</f>
        <v>0</v>
      </c>
      <c r="L442" s="323">
        <f t="shared" si="90"/>
        <v>0</v>
      </c>
      <c r="M442" s="323">
        <f t="shared" si="90"/>
        <v>0</v>
      </c>
      <c r="N442" s="323">
        <f t="shared" si="90"/>
        <v>0</v>
      </c>
      <c r="O442" s="323">
        <f t="shared" si="90"/>
        <v>0</v>
      </c>
      <c r="P442" s="323">
        <f t="shared" si="90"/>
        <v>0</v>
      </c>
      <c r="Q442" s="476">
        <f>SUM(Q440:Q441)</f>
        <v>0</v>
      </c>
      <c r="R442" s="476">
        <f>R1*SUM(R440:R441)</f>
        <v>0</v>
      </c>
      <c r="S442" s="476">
        <f>S1*SUM(S440:S441)</f>
        <v>0</v>
      </c>
      <c r="T442" s="536">
        <f>SUM(T440:T441)</f>
        <v>0</v>
      </c>
      <c r="U442" s="323"/>
      <c r="V442" s="536">
        <f>SUM(V440:V441)</f>
        <v>0</v>
      </c>
      <c r="W442" s="536">
        <f>+V442-'ROR-Model'!G442</f>
        <v>0</v>
      </c>
    </row>
    <row r="443" spans="1:23">
      <c r="A443" s="543"/>
      <c r="B443" s="534"/>
      <c r="C443" s="534"/>
      <c r="D443" s="534"/>
      <c r="E443" s="544"/>
      <c r="F443" s="301"/>
      <c r="G443" s="301"/>
      <c r="H443" s="301"/>
      <c r="I443" s="301"/>
      <c r="J443" s="325"/>
      <c r="K443" s="325"/>
      <c r="L443" s="301"/>
      <c r="M443" s="301"/>
      <c r="N443" s="301"/>
      <c r="O443" s="301"/>
      <c r="P443" s="301"/>
      <c r="Q443" s="325"/>
      <c r="R443" s="325"/>
      <c r="S443" s="325"/>
      <c r="T443" s="532"/>
      <c r="U443" s="301"/>
      <c r="V443" s="532"/>
      <c r="W443" s="532">
        <f>+V443-'ROR-Model'!G443</f>
        <v>0</v>
      </c>
    </row>
    <row r="444" spans="1:23">
      <c r="A444" s="543" t="s">
        <v>378</v>
      </c>
      <c r="B444" s="534" t="s">
        <v>290</v>
      </c>
      <c r="C444" s="534"/>
      <c r="D444" s="534"/>
      <c r="E444" s="544"/>
      <c r="F444" s="301"/>
      <c r="G444" s="301"/>
      <c r="H444" s="301"/>
      <c r="I444" s="301"/>
      <c r="J444" s="325"/>
      <c r="K444" s="325"/>
      <c r="L444" s="301"/>
      <c r="M444" s="301"/>
      <c r="N444" s="301"/>
      <c r="O444" s="301"/>
      <c r="P444" s="301"/>
      <c r="Q444" s="325"/>
      <c r="R444" s="325"/>
      <c r="S444" s="325"/>
      <c r="T444" s="532"/>
      <c r="U444" s="301"/>
      <c r="V444" s="532"/>
      <c r="W444" s="532">
        <f>+V444-'ROR-Model'!G444</f>
        <v>0</v>
      </c>
    </row>
    <row r="445" spans="1:23">
      <c r="A445" s="543"/>
      <c r="B445" s="534"/>
      <c r="C445" s="534" t="s">
        <v>12</v>
      </c>
      <c r="D445" s="534"/>
      <c r="E445" s="544"/>
      <c r="F445" s="301"/>
      <c r="G445" s="301"/>
      <c r="H445" s="301"/>
      <c r="I445" s="301"/>
      <c r="J445" s="325"/>
      <c r="K445" s="325"/>
      <c r="L445" s="301"/>
      <c r="M445" s="301"/>
      <c r="N445" s="301"/>
      <c r="O445" s="301"/>
      <c r="P445" s="301"/>
      <c r="Q445" s="325"/>
      <c r="R445" s="325"/>
      <c r="S445" s="325"/>
      <c r="T445" s="532">
        <f>SUM(F445:S445)</f>
        <v>0</v>
      </c>
      <c r="U445" s="301"/>
      <c r="V445" s="532">
        <f>SUM(T445:T445)</f>
        <v>0</v>
      </c>
      <c r="W445" s="532">
        <f>+V445-'ROR-Model'!G445</f>
        <v>0</v>
      </c>
    </row>
    <row r="446" spans="1:23">
      <c r="A446" s="543"/>
      <c r="B446" s="534"/>
      <c r="C446" s="534" t="s">
        <v>23</v>
      </c>
      <c r="D446" s="534"/>
      <c r="E446" s="544"/>
      <c r="F446" s="301"/>
      <c r="G446" s="301"/>
      <c r="H446" s="301"/>
      <c r="I446" s="301"/>
      <c r="J446" s="325"/>
      <c r="K446" s="325"/>
      <c r="L446" s="301"/>
      <c r="M446" s="301"/>
      <c r="N446" s="301"/>
      <c r="O446" s="301"/>
      <c r="P446" s="301"/>
      <c r="Q446" s="325"/>
      <c r="R446" s="325"/>
      <c r="S446" s="325"/>
      <c r="T446" s="532">
        <f>SUM(F446:S446)</f>
        <v>0</v>
      </c>
      <c r="U446" s="301"/>
      <c r="V446" s="532">
        <f>SUM(T446:T446)</f>
        <v>0</v>
      </c>
      <c r="W446" s="532">
        <f>+V446-'ROR-Model'!G446</f>
        <v>0</v>
      </c>
    </row>
    <row r="447" spans="1:23">
      <c r="A447" s="543"/>
      <c r="B447" s="534"/>
      <c r="C447" s="534" t="s">
        <v>145</v>
      </c>
      <c r="D447" s="534"/>
      <c r="E447" s="544"/>
      <c r="F447" s="323">
        <f>SUM(F445:F446)</f>
        <v>0</v>
      </c>
      <c r="G447" s="323">
        <f>G1*SUM(G445:G446)</f>
        <v>0</v>
      </c>
      <c r="H447" s="323">
        <f>SUM(H445:H446)</f>
        <v>0</v>
      </c>
      <c r="I447" s="323">
        <f t="shared" ref="I447:P447" si="91">SUM(I445:I446)</f>
        <v>0</v>
      </c>
      <c r="J447" s="476">
        <f>J1*SUM(J445:J446)</f>
        <v>0</v>
      </c>
      <c r="K447" s="476">
        <f>K1*SUM(K445:K446)</f>
        <v>0</v>
      </c>
      <c r="L447" s="323">
        <f t="shared" si="91"/>
        <v>0</v>
      </c>
      <c r="M447" s="323">
        <f t="shared" si="91"/>
        <v>0</v>
      </c>
      <c r="N447" s="323">
        <f t="shared" si="91"/>
        <v>0</v>
      </c>
      <c r="O447" s="323">
        <f t="shared" si="91"/>
        <v>0</v>
      </c>
      <c r="P447" s="323">
        <f t="shared" si="91"/>
        <v>0</v>
      </c>
      <c r="Q447" s="476">
        <f>SUM(Q445:Q446)</f>
        <v>0</v>
      </c>
      <c r="R447" s="476">
        <f>R1*SUM(R445:R446)</f>
        <v>0</v>
      </c>
      <c r="S447" s="476">
        <f>S1*SUM(S445:S446)</f>
        <v>0</v>
      </c>
      <c r="T447" s="536">
        <f>SUM(T445:T446)</f>
        <v>0</v>
      </c>
      <c r="U447" s="323"/>
      <c r="V447" s="536">
        <f>SUM(V445:V446)</f>
        <v>0</v>
      </c>
      <c r="W447" s="536">
        <f>+V447-'ROR-Model'!G447</f>
        <v>0</v>
      </c>
    </row>
    <row r="448" spans="1:23">
      <c r="A448" s="543"/>
      <c r="B448" s="534"/>
      <c r="C448" s="534"/>
      <c r="D448" s="534"/>
      <c r="E448" s="544"/>
      <c r="F448" s="301"/>
      <c r="G448" s="301"/>
      <c r="H448" s="301"/>
      <c r="I448" s="301"/>
      <c r="J448" s="325"/>
      <c r="K448" s="325"/>
      <c r="L448" s="301"/>
      <c r="M448" s="301"/>
      <c r="N448" s="301"/>
      <c r="O448" s="301"/>
      <c r="P448" s="301"/>
      <c r="Q448" s="325"/>
      <c r="R448" s="325"/>
      <c r="S448" s="325"/>
      <c r="T448" s="532"/>
      <c r="U448" s="301"/>
      <c r="V448" s="532"/>
      <c r="W448" s="532">
        <f>+V448-'ROR-Model'!G448</f>
        <v>0</v>
      </c>
    </row>
    <row r="449" spans="1:23">
      <c r="A449" s="543" t="s">
        <v>379</v>
      </c>
      <c r="B449" s="534" t="s">
        <v>291</v>
      </c>
      <c r="C449" s="534"/>
      <c r="D449" s="534"/>
      <c r="E449" s="544"/>
      <c r="F449" s="301"/>
      <c r="G449" s="301"/>
      <c r="H449" s="301"/>
      <c r="I449" s="301"/>
      <c r="J449" s="325"/>
      <c r="K449" s="325"/>
      <c r="L449" s="301"/>
      <c r="M449" s="301"/>
      <c r="N449" s="301"/>
      <c r="O449" s="301"/>
      <c r="P449" s="301"/>
      <c r="Q449" s="325"/>
      <c r="R449" s="325"/>
      <c r="S449" s="325"/>
      <c r="T449" s="532"/>
      <c r="U449" s="301"/>
      <c r="V449" s="532"/>
      <c r="W449" s="532">
        <f>+V449-'ROR-Model'!G449</f>
        <v>0</v>
      </c>
    </row>
    <row r="450" spans="1:23">
      <c r="A450" s="543"/>
      <c r="B450" s="534"/>
      <c r="C450" s="534" t="s">
        <v>12</v>
      </c>
      <c r="D450" s="534"/>
      <c r="E450" s="544"/>
      <c r="F450" s="301"/>
      <c r="G450" s="301"/>
      <c r="H450" s="301"/>
      <c r="I450" s="301"/>
      <c r="J450" s="325"/>
      <c r="K450" s="325"/>
      <c r="L450" s="301"/>
      <c r="M450" s="301"/>
      <c r="N450" s="301"/>
      <c r="O450" s="301"/>
      <c r="P450" s="301"/>
      <c r="Q450" s="325"/>
      <c r="R450" s="325"/>
      <c r="S450" s="325"/>
      <c r="T450" s="532">
        <f>SUM(F450:S450)</f>
        <v>0</v>
      </c>
      <c r="U450" s="301"/>
      <c r="V450" s="532">
        <f>SUM(T450:T450)</f>
        <v>0</v>
      </c>
      <c r="W450" s="532">
        <f>+V450-'ROR-Model'!G450</f>
        <v>0</v>
      </c>
    </row>
    <row r="451" spans="1:23">
      <c r="A451" s="543"/>
      <c r="B451" s="534"/>
      <c r="C451" s="534" t="s">
        <v>23</v>
      </c>
      <c r="D451" s="534"/>
      <c r="E451" s="544"/>
      <c r="F451" s="301"/>
      <c r="G451" s="301"/>
      <c r="H451" s="301"/>
      <c r="I451" s="301"/>
      <c r="J451" s="325"/>
      <c r="K451" s="325"/>
      <c r="L451" s="301"/>
      <c r="M451" s="301"/>
      <c r="N451" s="301"/>
      <c r="O451" s="301"/>
      <c r="P451" s="301"/>
      <c r="Q451" s="325"/>
      <c r="R451" s="325"/>
      <c r="S451" s="325"/>
      <c r="T451" s="532">
        <f>SUM(F451:S451)</f>
        <v>0</v>
      </c>
      <c r="U451" s="301"/>
      <c r="V451" s="532">
        <f>SUM(T451:T451)</f>
        <v>0</v>
      </c>
      <c r="W451" s="532">
        <f>+V451-'ROR-Model'!G451</f>
        <v>0</v>
      </c>
    </row>
    <row r="452" spans="1:23">
      <c r="A452" s="543"/>
      <c r="B452" s="534"/>
      <c r="C452" s="534" t="s">
        <v>145</v>
      </c>
      <c r="D452" s="534"/>
      <c r="E452" s="544"/>
      <c r="F452" s="323">
        <f>SUM(F450:F451)</f>
        <v>0</v>
      </c>
      <c r="G452" s="323">
        <f>G1*SUM(G450:G451)</f>
        <v>0</v>
      </c>
      <c r="H452" s="323">
        <f>SUM(H450:H451)</f>
        <v>0</v>
      </c>
      <c r="I452" s="323">
        <f t="shared" ref="I452:P452" si="92">SUM(I450:I451)</f>
        <v>0</v>
      </c>
      <c r="J452" s="476">
        <f>J1*SUM(J450:J451)</f>
        <v>0</v>
      </c>
      <c r="K452" s="476">
        <f>K1*SUM(K450:K451)</f>
        <v>0</v>
      </c>
      <c r="L452" s="323">
        <f t="shared" si="92"/>
        <v>0</v>
      </c>
      <c r="M452" s="323">
        <f t="shared" si="92"/>
        <v>0</v>
      </c>
      <c r="N452" s="323">
        <f t="shared" si="92"/>
        <v>0</v>
      </c>
      <c r="O452" s="323">
        <f t="shared" si="92"/>
        <v>0</v>
      </c>
      <c r="P452" s="323">
        <f t="shared" si="92"/>
        <v>0</v>
      </c>
      <c r="Q452" s="476">
        <f>SUM(Q450:Q451)</f>
        <v>0</v>
      </c>
      <c r="R452" s="476">
        <f>R1*SUM(R450:R451)</f>
        <v>0</v>
      </c>
      <c r="S452" s="476">
        <f>S1*SUM(S450:S451)</f>
        <v>0</v>
      </c>
      <c r="T452" s="536">
        <f>SUM(T450:T451)</f>
        <v>0</v>
      </c>
      <c r="U452" s="323"/>
      <c r="V452" s="536">
        <f>SUM(V450:V451)</f>
        <v>0</v>
      </c>
      <c r="W452" s="536">
        <f>+V452-'ROR-Model'!G452</f>
        <v>0</v>
      </c>
    </row>
    <row r="453" spans="1:23">
      <c r="A453" s="543"/>
      <c r="B453" s="534"/>
      <c r="C453" s="534"/>
      <c r="D453" s="534"/>
      <c r="E453" s="544"/>
      <c r="F453" s="301"/>
      <c r="G453" s="301"/>
      <c r="H453" s="301"/>
      <c r="I453" s="301"/>
      <c r="J453" s="325"/>
      <c r="K453" s="325"/>
      <c r="L453" s="301"/>
      <c r="M453" s="301"/>
      <c r="N453" s="301"/>
      <c r="O453" s="301"/>
      <c r="P453" s="301"/>
      <c r="Q453" s="325"/>
      <c r="R453" s="325"/>
      <c r="S453" s="325"/>
      <c r="T453" s="532"/>
      <c r="U453" s="301"/>
      <c r="V453" s="532"/>
      <c r="W453" s="532">
        <f>+V453-'ROR-Model'!G453</f>
        <v>0</v>
      </c>
    </row>
    <row r="454" spans="1:23">
      <c r="A454" s="543">
        <v>4891</v>
      </c>
      <c r="B454" s="534" t="s">
        <v>292</v>
      </c>
      <c r="C454" s="534"/>
      <c r="D454" s="534"/>
      <c r="E454" s="544"/>
      <c r="F454" s="301"/>
      <c r="G454" s="301"/>
      <c r="H454" s="301"/>
      <c r="I454" s="301"/>
      <c r="J454" s="325"/>
      <c r="K454" s="325"/>
      <c r="L454" s="301"/>
      <c r="M454" s="301"/>
      <c r="N454" s="301"/>
      <c r="O454" s="301"/>
      <c r="P454" s="301"/>
      <c r="Q454" s="325"/>
      <c r="R454" s="325"/>
      <c r="S454" s="325"/>
      <c r="T454" s="532"/>
      <c r="U454" s="301"/>
      <c r="V454" s="532"/>
      <c r="W454" s="532">
        <f>+V454-'ROR-Model'!G454</f>
        <v>0</v>
      </c>
    </row>
    <row r="455" spans="1:23">
      <c r="A455" s="543"/>
      <c r="B455" s="534"/>
      <c r="C455" s="534" t="s">
        <v>12</v>
      </c>
      <c r="D455" s="534"/>
      <c r="E455" s="544"/>
      <c r="F455" s="301"/>
      <c r="G455" s="301"/>
      <c r="H455" s="301"/>
      <c r="I455" s="301"/>
      <c r="J455" s="325"/>
      <c r="K455" s="325"/>
      <c r="L455" s="301"/>
      <c r="M455" s="301"/>
      <c r="N455" s="301"/>
      <c r="O455" s="301"/>
      <c r="P455" s="301"/>
      <c r="Q455" s="325"/>
      <c r="R455" s="325"/>
      <c r="S455" s="325"/>
      <c r="T455" s="532">
        <f>SUM(F455:S455)</f>
        <v>0</v>
      </c>
      <c r="U455" s="301"/>
      <c r="V455" s="532">
        <f>SUM(T455:T455)</f>
        <v>0</v>
      </c>
      <c r="W455" s="532">
        <f>+V455-'ROR-Model'!G455</f>
        <v>0</v>
      </c>
    </row>
    <row r="456" spans="1:23">
      <c r="A456" s="543"/>
      <c r="B456" s="534"/>
      <c r="C456" s="534" t="s">
        <v>23</v>
      </c>
      <c r="D456" s="534"/>
      <c r="E456" s="544"/>
      <c r="F456" s="301"/>
      <c r="G456" s="301"/>
      <c r="H456" s="301"/>
      <c r="I456" s="301"/>
      <c r="J456" s="325"/>
      <c r="K456" s="325"/>
      <c r="L456" s="301"/>
      <c r="M456" s="301"/>
      <c r="N456" s="301"/>
      <c r="O456" s="301"/>
      <c r="P456" s="301"/>
      <c r="Q456" s="325"/>
      <c r="R456" s="325"/>
      <c r="S456" s="325"/>
      <c r="T456" s="532">
        <f>SUM(F456:S456)</f>
        <v>0</v>
      </c>
      <c r="U456" s="301"/>
      <c r="V456" s="532">
        <f>SUM(T456:T456)</f>
        <v>0</v>
      </c>
      <c r="W456" s="532">
        <f>+V456-'ROR-Model'!G456</f>
        <v>0</v>
      </c>
    </row>
    <row r="457" spans="1:23">
      <c r="A457" s="543"/>
      <c r="B457" s="534"/>
      <c r="C457" s="534" t="s">
        <v>145</v>
      </c>
      <c r="D457" s="534"/>
      <c r="E457" s="544"/>
      <c r="F457" s="323">
        <f>SUM(F455:F456)</f>
        <v>0</v>
      </c>
      <c r="G457" s="323">
        <f>G1*SUM(G455:G456)</f>
        <v>0</v>
      </c>
      <c r="H457" s="323">
        <f>SUM(H455:H456)</f>
        <v>0</v>
      </c>
      <c r="I457" s="323">
        <f t="shared" ref="I457:P457" si="93">SUM(I455:I456)</f>
        <v>0</v>
      </c>
      <c r="J457" s="476">
        <f>J1*SUM(J455:J456)</f>
        <v>0</v>
      </c>
      <c r="K457" s="476">
        <f>K1*SUM(K455:K456)</f>
        <v>0</v>
      </c>
      <c r="L457" s="323">
        <f t="shared" si="93"/>
        <v>0</v>
      </c>
      <c r="M457" s="323">
        <f t="shared" si="93"/>
        <v>0</v>
      </c>
      <c r="N457" s="323">
        <f t="shared" si="93"/>
        <v>0</v>
      </c>
      <c r="O457" s="323">
        <f t="shared" si="93"/>
        <v>0</v>
      </c>
      <c r="P457" s="323">
        <f t="shared" si="93"/>
        <v>0</v>
      </c>
      <c r="Q457" s="476">
        <f>SUM(Q455:Q456)</f>
        <v>0</v>
      </c>
      <c r="R457" s="476">
        <f>R1*SUM(R455:R456)</f>
        <v>0</v>
      </c>
      <c r="S457" s="476">
        <f>S1*SUM(S455:S456)</f>
        <v>0</v>
      </c>
      <c r="T457" s="536">
        <f>SUM(T455:T456)</f>
        <v>0</v>
      </c>
      <c r="U457" s="323"/>
      <c r="V457" s="536">
        <f>SUM(V455:V456)</f>
        <v>0</v>
      </c>
      <c r="W457" s="536">
        <f>+V457-'ROR-Model'!G457</f>
        <v>0</v>
      </c>
    </row>
    <row r="458" spans="1:23">
      <c r="A458" s="543"/>
      <c r="B458" s="534"/>
      <c r="C458" s="534"/>
      <c r="D458" s="534"/>
      <c r="E458" s="544"/>
      <c r="F458" s="301"/>
      <c r="G458" s="301"/>
      <c r="H458" s="301"/>
      <c r="I458" s="301"/>
      <c r="J458" s="325"/>
      <c r="K458" s="325"/>
      <c r="L458" s="301"/>
      <c r="M458" s="301"/>
      <c r="N458" s="301"/>
      <c r="O458" s="301"/>
      <c r="P458" s="301"/>
      <c r="Q458" s="325"/>
      <c r="R458" s="325"/>
      <c r="S458" s="325"/>
      <c r="T458" s="532"/>
      <c r="U458" s="301"/>
      <c r="V458" s="532"/>
      <c r="W458" s="532">
        <f>+V458-'ROR-Model'!G458</f>
        <v>0</v>
      </c>
    </row>
    <row r="459" spans="1:23">
      <c r="A459" s="543">
        <v>490</v>
      </c>
      <c r="B459" s="534" t="s">
        <v>293</v>
      </c>
      <c r="C459" s="534"/>
      <c r="D459" s="534"/>
      <c r="E459" s="544"/>
      <c r="F459" s="301"/>
      <c r="G459" s="301"/>
      <c r="H459" s="301"/>
      <c r="I459" s="301"/>
      <c r="J459" s="325"/>
      <c r="K459" s="325"/>
      <c r="L459" s="301"/>
      <c r="M459" s="301"/>
      <c r="N459" s="301"/>
      <c r="O459" s="301"/>
      <c r="P459" s="301"/>
      <c r="Q459" s="325"/>
      <c r="R459" s="325"/>
      <c r="S459" s="325"/>
      <c r="T459" s="532"/>
      <c r="U459" s="301"/>
      <c r="V459" s="532"/>
      <c r="W459" s="532">
        <f>+V459-'ROR-Model'!G459</f>
        <v>0</v>
      </c>
    </row>
    <row r="460" spans="1:23">
      <c r="A460" s="543"/>
      <c r="B460" s="534"/>
      <c r="C460" s="534" t="s">
        <v>12</v>
      </c>
      <c r="D460" s="534"/>
      <c r="E460" s="544"/>
      <c r="F460" s="301"/>
      <c r="G460" s="301"/>
      <c r="H460" s="301"/>
      <c r="I460" s="301"/>
      <c r="J460" s="325"/>
      <c r="K460" s="325"/>
      <c r="L460" s="301"/>
      <c r="M460" s="301"/>
      <c r="N460" s="301"/>
      <c r="O460" s="301"/>
      <c r="P460" s="301"/>
      <c r="Q460" s="325"/>
      <c r="R460" s="325"/>
      <c r="S460" s="325"/>
      <c r="T460" s="532">
        <f>SUM(F460:S460)</f>
        <v>0</v>
      </c>
      <c r="U460" s="301"/>
      <c r="V460" s="532">
        <f>SUM(T460:T460)</f>
        <v>0</v>
      </c>
      <c r="W460" s="532">
        <f>+V460-'ROR-Model'!G460</f>
        <v>0</v>
      </c>
    </row>
    <row r="461" spans="1:23">
      <c r="A461" s="543"/>
      <c r="B461" s="534"/>
      <c r="C461" s="534" t="s">
        <v>23</v>
      </c>
      <c r="D461" s="534"/>
      <c r="E461" s="544"/>
      <c r="F461" s="301"/>
      <c r="G461" s="301"/>
      <c r="H461" s="301"/>
      <c r="I461" s="301"/>
      <c r="J461" s="325"/>
      <c r="K461" s="325"/>
      <c r="L461" s="301"/>
      <c r="M461" s="301"/>
      <c r="N461" s="301"/>
      <c r="O461" s="301"/>
      <c r="P461" s="301"/>
      <c r="Q461" s="325"/>
      <c r="R461" s="325"/>
      <c r="S461" s="325"/>
      <c r="T461" s="532">
        <f>SUM(F461:S461)</f>
        <v>0</v>
      </c>
      <c r="U461" s="301"/>
      <c r="V461" s="532">
        <f>SUM(T461:T461)</f>
        <v>0</v>
      </c>
      <c r="W461" s="532">
        <f>+V461-'ROR-Model'!G461</f>
        <v>0</v>
      </c>
    </row>
    <row r="462" spans="1:23">
      <c r="A462" s="543"/>
      <c r="B462" s="534"/>
      <c r="C462" s="534" t="s">
        <v>145</v>
      </c>
      <c r="D462" s="534"/>
      <c r="E462" s="544"/>
      <c r="F462" s="323">
        <f>SUM(F460:F461)</f>
        <v>0</v>
      </c>
      <c r="G462" s="323">
        <f>G1*SUM(G460:G461)</f>
        <v>0</v>
      </c>
      <c r="H462" s="323">
        <f>SUM(H460:H461)</f>
        <v>0</v>
      </c>
      <c r="I462" s="323">
        <f t="shared" ref="I462:P462" si="94">SUM(I460:I461)</f>
        <v>0</v>
      </c>
      <c r="J462" s="476">
        <f>J1*SUM(J460:J461)</f>
        <v>0</v>
      </c>
      <c r="K462" s="476">
        <f>K1*SUM(K460:K461)</f>
        <v>0</v>
      </c>
      <c r="L462" s="323">
        <f t="shared" si="94"/>
        <v>0</v>
      </c>
      <c r="M462" s="323">
        <f t="shared" si="94"/>
        <v>0</v>
      </c>
      <c r="N462" s="323">
        <f t="shared" si="94"/>
        <v>0</v>
      </c>
      <c r="O462" s="323">
        <f t="shared" si="94"/>
        <v>0</v>
      </c>
      <c r="P462" s="323">
        <f t="shared" si="94"/>
        <v>0</v>
      </c>
      <c r="Q462" s="476">
        <f>SUM(Q460:Q461)</f>
        <v>0</v>
      </c>
      <c r="R462" s="476">
        <f>R1*SUM(R460:R461)</f>
        <v>0</v>
      </c>
      <c r="S462" s="476">
        <f>S1*SUM(S460:S461)</f>
        <v>0</v>
      </c>
      <c r="T462" s="536">
        <f>SUM(T460:T461)</f>
        <v>0</v>
      </c>
      <c r="U462" s="323"/>
      <c r="V462" s="536">
        <f>SUM(V460:V461)</f>
        <v>0</v>
      </c>
      <c r="W462" s="536">
        <f>+V462-'ROR-Model'!G462</f>
        <v>0</v>
      </c>
    </row>
    <row r="463" spans="1:23">
      <c r="A463" s="543"/>
      <c r="B463" s="534"/>
      <c r="C463" s="534"/>
      <c r="D463" s="534"/>
      <c r="E463" s="544"/>
      <c r="F463" s="301"/>
      <c r="G463" s="301"/>
      <c r="H463" s="301"/>
      <c r="I463" s="301"/>
      <c r="J463" s="325"/>
      <c r="K463" s="325"/>
      <c r="L463" s="301"/>
      <c r="M463" s="301"/>
      <c r="N463" s="301"/>
      <c r="O463" s="301"/>
      <c r="P463" s="301"/>
      <c r="Q463" s="325"/>
      <c r="R463" s="325"/>
      <c r="S463" s="325"/>
      <c r="T463" s="532"/>
      <c r="U463" s="301"/>
      <c r="V463" s="532"/>
      <c r="W463" s="532">
        <f>+V463-'ROR-Model'!G463</f>
        <v>0</v>
      </c>
    </row>
    <row r="464" spans="1:23">
      <c r="A464" s="543">
        <v>491</v>
      </c>
      <c r="B464" s="534" t="s">
        <v>294</v>
      </c>
      <c r="C464" s="534"/>
      <c r="D464" s="534"/>
      <c r="E464" s="544"/>
      <c r="F464" s="301"/>
      <c r="G464" s="301"/>
      <c r="H464" s="301"/>
      <c r="I464" s="301"/>
      <c r="J464" s="325"/>
      <c r="K464" s="325"/>
      <c r="L464" s="301"/>
      <c r="M464" s="301"/>
      <c r="N464" s="301"/>
      <c r="O464" s="301"/>
      <c r="P464" s="301"/>
      <c r="Q464" s="325"/>
      <c r="R464" s="325"/>
      <c r="S464" s="325"/>
      <c r="T464" s="532"/>
      <c r="U464" s="301"/>
      <c r="V464" s="532"/>
      <c r="W464" s="532">
        <f>+V464-'ROR-Model'!G464</f>
        <v>0</v>
      </c>
    </row>
    <row r="465" spans="1:23">
      <c r="A465" s="543"/>
      <c r="B465" s="534"/>
      <c r="C465" s="534" t="s">
        <v>12</v>
      </c>
      <c r="D465" s="534"/>
      <c r="E465" s="544"/>
      <c r="F465" s="301"/>
      <c r="G465" s="301"/>
      <c r="H465" s="301"/>
      <c r="I465" s="301"/>
      <c r="J465" s="325"/>
      <c r="K465" s="325"/>
      <c r="L465" s="301"/>
      <c r="M465" s="301"/>
      <c r="N465" s="301"/>
      <c r="O465" s="301"/>
      <c r="P465" s="301"/>
      <c r="Q465" s="325"/>
      <c r="R465" s="325"/>
      <c r="S465" s="325"/>
      <c r="T465" s="532">
        <f>SUM(F465:S465)</f>
        <v>0</v>
      </c>
      <c r="U465" s="301"/>
      <c r="V465" s="532">
        <f>SUM(T465:T465)</f>
        <v>0</v>
      </c>
      <c r="W465" s="532">
        <f>+V465-'ROR-Model'!G465</f>
        <v>0</v>
      </c>
    </row>
    <row r="466" spans="1:23">
      <c r="A466" s="543"/>
      <c r="B466" s="534"/>
      <c r="C466" s="534" t="s">
        <v>23</v>
      </c>
      <c r="D466" s="534"/>
      <c r="E466" s="544"/>
      <c r="F466" s="301"/>
      <c r="G466" s="301"/>
      <c r="H466" s="301"/>
      <c r="I466" s="301"/>
      <c r="J466" s="325"/>
      <c r="K466" s="325"/>
      <c r="L466" s="301"/>
      <c r="M466" s="301"/>
      <c r="N466" s="301"/>
      <c r="O466" s="301"/>
      <c r="P466" s="301"/>
      <c r="Q466" s="325"/>
      <c r="R466" s="325"/>
      <c r="S466" s="325"/>
      <c r="T466" s="532">
        <f>SUM(F466:S466)</f>
        <v>0</v>
      </c>
      <c r="U466" s="301"/>
      <c r="V466" s="532">
        <f>SUM(T466:T466)</f>
        <v>0</v>
      </c>
      <c r="W466" s="532">
        <f>+V466-'ROR-Model'!G466</f>
        <v>0</v>
      </c>
    </row>
    <row r="467" spans="1:23">
      <c r="A467" s="543"/>
      <c r="B467" s="534"/>
      <c r="C467" s="534" t="s">
        <v>145</v>
      </c>
      <c r="D467" s="534"/>
      <c r="E467" s="544"/>
      <c r="F467" s="323">
        <f>SUM(F465:F466)</f>
        <v>0</v>
      </c>
      <c r="G467" s="323">
        <f>G1*SUM(G465:G466)</f>
        <v>0</v>
      </c>
      <c r="H467" s="323">
        <f>SUM(H465:H466)</f>
        <v>0</v>
      </c>
      <c r="I467" s="323">
        <f t="shared" ref="I467:P467" si="95">SUM(I465:I466)</f>
        <v>0</v>
      </c>
      <c r="J467" s="476">
        <f>J1*SUM(J465:J466)</f>
        <v>0</v>
      </c>
      <c r="K467" s="476">
        <f>K1*SUM(K465:K466)</f>
        <v>0</v>
      </c>
      <c r="L467" s="323">
        <f t="shared" si="95"/>
        <v>0</v>
      </c>
      <c r="M467" s="323">
        <f t="shared" si="95"/>
        <v>0</v>
      </c>
      <c r="N467" s="323">
        <f t="shared" si="95"/>
        <v>0</v>
      </c>
      <c r="O467" s="323">
        <f t="shared" si="95"/>
        <v>0</v>
      </c>
      <c r="P467" s="323">
        <f t="shared" si="95"/>
        <v>0</v>
      </c>
      <c r="Q467" s="476">
        <f>SUM(Q465:Q466)</f>
        <v>0</v>
      </c>
      <c r="R467" s="476">
        <f>R1*SUM(R465:R466)</f>
        <v>0</v>
      </c>
      <c r="S467" s="476">
        <f>S1*SUM(S465:S466)</f>
        <v>0</v>
      </c>
      <c r="T467" s="536">
        <f>SUM(T465:T466)</f>
        <v>0</v>
      </c>
      <c r="U467" s="323"/>
      <c r="V467" s="536">
        <f>SUM(V465:V466)</f>
        <v>0</v>
      </c>
      <c r="W467" s="536">
        <f>+V467-'ROR-Model'!G467</f>
        <v>0</v>
      </c>
    </row>
    <row r="468" spans="1:23">
      <c r="A468" s="543"/>
      <c r="B468" s="534"/>
      <c r="C468" s="534"/>
      <c r="D468" s="534"/>
      <c r="E468" s="544"/>
      <c r="F468" s="301"/>
      <c r="G468" s="301"/>
      <c r="H468" s="301"/>
      <c r="I468" s="301"/>
      <c r="J468" s="325"/>
      <c r="K468" s="325"/>
      <c r="L468" s="301"/>
      <c r="M468" s="301"/>
      <c r="N468" s="301"/>
      <c r="O468" s="301"/>
      <c r="P468" s="301"/>
      <c r="Q468" s="325"/>
      <c r="R468" s="325"/>
      <c r="S468" s="325"/>
      <c r="T468" s="532"/>
      <c r="U468" s="301"/>
      <c r="V468" s="532"/>
      <c r="W468" s="532">
        <f>+V468-'ROR-Model'!G468</f>
        <v>0</v>
      </c>
    </row>
    <row r="469" spans="1:23">
      <c r="A469" s="543">
        <v>492</v>
      </c>
      <c r="B469" s="534" t="s">
        <v>295</v>
      </c>
      <c r="C469" s="534"/>
      <c r="D469" s="534"/>
      <c r="E469" s="544"/>
      <c r="F469" s="301"/>
      <c r="G469" s="301"/>
      <c r="H469" s="301"/>
      <c r="I469" s="301"/>
      <c r="J469" s="325"/>
      <c r="K469" s="325"/>
      <c r="L469" s="301"/>
      <c r="M469" s="301"/>
      <c r="N469" s="301"/>
      <c r="O469" s="301"/>
      <c r="P469" s="301"/>
      <c r="Q469" s="325"/>
      <c r="R469" s="325"/>
      <c r="S469" s="325"/>
      <c r="T469" s="532"/>
      <c r="U469" s="301"/>
      <c r="V469" s="532"/>
      <c r="W469" s="532">
        <f>+V469-'ROR-Model'!G469</f>
        <v>0</v>
      </c>
    </row>
    <row r="470" spans="1:23">
      <c r="A470" s="543"/>
      <c r="B470" s="534"/>
      <c r="C470" s="534" t="s">
        <v>12</v>
      </c>
      <c r="D470" s="534"/>
      <c r="E470" s="544"/>
      <c r="F470" s="301"/>
      <c r="G470" s="301"/>
      <c r="H470" s="301"/>
      <c r="I470" s="301"/>
      <c r="J470" s="325"/>
      <c r="K470" s="325"/>
      <c r="L470" s="301"/>
      <c r="M470" s="301"/>
      <c r="N470" s="301"/>
      <c r="O470" s="301"/>
      <c r="P470" s="301"/>
      <c r="Q470" s="325"/>
      <c r="R470" s="325"/>
      <c r="S470" s="325"/>
      <c r="T470" s="532">
        <f>SUM(F470:S470)</f>
        <v>0</v>
      </c>
      <c r="U470" s="301"/>
      <c r="V470" s="532">
        <f>SUM(T470:T470)</f>
        <v>0</v>
      </c>
      <c r="W470" s="532">
        <f>+V470-'ROR-Model'!G470</f>
        <v>0</v>
      </c>
    </row>
    <row r="471" spans="1:23">
      <c r="A471" s="543"/>
      <c r="B471" s="534"/>
      <c r="C471" s="534" t="s">
        <v>23</v>
      </c>
      <c r="D471" s="534"/>
      <c r="E471" s="544"/>
      <c r="F471" s="301"/>
      <c r="G471" s="301"/>
      <c r="H471" s="301"/>
      <c r="I471" s="301"/>
      <c r="J471" s="325"/>
      <c r="K471" s="325"/>
      <c r="L471" s="301"/>
      <c r="M471" s="301"/>
      <c r="N471" s="301"/>
      <c r="O471" s="301"/>
      <c r="P471" s="301"/>
      <c r="Q471" s="325"/>
      <c r="R471" s="325"/>
      <c r="S471" s="325"/>
      <c r="T471" s="532">
        <f>SUM(F471:S471)</f>
        <v>0</v>
      </c>
      <c r="U471" s="301"/>
      <c r="V471" s="532">
        <f>SUM(T471:T471)</f>
        <v>0</v>
      </c>
      <c r="W471" s="532">
        <f>+V471-'ROR-Model'!G471</f>
        <v>0</v>
      </c>
    </row>
    <row r="472" spans="1:23">
      <c r="A472" s="543"/>
      <c r="B472" s="534"/>
      <c r="C472" s="534" t="s">
        <v>145</v>
      </c>
      <c r="D472" s="534"/>
      <c r="E472" s="544"/>
      <c r="F472" s="323">
        <f>SUM(F470:F471)</f>
        <v>0</v>
      </c>
      <c r="G472" s="323">
        <f>G1*SUM(G470:G471)</f>
        <v>0</v>
      </c>
      <c r="H472" s="323">
        <f>SUM(H470:H471)</f>
        <v>0</v>
      </c>
      <c r="I472" s="323">
        <f t="shared" ref="I472:P472" si="96">SUM(I470:I471)</f>
        <v>0</v>
      </c>
      <c r="J472" s="476">
        <f>J1*SUM(J470:J471)</f>
        <v>0</v>
      </c>
      <c r="K472" s="476">
        <f>K1*SUM(K470:K471)</f>
        <v>0</v>
      </c>
      <c r="L472" s="323">
        <f t="shared" si="96"/>
        <v>0</v>
      </c>
      <c r="M472" s="323">
        <f t="shared" si="96"/>
        <v>0</v>
      </c>
      <c r="N472" s="323">
        <f t="shared" si="96"/>
        <v>0</v>
      </c>
      <c r="O472" s="323">
        <f t="shared" si="96"/>
        <v>0</v>
      </c>
      <c r="P472" s="323">
        <f t="shared" si="96"/>
        <v>0</v>
      </c>
      <c r="Q472" s="476">
        <f>SUM(Q470:Q471)</f>
        <v>0</v>
      </c>
      <c r="R472" s="476">
        <f>R1*SUM(R470:R471)</f>
        <v>0</v>
      </c>
      <c r="S472" s="476">
        <f>S1*SUM(S470:S471)</f>
        <v>0</v>
      </c>
      <c r="T472" s="536">
        <f>SUM(T470:T471)</f>
        <v>0</v>
      </c>
      <c r="U472" s="323"/>
      <c r="V472" s="536">
        <f>SUM(V470:V471)</f>
        <v>0</v>
      </c>
      <c r="W472" s="536">
        <f>+V472-'ROR-Model'!G472</f>
        <v>0</v>
      </c>
    </row>
    <row r="473" spans="1:23">
      <c r="A473" s="543"/>
      <c r="B473" s="534"/>
      <c r="C473" s="534"/>
      <c r="D473" s="534"/>
      <c r="E473" s="544"/>
      <c r="F473" s="301"/>
      <c r="G473" s="301"/>
      <c r="H473" s="301"/>
      <c r="I473" s="301"/>
      <c r="J473" s="325"/>
      <c r="K473" s="325"/>
      <c r="L473" s="301"/>
      <c r="M473" s="301"/>
      <c r="N473" s="301"/>
      <c r="O473" s="301"/>
      <c r="P473" s="301"/>
      <c r="Q473" s="325"/>
      <c r="R473" s="325"/>
      <c r="S473" s="325"/>
      <c r="T473" s="532"/>
      <c r="U473" s="301"/>
      <c r="V473" s="532"/>
      <c r="W473" s="532">
        <f>+V473-'ROR-Model'!G473</f>
        <v>0</v>
      </c>
    </row>
    <row r="474" spans="1:23">
      <c r="A474" s="543">
        <v>493</v>
      </c>
      <c r="B474" s="534" t="s">
        <v>296</v>
      </c>
      <c r="C474" s="534"/>
      <c r="D474" s="534"/>
      <c r="E474" s="544"/>
      <c r="F474" s="301"/>
      <c r="G474" s="301"/>
      <c r="H474" s="301"/>
      <c r="I474" s="301"/>
      <c r="J474" s="325"/>
      <c r="K474" s="325"/>
      <c r="L474" s="301"/>
      <c r="M474" s="301"/>
      <c r="N474" s="301"/>
      <c r="O474" s="301"/>
      <c r="P474" s="301"/>
      <c r="Q474" s="325"/>
      <c r="R474" s="325"/>
      <c r="S474" s="325"/>
      <c r="T474" s="532"/>
      <c r="U474" s="301"/>
      <c r="V474" s="532"/>
      <c r="W474" s="532">
        <f>+V474-'ROR-Model'!G474</f>
        <v>0</v>
      </c>
    </row>
    <row r="475" spans="1:23">
      <c r="A475" s="543"/>
      <c r="B475" s="534"/>
      <c r="C475" s="534" t="s">
        <v>12</v>
      </c>
      <c r="D475" s="534"/>
      <c r="E475" s="544"/>
      <c r="F475" s="301"/>
      <c r="G475" s="301"/>
      <c r="H475" s="301"/>
      <c r="I475" s="301"/>
      <c r="J475" s="325"/>
      <c r="K475" s="325"/>
      <c r="L475" s="301"/>
      <c r="M475" s="301"/>
      <c r="N475" s="301"/>
      <c r="O475" s="301"/>
      <c r="P475" s="301"/>
      <c r="Q475" s="325"/>
      <c r="R475" s="325"/>
      <c r="S475" s="325"/>
      <c r="T475" s="532">
        <f>SUM(F475:S475)</f>
        <v>0</v>
      </c>
      <c r="U475" s="301"/>
      <c r="V475" s="532">
        <f>SUM(T475:T475)</f>
        <v>0</v>
      </c>
      <c r="W475" s="532">
        <f>+V475-'ROR-Model'!G475</f>
        <v>0</v>
      </c>
    </row>
    <row r="476" spans="1:23">
      <c r="A476" s="543"/>
      <c r="B476" s="534"/>
      <c r="C476" s="534" t="s">
        <v>23</v>
      </c>
      <c r="D476" s="534"/>
      <c r="E476" s="544"/>
      <c r="F476" s="301"/>
      <c r="G476" s="301"/>
      <c r="H476" s="301"/>
      <c r="I476" s="301"/>
      <c r="J476" s="325"/>
      <c r="K476" s="325"/>
      <c r="L476" s="301"/>
      <c r="M476" s="301"/>
      <c r="N476" s="301"/>
      <c r="O476" s="301"/>
      <c r="P476" s="301"/>
      <c r="Q476" s="325"/>
      <c r="R476" s="325"/>
      <c r="S476" s="325"/>
      <c r="T476" s="532">
        <f>SUM(F476:S476)</f>
        <v>0</v>
      </c>
      <c r="U476" s="301"/>
      <c r="V476" s="532">
        <f>SUM(T476:T476)</f>
        <v>0</v>
      </c>
      <c r="W476" s="532">
        <f>+V476-'ROR-Model'!G476</f>
        <v>0</v>
      </c>
    </row>
    <row r="477" spans="1:23">
      <c r="A477" s="543"/>
      <c r="B477" s="534"/>
      <c r="C477" s="534" t="s">
        <v>145</v>
      </c>
      <c r="D477" s="534"/>
      <c r="E477" s="544"/>
      <c r="F477" s="323">
        <f>SUM(F475:F476)</f>
        <v>0</v>
      </c>
      <c r="G477" s="323">
        <f>G1*SUM(G475:G476)</f>
        <v>0</v>
      </c>
      <c r="H477" s="323">
        <f>SUM(H475:H476)</f>
        <v>0</v>
      </c>
      <c r="I477" s="323">
        <f t="shared" ref="I477:P477" si="97">SUM(I475:I476)</f>
        <v>0</v>
      </c>
      <c r="J477" s="476">
        <f>J1*SUM(J475:J476)</f>
        <v>0</v>
      </c>
      <c r="K477" s="476">
        <f>K1*SUM(K475:K476)</f>
        <v>0</v>
      </c>
      <c r="L477" s="323">
        <f t="shared" si="97"/>
        <v>0</v>
      </c>
      <c r="M477" s="323">
        <f t="shared" si="97"/>
        <v>0</v>
      </c>
      <c r="N477" s="323">
        <f t="shared" si="97"/>
        <v>0</v>
      </c>
      <c r="O477" s="323">
        <f t="shared" si="97"/>
        <v>0</v>
      </c>
      <c r="P477" s="323">
        <f t="shared" si="97"/>
        <v>0</v>
      </c>
      <c r="Q477" s="476">
        <f>SUM(Q475:Q476)</f>
        <v>0</v>
      </c>
      <c r="R477" s="476">
        <f>R1*SUM(R475:R476)</f>
        <v>0</v>
      </c>
      <c r="S477" s="476">
        <f>S1*SUM(S475:S476)</f>
        <v>0</v>
      </c>
      <c r="T477" s="536">
        <f>SUM(T475:T476)</f>
        <v>0</v>
      </c>
      <c r="U477" s="323"/>
      <c r="V477" s="536">
        <f>SUM(V475:V476)</f>
        <v>0</v>
      </c>
      <c r="W477" s="536">
        <f>+V477-'ROR-Model'!G477</f>
        <v>0</v>
      </c>
    </row>
    <row r="478" spans="1:23">
      <c r="A478" s="543"/>
      <c r="B478" s="534"/>
      <c r="C478" s="534"/>
      <c r="D478" s="534"/>
      <c r="E478" s="544"/>
      <c r="F478" s="301"/>
      <c r="G478" s="301"/>
      <c r="H478" s="301"/>
      <c r="I478" s="301"/>
      <c r="J478" s="325"/>
      <c r="K478" s="325"/>
      <c r="L478" s="301"/>
      <c r="M478" s="301"/>
      <c r="N478" s="301"/>
      <c r="O478" s="301"/>
      <c r="P478" s="301"/>
      <c r="Q478" s="325"/>
      <c r="R478" s="325"/>
      <c r="S478" s="325"/>
      <c r="T478" s="532"/>
      <c r="U478" s="301"/>
      <c r="V478" s="532"/>
      <c r="W478" s="532">
        <f>+V478-'ROR-Model'!G478</f>
        <v>0</v>
      </c>
    </row>
    <row r="479" spans="1:23">
      <c r="A479" s="543">
        <v>495</v>
      </c>
      <c r="B479" s="534" t="s">
        <v>299</v>
      </c>
      <c r="C479" s="534"/>
      <c r="D479" s="534"/>
      <c r="E479" s="544"/>
      <c r="F479" s="301"/>
      <c r="G479" s="301"/>
      <c r="H479" s="301"/>
      <c r="I479" s="301"/>
      <c r="J479" s="325"/>
      <c r="K479" s="325"/>
      <c r="L479" s="301"/>
      <c r="M479" s="301"/>
      <c r="N479" s="301"/>
      <c r="O479" s="301"/>
      <c r="P479" s="301"/>
      <c r="Q479" s="325"/>
      <c r="R479" s="325"/>
      <c r="S479" s="325"/>
      <c r="T479" s="532"/>
      <c r="U479" s="301"/>
      <c r="V479" s="532"/>
      <c r="W479" s="532">
        <f>+V479-'ROR-Model'!G479</f>
        <v>0</v>
      </c>
    </row>
    <row r="480" spans="1:23">
      <c r="A480" s="543"/>
      <c r="B480" s="534"/>
      <c r="C480" s="534" t="s">
        <v>12</v>
      </c>
      <c r="D480" s="534"/>
      <c r="E480" s="544"/>
      <c r="F480" s="301"/>
      <c r="G480" s="301"/>
      <c r="H480" s="301"/>
      <c r="I480" s="301"/>
      <c r="J480" s="325"/>
      <c r="K480" s="325"/>
      <c r="L480" s="301"/>
      <c r="M480" s="301"/>
      <c r="N480" s="301"/>
      <c r="O480" s="301"/>
      <c r="P480" s="301"/>
      <c r="Q480" s="325"/>
      <c r="R480" s="325"/>
      <c r="S480" s="325"/>
      <c r="T480" s="532">
        <f>SUM(F480:S480)</f>
        <v>0</v>
      </c>
      <c r="U480" s="301"/>
      <c r="V480" s="532">
        <f>SUM(T480:T480)</f>
        <v>0</v>
      </c>
      <c r="W480" s="532">
        <f>+V480-'ROR-Model'!G480</f>
        <v>0</v>
      </c>
    </row>
    <row r="481" spans="1:23">
      <c r="A481" s="543"/>
      <c r="B481" s="534"/>
      <c r="C481" s="534" t="s">
        <v>23</v>
      </c>
      <c r="D481" s="534"/>
      <c r="E481" s="544"/>
      <c r="F481" s="301"/>
      <c r="G481" s="301"/>
      <c r="H481" s="301"/>
      <c r="I481" s="301"/>
      <c r="J481" s="325"/>
      <c r="K481" s="325"/>
      <c r="L481" s="301"/>
      <c r="M481" s="301"/>
      <c r="N481" s="301"/>
      <c r="O481" s="301"/>
      <c r="P481" s="301"/>
      <c r="Q481" s="325"/>
      <c r="R481" s="325"/>
      <c r="S481" s="325"/>
      <c r="T481" s="532">
        <f>SUM(F481:S481)</f>
        <v>0</v>
      </c>
      <c r="U481" s="301"/>
      <c r="V481" s="532">
        <f>SUM(T481:T481)</f>
        <v>0</v>
      </c>
      <c r="W481" s="532">
        <f>+V481-'ROR-Model'!G481</f>
        <v>0</v>
      </c>
    </row>
    <row r="482" spans="1:23">
      <c r="A482" s="543"/>
      <c r="B482" s="534"/>
      <c r="C482" s="534" t="s">
        <v>145</v>
      </c>
      <c r="D482" s="534"/>
      <c r="E482" s="544"/>
      <c r="F482" s="323">
        <f>SUM(F480:F481)</f>
        <v>0</v>
      </c>
      <c r="G482" s="323">
        <f>G1*SUM(G480:G481)</f>
        <v>0</v>
      </c>
      <c r="H482" s="323">
        <f>SUM(H480:H481)</f>
        <v>0</v>
      </c>
      <c r="I482" s="323">
        <f t="shared" ref="I482:P482" si="98">SUM(I480:I481)</f>
        <v>0</v>
      </c>
      <c r="J482" s="476">
        <f>J1*SUM(J480:J481)</f>
        <v>0</v>
      </c>
      <c r="K482" s="476">
        <f>K1*SUM(K480:K481)</f>
        <v>0</v>
      </c>
      <c r="L482" s="323">
        <f t="shared" si="98"/>
        <v>0</v>
      </c>
      <c r="M482" s="323">
        <f t="shared" si="98"/>
        <v>0</v>
      </c>
      <c r="N482" s="323">
        <f t="shared" si="98"/>
        <v>0</v>
      </c>
      <c r="O482" s="323">
        <f t="shared" si="98"/>
        <v>0</v>
      </c>
      <c r="P482" s="323">
        <f t="shared" si="98"/>
        <v>0</v>
      </c>
      <c r="Q482" s="476">
        <f>SUM(Q480:Q481)</f>
        <v>0</v>
      </c>
      <c r="R482" s="476">
        <f>R1*SUM(R480:R481)</f>
        <v>0</v>
      </c>
      <c r="S482" s="476">
        <f>S1*SUM(S480:S481)</f>
        <v>0</v>
      </c>
      <c r="T482" s="536">
        <f>SUM(T480:T481)</f>
        <v>0</v>
      </c>
      <c r="U482" s="323"/>
      <c r="V482" s="536">
        <f>SUM(V480:V481)</f>
        <v>0</v>
      </c>
      <c r="W482" s="536">
        <f>+V482-'ROR-Model'!G482</f>
        <v>0</v>
      </c>
    </row>
    <row r="483" spans="1:23">
      <c r="A483" s="543"/>
      <c r="B483" s="534"/>
      <c r="C483" s="534"/>
      <c r="D483" s="534"/>
      <c r="E483" s="544"/>
      <c r="F483" s="301"/>
      <c r="G483" s="301"/>
      <c r="H483" s="301"/>
      <c r="I483" s="301"/>
      <c r="J483" s="325"/>
      <c r="K483" s="325"/>
      <c r="L483" s="301"/>
      <c r="M483" s="301"/>
      <c r="N483" s="301"/>
      <c r="O483" s="301"/>
      <c r="P483" s="301"/>
      <c r="Q483" s="325"/>
      <c r="R483" s="325"/>
      <c r="S483" s="325"/>
      <c r="T483" s="532"/>
      <c r="U483" s="301"/>
      <c r="V483" s="532"/>
      <c r="W483" s="532">
        <f>+V483-'ROR-Model'!G483</f>
        <v>0</v>
      </c>
    </row>
    <row r="484" spans="1:23">
      <c r="A484" s="543">
        <v>4951</v>
      </c>
      <c r="B484" s="534" t="s">
        <v>300</v>
      </c>
      <c r="C484" s="534"/>
      <c r="D484" s="534"/>
      <c r="E484" s="544"/>
      <c r="F484" s="301"/>
      <c r="G484" s="301"/>
      <c r="H484" s="301"/>
      <c r="I484" s="301"/>
      <c r="J484" s="325"/>
      <c r="K484" s="325"/>
      <c r="L484" s="301"/>
      <c r="M484" s="301"/>
      <c r="N484" s="301"/>
      <c r="O484" s="301"/>
      <c r="P484" s="301"/>
      <c r="Q484" s="325"/>
      <c r="R484" s="325"/>
      <c r="S484" s="325"/>
      <c r="T484" s="532"/>
      <c r="U484" s="301"/>
      <c r="V484" s="532"/>
      <c r="W484" s="532">
        <f>+V484-'ROR-Model'!G484</f>
        <v>0</v>
      </c>
    </row>
    <row r="485" spans="1:23">
      <c r="A485" s="543"/>
      <c r="B485" s="534"/>
      <c r="C485" s="534" t="s">
        <v>12</v>
      </c>
      <c r="D485" s="534"/>
      <c r="E485" s="544"/>
      <c r="F485" s="301"/>
      <c r="G485" s="301"/>
      <c r="H485" s="301"/>
      <c r="I485" s="301"/>
      <c r="J485" s="325"/>
      <c r="K485" s="325"/>
      <c r="L485" s="301"/>
      <c r="M485" s="301"/>
      <c r="N485" s="301"/>
      <c r="O485" s="301"/>
      <c r="P485" s="301"/>
      <c r="Q485" s="325"/>
      <c r="R485" s="325"/>
      <c r="S485" s="325"/>
      <c r="T485" s="532">
        <f>SUM(F485:S485)</f>
        <v>0</v>
      </c>
      <c r="U485" s="301"/>
      <c r="V485" s="532">
        <f>SUM(T485:T485)</f>
        <v>0</v>
      </c>
      <c r="W485" s="532">
        <f>+V485-'ROR-Model'!G485</f>
        <v>0</v>
      </c>
    </row>
    <row r="486" spans="1:23">
      <c r="A486" s="543"/>
      <c r="B486" s="534"/>
      <c r="C486" s="534" t="s">
        <v>23</v>
      </c>
      <c r="D486" s="534"/>
      <c r="E486" s="544"/>
      <c r="F486" s="301"/>
      <c r="G486" s="301"/>
      <c r="H486" s="301"/>
      <c r="I486" s="301"/>
      <c r="J486" s="325"/>
      <c r="K486" s="325"/>
      <c r="L486" s="301"/>
      <c r="M486" s="301"/>
      <c r="N486" s="301"/>
      <c r="O486" s="301"/>
      <c r="P486" s="301"/>
      <c r="Q486" s="325"/>
      <c r="R486" s="325"/>
      <c r="S486" s="325"/>
      <c r="T486" s="532">
        <f>SUM(F486:S486)</f>
        <v>0</v>
      </c>
      <c r="U486" s="301"/>
      <c r="V486" s="532">
        <f>SUM(T486:T486)</f>
        <v>0</v>
      </c>
      <c r="W486" s="532">
        <f>+V486-'ROR-Model'!G486</f>
        <v>0</v>
      </c>
    </row>
    <row r="487" spans="1:23">
      <c r="A487" s="543"/>
      <c r="B487" s="534"/>
      <c r="C487" s="534" t="s">
        <v>145</v>
      </c>
      <c r="D487" s="534"/>
      <c r="E487" s="544"/>
      <c r="F487" s="323">
        <f>SUM(F485:F486)</f>
        <v>0</v>
      </c>
      <c r="G487" s="323">
        <f>G1*SUM(G485:G486)</f>
        <v>0</v>
      </c>
      <c r="H487" s="323">
        <f>SUM(H485:H486)</f>
        <v>0</v>
      </c>
      <c r="I487" s="323">
        <f t="shared" ref="I487:P487" si="99">SUM(I485:I486)</f>
        <v>0</v>
      </c>
      <c r="J487" s="476">
        <f>J1*SUM(J485:J486)</f>
        <v>0</v>
      </c>
      <c r="K487" s="476">
        <f>K1*SUM(K485:K486)</f>
        <v>0</v>
      </c>
      <c r="L487" s="323">
        <f t="shared" si="99"/>
        <v>0</v>
      </c>
      <c r="M487" s="323">
        <f t="shared" si="99"/>
        <v>0</v>
      </c>
      <c r="N487" s="323">
        <f t="shared" si="99"/>
        <v>0</v>
      </c>
      <c r="O487" s="323">
        <f t="shared" si="99"/>
        <v>0</v>
      </c>
      <c r="P487" s="323">
        <f t="shared" si="99"/>
        <v>0</v>
      </c>
      <c r="Q487" s="476">
        <f>SUM(Q485:Q486)</f>
        <v>0</v>
      </c>
      <c r="R487" s="476">
        <f>R1*SUM(R485:R486)</f>
        <v>0</v>
      </c>
      <c r="S487" s="476">
        <f>S1*SUM(S485:S486)</f>
        <v>0</v>
      </c>
      <c r="T487" s="536">
        <f>SUM(T485:T486)</f>
        <v>0</v>
      </c>
      <c r="U487" s="323"/>
      <c r="V487" s="536">
        <f>SUM(V485:V486)</f>
        <v>0</v>
      </c>
      <c r="W487" s="536">
        <f>+V487-'ROR-Model'!G487</f>
        <v>0</v>
      </c>
    </row>
    <row r="488" spans="1:23">
      <c r="A488" s="543"/>
      <c r="B488" s="534"/>
      <c r="C488" s="534"/>
      <c r="D488" s="534"/>
      <c r="E488" s="544"/>
      <c r="F488" s="301"/>
      <c r="G488" s="301"/>
      <c r="H488" s="301"/>
      <c r="I488" s="301"/>
      <c r="J488" s="325"/>
      <c r="K488" s="325"/>
      <c r="L488" s="301"/>
      <c r="M488" s="301"/>
      <c r="N488" s="301"/>
      <c r="O488" s="301"/>
      <c r="P488" s="301"/>
      <c r="Q488" s="325"/>
      <c r="R488" s="325"/>
      <c r="S488" s="325"/>
      <c r="T488" s="532"/>
      <c r="U488" s="301"/>
      <c r="V488" s="532"/>
      <c r="W488" s="532">
        <f>+V488-'ROR-Model'!G488</f>
        <v>0</v>
      </c>
    </row>
    <row r="489" spans="1:23">
      <c r="A489" s="543">
        <v>4952</v>
      </c>
      <c r="B489" s="534" t="s">
        <v>301</v>
      </c>
      <c r="C489" s="534"/>
      <c r="D489" s="534"/>
      <c r="E489" s="544"/>
      <c r="F489" s="301"/>
      <c r="G489" s="301"/>
      <c r="H489" s="301"/>
      <c r="I489" s="301"/>
      <c r="J489" s="325"/>
      <c r="K489" s="325"/>
      <c r="L489" s="301"/>
      <c r="M489" s="301"/>
      <c r="N489" s="301"/>
      <c r="O489" s="301"/>
      <c r="P489" s="301"/>
      <c r="Q489" s="325"/>
      <c r="R489" s="325"/>
      <c r="S489" s="325"/>
      <c r="T489" s="532"/>
      <c r="U489" s="301"/>
      <c r="V489" s="532"/>
      <c r="W489" s="532">
        <f>+V489-'ROR-Model'!G489</f>
        <v>0</v>
      </c>
    </row>
    <row r="490" spans="1:23">
      <c r="A490" s="543"/>
      <c r="B490" s="534"/>
      <c r="C490" s="534" t="s">
        <v>12</v>
      </c>
      <c r="D490" s="534"/>
      <c r="E490" s="544"/>
      <c r="F490" s="301"/>
      <c r="G490" s="301"/>
      <c r="H490" s="301"/>
      <c r="I490" s="301"/>
      <c r="J490" s="325"/>
      <c r="K490" s="325"/>
      <c r="L490" s="301"/>
      <c r="M490" s="301"/>
      <c r="N490" s="301"/>
      <c r="O490" s="301"/>
      <c r="P490" s="301"/>
      <c r="Q490" s="325"/>
      <c r="R490" s="325"/>
      <c r="S490" s="325"/>
      <c r="T490" s="532">
        <f>SUM(F490:S490)</f>
        <v>0</v>
      </c>
      <c r="U490" s="301"/>
      <c r="V490" s="532">
        <f>SUM(T490:T490)</f>
        <v>0</v>
      </c>
      <c r="W490" s="532">
        <f>+V490-'ROR-Model'!G490</f>
        <v>0</v>
      </c>
    </row>
    <row r="491" spans="1:23">
      <c r="A491" s="543"/>
      <c r="B491" s="534"/>
      <c r="C491" s="534" t="s">
        <v>23</v>
      </c>
      <c r="D491" s="534"/>
      <c r="E491" s="544"/>
      <c r="F491" s="301"/>
      <c r="G491" s="301"/>
      <c r="H491" s="301"/>
      <c r="I491" s="301"/>
      <c r="J491" s="325"/>
      <c r="K491" s="325"/>
      <c r="L491" s="301"/>
      <c r="M491" s="301"/>
      <c r="N491" s="301"/>
      <c r="O491" s="301"/>
      <c r="P491" s="301"/>
      <c r="Q491" s="325"/>
      <c r="R491" s="325"/>
      <c r="S491" s="325"/>
      <c r="T491" s="532">
        <f>SUM(F491:S491)</f>
        <v>0</v>
      </c>
      <c r="U491" s="301"/>
      <c r="V491" s="532">
        <f>SUM(T491:T491)</f>
        <v>0</v>
      </c>
      <c r="W491" s="532">
        <f>+V491-'ROR-Model'!G491</f>
        <v>0</v>
      </c>
    </row>
    <row r="492" spans="1:23">
      <c r="A492" s="543"/>
      <c r="B492" s="534"/>
      <c r="C492" s="534" t="s">
        <v>145</v>
      </c>
      <c r="D492" s="534"/>
      <c r="E492" s="544"/>
      <c r="F492" s="323">
        <f>SUM(F490:F491)</f>
        <v>0</v>
      </c>
      <c r="G492" s="323">
        <f>G1*SUM(G490:G491)</f>
        <v>0</v>
      </c>
      <c r="H492" s="323">
        <f>SUM(H490:H491)</f>
        <v>0</v>
      </c>
      <c r="I492" s="323">
        <f t="shared" ref="I492:P492" si="100">SUM(I490:I491)</f>
        <v>0</v>
      </c>
      <c r="J492" s="476">
        <f>J1*SUM(J490:J491)</f>
        <v>0</v>
      </c>
      <c r="K492" s="476">
        <f>K1*SUM(K490:K491)</f>
        <v>0</v>
      </c>
      <c r="L492" s="323">
        <f t="shared" si="100"/>
        <v>0</v>
      </c>
      <c r="M492" s="323">
        <f t="shared" si="100"/>
        <v>0</v>
      </c>
      <c r="N492" s="323">
        <f t="shared" si="100"/>
        <v>0</v>
      </c>
      <c r="O492" s="323">
        <f t="shared" si="100"/>
        <v>0</v>
      </c>
      <c r="P492" s="323">
        <f t="shared" si="100"/>
        <v>0</v>
      </c>
      <c r="Q492" s="476">
        <f>SUM(Q490:Q491)</f>
        <v>0</v>
      </c>
      <c r="R492" s="476">
        <f>R1*SUM(R490:R491)</f>
        <v>0</v>
      </c>
      <c r="S492" s="476">
        <f>S1*SUM(S490:S491)</f>
        <v>0</v>
      </c>
      <c r="T492" s="536">
        <f>SUM(T490:T491)</f>
        <v>0</v>
      </c>
      <c r="U492" s="323"/>
      <c r="V492" s="536">
        <f>SUM(V490:V491)</f>
        <v>0</v>
      </c>
      <c r="W492" s="536">
        <f>+V492-'ROR-Model'!G492</f>
        <v>0</v>
      </c>
    </row>
    <row r="493" spans="1:23">
      <c r="A493" s="543"/>
      <c r="B493" s="534"/>
      <c r="C493" s="534"/>
      <c r="D493" s="534"/>
      <c r="E493" s="544"/>
      <c r="F493" s="301"/>
      <c r="G493" s="301"/>
      <c r="H493" s="301"/>
      <c r="I493" s="301"/>
      <c r="J493" s="325"/>
      <c r="K493" s="325"/>
      <c r="L493" s="301"/>
      <c r="M493" s="301"/>
      <c r="N493" s="301"/>
      <c r="O493" s="301"/>
      <c r="P493" s="301"/>
      <c r="Q493" s="325"/>
      <c r="R493" s="325"/>
      <c r="S493" s="325"/>
      <c r="T493" s="532"/>
      <c r="U493" s="301"/>
      <c r="V493" s="532"/>
      <c r="W493" s="532">
        <f>+V493-'ROR-Model'!G493</f>
        <v>0</v>
      </c>
    </row>
    <row r="494" spans="1:23">
      <c r="A494" s="543">
        <v>4974</v>
      </c>
      <c r="B494" s="534" t="s">
        <v>305</v>
      </c>
      <c r="C494" s="534"/>
      <c r="D494" s="534"/>
      <c r="E494" s="544"/>
      <c r="F494" s="301"/>
      <c r="G494" s="301"/>
      <c r="H494" s="301"/>
      <c r="I494" s="301"/>
      <c r="J494" s="325"/>
      <c r="K494" s="325"/>
      <c r="L494" s="301"/>
      <c r="M494" s="301"/>
      <c r="N494" s="301"/>
      <c r="O494" s="301"/>
      <c r="P494" s="301"/>
      <c r="Q494" s="325"/>
      <c r="R494" s="325"/>
      <c r="S494" s="325"/>
      <c r="T494" s="532"/>
      <c r="U494" s="301"/>
      <c r="V494" s="532"/>
      <c r="W494" s="532">
        <f>+V494-'ROR-Model'!G494</f>
        <v>0</v>
      </c>
    </row>
    <row r="495" spans="1:23">
      <c r="A495" s="535"/>
      <c r="B495" s="534"/>
      <c r="C495" s="534" t="s">
        <v>12</v>
      </c>
      <c r="D495" s="534"/>
      <c r="E495" s="544"/>
      <c r="F495" s="301"/>
      <c r="G495" s="301"/>
      <c r="H495" s="301"/>
      <c r="I495" s="301"/>
      <c r="J495" s="325"/>
      <c r="K495" s="325"/>
      <c r="L495" s="301"/>
      <c r="M495" s="301"/>
      <c r="N495" s="301"/>
      <c r="O495" s="301"/>
      <c r="P495" s="301"/>
      <c r="Q495" s="325"/>
      <c r="R495" s="325"/>
      <c r="S495" s="325"/>
      <c r="T495" s="532">
        <f>SUM(F495:S495)</f>
        <v>0</v>
      </c>
      <c r="U495" s="301"/>
      <c r="V495" s="532">
        <f>SUM(T495:T495)</f>
        <v>0</v>
      </c>
      <c r="W495" s="532">
        <f>+V495-'ROR-Model'!G495</f>
        <v>0</v>
      </c>
    </row>
    <row r="496" spans="1:23">
      <c r="A496" s="535"/>
      <c r="B496" s="534"/>
      <c r="C496" s="534" t="s">
        <v>23</v>
      </c>
      <c r="D496" s="534"/>
      <c r="E496" s="544"/>
      <c r="F496" s="301"/>
      <c r="G496" s="301"/>
      <c r="H496" s="301"/>
      <c r="I496" s="301"/>
      <c r="J496" s="325"/>
      <c r="K496" s="325"/>
      <c r="L496" s="301"/>
      <c r="M496" s="301"/>
      <c r="N496" s="301"/>
      <c r="O496" s="301"/>
      <c r="P496" s="301"/>
      <c r="Q496" s="325"/>
      <c r="R496" s="325"/>
      <c r="S496" s="325"/>
      <c r="T496" s="532">
        <f>SUM(F496:S496)</f>
        <v>0</v>
      </c>
      <c r="U496" s="301"/>
      <c r="V496" s="532">
        <f>SUM(T496:T496)</f>
        <v>0</v>
      </c>
      <c r="W496" s="532">
        <f>+V496-'ROR-Model'!G496</f>
        <v>0</v>
      </c>
    </row>
    <row r="497" spans="1:23">
      <c r="A497" s="535"/>
      <c r="B497" s="534"/>
      <c r="C497" s="534" t="s">
        <v>145</v>
      </c>
      <c r="D497" s="534"/>
      <c r="E497" s="531"/>
      <c r="F497" s="323">
        <f>SUM(F495:F496)</f>
        <v>0</v>
      </c>
      <c r="G497" s="323">
        <f>G1*SUM(G495:G496)</f>
        <v>0</v>
      </c>
      <c r="H497" s="323">
        <f>SUM(H495:H496)</f>
        <v>0</v>
      </c>
      <c r="I497" s="323">
        <f t="shared" ref="I497:P497" si="101">SUM(I495:I496)</f>
        <v>0</v>
      </c>
      <c r="J497" s="476">
        <f>J1*SUM(J495:J496)</f>
        <v>0</v>
      </c>
      <c r="K497" s="476">
        <f>K1*SUM(K495:K496)</f>
        <v>0</v>
      </c>
      <c r="L497" s="323">
        <f t="shared" si="101"/>
        <v>0</v>
      </c>
      <c r="M497" s="323">
        <f t="shared" si="101"/>
        <v>0</v>
      </c>
      <c r="N497" s="323">
        <f t="shared" si="101"/>
        <v>0</v>
      </c>
      <c r="O497" s="323">
        <f t="shared" si="101"/>
        <v>0</v>
      </c>
      <c r="P497" s="323">
        <f t="shared" si="101"/>
        <v>0</v>
      </c>
      <c r="Q497" s="476">
        <f>SUM(Q495:Q496)</f>
        <v>0</v>
      </c>
      <c r="R497" s="476">
        <f>R1*SUM(R495:R496)</f>
        <v>0</v>
      </c>
      <c r="S497" s="476">
        <f>S1*SUM(S495:S496)</f>
        <v>0</v>
      </c>
      <c r="T497" s="536">
        <f>SUM(T495:T496)</f>
        <v>0</v>
      </c>
      <c r="U497" s="323"/>
      <c r="V497" s="536">
        <f>SUM(V495:V496)</f>
        <v>0</v>
      </c>
      <c r="W497" s="536">
        <f>+V497-'ROR-Model'!G497</f>
        <v>0</v>
      </c>
    </row>
    <row r="498" spans="1:23" ht="13.5" thickBot="1">
      <c r="A498" s="535"/>
      <c r="B498" s="534"/>
      <c r="C498" s="534"/>
      <c r="D498" s="534"/>
      <c r="E498" s="531"/>
      <c r="F498" s="470"/>
      <c r="G498" s="470"/>
      <c r="H498" s="470"/>
      <c r="I498" s="470"/>
      <c r="J498" s="477"/>
      <c r="K498" s="477"/>
      <c r="L498" s="470"/>
      <c r="M498" s="470"/>
      <c r="N498" s="470"/>
      <c r="O498" s="470"/>
      <c r="P498" s="470"/>
      <c r="Q498" s="477"/>
      <c r="R498" s="477"/>
      <c r="S498" s="477"/>
      <c r="T498" s="538"/>
      <c r="U498" s="470"/>
      <c r="V498" s="538"/>
      <c r="W498" s="538">
        <f>+V498-'ROR-Model'!G498</f>
        <v>0</v>
      </c>
    </row>
    <row r="499" spans="1:23" ht="13.5" thickTop="1">
      <c r="A499" s="167" t="s">
        <v>499</v>
      </c>
      <c r="B499" s="534"/>
      <c r="C499" s="534"/>
      <c r="D499" s="534"/>
      <c r="E499" s="531"/>
      <c r="F499" s="301"/>
      <c r="G499" s="301"/>
      <c r="H499" s="301"/>
      <c r="I499" s="301"/>
      <c r="J499" s="325"/>
      <c r="K499" s="325"/>
      <c r="L499" s="301"/>
      <c r="M499" s="301"/>
      <c r="N499" s="301"/>
      <c r="O499" s="301"/>
      <c r="P499" s="301"/>
      <c r="Q499" s="325"/>
      <c r="R499" s="325"/>
      <c r="S499" s="325"/>
      <c r="T499" s="532"/>
      <c r="U499" s="301"/>
      <c r="V499" s="532"/>
      <c r="W499" s="532">
        <f>+V499-'ROR-Model'!G499</f>
        <v>0</v>
      </c>
    </row>
    <row r="500" spans="1:23">
      <c r="A500" s="535"/>
      <c r="B500" s="106" t="s">
        <v>502</v>
      </c>
      <c r="C500" s="534"/>
      <c r="D500" s="534"/>
      <c r="E500" s="531"/>
      <c r="F500" s="301"/>
      <c r="G500" s="301"/>
      <c r="H500" s="301"/>
      <c r="I500" s="301"/>
      <c r="J500" s="325"/>
      <c r="K500" s="325"/>
      <c r="L500" s="301"/>
      <c r="M500" s="301"/>
      <c r="N500" s="301"/>
      <c r="O500" s="301"/>
      <c r="P500" s="301"/>
      <c r="Q500" s="325"/>
      <c r="R500" s="325"/>
      <c r="S500" s="325"/>
      <c r="T500" s="532"/>
      <c r="U500" s="301"/>
      <c r="V500" s="532"/>
      <c r="W500" s="532">
        <f>+V500-'ROR-Model'!G500</f>
        <v>0</v>
      </c>
    </row>
    <row r="501" spans="1:23">
      <c r="A501" s="535"/>
      <c r="B501" s="108"/>
      <c r="C501" s="528" t="s">
        <v>503</v>
      </c>
      <c r="D501" s="534"/>
      <c r="E501" s="531"/>
      <c r="F501" s="325">
        <f>F380+F460+F465+F470+F475+F480+F485+F490</f>
        <v>0</v>
      </c>
      <c r="G501" s="325">
        <f>G1*G380+G460+G465+G470+G475+G480+G485+G490</f>
        <v>0</v>
      </c>
      <c r="H501" s="325">
        <f>H380+H460+H465+H470+H475+H480+H485+H490</f>
        <v>0</v>
      </c>
      <c r="I501" s="325">
        <f t="shared" ref="I501:Q501" si="102">I380+I460+I465+I470+I475+I480+I485+I490</f>
        <v>0</v>
      </c>
      <c r="J501" s="325">
        <f>J1*J380+J460+J465+J470+J475+J480+J485+J490</f>
        <v>0</v>
      </c>
      <c r="K501" s="325">
        <f>K1*K380+K460+K465+K470+K475+K480+K485+K490</f>
        <v>0</v>
      </c>
      <c r="L501" s="325">
        <f t="shared" si="102"/>
        <v>0</v>
      </c>
      <c r="M501" s="325">
        <f t="shared" si="102"/>
        <v>0</v>
      </c>
      <c r="N501" s="325">
        <f t="shared" si="102"/>
        <v>0</v>
      </c>
      <c r="O501" s="325">
        <f t="shared" si="102"/>
        <v>0</v>
      </c>
      <c r="P501" s="325">
        <f t="shared" si="102"/>
        <v>0</v>
      </c>
      <c r="Q501" s="325">
        <f t="shared" si="102"/>
        <v>0</v>
      </c>
      <c r="R501" s="325">
        <f>R1*R380+R460+R465+R470+R475+R480+R485+R490</f>
        <v>0</v>
      </c>
      <c r="S501" s="325">
        <f>S1*S380+S460+S465+S470+S475+S480+S485+S490</f>
        <v>0</v>
      </c>
      <c r="T501" s="532">
        <f>T380+T460+T465+T470+T475+T480+T485+T490</f>
        <v>0</v>
      </c>
      <c r="U501" s="325"/>
      <c r="V501" s="532">
        <f>V380+V460+V465+V470+V475+V480+V485+V490</f>
        <v>0</v>
      </c>
      <c r="W501" s="532">
        <f>+V501-'ROR-Model'!G501</f>
        <v>0</v>
      </c>
    </row>
    <row r="502" spans="1:23">
      <c r="A502" s="535"/>
      <c r="B502" s="108"/>
      <c r="C502" s="528" t="s">
        <v>504</v>
      </c>
      <c r="D502" s="534"/>
      <c r="E502" s="531"/>
      <c r="F502" s="325">
        <f>F385+F390+F395+F400+F405+F410+F415+F420+F425+F430+F435+F440+F445+F450+F455+F495</f>
        <v>0</v>
      </c>
      <c r="G502" s="325">
        <f>G1*G385+G390+G395+G400+G405+G410+G415+G420+G425+G430+G435+G440+G445+G450+G455+G495</f>
        <v>0</v>
      </c>
      <c r="H502" s="325">
        <f>H385+H390+H395+H400+H405+H410+H415+H420+H425+H430+H435+H440+H445+H450+H455+H495</f>
        <v>0</v>
      </c>
      <c r="I502" s="325">
        <f t="shared" ref="I502:Q502" si="103">I385+I390+I395+I400+I405+I410+I415+I420+I425+I430+I435+I440+I445+I450+I455+I495</f>
        <v>0</v>
      </c>
      <c r="J502" s="325">
        <f>J1*J385+J390+J395+J400+J405+J410+J415+J420+J425+J430+J435+J440+J445+J450+J455+J495</f>
        <v>0</v>
      </c>
      <c r="K502" s="325">
        <f>K1*K385+K390+K395+K400+K405+K410+K415+K420+K425+K430+K435+K440+K445+K450+K455+K495</f>
        <v>0</v>
      </c>
      <c r="L502" s="325">
        <f t="shared" si="103"/>
        <v>0</v>
      </c>
      <c r="M502" s="325">
        <f t="shared" si="103"/>
        <v>0</v>
      </c>
      <c r="N502" s="325">
        <f t="shared" si="103"/>
        <v>0</v>
      </c>
      <c r="O502" s="325">
        <f t="shared" si="103"/>
        <v>0</v>
      </c>
      <c r="P502" s="325">
        <f t="shared" si="103"/>
        <v>0</v>
      </c>
      <c r="Q502" s="325">
        <f t="shared" si="103"/>
        <v>0</v>
      </c>
      <c r="R502" s="325">
        <f>R1*R385+R390+R395+R400+R405+R410+R415+R420+R425+R430+R435+R440+R445+R450+R455+R495</f>
        <v>0</v>
      </c>
      <c r="S502" s="325">
        <f>S1*S385+S390+S395+S400+S405+S410+S415+S420+S425+S430+S435+S440+S445+S450+S455+S495</f>
        <v>0</v>
      </c>
      <c r="T502" s="532">
        <f>T385+T390+T395+T400+T405+T410+T415+T420+T425+T430+T435+T440+T445+T450+T455+T495</f>
        <v>0</v>
      </c>
      <c r="U502" s="325"/>
      <c r="V502" s="532">
        <f>V385+V390+V395+V400+V405+V410+V415+V420+V425+V430+V435+V440+V445+V450+V455+V495</f>
        <v>0</v>
      </c>
      <c r="W502" s="532">
        <f>+V502-'ROR-Model'!G502</f>
        <v>0</v>
      </c>
    </row>
    <row r="503" spans="1:23">
      <c r="A503" s="535"/>
      <c r="B503" s="108"/>
      <c r="C503" s="170" t="s">
        <v>505</v>
      </c>
      <c r="D503" s="534"/>
      <c r="E503" s="531"/>
      <c r="F503" s="325">
        <f>F380+F385+F390+F395+F400+F405+F410+F415+F420+F425+F430+F435+F440+F445+F450+F455+F460+F465+F470+F475+F480+F485+F490+F495</f>
        <v>0</v>
      </c>
      <c r="G503" s="325">
        <f>G1*G380+G385+G390+G395+G400+G405+G410+G415+G420+G425+G430+G435+G440+G445+G450+G455+G460+G465+G470+G475+G480+G485+G490+G495</f>
        <v>0</v>
      </c>
      <c r="H503" s="325">
        <f>H380+H385+H390+H395+H400+H405+H410+H415+H420+H425+H430+H435+H440+H445+H450+H455+H460+H465+H470+H475+H480+H485+H490+H495</f>
        <v>0</v>
      </c>
      <c r="I503" s="325">
        <f t="shared" ref="I503:Q503" si="104">I380+I385+I390+I395+I400+I405+I410+I415+I420+I425+I430+I435+I440+I445+I450+I455+I460+I465+I470+I475+I480+I485+I490+I495</f>
        <v>0</v>
      </c>
      <c r="J503" s="325">
        <f>J1*J380+J385+J390+J395+J400+J405+J410+J415+J420+J425+J430+J435+J440+J445+J450+J455+J460+J465+J470+J475+J480+J485+J490+J495</f>
        <v>0</v>
      </c>
      <c r="K503" s="325">
        <f>K1*K380+K385+K390+K395+K400+K405+K410+K415+K420+K425+K430+K435+K440+K445+K450+K455+K460+K465+K470+K475+K480+K485+K490+K495</f>
        <v>0</v>
      </c>
      <c r="L503" s="325">
        <f t="shared" si="104"/>
        <v>0</v>
      </c>
      <c r="M503" s="325">
        <f t="shared" si="104"/>
        <v>0</v>
      </c>
      <c r="N503" s="325">
        <f t="shared" si="104"/>
        <v>0</v>
      </c>
      <c r="O503" s="325">
        <f t="shared" si="104"/>
        <v>0</v>
      </c>
      <c r="P503" s="325">
        <f t="shared" si="104"/>
        <v>0</v>
      </c>
      <c r="Q503" s="325">
        <f t="shared" si="104"/>
        <v>0</v>
      </c>
      <c r="R503" s="325">
        <f>R1*R380+R385+R390+R395+R400+R405+R410+R415+R420+R425+R430+R435+R440+R445+R450+R455+R460+R465+R470+R475+R480+R485+R490+R495</f>
        <v>0</v>
      </c>
      <c r="S503" s="325">
        <f>S1*S380+S385+S390+S395+S400+S405+S410+S415+S420+S425+S430+S435+S440+S445+S450+S455+S460+S465+S470+S475+S480+S485+S490+S495</f>
        <v>0</v>
      </c>
      <c r="T503" s="532">
        <f>T380+T385+T390+T395+T400+T405+T410+T415+T420+T425+T430+T435+T440+T445+T450+T455+T460+T465+T470+T475+T480+T485+T490+T495</f>
        <v>0</v>
      </c>
      <c r="U503" s="325"/>
      <c r="V503" s="532">
        <f>V380+V385+V390+V395+V400+V405+V410+V415+V420+V425+V430+V435+V440+V445+V450+V455+V460+V465+V470+V475+V480+V485+V490+V495</f>
        <v>0</v>
      </c>
      <c r="W503" s="532">
        <f>+V503-'ROR-Model'!G503</f>
        <v>0</v>
      </c>
    </row>
    <row r="504" spans="1:23">
      <c r="A504" s="535"/>
      <c r="B504" s="108" t="s">
        <v>506</v>
      </c>
      <c r="C504" s="528"/>
      <c r="D504" s="534"/>
      <c r="E504" s="531"/>
      <c r="F504" s="325"/>
      <c r="G504" s="325"/>
      <c r="H504" s="325"/>
      <c r="I504" s="325"/>
      <c r="J504" s="325"/>
      <c r="K504" s="325"/>
      <c r="L504" s="325"/>
      <c r="M504" s="325"/>
      <c r="N504" s="325"/>
      <c r="O504" s="325"/>
      <c r="P504" s="325"/>
      <c r="Q504" s="325"/>
      <c r="R504" s="325"/>
      <c r="S504" s="325"/>
      <c r="T504" s="532"/>
      <c r="U504" s="325"/>
      <c r="V504" s="532"/>
      <c r="W504" s="532">
        <f>+V504-'ROR-Model'!G504</f>
        <v>0</v>
      </c>
    </row>
    <row r="505" spans="1:23">
      <c r="A505" s="535"/>
      <c r="B505" s="108"/>
      <c r="C505" s="528" t="s">
        <v>503</v>
      </c>
      <c r="D505" s="534"/>
      <c r="E505" s="531"/>
      <c r="F505" s="325">
        <f>F486+F491</f>
        <v>0</v>
      </c>
      <c r="G505" s="325">
        <f>G486+G491</f>
        <v>0</v>
      </c>
      <c r="H505" s="325">
        <f>H486+H491</f>
        <v>0</v>
      </c>
      <c r="I505" s="325">
        <f t="shared" ref="I505:Q505" si="105">I486+I491</f>
        <v>0</v>
      </c>
      <c r="J505" s="325">
        <f>J1*J486+J491</f>
        <v>0</v>
      </c>
      <c r="K505" s="325">
        <f>K1*K486+K491</f>
        <v>0</v>
      </c>
      <c r="L505" s="325">
        <f t="shared" si="105"/>
        <v>0</v>
      </c>
      <c r="M505" s="325">
        <f t="shared" si="105"/>
        <v>0</v>
      </c>
      <c r="N505" s="325">
        <f t="shared" si="105"/>
        <v>0</v>
      </c>
      <c r="O505" s="325">
        <f t="shared" si="105"/>
        <v>0</v>
      </c>
      <c r="P505" s="325">
        <f t="shared" si="105"/>
        <v>0</v>
      </c>
      <c r="Q505" s="325">
        <f t="shared" si="105"/>
        <v>0</v>
      </c>
      <c r="R505" s="325">
        <f>R1*R486+R491</f>
        <v>0</v>
      </c>
      <c r="S505" s="325">
        <f>S1*S486+S491</f>
        <v>0</v>
      </c>
      <c r="T505" s="532">
        <f>T486+T491</f>
        <v>0</v>
      </c>
      <c r="U505" s="325"/>
      <c r="V505" s="532">
        <f>V486+V491</f>
        <v>0</v>
      </c>
      <c r="W505" s="532">
        <f>+V505-'ROR-Model'!G505</f>
        <v>0</v>
      </c>
    </row>
    <row r="506" spans="1:23">
      <c r="A506" s="535"/>
      <c r="B506" s="108"/>
      <c r="C506" s="528" t="s">
        <v>504</v>
      </c>
      <c r="D506" s="534"/>
      <c r="E506" s="531"/>
      <c r="F506" s="325">
        <f>F381+F386+F391+F396+F401+F406+F411+F416+F421+F426+F431+F436+F441+F446+F451+F456+F461+F466+F471+F476+F481+F496</f>
        <v>0</v>
      </c>
      <c r="G506" s="325">
        <f>G381+G386+G391+G396+G401+G406+G411+G416+G421+G426+G431+G436+G441+G446+G451+G456+G461+G466+G471+G476+G481+G496</f>
        <v>0</v>
      </c>
      <c r="H506" s="325">
        <f>H381+H386+H391+H396+H401+H406+H411+H416+H421+H426+H431+H436+H441+H446+H451+H456+H461+H466+H471+H476+H481+H496</f>
        <v>0</v>
      </c>
      <c r="I506" s="325">
        <f t="shared" ref="I506:Q506" si="106">I381+I386+I391+I396+I401+I406+I411+I416+I421+I426+I431+I436+I441+I446+I451+I456+I461+I466+I471+I476+I481+I496</f>
        <v>0</v>
      </c>
      <c r="J506" s="325">
        <f>J1*J381+J386+J391+J396+J401+J406+J411+J416+J421+J426+J431+J436+J441+J446+J451+J456+J461+J466+J471+J476+J481+J496</f>
        <v>0</v>
      </c>
      <c r="K506" s="325">
        <f>K1*K381+K386+K391+K396+K401+K406+K411+K416+K421+K426+K431+K436+K441+K446+K451+K456+K461+K466+K471+K476+K481+K496</f>
        <v>0</v>
      </c>
      <c r="L506" s="325">
        <f t="shared" si="106"/>
        <v>0</v>
      </c>
      <c r="M506" s="325">
        <f t="shared" si="106"/>
        <v>0</v>
      </c>
      <c r="N506" s="325">
        <f t="shared" si="106"/>
        <v>0</v>
      </c>
      <c r="O506" s="325">
        <f t="shared" si="106"/>
        <v>0</v>
      </c>
      <c r="P506" s="325">
        <f t="shared" si="106"/>
        <v>0</v>
      </c>
      <c r="Q506" s="325">
        <f t="shared" si="106"/>
        <v>0</v>
      </c>
      <c r="R506" s="325">
        <f>R1*R381+R386+R391+R396+R401+R406+R411+R416+R421+R426+R431+R436+R441+R446+R451+R456+R461+R466+R471+R476+R481+R496</f>
        <v>0</v>
      </c>
      <c r="S506" s="325">
        <f>S1*S381+S386+S391+S396+S401+S406+S411+S416+S421+S426+S431+S436+S441+S446+S451+S456+S461+S466+S471+S476+S481+S496</f>
        <v>0</v>
      </c>
      <c r="T506" s="532">
        <f>T381+T386+T391+T396+T401+T406+T411+T416+T421+T426+T431+T436+T441+T446+T451+T456+T461+T466+T471+T476+T481+T496</f>
        <v>0</v>
      </c>
      <c r="U506" s="325"/>
      <c r="V506" s="532">
        <f>V381+V386+V391+V396+V401+V406+V411+V416+V421+V426+V431+V436+V441+V446+V451+V456+V461+V466+V471+V476+V481+V496</f>
        <v>0</v>
      </c>
      <c r="W506" s="532">
        <f>+V506-'ROR-Model'!G506</f>
        <v>0</v>
      </c>
    </row>
    <row r="507" spans="1:23">
      <c r="A507" s="535"/>
      <c r="B507" s="108"/>
      <c r="C507" s="170" t="s">
        <v>507</v>
      </c>
      <c r="D507" s="534"/>
      <c r="E507" s="531"/>
      <c r="F507" s="325">
        <f>F381+F386+F391+F396+F401+F406+F411+F416+F421+F426+F431+F436+F441+F446+F451+F456+F461+F466+F471+F476+F481+F486+F491+F496</f>
        <v>0</v>
      </c>
      <c r="G507" s="325">
        <f>G1*G381+G386+G391+G396+G401+G406+G411+G416+G421+G426+G431+G436+G441+G446+G451+G456+G461+G466+G471+G476+G481+G486+G491+G496</f>
        <v>0</v>
      </c>
      <c r="H507" s="325">
        <f>H381+H386+H391+H396+H401+H406+H411+H416+H421+H426+H431+H436+H441+H446+H451+H456+H461+H466+H471+H476+H481+H486+H491+H496</f>
        <v>0</v>
      </c>
      <c r="I507" s="325">
        <f t="shared" ref="I507:Q507" si="107">I381+I386+I391+I396+I401+I406+I411+I416+I421+I426+I431+I436+I441+I446+I451+I456+I461+I466+I471+I476+I481+I486+I491+I496</f>
        <v>0</v>
      </c>
      <c r="J507" s="325">
        <f>J1*J381+J386+J391+J396+J401+J406+J411+J416+J421+J426+J431+J436+J441+J446+J451+J456+J461+J466+J471+J476+J481+J486+J491+J496</f>
        <v>0</v>
      </c>
      <c r="K507" s="325">
        <f>K1*K381+K386+K391+K396+K401+K406+K411+K416+K421+K426+K431+K436+K441+K446+K451+K456+K461+K466+K471+K476+K481+K486+K491+K496</f>
        <v>0</v>
      </c>
      <c r="L507" s="325">
        <f t="shared" si="107"/>
        <v>0</v>
      </c>
      <c r="M507" s="325">
        <f t="shared" si="107"/>
        <v>0</v>
      </c>
      <c r="N507" s="325">
        <f t="shared" si="107"/>
        <v>0</v>
      </c>
      <c r="O507" s="325">
        <f t="shared" si="107"/>
        <v>0</v>
      </c>
      <c r="P507" s="325">
        <f t="shared" si="107"/>
        <v>0</v>
      </c>
      <c r="Q507" s="325">
        <f t="shared" si="107"/>
        <v>0</v>
      </c>
      <c r="R507" s="325">
        <f>R1*R381+R386+R391+R396+R401+R406+R411+R416+R421+R426+R431+R436+R441+R446+R451+R456+R461+R466+R471+R476+R481+R486+R491+R496</f>
        <v>0</v>
      </c>
      <c r="S507" s="325">
        <f>S1*S381+S386+S391+S396+S401+S406+S411+S416+S421+S426+S431+S436+S441+S446+S451+S456+S461+S466+S471+S476+S481+S486+S491+S496</f>
        <v>0</v>
      </c>
      <c r="T507" s="532">
        <f>T381+T386+T391+T396+T401+T406+T411+T416+T421+T426+T431+T436+T441+T446+T451+T456+T461+T466+T471+T476+T481+T486+T491+T496</f>
        <v>0</v>
      </c>
      <c r="U507" s="325"/>
      <c r="V507" s="532">
        <f>V381+V386+V391+V396+V401+V406+V411+V416+V421+V426+V431+V436+V441+V446+V451+V456+V461+V466+V471+V476+V481+V486+V491+V496</f>
        <v>0</v>
      </c>
      <c r="W507" s="532">
        <f>+V507-'ROR-Model'!G507</f>
        <v>0</v>
      </c>
    </row>
    <row r="508" spans="1:23">
      <c r="A508" s="535"/>
      <c r="B508" s="108"/>
      <c r="C508" s="528"/>
      <c r="D508" s="534"/>
      <c r="E508" s="531"/>
      <c r="F508" s="325"/>
      <c r="G508" s="325"/>
      <c r="H508" s="325"/>
      <c r="I508" s="325"/>
      <c r="J508" s="325"/>
      <c r="K508" s="325"/>
      <c r="L508" s="325"/>
      <c r="M508" s="325"/>
      <c r="N508" s="325"/>
      <c r="O508" s="325"/>
      <c r="P508" s="325"/>
      <c r="Q508" s="325"/>
      <c r="R508" s="325"/>
      <c r="S508" s="325"/>
      <c r="T508" s="532"/>
      <c r="U508" s="325"/>
      <c r="V508" s="532"/>
      <c r="W508" s="532">
        <f>+V508-'ROR-Model'!G508</f>
        <v>0</v>
      </c>
    </row>
    <row r="509" spans="1:23">
      <c r="A509" s="535"/>
      <c r="B509" s="108" t="s">
        <v>508</v>
      </c>
      <c r="C509" s="528"/>
      <c r="D509" s="534"/>
      <c r="E509" s="531"/>
      <c r="F509" s="325">
        <f>F382+F387+F392+F397+F402+F407+F412+F417+F422+F427+F432+F437+F442+F447+F452+F457+F462+F467+F472+F477+F482+F487+F492+F497</f>
        <v>0</v>
      </c>
      <c r="G509" s="325">
        <f>G1*G382+G387+G392+G397+G402+G407+G412+G417+G422+G427+G432+G437+G442+G447+G452+G457+G462+G467+G472+G477+G482+G487+G492+G497</f>
        <v>0</v>
      </c>
      <c r="H509" s="325">
        <f>H382+H387+H392+H397+H402+H407+H412+H417+H422+H427+H432+H437+H442+H447+H452+H457+H462+H467+H472+H477+H482+H487+H492+H497</f>
        <v>0</v>
      </c>
      <c r="I509" s="325">
        <f t="shared" ref="I509:Q509" si="108">I382+I387+I392+I397+I402+I407+I412+I417+I422+I427+I432+I437+I442+I447+I452+I457+I462+I467+I472+I477+I482+I487+I492+I497</f>
        <v>0</v>
      </c>
      <c r="J509" s="325">
        <f>J1*J382+J387+J392+J397+J402+J407+J412+J417+J422+J427+J432+J437+J442+J447+J452+J457+J462+J467+J472+J477+J482+J487+J492+J497</f>
        <v>0</v>
      </c>
      <c r="K509" s="325">
        <f>K1*K382+K387+K392+K397+K402+K407+K412+K417+K422+K427+K432+K437+K442+K447+K452+K457+K462+K467+K472+K477+K482+K487+K492+K497</f>
        <v>0</v>
      </c>
      <c r="L509" s="325">
        <f t="shared" si="108"/>
        <v>0</v>
      </c>
      <c r="M509" s="325">
        <f t="shared" si="108"/>
        <v>0</v>
      </c>
      <c r="N509" s="325">
        <f t="shared" si="108"/>
        <v>0</v>
      </c>
      <c r="O509" s="325">
        <f t="shared" si="108"/>
        <v>0</v>
      </c>
      <c r="P509" s="325">
        <f t="shared" si="108"/>
        <v>0</v>
      </c>
      <c r="Q509" s="325">
        <f t="shared" si="108"/>
        <v>0</v>
      </c>
      <c r="R509" s="325">
        <f>R1*R382+R387+R392+R397+R402+R407+R412+R417+R422+R427+R432+R437+R442+R447+R452+R457+R462+R467+R472+R477+R482+R487+R492+R497</f>
        <v>0</v>
      </c>
      <c r="S509" s="325">
        <f>S1*S382+S387+S392+S397+S402+S407+S412+S417+S422+S427+S432+S437+S442+S447+S452+S457+S462+S467+S472+S477+S482+S487+S492+S497</f>
        <v>0</v>
      </c>
      <c r="T509" s="532">
        <f>T382+T387+T392+T397+T402+T407+T412+T417+T422+T427+T432+T437+T442+T447+T452+T457+T462+T467+T472+T477+T482+T487+T492+T497</f>
        <v>0</v>
      </c>
      <c r="U509" s="325"/>
      <c r="V509" s="532">
        <f>V382+V387+V392+V397+V402+V407+V412+V417+V422+V427+V432+V437+V442+V447+V452+V457+V462+V467+V472+V477+V482+V487+V492+V497</f>
        <v>0</v>
      </c>
      <c r="W509" s="532">
        <f>+V509-'ROR-Model'!G509</f>
        <v>0</v>
      </c>
    </row>
    <row r="510" spans="1:23">
      <c r="A510" s="535"/>
      <c r="B510" s="108"/>
      <c r="C510" s="528"/>
      <c r="D510" s="534"/>
      <c r="E510" s="531"/>
      <c r="F510" s="325"/>
      <c r="G510" s="325"/>
      <c r="H510" s="325"/>
      <c r="I510" s="325"/>
      <c r="J510" s="325"/>
      <c r="K510" s="325"/>
      <c r="L510" s="325"/>
      <c r="M510" s="325"/>
      <c r="N510" s="325"/>
      <c r="O510" s="325"/>
      <c r="P510" s="325"/>
      <c r="Q510" s="325"/>
      <c r="R510" s="325"/>
      <c r="S510" s="325"/>
      <c r="T510" s="532"/>
      <c r="U510" s="325"/>
      <c r="V510" s="532"/>
      <c r="W510" s="532"/>
    </row>
    <row r="511" spans="1:23">
      <c r="A511" s="535"/>
      <c r="B511" s="108"/>
      <c r="C511" s="528"/>
      <c r="D511" s="534"/>
      <c r="E511" s="531"/>
      <c r="F511" s="325"/>
      <c r="G511" s="325"/>
      <c r="H511" s="325"/>
      <c r="I511" s="325"/>
      <c r="J511" s="325"/>
      <c r="K511" s="325"/>
      <c r="L511" s="325"/>
      <c r="M511" s="325"/>
      <c r="N511" s="325"/>
      <c r="O511" s="325"/>
      <c r="P511" s="325"/>
      <c r="Q511" s="325"/>
      <c r="R511" s="325"/>
      <c r="S511" s="325"/>
      <c r="T511" s="532"/>
      <c r="U511" s="325"/>
      <c r="V511" s="532"/>
      <c r="W511" s="532"/>
    </row>
    <row r="512" spans="1:23">
      <c r="A512" s="167" t="s">
        <v>306</v>
      </c>
      <c r="B512" s="108"/>
      <c r="C512" s="528"/>
      <c r="D512" s="534"/>
      <c r="E512" s="531"/>
      <c r="F512" s="325">
        <f>F368+F509</f>
        <v>0</v>
      </c>
      <c r="G512" s="325">
        <f>G1*G368+G509</f>
        <v>-26231775.859999996</v>
      </c>
      <c r="H512" s="325">
        <f>H368+H509</f>
        <v>0</v>
      </c>
      <c r="I512" s="325">
        <f t="shared" ref="I512:Q512" si="109">I368+I509</f>
        <v>0</v>
      </c>
      <c r="J512" s="325">
        <f>J1*J368+J509</f>
        <v>0</v>
      </c>
      <c r="K512" s="325">
        <f>K1*K368+K509</f>
        <v>0</v>
      </c>
      <c r="L512" s="325">
        <f t="shared" si="109"/>
        <v>0</v>
      </c>
      <c r="M512" s="325">
        <f t="shared" si="109"/>
        <v>0</v>
      </c>
      <c r="N512" s="325">
        <f t="shared" si="109"/>
        <v>0</v>
      </c>
      <c r="O512" s="325">
        <f t="shared" si="109"/>
        <v>0</v>
      </c>
      <c r="P512" s="325">
        <f t="shared" si="109"/>
        <v>0</v>
      </c>
      <c r="Q512" s="325">
        <f t="shared" si="109"/>
        <v>0</v>
      </c>
      <c r="R512" s="325">
        <f>R1*R368+R509</f>
        <v>0</v>
      </c>
      <c r="S512" s="325">
        <f>S1*S368+S509</f>
        <v>0</v>
      </c>
      <c r="T512" s="532">
        <f>SUM(F512:S512)</f>
        <v>-26231775.859999996</v>
      </c>
      <c r="U512" s="325"/>
      <c r="V512" s="532">
        <f>SUM(T512:T512)</f>
        <v>-26231775.859999996</v>
      </c>
      <c r="W512" s="532">
        <f>+V512-'ROR-Model'!G512</f>
        <v>0</v>
      </c>
    </row>
    <row r="513" spans="1:23">
      <c r="A513" s="535"/>
      <c r="B513" s="534"/>
      <c r="C513" s="534"/>
      <c r="D513" s="534"/>
      <c r="E513" s="531"/>
      <c r="F513" s="301"/>
      <c r="G513" s="301"/>
      <c r="H513" s="301"/>
      <c r="I513" s="301"/>
      <c r="J513" s="325"/>
      <c r="K513" s="325"/>
      <c r="L513" s="301"/>
      <c r="M513" s="301"/>
      <c r="N513" s="301"/>
      <c r="O513" s="301"/>
      <c r="P513" s="301"/>
      <c r="Q513" s="325"/>
      <c r="R513" s="325"/>
      <c r="S513" s="325"/>
      <c r="T513" s="532"/>
      <c r="U513" s="301"/>
      <c r="V513" s="532"/>
      <c r="W513" s="532">
        <f>+V513-'ROR-Model'!G513</f>
        <v>0</v>
      </c>
    </row>
    <row r="514" spans="1:23">
      <c r="A514" s="535"/>
      <c r="B514" s="534"/>
      <c r="C514" s="534"/>
      <c r="D514" s="534"/>
      <c r="E514" s="531"/>
      <c r="F514" s="301"/>
      <c r="G514" s="301"/>
      <c r="H514" s="301"/>
      <c r="I514" s="301"/>
      <c r="J514" s="325"/>
      <c r="K514" s="325"/>
      <c r="L514" s="301"/>
      <c r="M514" s="301"/>
      <c r="N514" s="301"/>
      <c r="O514" s="301"/>
      <c r="P514" s="301"/>
      <c r="Q514" s="325"/>
      <c r="R514" s="325"/>
      <c r="S514" s="325"/>
      <c r="T514" s="532"/>
      <c r="U514" s="301"/>
      <c r="V514" s="532"/>
      <c r="W514" s="532">
        <f>+V514-'ROR-Model'!G514</f>
        <v>0</v>
      </c>
    </row>
    <row r="515" spans="1:23">
      <c r="A515" s="1109" t="s">
        <v>307</v>
      </c>
      <c r="B515" s="1109"/>
      <c r="C515" s="1109"/>
      <c r="D515" s="1109"/>
      <c r="E515" s="1110"/>
      <c r="F515" s="301"/>
      <c r="G515" s="301"/>
      <c r="H515" s="301"/>
      <c r="I515" s="301"/>
      <c r="J515" s="325"/>
      <c r="K515" s="325"/>
      <c r="L515" s="301"/>
      <c r="M515" s="301"/>
      <c r="N515" s="301"/>
      <c r="O515" s="301"/>
      <c r="P515" s="301"/>
      <c r="Q515" s="325"/>
      <c r="R515" s="325"/>
      <c r="S515" s="325"/>
      <c r="T515" s="532"/>
      <c r="U515" s="301"/>
      <c r="V515" s="532"/>
      <c r="W515" s="532">
        <f>+V515-'ROR-Model'!G515</f>
        <v>0</v>
      </c>
    </row>
    <row r="516" spans="1:23">
      <c r="A516" s="167" t="s">
        <v>308</v>
      </c>
      <c r="B516" s="534"/>
      <c r="C516" s="534"/>
      <c r="D516" s="534"/>
      <c r="E516" s="531"/>
      <c r="F516" s="301"/>
      <c r="G516" s="301"/>
      <c r="H516" s="301"/>
      <c r="I516" s="301"/>
      <c r="J516" s="325"/>
      <c r="K516" s="325"/>
      <c r="L516" s="301"/>
      <c r="M516" s="301"/>
      <c r="N516" s="301"/>
      <c r="O516" s="301"/>
      <c r="P516" s="301"/>
      <c r="Q516" s="325"/>
      <c r="R516" s="325"/>
      <c r="S516" s="325"/>
      <c r="T516" s="532"/>
      <c r="U516" s="301"/>
      <c r="V516" s="532"/>
      <c r="W516" s="532">
        <f>+V516-'ROR-Model'!G516</f>
        <v>0</v>
      </c>
    </row>
    <row r="517" spans="1:23">
      <c r="A517" s="535"/>
      <c r="B517" s="534"/>
      <c r="C517" s="534"/>
      <c r="D517" s="534"/>
      <c r="E517" s="531"/>
      <c r="F517" s="301"/>
      <c r="G517" s="301"/>
      <c r="H517" s="301"/>
      <c r="I517" s="301"/>
      <c r="J517" s="325"/>
      <c r="K517" s="325"/>
      <c r="L517" s="301"/>
      <c r="M517" s="301"/>
      <c r="N517" s="301"/>
      <c r="O517" s="301"/>
      <c r="P517" s="301"/>
      <c r="Q517" s="325"/>
      <c r="R517" s="325"/>
      <c r="S517" s="325"/>
      <c r="T517" s="532"/>
      <c r="U517" s="301"/>
      <c r="V517" s="532"/>
      <c r="W517" s="532">
        <f>+V517-'ROR-Model'!G517</f>
        <v>0</v>
      </c>
    </row>
    <row r="518" spans="1:23">
      <c r="A518" s="543"/>
      <c r="B518" s="534" t="s">
        <v>143</v>
      </c>
      <c r="C518" s="534"/>
      <c r="D518" s="534"/>
      <c r="E518" s="531"/>
      <c r="F518" s="301"/>
      <c r="G518" s="301"/>
      <c r="H518" s="301"/>
      <c r="I518" s="301"/>
      <c r="J518" s="325"/>
      <c r="K518" s="325"/>
      <c r="L518" s="301"/>
      <c r="M518" s="301"/>
      <c r="N518" s="301"/>
      <c r="O518" s="301"/>
      <c r="P518" s="301"/>
      <c r="Q518" s="325"/>
      <c r="R518" s="325"/>
      <c r="S518" s="325"/>
      <c r="T518" s="532"/>
      <c r="U518" s="301"/>
      <c r="V518" s="532"/>
      <c r="W518" s="532">
        <f>+V518-'ROR-Model'!G518</f>
        <v>0</v>
      </c>
    </row>
    <row r="519" spans="1:23">
      <c r="A519" s="543"/>
      <c r="B519" s="534"/>
      <c r="C519" s="534"/>
      <c r="D519" s="534"/>
      <c r="E519" s="531"/>
      <c r="F519" s="301"/>
      <c r="G519" s="301"/>
      <c r="H519" s="301"/>
      <c r="I519" s="301"/>
      <c r="J519" s="325"/>
      <c r="K519" s="325"/>
      <c r="L519" s="301"/>
      <c r="M519" s="301"/>
      <c r="N519" s="301"/>
      <c r="O519" s="301"/>
      <c r="P519" s="301"/>
      <c r="Q519" s="325"/>
      <c r="R519" s="325"/>
      <c r="S519" s="325"/>
      <c r="T519" s="532"/>
      <c r="U519" s="301"/>
      <c r="V519" s="532"/>
      <c r="W519" s="532">
        <f>+V519-'ROR-Model'!G519</f>
        <v>0</v>
      </c>
    </row>
    <row r="520" spans="1:23">
      <c r="A520" s="543">
        <v>758</v>
      </c>
      <c r="B520" s="534" t="s">
        <v>309</v>
      </c>
      <c r="C520" s="534"/>
      <c r="D520" s="534"/>
      <c r="E520" s="531"/>
      <c r="F520" s="301"/>
      <c r="G520" s="301"/>
      <c r="H520" s="301"/>
      <c r="I520" s="301"/>
      <c r="J520" s="325"/>
      <c r="K520" s="325"/>
      <c r="L520" s="301"/>
      <c r="M520" s="301"/>
      <c r="N520" s="301"/>
      <c r="O520" s="301"/>
      <c r="P520" s="301"/>
      <c r="Q520" s="325"/>
      <c r="R520" s="325"/>
      <c r="S520" s="325"/>
      <c r="T520" s="532"/>
      <c r="U520" s="301"/>
      <c r="V520" s="532"/>
      <c r="W520" s="532">
        <f>+V520-'ROR-Model'!G520</f>
        <v>0</v>
      </c>
    </row>
    <row r="521" spans="1:23">
      <c r="A521" s="543"/>
      <c r="B521" s="534"/>
      <c r="C521" s="534" t="s">
        <v>12</v>
      </c>
      <c r="D521" s="534"/>
      <c r="E521" s="531"/>
      <c r="F521" s="301"/>
      <c r="G521" s="301"/>
      <c r="H521" s="301"/>
      <c r="I521" s="301"/>
      <c r="J521" s="325">
        <v>0</v>
      </c>
      <c r="K521" s="325">
        <v>0</v>
      </c>
      <c r="L521" s="301"/>
      <c r="M521" s="301"/>
      <c r="N521" s="301"/>
      <c r="O521" s="301"/>
      <c r="P521" s="301"/>
      <c r="Q521" s="325"/>
      <c r="R521" s="325">
        <v>0</v>
      </c>
      <c r="S521" s="325">
        <v>0</v>
      </c>
      <c r="T521" s="532">
        <f>SUM(F521:S521)</f>
        <v>0</v>
      </c>
      <c r="U521" s="301"/>
      <c r="V521" s="532">
        <f>SUM(T521:T521)</f>
        <v>0</v>
      </c>
      <c r="W521" s="532">
        <f>+V521-'ROR-Model'!G521</f>
        <v>0</v>
      </c>
    </row>
    <row r="522" spans="1:23">
      <c r="A522" s="543"/>
      <c r="B522" s="534"/>
      <c r="C522" s="534" t="s">
        <v>23</v>
      </c>
      <c r="D522" s="534"/>
      <c r="E522" s="531"/>
      <c r="F522" s="301"/>
      <c r="G522" s="301"/>
      <c r="H522" s="301"/>
      <c r="I522" s="301"/>
      <c r="J522" s="325"/>
      <c r="K522" s="325"/>
      <c r="L522" s="301"/>
      <c r="M522" s="301"/>
      <c r="N522" s="301"/>
      <c r="O522" s="301"/>
      <c r="P522" s="301"/>
      <c r="Q522" s="325"/>
      <c r="R522" s="325"/>
      <c r="S522" s="325"/>
      <c r="T522" s="532">
        <f>SUM(F522:S522)</f>
        <v>0</v>
      </c>
      <c r="U522" s="301"/>
      <c r="V522" s="532">
        <f>SUM(T522:T522)</f>
        <v>0</v>
      </c>
      <c r="W522" s="532">
        <f>+V522-'ROR-Model'!G522</f>
        <v>0</v>
      </c>
    </row>
    <row r="523" spans="1:23">
      <c r="A523" s="543"/>
      <c r="B523" s="534"/>
      <c r="C523" s="534" t="s">
        <v>145</v>
      </c>
      <c r="D523" s="534"/>
      <c r="E523" s="531"/>
      <c r="F523" s="323">
        <f>SUM(F521:F522)</f>
        <v>0</v>
      </c>
      <c r="G523" s="323">
        <f>G1*SUM(G521:G522)</f>
        <v>0</v>
      </c>
      <c r="H523" s="323">
        <f>SUM(H521:H522)</f>
        <v>0</v>
      </c>
      <c r="I523" s="323">
        <f t="shared" ref="I523:P523" si="110">SUM(I521:I522)</f>
        <v>0</v>
      </c>
      <c r="J523" s="476">
        <f>J1*SUM(J521:J522)</f>
        <v>0</v>
      </c>
      <c r="K523" s="476">
        <f>K1*SUM(K521:K522)</f>
        <v>0</v>
      </c>
      <c r="L523" s="323">
        <f t="shared" si="110"/>
        <v>0</v>
      </c>
      <c r="M523" s="323">
        <f t="shared" si="110"/>
        <v>0</v>
      </c>
      <c r="N523" s="323">
        <f t="shared" si="110"/>
        <v>0</v>
      </c>
      <c r="O523" s="323">
        <f t="shared" si="110"/>
        <v>0</v>
      </c>
      <c r="P523" s="323">
        <f t="shared" si="110"/>
        <v>0</v>
      </c>
      <c r="Q523" s="476">
        <f>SUM(Q521:Q522)</f>
        <v>0</v>
      </c>
      <c r="R523" s="476">
        <f>R1*SUM(R521:R522)</f>
        <v>0</v>
      </c>
      <c r="S523" s="476">
        <f>S1*SUM(S521:S522)</f>
        <v>0</v>
      </c>
      <c r="T523" s="536">
        <f>SUM(T521:T522)</f>
        <v>0</v>
      </c>
      <c r="U523" s="323"/>
      <c r="V523" s="536">
        <f>SUM(V521:V522)</f>
        <v>0</v>
      </c>
      <c r="W523" s="536">
        <f>+V523-'ROR-Model'!G523</f>
        <v>0</v>
      </c>
    </row>
    <row r="524" spans="1:23">
      <c r="A524" s="543"/>
      <c r="B524" s="534"/>
      <c r="C524" s="534"/>
      <c r="D524" s="534"/>
      <c r="E524" s="531"/>
      <c r="F524" s="301"/>
      <c r="G524" s="301"/>
      <c r="H524" s="301"/>
      <c r="I524" s="301"/>
      <c r="J524" s="325"/>
      <c r="K524" s="325"/>
      <c r="L524" s="301"/>
      <c r="M524" s="301"/>
      <c r="N524" s="301"/>
      <c r="O524" s="301"/>
      <c r="P524" s="301"/>
      <c r="Q524" s="325"/>
      <c r="R524" s="325"/>
      <c r="S524" s="325"/>
      <c r="T524" s="532"/>
      <c r="U524" s="301"/>
      <c r="V524" s="532"/>
      <c r="W524" s="532">
        <f>+V524-'ROR-Model'!G524</f>
        <v>0</v>
      </c>
    </row>
    <row r="525" spans="1:23">
      <c r="A525" s="543">
        <v>758.1</v>
      </c>
      <c r="B525" s="534" t="s">
        <v>310</v>
      </c>
      <c r="C525" s="534"/>
      <c r="D525" s="534"/>
      <c r="E525" s="531"/>
      <c r="F525" s="301"/>
      <c r="G525" s="301"/>
      <c r="H525" s="301"/>
      <c r="I525" s="301"/>
      <c r="J525" s="325"/>
      <c r="K525" s="325"/>
      <c r="L525" s="301"/>
      <c r="M525" s="301"/>
      <c r="N525" s="301"/>
      <c r="O525" s="301"/>
      <c r="P525" s="301"/>
      <c r="Q525" s="325"/>
      <c r="R525" s="325"/>
      <c r="S525" s="325"/>
      <c r="T525" s="532"/>
      <c r="U525" s="301"/>
      <c r="V525" s="532"/>
      <c r="W525" s="532">
        <f>+V525-'ROR-Model'!G525</f>
        <v>0</v>
      </c>
    </row>
    <row r="526" spans="1:23">
      <c r="A526" s="543"/>
      <c r="B526" s="534"/>
      <c r="C526" s="534" t="s">
        <v>12</v>
      </c>
      <c r="D526" s="534"/>
      <c r="E526" s="531"/>
      <c r="F526" s="301"/>
      <c r="G526" s="301"/>
      <c r="H526" s="301"/>
      <c r="I526" s="301"/>
      <c r="J526" s="325"/>
      <c r="K526" s="325"/>
      <c r="L526" s="301"/>
      <c r="M526" s="301"/>
      <c r="N526" s="301"/>
      <c r="O526" s="301"/>
      <c r="P526" s="301"/>
      <c r="Q526" s="325"/>
      <c r="R526" s="325"/>
      <c r="S526" s="325"/>
      <c r="T526" s="532">
        <f>SUM(F526:S526)</f>
        <v>0</v>
      </c>
      <c r="U526" s="301"/>
      <c r="V526" s="532">
        <f>SUM(T526:T526)</f>
        <v>0</v>
      </c>
      <c r="W526" s="532">
        <f>+V526-'ROR-Model'!G526</f>
        <v>0</v>
      </c>
    </row>
    <row r="527" spans="1:23">
      <c r="A527" s="543"/>
      <c r="B527" s="534"/>
      <c r="C527" s="534" t="s">
        <v>23</v>
      </c>
      <c r="D527" s="534"/>
      <c r="E527" s="531"/>
      <c r="F527" s="301"/>
      <c r="G527" s="301"/>
      <c r="H527" s="301"/>
      <c r="I527" s="301"/>
      <c r="J527" s="325"/>
      <c r="K527" s="325"/>
      <c r="L527" s="301"/>
      <c r="M527" s="301"/>
      <c r="N527" s="301"/>
      <c r="O527" s="301"/>
      <c r="P527" s="301"/>
      <c r="Q527" s="325"/>
      <c r="R527" s="325"/>
      <c r="S527" s="325"/>
      <c r="T527" s="532">
        <f>SUM(F527:S527)</f>
        <v>0</v>
      </c>
      <c r="U527" s="301"/>
      <c r="V527" s="532">
        <f>SUM(T527:T527)</f>
        <v>0</v>
      </c>
      <c r="W527" s="532">
        <f>+V527-'ROR-Model'!G527</f>
        <v>0</v>
      </c>
    </row>
    <row r="528" spans="1:23">
      <c r="A528" s="543"/>
      <c r="B528" s="534"/>
      <c r="C528" s="534" t="s">
        <v>145</v>
      </c>
      <c r="D528" s="534"/>
      <c r="E528" s="531"/>
      <c r="F528" s="323">
        <f>SUM(F526:F527)</f>
        <v>0</v>
      </c>
      <c r="G528" s="323">
        <f>G1*SUM(G526:G527)</f>
        <v>0</v>
      </c>
      <c r="H528" s="323">
        <f>SUM(H526:H527)</f>
        <v>0</v>
      </c>
      <c r="I528" s="323">
        <f t="shared" ref="I528:P528" si="111">SUM(I526:I527)</f>
        <v>0</v>
      </c>
      <c r="J528" s="476">
        <f>J1*SUM(J526:J527)</f>
        <v>0</v>
      </c>
      <c r="K528" s="476">
        <f>K1*SUM(K526:K527)</f>
        <v>0</v>
      </c>
      <c r="L528" s="323">
        <f t="shared" si="111"/>
        <v>0</v>
      </c>
      <c r="M528" s="323">
        <f t="shared" si="111"/>
        <v>0</v>
      </c>
      <c r="N528" s="323">
        <f t="shared" si="111"/>
        <v>0</v>
      </c>
      <c r="O528" s="323">
        <f t="shared" si="111"/>
        <v>0</v>
      </c>
      <c r="P528" s="323">
        <f t="shared" si="111"/>
        <v>0</v>
      </c>
      <c r="Q528" s="476">
        <f>SUM(Q526:Q527)</f>
        <v>0</v>
      </c>
      <c r="R528" s="476">
        <f>R1*SUM(R526:R527)</f>
        <v>0</v>
      </c>
      <c r="S528" s="476">
        <f>S1*SUM(S526:S527)</f>
        <v>0</v>
      </c>
      <c r="T528" s="536">
        <f>SUM(T526:T527)</f>
        <v>0</v>
      </c>
      <c r="U528" s="323"/>
      <c r="V528" s="536">
        <f>SUM(V526:V527)</f>
        <v>0</v>
      </c>
      <c r="W528" s="536">
        <f>+V528-'ROR-Model'!G528</f>
        <v>0</v>
      </c>
    </row>
    <row r="529" spans="1:23">
      <c r="A529" s="543"/>
      <c r="B529" s="534"/>
      <c r="C529" s="534"/>
      <c r="D529" s="534"/>
      <c r="E529" s="531"/>
      <c r="F529" s="301"/>
      <c r="G529" s="301"/>
      <c r="H529" s="301"/>
      <c r="I529" s="301"/>
      <c r="J529" s="325"/>
      <c r="K529" s="325"/>
      <c r="L529" s="301"/>
      <c r="M529" s="301"/>
      <c r="N529" s="301"/>
      <c r="O529" s="301"/>
      <c r="P529" s="301"/>
      <c r="Q529" s="325"/>
      <c r="R529" s="325"/>
      <c r="S529" s="325"/>
      <c r="T529" s="532"/>
      <c r="U529" s="301"/>
      <c r="V529" s="532"/>
      <c r="W529" s="532">
        <f>+V529-'ROR-Model'!G529</f>
        <v>0</v>
      </c>
    </row>
    <row r="530" spans="1:23">
      <c r="A530" s="543">
        <v>759</v>
      </c>
      <c r="B530" s="534" t="s">
        <v>311</v>
      </c>
      <c r="C530" s="534"/>
      <c r="D530" s="534"/>
      <c r="E530" s="531"/>
      <c r="F530" s="301"/>
      <c r="G530" s="301"/>
      <c r="H530" s="301"/>
      <c r="I530" s="301"/>
      <c r="J530" s="325"/>
      <c r="K530" s="325"/>
      <c r="L530" s="301"/>
      <c r="M530" s="301"/>
      <c r="N530" s="301"/>
      <c r="O530" s="301"/>
      <c r="P530" s="301"/>
      <c r="Q530" s="325"/>
      <c r="R530" s="325"/>
      <c r="S530" s="325"/>
      <c r="T530" s="532"/>
      <c r="U530" s="301"/>
      <c r="V530" s="532"/>
      <c r="W530" s="532">
        <f>+V530-'ROR-Model'!G530</f>
        <v>0</v>
      </c>
    </row>
    <row r="531" spans="1:23">
      <c r="A531" s="543"/>
      <c r="B531" s="534"/>
      <c r="C531" s="534" t="s">
        <v>12</v>
      </c>
      <c r="D531" s="534"/>
      <c r="E531" s="531"/>
      <c r="F531" s="301"/>
      <c r="G531" s="301"/>
      <c r="H531" s="301"/>
      <c r="I531" s="301"/>
      <c r="J531" s="325"/>
      <c r="K531" s="325"/>
      <c r="L531" s="301"/>
      <c r="M531" s="301"/>
      <c r="N531" s="301"/>
      <c r="O531" s="301"/>
      <c r="P531" s="301"/>
      <c r="Q531" s="325"/>
      <c r="R531" s="325"/>
      <c r="S531" s="325"/>
      <c r="T531" s="532">
        <f>SUM(F531:S531)</f>
        <v>0</v>
      </c>
      <c r="U531" s="301"/>
      <c r="V531" s="532">
        <f>SUM(T531:T531)</f>
        <v>0</v>
      </c>
      <c r="W531" s="532">
        <f>+V531-'ROR-Model'!G531</f>
        <v>0</v>
      </c>
    </row>
    <row r="532" spans="1:23">
      <c r="A532" s="543"/>
      <c r="B532" s="534"/>
      <c r="C532" s="534" t="s">
        <v>23</v>
      </c>
      <c r="D532" s="534"/>
      <c r="E532" s="531"/>
      <c r="F532" s="301"/>
      <c r="G532" s="301"/>
      <c r="H532" s="301"/>
      <c r="I532" s="301"/>
      <c r="J532" s="325"/>
      <c r="K532" s="325"/>
      <c r="L532" s="301"/>
      <c r="M532" s="301"/>
      <c r="N532" s="301"/>
      <c r="O532" s="301"/>
      <c r="P532" s="301"/>
      <c r="Q532" s="325"/>
      <c r="R532" s="325"/>
      <c r="S532" s="325"/>
      <c r="T532" s="532">
        <f>SUM(F532:S532)</f>
        <v>0</v>
      </c>
      <c r="U532" s="301"/>
      <c r="V532" s="532">
        <f>SUM(T532:T532)</f>
        <v>0</v>
      </c>
      <c r="W532" s="532">
        <f>+V532-'ROR-Model'!G532</f>
        <v>0</v>
      </c>
    </row>
    <row r="533" spans="1:23">
      <c r="A533" s="543"/>
      <c r="B533" s="534"/>
      <c r="C533" s="534" t="s">
        <v>145</v>
      </c>
      <c r="D533" s="534"/>
      <c r="E533" s="531"/>
      <c r="F533" s="323">
        <f>SUM(F531:F532)</f>
        <v>0</v>
      </c>
      <c r="G533" s="323">
        <f>G1*SUM(G531:G532)</f>
        <v>0</v>
      </c>
      <c r="H533" s="323">
        <f>SUM(H531:H532)</f>
        <v>0</v>
      </c>
      <c r="I533" s="323">
        <f t="shared" ref="I533:P533" si="112">SUM(I531:I532)</f>
        <v>0</v>
      </c>
      <c r="J533" s="476">
        <f>J1*SUM(J531:J532)</f>
        <v>0</v>
      </c>
      <c r="K533" s="476">
        <f>K1*SUM(K531:K532)</f>
        <v>0</v>
      </c>
      <c r="L533" s="323">
        <f t="shared" si="112"/>
        <v>0</v>
      </c>
      <c r="M533" s="323">
        <f t="shared" si="112"/>
        <v>0</v>
      </c>
      <c r="N533" s="323">
        <f t="shared" si="112"/>
        <v>0</v>
      </c>
      <c r="O533" s="323">
        <f t="shared" si="112"/>
        <v>0</v>
      </c>
      <c r="P533" s="323">
        <f t="shared" si="112"/>
        <v>0</v>
      </c>
      <c r="Q533" s="476">
        <f>SUM(Q531:Q532)</f>
        <v>0</v>
      </c>
      <c r="R533" s="476">
        <f>R1*SUM(R531:R532)</f>
        <v>0</v>
      </c>
      <c r="S533" s="476">
        <f>S1*SUM(S531:S532)</f>
        <v>0</v>
      </c>
      <c r="T533" s="536">
        <f>SUM(T531:T532)</f>
        <v>0</v>
      </c>
      <c r="U533" s="323"/>
      <c r="V533" s="536">
        <f>SUM(V531:V532)</f>
        <v>0</v>
      </c>
      <c r="W533" s="536">
        <f>+V533-'ROR-Model'!G533</f>
        <v>0</v>
      </c>
    </row>
    <row r="534" spans="1:23">
      <c r="A534" s="543"/>
      <c r="B534" s="534"/>
      <c r="C534" s="534"/>
      <c r="D534" s="534"/>
      <c r="E534" s="531"/>
      <c r="F534" s="301"/>
      <c r="G534" s="301"/>
      <c r="H534" s="301"/>
      <c r="I534" s="301"/>
      <c r="J534" s="325"/>
      <c r="K534" s="325"/>
      <c r="L534" s="301"/>
      <c r="M534" s="301"/>
      <c r="N534" s="301"/>
      <c r="O534" s="301"/>
      <c r="P534" s="301"/>
      <c r="Q534" s="325"/>
      <c r="R534" s="325"/>
      <c r="S534" s="325"/>
      <c r="T534" s="532"/>
      <c r="U534" s="301"/>
      <c r="V534" s="532"/>
      <c r="W534" s="532">
        <f>+V534-'ROR-Model'!G534</f>
        <v>0</v>
      </c>
    </row>
    <row r="535" spans="1:23">
      <c r="A535" s="543">
        <v>759</v>
      </c>
      <c r="B535" s="534" t="s">
        <v>312</v>
      </c>
      <c r="C535" s="534"/>
      <c r="D535" s="534"/>
      <c r="E535" s="531"/>
      <c r="F535" s="301"/>
      <c r="G535" s="301"/>
      <c r="H535" s="301"/>
      <c r="I535" s="301"/>
      <c r="J535" s="325"/>
      <c r="K535" s="325"/>
      <c r="L535" s="301"/>
      <c r="M535" s="301"/>
      <c r="N535" s="301"/>
      <c r="O535" s="301"/>
      <c r="P535" s="301"/>
      <c r="Q535" s="325"/>
      <c r="R535" s="325"/>
      <c r="S535" s="325"/>
      <c r="T535" s="532"/>
      <c r="U535" s="301"/>
      <c r="V535" s="532"/>
      <c r="W535" s="532">
        <f>+V535-'ROR-Model'!G535</f>
        <v>0</v>
      </c>
    </row>
    <row r="536" spans="1:23">
      <c r="A536" s="543"/>
      <c r="B536" s="534"/>
      <c r="C536" s="534" t="s">
        <v>12</v>
      </c>
      <c r="D536" s="534"/>
      <c r="E536" s="531"/>
      <c r="F536" s="301"/>
      <c r="G536" s="301"/>
      <c r="H536" s="301"/>
      <c r="I536" s="301"/>
      <c r="J536" s="325"/>
      <c r="K536" s="325"/>
      <c r="L536" s="301"/>
      <c r="M536" s="301"/>
      <c r="N536" s="301"/>
      <c r="O536" s="301"/>
      <c r="P536" s="301"/>
      <c r="Q536" s="325"/>
      <c r="R536" s="325"/>
      <c r="S536" s="325"/>
      <c r="T536" s="532">
        <f>SUM(F536:S536)</f>
        <v>0</v>
      </c>
      <c r="U536" s="301"/>
      <c r="V536" s="532">
        <f>SUM(T536:T536)</f>
        <v>0</v>
      </c>
      <c r="W536" s="532">
        <f>+V536-'ROR-Model'!G536</f>
        <v>0</v>
      </c>
    </row>
    <row r="537" spans="1:23">
      <c r="A537" s="543"/>
      <c r="B537" s="534"/>
      <c r="C537" s="534" t="s">
        <v>23</v>
      </c>
      <c r="D537" s="534"/>
      <c r="E537" s="531"/>
      <c r="F537" s="301"/>
      <c r="G537" s="301"/>
      <c r="H537" s="301"/>
      <c r="I537" s="301"/>
      <c r="J537" s="325"/>
      <c r="K537" s="325"/>
      <c r="L537" s="301"/>
      <c r="M537" s="301"/>
      <c r="N537" s="301"/>
      <c r="O537" s="301"/>
      <c r="P537" s="301"/>
      <c r="Q537" s="325"/>
      <c r="R537" s="325"/>
      <c r="S537" s="325"/>
      <c r="T537" s="532">
        <f>SUM(F537:S537)</f>
        <v>0</v>
      </c>
      <c r="U537" s="301"/>
      <c r="V537" s="532">
        <f>SUM(T537:T537)</f>
        <v>0</v>
      </c>
      <c r="W537" s="532">
        <f>+V537-'ROR-Model'!G537</f>
        <v>0</v>
      </c>
    </row>
    <row r="538" spans="1:23">
      <c r="A538" s="543"/>
      <c r="B538" s="534"/>
      <c r="C538" s="534" t="s">
        <v>145</v>
      </c>
      <c r="D538" s="534"/>
      <c r="E538" s="531"/>
      <c r="F538" s="323">
        <f>SUM(F536:F537)</f>
        <v>0</v>
      </c>
      <c r="G538" s="323">
        <f>G1*SUM(G536:G537)</f>
        <v>0</v>
      </c>
      <c r="H538" s="323">
        <f>SUM(H536:H537)</f>
        <v>0</v>
      </c>
      <c r="I538" s="323">
        <f t="shared" ref="I538:P538" si="113">SUM(I536:I537)</f>
        <v>0</v>
      </c>
      <c r="J538" s="476">
        <f>J1*SUM(J536:J537)</f>
        <v>0</v>
      </c>
      <c r="K538" s="476">
        <f>K1*SUM(K536:K537)</f>
        <v>0</v>
      </c>
      <c r="L538" s="323">
        <f t="shared" si="113"/>
        <v>0</v>
      </c>
      <c r="M538" s="323">
        <f t="shared" si="113"/>
        <v>0</v>
      </c>
      <c r="N538" s="323">
        <f t="shared" si="113"/>
        <v>0</v>
      </c>
      <c r="O538" s="323">
        <f t="shared" si="113"/>
        <v>0</v>
      </c>
      <c r="P538" s="323">
        <f t="shared" si="113"/>
        <v>0</v>
      </c>
      <c r="Q538" s="476">
        <f>SUM(Q536:Q537)</f>
        <v>0</v>
      </c>
      <c r="R538" s="476">
        <f>R1*SUM(R536:R537)</f>
        <v>0</v>
      </c>
      <c r="S538" s="476">
        <f>S1*SUM(S536:S537)</f>
        <v>0</v>
      </c>
      <c r="T538" s="536">
        <f>SUM(T536:T537)</f>
        <v>0</v>
      </c>
      <c r="U538" s="323"/>
      <c r="V538" s="536">
        <f>SUM(V536:V537)</f>
        <v>0</v>
      </c>
      <c r="W538" s="536">
        <f>+V538-'ROR-Model'!G538</f>
        <v>0</v>
      </c>
    </row>
    <row r="539" spans="1:23">
      <c r="A539" s="543"/>
      <c r="B539" s="534"/>
      <c r="C539" s="534"/>
      <c r="D539" s="534"/>
      <c r="E539" s="531"/>
      <c r="F539" s="301"/>
      <c r="G539" s="301"/>
      <c r="H539" s="301"/>
      <c r="I539" s="301"/>
      <c r="J539" s="325"/>
      <c r="K539" s="325"/>
      <c r="L539" s="301"/>
      <c r="M539" s="301"/>
      <c r="N539" s="301"/>
      <c r="O539" s="301"/>
      <c r="P539" s="301"/>
      <c r="Q539" s="325"/>
      <c r="R539" s="325"/>
      <c r="S539" s="325"/>
      <c r="T539" s="532"/>
      <c r="U539" s="301"/>
      <c r="V539" s="532"/>
      <c r="W539" s="532">
        <f>+V539-'ROR-Model'!G539</f>
        <v>0</v>
      </c>
    </row>
    <row r="540" spans="1:23">
      <c r="A540" s="543">
        <v>800</v>
      </c>
      <c r="B540" s="534" t="s">
        <v>313</v>
      </c>
      <c r="C540" s="534"/>
      <c r="D540" s="534"/>
      <c r="E540" s="531"/>
      <c r="F540" s="301"/>
      <c r="G540" s="301"/>
      <c r="H540" s="301"/>
      <c r="I540" s="301"/>
      <c r="J540" s="325"/>
      <c r="K540" s="325"/>
      <c r="L540" s="301"/>
      <c r="M540" s="301"/>
      <c r="N540" s="301"/>
      <c r="O540" s="301"/>
      <c r="P540" s="301"/>
      <c r="Q540" s="325"/>
      <c r="R540" s="325"/>
      <c r="S540" s="325"/>
      <c r="T540" s="532"/>
      <c r="U540" s="301"/>
      <c r="V540" s="532"/>
      <c r="W540" s="532">
        <f>+V540-'ROR-Model'!G540</f>
        <v>0</v>
      </c>
    </row>
    <row r="541" spans="1:23">
      <c r="A541" s="543"/>
      <c r="B541" s="534"/>
      <c r="C541" s="534" t="s">
        <v>12</v>
      </c>
      <c r="D541" s="534"/>
      <c r="E541" s="531"/>
      <c r="F541" s="301"/>
      <c r="G541" s="301"/>
      <c r="H541" s="301"/>
      <c r="I541" s="301"/>
      <c r="J541" s="325"/>
      <c r="K541" s="325"/>
      <c r="L541" s="301"/>
      <c r="M541" s="301"/>
      <c r="N541" s="301"/>
      <c r="O541" s="301"/>
      <c r="P541" s="301"/>
      <c r="Q541" s="325"/>
      <c r="R541" s="325"/>
      <c r="S541" s="325"/>
      <c r="T541" s="532">
        <f>SUM(F541:S541)</f>
        <v>0</v>
      </c>
      <c r="U541" s="301"/>
      <c r="V541" s="532">
        <f>SUM(T541:T541)</f>
        <v>0</v>
      </c>
      <c r="W541" s="532">
        <f>+V541-'ROR-Model'!G541</f>
        <v>0</v>
      </c>
    </row>
    <row r="542" spans="1:23">
      <c r="A542" s="543"/>
      <c r="B542" s="534"/>
      <c r="C542" s="534" t="s">
        <v>23</v>
      </c>
      <c r="D542" s="534"/>
      <c r="E542" s="531"/>
      <c r="F542" s="301"/>
      <c r="G542" s="301"/>
      <c r="H542" s="301"/>
      <c r="I542" s="301"/>
      <c r="J542" s="325"/>
      <c r="K542" s="325"/>
      <c r="L542" s="301"/>
      <c r="M542" s="301"/>
      <c r="N542" s="301"/>
      <c r="O542" s="301"/>
      <c r="P542" s="301"/>
      <c r="Q542" s="325"/>
      <c r="R542" s="325"/>
      <c r="S542" s="325"/>
      <c r="T542" s="532">
        <f>SUM(F542:S542)</f>
        <v>0</v>
      </c>
      <c r="U542" s="301"/>
      <c r="V542" s="532">
        <f>SUM(T542:T542)</f>
        <v>0</v>
      </c>
      <c r="W542" s="532">
        <f>+V542-'ROR-Model'!G542</f>
        <v>0</v>
      </c>
    </row>
    <row r="543" spans="1:23">
      <c r="A543" s="543"/>
      <c r="B543" s="534"/>
      <c r="C543" s="534" t="s">
        <v>145</v>
      </c>
      <c r="D543" s="534"/>
      <c r="E543" s="531"/>
      <c r="F543" s="323">
        <f>SUM(F541:F542)</f>
        <v>0</v>
      </c>
      <c r="G543" s="323">
        <f>G1*SUM(G541:G542)</f>
        <v>0</v>
      </c>
      <c r="H543" s="323">
        <f>SUM(H541:H542)</f>
        <v>0</v>
      </c>
      <c r="I543" s="323">
        <f t="shared" ref="I543:P543" si="114">SUM(I541:I542)</f>
        <v>0</v>
      </c>
      <c r="J543" s="476">
        <f>J1*SUM(J541:J542)</f>
        <v>0</v>
      </c>
      <c r="K543" s="476">
        <f>K1*SUM(K541:K542)</f>
        <v>0</v>
      </c>
      <c r="L543" s="323">
        <f t="shared" si="114"/>
        <v>0</v>
      </c>
      <c r="M543" s="323">
        <f t="shared" si="114"/>
        <v>0</v>
      </c>
      <c r="N543" s="323">
        <f t="shared" si="114"/>
        <v>0</v>
      </c>
      <c r="O543" s="323">
        <f t="shared" si="114"/>
        <v>0</v>
      </c>
      <c r="P543" s="323">
        <f t="shared" si="114"/>
        <v>0</v>
      </c>
      <c r="Q543" s="476">
        <f>SUM(Q541:Q542)</f>
        <v>0</v>
      </c>
      <c r="R543" s="476">
        <f>R1*SUM(R541:R542)</f>
        <v>0</v>
      </c>
      <c r="S543" s="476">
        <f>S1*SUM(S541:S542)</f>
        <v>0</v>
      </c>
      <c r="T543" s="536">
        <f>SUM(T541:T542)</f>
        <v>0</v>
      </c>
      <c r="U543" s="323"/>
      <c r="V543" s="536">
        <f>SUM(V541:V542)</f>
        <v>0</v>
      </c>
      <c r="W543" s="536">
        <f>+V543-'ROR-Model'!G543</f>
        <v>0</v>
      </c>
    </row>
    <row r="544" spans="1:23">
      <c r="A544" s="543"/>
      <c r="B544" s="534"/>
      <c r="C544" s="534"/>
      <c r="D544" s="534"/>
      <c r="E544" s="531"/>
      <c r="F544" s="301"/>
      <c r="G544" s="301"/>
      <c r="H544" s="301"/>
      <c r="I544" s="301"/>
      <c r="J544" s="325"/>
      <c r="K544" s="325"/>
      <c r="L544" s="301"/>
      <c r="M544" s="301"/>
      <c r="N544" s="301"/>
      <c r="O544" s="301"/>
      <c r="P544" s="301"/>
      <c r="Q544" s="325"/>
      <c r="R544" s="325"/>
      <c r="S544" s="325"/>
      <c r="T544" s="532"/>
      <c r="U544" s="301"/>
      <c r="V544" s="532"/>
      <c r="W544" s="532">
        <f>+V544-'ROR-Model'!G544</f>
        <v>0</v>
      </c>
    </row>
    <row r="545" spans="1:23">
      <c r="A545" s="543">
        <v>801</v>
      </c>
      <c r="B545" s="534" t="s">
        <v>314</v>
      </c>
      <c r="C545" s="534"/>
      <c r="D545" s="534"/>
      <c r="E545" s="531"/>
      <c r="F545" s="301"/>
      <c r="G545" s="301"/>
      <c r="H545" s="301"/>
      <c r="I545" s="301"/>
      <c r="J545" s="325"/>
      <c r="K545" s="325"/>
      <c r="L545" s="301"/>
      <c r="M545" s="301"/>
      <c r="N545" s="301"/>
      <c r="O545" s="301"/>
      <c r="P545" s="301"/>
      <c r="Q545" s="325"/>
      <c r="R545" s="325"/>
      <c r="S545" s="325"/>
      <c r="T545" s="532"/>
      <c r="U545" s="301"/>
      <c r="V545" s="532"/>
      <c r="W545" s="532">
        <f>+V545-'ROR-Model'!G545</f>
        <v>0</v>
      </c>
    </row>
    <row r="546" spans="1:23">
      <c r="A546" s="543"/>
      <c r="B546" s="534"/>
      <c r="C546" s="534" t="s">
        <v>12</v>
      </c>
      <c r="D546" s="534"/>
      <c r="E546" s="531"/>
      <c r="F546" s="301"/>
      <c r="G546" s="301"/>
      <c r="H546" s="301"/>
      <c r="I546" s="301"/>
      <c r="J546" s="325"/>
      <c r="K546" s="325"/>
      <c r="L546" s="301"/>
      <c r="M546" s="301"/>
      <c r="N546" s="301"/>
      <c r="O546" s="301"/>
      <c r="P546" s="301"/>
      <c r="Q546" s="325"/>
      <c r="R546" s="325"/>
      <c r="S546" s="325"/>
      <c r="T546" s="532">
        <f>SUM(F546:S546)</f>
        <v>0</v>
      </c>
      <c r="U546" s="301"/>
      <c r="V546" s="532">
        <f>SUM(T546:T546)</f>
        <v>0</v>
      </c>
      <c r="W546" s="532">
        <f>+V546-'ROR-Model'!G546</f>
        <v>0</v>
      </c>
    </row>
    <row r="547" spans="1:23">
      <c r="A547" s="543"/>
      <c r="B547" s="534"/>
      <c r="C547" s="534" t="s">
        <v>23</v>
      </c>
      <c r="D547" s="534"/>
      <c r="E547" s="531"/>
      <c r="F547" s="301"/>
      <c r="G547" s="301"/>
      <c r="H547" s="301"/>
      <c r="I547" s="301"/>
      <c r="J547" s="325"/>
      <c r="K547" s="325"/>
      <c r="L547" s="301"/>
      <c r="M547" s="301"/>
      <c r="N547" s="301"/>
      <c r="O547" s="301"/>
      <c r="P547" s="301"/>
      <c r="Q547" s="325"/>
      <c r="R547" s="325"/>
      <c r="S547" s="325"/>
      <c r="T547" s="532">
        <f>SUM(F547:S547)</f>
        <v>0</v>
      </c>
      <c r="U547" s="301"/>
      <c r="V547" s="532">
        <f>SUM(T547:T547)</f>
        <v>0</v>
      </c>
      <c r="W547" s="532">
        <f>+V547-'ROR-Model'!G547</f>
        <v>0</v>
      </c>
    </row>
    <row r="548" spans="1:23">
      <c r="A548" s="543"/>
      <c r="B548" s="534"/>
      <c r="C548" s="534" t="s">
        <v>145</v>
      </c>
      <c r="D548" s="534"/>
      <c r="E548" s="531"/>
      <c r="F548" s="323">
        <f>SUM(F546:F547)</f>
        <v>0</v>
      </c>
      <c r="G548" s="323">
        <f>G1*SUM(G546:G547)</f>
        <v>0</v>
      </c>
      <c r="H548" s="323">
        <f>SUM(H546:H547)</f>
        <v>0</v>
      </c>
      <c r="I548" s="323">
        <f t="shared" ref="I548:P548" si="115">SUM(I546:I547)</f>
        <v>0</v>
      </c>
      <c r="J548" s="476">
        <f>J1*SUM(J546:J547)</f>
        <v>0</v>
      </c>
      <c r="K548" s="476">
        <f>K1*SUM(K546:K547)</f>
        <v>0</v>
      </c>
      <c r="L548" s="323">
        <f t="shared" si="115"/>
        <v>0</v>
      </c>
      <c r="M548" s="323">
        <f t="shared" si="115"/>
        <v>0</v>
      </c>
      <c r="N548" s="323">
        <f t="shared" si="115"/>
        <v>0</v>
      </c>
      <c r="O548" s="323">
        <f t="shared" si="115"/>
        <v>0</v>
      </c>
      <c r="P548" s="323">
        <f t="shared" si="115"/>
        <v>0</v>
      </c>
      <c r="Q548" s="476">
        <f>SUM(Q546:Q547)</f>
        <v>0</v>
      </c>
      <c r="R548" s="476">
        <f>R1*SUM(R546:R547)</f>
        <v>0</v>
      </c>
      <c r="S548" s="476">
        <f>S1*SUM(S546:S547)</f>
        <v>0</v>
      </c>
      <c r="T548" s="536">
        <f>SUM(T546:T547)</f>
        <v>0</v>
      </c>
      <c r="U548" s="323"/>
      <c r="V548" s="536">
        <f>SUM(V546:V547)</f>
        <v>0</v>
      </c>
      <c r="W548" s="536">
        <f>+V548-'ROR-Model'!G548</f>
        <v>0</v>
      </c>
    </row>
    <row r="549" spans="1:23">
      <c r="A549" s="543"/>
      <c r="B549" s="534"/>
      <c r="C549" s="534"/>
      <c r="D549" s="534"/>
      <c r="E549" s="531"/>
      <c r="F549" s="301"/>
      <c r="G549" s="301"/>
      <c r="H549" s="301"/>
      <c r="I549" s="301"/>
      <c r="J549" s="325"/>
      <c r="K549" s="325"/>
      <c r="L549" s="301"/>
      <c r="M549" s="301"/>
      <c r="N549" s="301"/>
      <c r="O549" s="301"/>
      <c r="P549" s="301"/>
      <c r="Q549" s="325"/>
      <c r="R549" s="325"/>
      <c r="S549" s="325"/>
      <c r="T549" s="532"/>
      <c r="U549" s="301"/>
      <c r="V549" s="532"/>
      <c r="W549" s="532">
        <f>+V549-'ROR-Model'!G549</f>
        <v>0</v>
      </c>
    </row>
    <row r="550" spans="1:23">
      <c r="A550" s="543">
        <v>802</v>
      </c>
      <c r="B550" s="534" t="s">
        <v>315</v>
      </c>
      <c r="C550" s="534"/>
      <c r="D550" s="534"/>
      <c r="E550" s="531"/>
      <c r="F550" s="301"/>
      <c r="G550" s="301"/>
      <c r="H550" s="301"/>
      <c r="I550" s="301"/>
      <c r="J550" s="325"/>
      <c r="K550" s="325"/>
      <c r="L550" s="301"/>
      <c r="M550" s="301"/>
      <c r="N550" s="301"/>
      <c r="O550" s="301"/>
      <c r="P550" s="301"/>
      <c r="Q550" s="325"/>
      <c r="R550" s="325"/>
      <c r="S550" s="325"/>
      <c r="T550" s="532"/>
      <c r="U550" s="301"/>
      <c r="V550" s="532"/>
      <c r="W550" s="532">
        <f>+V550-'ROR-Model'!G550</f>
        <v>0</v>
      </c>
    </row>
    <row r="551" spans="1:23">
      <c r="A551" s="543"/>
      <c r="B551" s="534"/>
      <c r="C551" s="534" t="s">
        <v>12</v>
      </c>
      <c r="D551" s="534"/>
      <c r="E551" s="531"/>
      <c r="F551" s="301"/>
      <c r="G551" s="301"/>
      <c r="H551" s="301"/>
      <c r="I551" s="301"/>
      <c r="J551" s="325"/>
      <c r="K551" s="325"/>
      <c r="L551" s="301"/>
      <c r="M551" s="301"/>
      <c r="N551" s="301"/>
      <c r="O551" s="301"/>
      <c r="P551" s="301"/>
      <c r="Q551" s="325"/>
      <c r="R551" s="325"/>
      <c r="S551" s="325"/>
      <c r="T551" s="532">
        <f>SUM(F551:S551)</f>
        <v>0</v>
      </c>
      <c r="U551" s="301"/>
      <c r="V551" s="532">
        <f>SUM(T551:T551)</f>
        <v>0</v>
      </c>
      <c r="W551" s="532">
        <f>+V551-'ROR-Model'!G551</f>
        <v>0</v>
      </c>
    </row>
    <row r="552" spans="1:23">
      <c r="A552" s="543"/>
      <c r="B552" s="534"/>
      <c r="C552" s="534" t="s">
        <v>23</v>
      </c>
      <c r="D552" s="534"/>
      <c r="E552" s="531"/>
      <c r="F552" s="301"/>
      <c r="G552" s="301"/>
      <c r="H552" s="301"/>
      <c r="I552" s="301"/>
      <c r="J552" s="325"/>
      <c r="K552" s="325"/>
      <c r="L552" s="301"/>
      <c r="M552" s="301"/>
      <c r="N552" s="301"/>
      <c r="O552" s="301"/>
      <c r="P552" s="301"/>
      <c r="Q552" s="325"/>
      <c r="R552" s="325"/>
      <c r="S552" s="325"/>
      <c r="T552" s="532">
        <f>SUM(F552:S552)</f>
        <v>0</v>
      </c>
      <c r="U552" s="301"/>
      <c r="V552" s="532">
        <f>SUM(T552:T552)</f>
        <v>0</v>
      </c>
      <c r="W552" s="532">
        <f>+V552-'ROR-Model'!G552</f>
        <v>0</v>
      </c>
    </row>
    <row r="553" spans="1:23">
      <c r="A553" s="543"/>
      <c r="B553" s="534"/>
      <c r="C553" s="534" t="s">
        <v>145</v>
      </c>
      <c r="D553" s="534"/>
      <c r="E553" s="531"/>
      <c r="F553" s="323">
        <f>SUM(F551:F552)</f>
        <v>0</v>
      </c>
      <c r="G553" s="323">
        <f>G1*SUM(G551:G552)</f>
        <v>0</v>
      </c>
      <c r="H553" s="323">
        <f>SUM(H551:H552)</f>
        <v>0</v>
      </c>
      <c r="I553" s="323">
        <f t="shared" ref="I553:P553" si="116">SUM(I551:I552)</f>
        <v>0</v>
      </c>
      <c r="J553" s="476">
        <f>J1*SUM(J551:J552)</f>
        <v>0</v>
      </c>
      <c r="K553" s="476">
        <f>K1*SUM(K551:K552)</f>
        <v>0</v>
      </c>
      <c r="L553" s="323">
        <f t="shared" si="116"/>
        <v>0</v>
      </c>
      <c r="M553" s="323">
        <f t="shared" si="116"/>
        <v>0</v>
      </c>
      <c r="N553" s="323">
        <f t="shared" si="116"/>
        <v>0</v>
      </c>
      <c r="O553" s="323">
        <f t="shared" si="116"/>
        <v>0</v>
      </c>
      <c r="P553" s="323">
        <f t="shared" si="116"/>
        <v>0</v>
      </c>
      <c r="Q553" s="476">
        <f>SUM(Q551:Q552)</f>
        <v>0</v>
      </c>
      <c r="R553" s="476">
        <f>R1*SUM(R551:R552)</f>
        <v>0</v>
      </c>
      <c r="S553" s="476">
        <f>S1*SUM(S551:S552)</f>
        <v>0</v>
      </c>
      <c r="T553" s="536">
        <f>SUM(T551:T552)</f>
        <v>0</v>
      </c>
      <c r="U553" s="323"/>
      <c r="V553" s="536">
        <f>SUM(V551:V552)</f>
        <v>0</v>
      </c>
      <c r="W553" s="536">
        <f>+V553-'ROR-Model'!G553</f>
        <v>0</v>
      </c>
    </row>
    <row r="554" spans="1:23">
      <c r="A554" s="543"/>
      <c r="B554" s="534"/>
      <c r="C554" s="534"/>
      <c r="D554" s="534"/>
      <c r="E554" s="531"/>
      <c r="F554" s="301"/>
      <c r="G554" s="301"/>
      <c r="H554" s="301"/>
      <c r="I554" s="301"/>
      <c r="J554" s="325"/>
      <c r="K554" s="325"/>
      <c r="L554" s="301"/>
      <c r="M554" s="301"/>
      <c r="N554" s="301"/>
      <c r="O554" s="301"/>
      <c r="P554" s="301"/>
      <c r="Q554" s="325"/>
      <c r="R554" s="325"/>
      <c r="S554" s="325"/>
      <c r="T554" s="532"/>
      <c r="U554" s="301"/>
      <c r="V554" s="532"/>
      <c r="W554" s="532">
        <f>+V554-'ROR-Model'!G554</f>
        <v>0</v>
      </c>
    </row>
    <row r="555" spans="1:23">
      <c r="A555" s="543">
        <v>803</v>
      </c>
      <c r="B555" s="534" t="s">
        <v>316</v>
      </c>
      <c r="C555" s="534"/>
      <c r="D555" s="534"/>
      <c r="E555" s="531"/>
      <c r="F555" s="301"/>
      <c r="G555" s="301"/>
      <c r="H555" s="301"/>
      <c r="I555" s="301"/>
      <c r="J555" s="325"/>
      <c r="K555" s="325"/>
      <c r="L555" s="301"/>
      <c r="M555" s="301"/>
      <c r="N555" s="301"/>
      <c r="O555" s="301"/>
      <c r="P555" s="301"/>
      <c r="Q555" s="325"/>
      <c r="R555" s="325"/>
      <c r="S555" s="325"/>
      <c r="T555" s="532"/>
      <c r="U555" s="301"/>
      <c r="V555" s="532"/>
      <c r="W555" s="532">
        <f>+V555-'ROR-Model'!G555</f>
        <v>0</v>
      </c>
    </row>
    <row r="556" spans="1:23">
      <c r="A556" s="543"/>
      <c r="B556" s="534"/>
      <c r="C556" s="534" t="s">
        <v>12</v>
      </c>
      <c r="D556" s="534"/>
      <c r="E556" s="531"/>
      <c r="F556" s="301"/>
      <c r="G556" s="301"/>
      <c r="H556" s="301"/>
      <c r="I556" s="301"/>
      <c r="J556" s="325"/>
      <c r="K556" s="325"/>
      <c r="L556" s="301"/>
      <c r="M556" s="301"/>
      <c r="N556" s="301"/>
      <c r="O556" s="301"/>
      <c r="P556" s="301"/>
      <c r="Q556" s="325"/>
      <c r="R556" s="325"/>
      <c r="S556" s="325"/>
      <c r="T556" s="532">
        <f>SUM(F556:S556)</f>
        <v>0</v>
      </c>
      <c r="U556" s="301"/>
      <c r="V556" s="532">
        <f>SUM(T556:T556)</f>
        <v>0</v>
      </c>
      <c r="W556" s="532">
        <f>+V556-'ROR-Model'!G556</f>
        <v>0</v>
      </c>
    </row>
    <row r="557" spans="1:23">
      <c r="A557" s="543"/>
      <c r="B557" s="534"/>
      <c r="C557" s="534" t="s">
        <v>23</v>
      </c>
      <c r="D557" s="534"/>
      <c r="E557" s="531"/>
      <c r="F557" s="301"/>
      <c r="G557" s="301"/>
      <c r="H557" s="301"/>
      <c r="I557" s="301"/>
      <c r="J557" s="325"/>
      <c r="K557" s="325"/>
      <c r="L557" s="301"/>
      <c r="M557" s="301"/>
      <c r="N557" s="301"/>
      <c r="O557" s="301"/>
      <c r="P557" s="301"/>
      <c r="Q557" s="325"/>
      <c r="R557" s="325"/>
      <c r="S557" s="325"/>
      <c r="T557" s="532">
        <f>SUM(F557:S557)</f>
        <v>0</v>
      </c>
      <c r="U557" s="301"/>
      <c r="V557" s="532">
        <f>SUM(T557:T557)</f>
        <v>0</v>
      </c>
      <c r="W557" s="532">
        <f>+V557-'ROR-Model'!G557</f>
        <v>0</v>
      </c>
    </row>
    <row r="558" spans="1:23">
      <c r="A558" s="543"/>
      <c r="B558" s="534"/>
      <c r="C558" s="534" t="s">
        <v>145</v>
      </c>
      <c r="D558" s="534"/>
      <c r="E558" s="531"/>
      <c r="F558" s="323">
        <f>SUM(F556:F557)</f>
        <v>0</v>
      </c>
      <c r="G558" s="323">
        <f>G1*SUM(G556:G557)</f>
        <v>0</v>
      </c>
      <c r="H558" s="323">
        <f>SUM(H556:H557)</f>
        <v>0</v>
      </c>
      <c r="I558" s="323">
        <f t="shared" ref="I558:P558" si="117">SUM(I556:I557)</f>
        <v>0</v>
      </c>
      <c r="J558" s="476">
        <f>J1*SUM(J556:J557)</f>
        <v>0</v>
      </c>
      <c r="K558" s="476">
        <f>K1*SUM(K556:K557)</f>
        <v>0</v>
      </c>
      <c r="L558" s="323">
        <f t="shared" si="117"/>
        <v>0</v>
      </c>
      <c r="M558" s="323">
        <f t="shared" si="117"/>
        <v>0</v>
      </c>
      <c r="N558" s="323">
        <f t="shared" si="117"/>
        <v>0</v>
      </c>
      <c r="O558" s="323">
        <f t="shared" si="117"/>
        <v>0</v>
      </c>
      <c r="P558" s="323">
        <f t="shared" si="117"/>
        <v>0</v>
      </c>
      <c r="Q558" s="476">
        <f>SUM(Q556:Q557)</f>
        <v>0</v>
      </c>
      <c r="R558" s="476">
        <f>R1*SUM(R556:R557)</f>
        <v>0</v>
      </c>
      <c r="S558" s="476">
        <f>S1*SUM(S556:S557)</f>
        <v>0</v>
      </c>
      <c r="T558" s="536">
        <f>SUM(T556:T557)</f>
        <v>0</v>
      </c>
      <c r="U558" s="323"/>
      <c r="V558" s="536">
        <f>SUM(V556:V557)</f>
        <v>0</v>
      </c>
      <c r="W558" s="536">
        <f>+V558-'ROR-Model'!G558</f>
        <v>0</v>
      </c>
    </row>
    <row r="559" spans="1:23">
      <c r="A559" s="543"/>
      <c r="B559" s="534"/>
      <c r="C559" s="534"/>
      <c r="D559" s="534"/>
      <c r="E559" s="531"/>
      <c r="F559" s="301"/>
      <c r="G559" s="301"/>
      <c r="H559" s="301"/>
      <c r="I559" s="301"/>
      <c r="J559" s="325"/>
      <c r="K559" s="325"/>
      <c r="L559" s="301"/>
      <c r="M559" s="301"/>
      <c r="N559" s="301"/>
      <c r="O559" s="301"/>
      <c r="P559" s="301"/>
      <c r="Q559" s="325"/>
      <c r="R559" s="325"/>
      <c r="S559" s="325"/>
      <c r="T559" s="532"/>
      <c r="U559" s="301"/>
      <c r="V559" s="532"/>
      <c r="W559" s="532">
        <f>+V559-'ROR-Model'!G559</f>
        <v>0</v>
      </c>
    </row>
    <row r="560" spans="1:23">
      <c r="A560" s="543">
        <v>804</v>
      </c>
      <c r="B560" s="534" t="s">
        <v>317</v>
      </c>
      <c r="C560" s="534"/>
      <c r="D560" s="534"/>
      <c r="E560" s="531"/>
      <c r="F560" s="301"/>
      <c r="G560" s="301"/>
      <c r="H560" s="301"/>
      <c r="I560" s="301"/>
      <c r="J560" s="325"/>
      <c r="K560" s="325"/>
      <c r="L560" s="301"/>
      <c r="M560" s="301"/>
      <c r="N560" s="301"/>
      <c r="O560" s="301"/>
      <c r="P560" s="301"/>
      <c r="Q560" s="325"/>
      <c r="R560" s="325"/>
      <c r="S560" s="325"/>
      <c r="T560" s="532"/>
      <c r="U560" s="301"/>
      <c r="V560" s="532"/>
      <c r="W560" s="532">
        <f>+V560-'ROR-Model'!G560</f>
        <v>0</v>
      </c>
    </row>
    <row r="561" spans="1:23">
      <c r="A561" s="543"/>
      <c r="B561" s="534"/>
      <c r="C561" s="534" t="s">
        <v>12</v>
      </c>
      <c r="D561" s="534"/>
      <c r="E561" s="531"/>
      <c r="F561" s="301"/>
      <c r="G561" s="301"/>
      <c r="H561" s="301"/>
      <c r="I561" s="301"/>
      <c r="J561" s="325"/>
      <c r="K561" s="325"/>
      <c r="L561" s="301"/>
      <c r="M561" s="301"/>
      <c r="N561" s="301"/>
      <c r="O561" s="301"/>
      <c r="P561" s="301"/>
      <c r="Q561" s="325"/>
      <c r="R561" s="325"/>
      <c r="S561" s="325"/>
      <c r="T561" s="532">
        <f>SUM(F561:S561)</f>
        <v>0</v>
      </c>
      <c r="U561" s="301"/>
      <c r="V561" s="532">
        <f>SUM(T561:T561)</f>
        <v>0</v>
      </c>
      <c r="W561" s="532">
        <f>+V561-'ROR-Model'!G561</f>
        <v>0</v>
      </c>
    </row>
    <row r="562" spans="1:23">
      <c r="A562" s="543"/>
      <c r="B562" s="534"/>
      <c r="C562" s="534" t="s">
        <v>23</v>
      </c>
      <c r="D562" s="534"/>
      <c r="E562" s="531"/>
      <c r="F562" s="301"/>
      <c r="G562" s="301"/>
      <c r="H562" s="301"/>
      <c r="I562" s="301"/>
      <c r="J562" s="325"/>
      <c r="K562" s="325"/>
      <c r="L562" s="301"/>
      <c r="M562" s="301"/>
      <c r="N562" s="301"/>
      <c r="O562" s="301"/>
      <c r="P562" s="301"/>
      <c r="Q562" s="325"/>
      <c r="R562" s="325"/>
      <c r="S562" s="325"/>
      <c r="T562" s="532">
        <f>SUM(F562:S562)</f>
        <v>0</v>
      </c>
      <c r="U562" s="301"/>
      <c r="V562" s="532">
        <f>SUM(T562:T562)</f>
        <v>0</v>
      </c>
      <c r="W562" s="532">
        <f>+V562-'ROR-Model'!G562</f>
        <v>0</v>
      </c>
    </row>
    <row r="563" spans="1:23">
      <c r="A563" s="543"/>
      <c r="B563" s="534"/>
      <c r="C563" s="534" t="s">
        <v>145</v>
      </c>
      <c r="D563" s="534"/>
      <c r="E563" s="531"/>
      <c r="F563" s="323">
        <f>SUM(F561:F562)</f>
        <v>0</v>
      </c>
      <c r="G563" s="323">
        <f>G1*SUM(G561:G562)</f>
        <v>0</v>
      </c>
      <c r="H563" s="323">
        <f>SUM(H561:H562)</f>
        <v>0</v>
      </c>
      <c r="I563" s="323">
        <f t="shared" ref="I563:P563" si="118">SUM(I561:I562)</f>
        <v>0</v>
      </c>
      <c r="J563" s="476">
        <f>J1*SUM(J561:J562)</f>
        <v>0</v>
      </c>
      <c r="K563" s="476">
        <f>K1*SUM(K561:K562)</f>
        <v>0</v>
      </c>
      <c r="L563" s="323">
        <f t="shared" si="118"/>
        <v>0</v>
      </c>
      <c r="M563" s="323">
        <f t="shared" si="118"/>
        <v>0</v>
      </c>
      <c r="N563" s="323">
        <f t="shared" si="118"/>
        <v>0</v>
      </c>
      <c r="O563" s="323">
        <f t="shared" si="118"/>
        <v>0</v>
      </c>
      <c r="P563" s="323">
        <f t="shared" si="118"/>
        <v>0</v>
      </c>
      <c r="Q563" s="476">
        <f>SUM(Q561:Q562)</f>
        <v>0</v>
      </c>
      <c r="R563" s="476">
        <f>R1*SUM(R561:R562)</f>
        <v>0</v>
      </c>
      <c r="S563" s="476">
        <f>S1*SUM(S561:S562)</f>
        <v>0</v>
      </c>
      <c r="T563" s="536">
        <f>SUM(T561:T562)</f>
        <v>0</v>
      </c>
      <c r="U563" s="323"/>
      <c r="V563" s="536">
        <f>SUM(V561:V562)</f>
        <v>0</v>
      </c>
      <c r="W563" s="536">
        <f>+V563-'ROR-Model'!G563</f>
        <v>0</v>
      </c>
    </row>
    <row r="564" spans="1:23">
      <c r="A564" s="543"/>
      <c r="B564" s="534"/>
      <c r="C564" s="534"/>
      <c r="D564" s="534"/>
      <c r="E564" s="531"/>
      <c r="F564" s="301"/>
      <c r="G564" s="301"/>
      <c r="H564" s="301"/>
      <c r="I564" s="301"/>
      <c r="J564" s="325"/>
      <c r="K564" s="325"/>
      <c r="L564" s="301"/>
      <c r="M564" s="301"/>
      <c r="N564" s="301"/>
      <c r="O564" s="301"/>
      <c r="P564" s="301"/>
      <c r="Q564" s="325"/>
      <c r="R564" s="325"/>
      <c r="S564" s="325"/>
      <c r="T564" s="532"/>
      <c r="U564" s="301"/>
      <c r="V564" s="532"/>
      <c r="W564" s="532">
        <f>+V564-'ROR-Model'!G564</f>
        <v>0</v>
      </c>
    </row>
    <row r="565" spans="1:23">
      <c r="A565" s="543">
        <v>804.1</v>
      </c>
      <c r="B565" s="534" t="s">
        <v>318</v>
      </c>
      <c r="C565" s="534"/>
      <c r="D565" s="534"/>
      <c r="E565" s="531"/>
      <c r="F565" s="301"/>
      <c r="G565" s="301"/>
      <c r="H565" s="301"/>
      <c r="I565" s="301"/>
      <c r="J565" s="325"/>
      <c r="K565" s="325"/>
      <c r="L565" s="301"/>
      <c r="M565" s="301"/>
      <c r="N565" s="301"/>
      <c r="O565" s="301"/>
      <c r="P565" s="301"/>
      <c r="Q565" s="325"/>
      <c r="R565" s="325"/>
      <c r="S565" s="325"/>
      <c r="T565" s="532"/>
      <c r="U565" s="301"/>
      <c r="V565" s="532"/>
      <c r="W565" s="532">
        <f>+V565-'ROR-Model'!G565</f>
        <v>0</v>
      </c>
    </row>
    <row r="566" spans="1:23">
      <c r="A566" s="543"/>
      <c r="B566" s="534"/>
      <c r="C566" s="534" t="s">
        <v>12</v>
      </c>
      <c r="D566" s="534"/>
      <c r="E566" s="531"/>
      <c r="F566" s="301"/>
      <c r="G566" s="301"/>
      <c r="H566" s="301"/>
      <c r="I566" s="301"/>
      <c r="J566" s="325"/>
      <c r="K566" s="325"/>
      <c r="L566" s="301"/>
      <c r="M566" s="301"/>
      <c r="N566" s="301"/>
      <c r="O566" s="301"/>
      <c r="P566" s="301"/>
      <c r="Q566" s="325"/>
      <c r="R566" s="325"/>
      <c r="S566" s="325"/>
      <c r="T566" s="532">
        <f>SUM(F566:S566)</f>
        <v>0</v>
      </c>
      <c r="U566" s="301"/>
      <c r="V566" s="532">
        <f>SUM(T566:T566)</f>
        <v>0</v>
      </c>
      <c r="W566" s="532">
        <f>+V566-'ROR-Model'!G566</f>
        <v>0</v>
      </c>
    </row>
    <row r="567" spans="1:23">
      <c r="A567" s="543"/>
      <c r="B567" s="534"/>
      <c r="C567" s="534" t="s">
        <v>23</v>
      </c>
      <c r="D567" s="534"/>
      <c r="E567" s="531"/>
      <c r="F567" s="301"/>
      <c r="G567" s="301"/>
      <c r="H567" s="301"/>
      <c r="I567" s="301"/>
      <c r="J567" s="325"/>
      <c r="K567" s="325"/>
      <c r="L567" s="301"/>
      <c r="M567" s="301"/>
      <c r="N567" s="301"/>
      <c r="O567" s="301"/>
      <c r="P567" s="301"/>
      <c r="Q567" s="325"/>
      <c r="R567" s="325"/>
      <c r="S567" s="325"/>
      <c r="T567" s="532">
        <f>SUM(F567:S567)</f>
        <v>0</v>
      </c>
      <c r="U567" s="301"/>
      <c r="V567" s="532">
        <f>SUM(T567:T567)</f>
        <v>0</v>
      </c>
      <c r="W567" s="532">
        <f>+V567-'ROR-Model'!G567</f>
        <v>0</v>
      </c>
    </row>
    <row r="568" spans="1:23">
      <c r="A568" s="543"/>
      <c r="B568" s="534"/>
      <c r="C568" s="534" t="s">
        <v>145</v>
      </c>
      <c r="D568" s="534"/>
      <c r="E568" s="531"/>
      <c r="F568" s="323">
        <f>SUM(F566:F567)</f>
        <v>0</v>
      </c>
      <c r="G568" s="323">
        <f>G1*SUM(G566:G567)</f>
        <v>0</v>
      </c>
      <c r="H568" s="323">
        <f>SUM(H566:H567)</f>
        <v>0</v>
      </c>
      <c r="I568" s="323">
        <f t="shared" ref="I568:P568" si="119">SUM(I566:I567)</f>
        <v>0</v>
      </c>
      <c r="J568" s="476">
        <f>J1*SUM(J566:J567)</f>
        <v>0</v>
      </c>
      <c r="K568" s="476">
        <f>K1*SUM(K566:K567)</f>
        <v>0</v>
      </c>
      <c r="L568" s="323">
        <f t="shared" si="119"/>
        <v>0</v>
      </c>
      <c r="M568" s="323">
        <f t="shared" si="119"/>
        <v>0</v>
      </c>
      <c r="N568" s="323">
        <f t="shared" si="119"/>
        <v>0</v>
      </c>
      <c r="O568" s="323">
        <f t="shared" si="119"/>
        <v>0</v>
      </c>
      <c r="P568" s="323">
        <f t="shared" si="119"/>
        <v>0</v>
      </c>
      <c r="Q568" s="476">
        <f>SUM(Q566:Q567)</f>
        <v>0</v>
      </c>
      <c r="R568" s="476">
        <f>R1*SUM(R566:R567)</f>
        <v>0</v>
      </c>
      <c r="S568" s="476">
        <f>S1*SUM(S566:S567)</f>
        <v>0</v>
      </c>
      <c r="T568" s="536">
        <f>SUM(T566:T567)</f>
        <v>0</v>
      </c>
      <c r="U568" s="323"/>
      <c r="V568" s="536">
        <f>SUM(V566:V567)</f>
        <v>0</v>
      </c>
      <c r="W568" s="536">
        <f>+V568-'ROR-Model'!G568</f>
        <v>0</v>
      </c>
    </row>
    <row r="569" spans="1:23">
      <c r="A569" s="543"/>
      <c r="B569" s="534"/>
      <c r="C569" s="534"/>
      <c r="D569" s="534"/>
      <c r="E569" s="531"/>
      <c r="F569" s="301"/>
      <c r="G569" s="301"/>
      <c r="H569" s="301"/>
      <c r="I569" s="301"/>
      <c r="J569" s="325"/>
      <c r="K569" s="325"/>
      <c r="L569" s="301"/>
      <c r="M569" s="301"/>
      <c r="N569" s="301"/>
      <c r="O569" s="301"/>
      <c r="P569" s="301"/>
      <c r="Q569" s="325"/>
      <c r="R569" s="325"/>
      <c r="S569" s="325"/>
      <c r="T569" s="532"/>
      <c r="U569" s="301"/>
      <c r="V569" s="532"/>
      <c r="W569" s="532">
        <f>+V569-'ROR-Model'!G569</f>
        <v>0</v>
      </c>
    </row>
    <row r="570" spans="1:23">
      <c r="A570" s="543">
        <v>805</v>
      </c>
      <c r="B570" s="534" t="s">
        <v>320</v>
      </c>
      <c r="C570" s="534"/>
      <c r="D570" s="534"/>
      <c r="E570" s="531"/>
      <c r="F570" s="301"/>
      <c r="G570" s="301"/>
      <c r="H570" s="301"/>
      <c r="I570" s="301"/>
      <c r="J570" s="325"/>
      <c r="K570" s="325"/>
      <c r="L570" s="301"/>
      <c r="M570" s="301"/>
      <c r="N570" s="301"/>
      <c r="O570" s="301"/>
      <c r="P570" s="301"/>
      <c r="Q570" s="325"/>
      <c r="R570" s="325"/>
      <c r="S570" s="325"/>
      <c r="T570" s="532"/>
      <c r="U570" s="301"/>
      <c r="V570" s="532"/>
      <c r="W570" s="532">
        <f>+V570-'ROR-Model'!G570</f>
        <v>0</v>
      </c>
    </row>
    <row r="571" spans="1:23">
      <c r="A571" s="543"/>
      <c r="B571" s="534"/>
      <c r="C571" s="534" t="s">
        <v>12</v>
      </c>
      <c r="D571" s="534"/>
      <c r="E571" s="531"/>
      <c r="F571" s="301"/>
      <c r="G571" s="301"/>
      <c r="H571" s="301"/>
      <c r="I571" s="301"/>
      <c r="J571" s="325"/>
      <c r="K571" s="325"/>
      <c r="L571" s="301"/>
      <c r="M571" s="301"/>
      <c r="N571" s="301"/>
      <c r="O571" s="301"/>
      <c r="P571" s="301"/>
      <c r="Q571" s="325"/>
      <c r="R571" s="325"/>
      <c r="S571" s="325"/>
      <c r="T571" s="532">
        <f>SUM(F571:S571)</f>
        <v>0</v>
      </c>
      <c r="U571" s="301"/>
      <c r="V571" s="532">
        <f>SUM(T571:T571)</f>
        <v>0</v>
      </c>
      <c r="W571" s="532">
        <f>+V571-'ROR-Model'!G571</f>
        <v>0</v>
      </c>
    </row>
    <row r="572" spans="1:23">
      <c r="A572" s="543"/>
      <c r="B572" s="534"/>
      <c r="C572" s="534" t="s">
        <v>23</v>
      </c>
      <c r="D572" s="534"/>
      <c r="E572" s="531"/>
      <c r="F572" s="301"/>
      <c r="G572" s="301"/>
      <c r="H572" s="301"/>
      <c r="I572" s="301"/>
      <c r="J572" s="325"/>
      <c r="K572" s="325"/>
      <c r="L572" s="301"/>
      <c r="M572" s="301"/>
      <c r="N572" s="301"/>
      <c r="O572" s="301"/>
      <c r="P572" s="301"/>
      <c r="Q572" s="325"/>
      <c r="R572" s="325"/>
      <c r="S572" s="325"/>
      <c r="T572" s="532">
        <f>SUM(F572:S572)</f>
        <v>0</v>
      </c>
      <c r="U572" s="301"/>
      <c r="V572" s="532">
        <f>SUM(T572:T572)</f>
        <v>0</v>
      </c>
      <c r="W572" s="532">
        <f>+V572-'ROR-Model'!G572</f>
        <v>0</v>
      </c>
    </row>
    <row r="573" spans="1:23">
      <c r="A573" s="543"/>
      <c r="B573" s="534"/>
      <c r="C573" s="534" t="s">
        <v>145</v>
      </c>
      <c r="D573" s="534"/>
      <c r="E573" s="531"/>
      <c r="F573" s="323">
        <f>SUM(F571:F572)</f>
        <v>0</v>
      </c>
      <c r="G573" s="323">
        <f>G1*SUM(G571:G572)</f>
        <v>0</v>
      </c>
      <c r="H573" s="323">
        <f>SUM(H571:H572)</f>
        <v>0</v>
      </c>
      <c r="I573" s="323">
        <f t="shared" ref="I573:P573" si="120">SUM(I571:I572)</f>
        <v>0</v>
      </c>
      <c r="J573" s="476">
        <f>J1*SUM(J571:J572)</f>
        <v>0</v>
      </c>
      <c r="K573" s="476">
        <f>K1*SUM(K571:K572)</f>
        <v>0</v>
      </c>
      <c r="L573" s="323">
        <f t="shared" si="120"/>
        <v>0</v>
      </c>
      <c r="M573" s="323">
        <f t="shared" si="120"/>
        <v>0</v>
      </c>
      <c r="N573" s="323">
        <f t="shared" si="120"/>
        <v>0</v>
      </c>
      <c r="O573" s="323">
        <f t="shared" si="120"/>
        <v>0</v>
      </c>
      <c r="P573" s="323">
        <f t="shared" si="120"/>
        <v>0</v>
      </c>
      <c r="Q573" s="476">
        <f>SUM(Q571:Q572)</f>
        <v>0</v>
      </c>
      <c r="R573" s="476">
        <f>R1*SUM(R571:R572)</f>
        <v>0</v>
      </c>
      <c r="S573" s="476">
        <f>S1*SUM(S571:S572)</f>
        <v>0</v>
      </c>
      <c r="T573" s="536">
        <f>SUM(T571:T572)</f>
        <v>0</v>
      </c>
      <c r="U573" s="323"/>
      <c r="V573" s="536">
        <f>SUM(V571:V572)</f>
        <v>0</v>
      </c>
      <c r="W573" s="536">
        <f>+V573-'ROR-Model'!G573</f>
        <v>0</v>
      </c>
    </row>
    <row r="574" spans="1:23">
      <c r="A574" s="543"/>
      <c r="B574" s="534"/>
      <c r="C574" s="534"/>
      <c r="D574" s="534"/>
      <c r="E574" s="531"/>
      <c r="F574" s="301"/>
      <c r="G574" s="301"/>
      <c r="H574" s="301"/>
      <c r="I574" s="301"/>
      <c r="J574" s="325"/>
      <c r="K574" s="325"/>
      <c r="L574" s="301"/>
      <c r="M574" s="301"/>
      <c r="N574" s="301"/>
      <c r="O574" s="301"/>
      <c r="P574" s="301"/>
      <c r="Q574" s="325"/>
      <c r="R574" s="325"/>
      <c r="S574" s="325"/>
      <c r="T574" s="532"/>
      <c r="U574" s="301"/>
      <c r="V574" s="532"/>
      <c r="W574" s="532">
        <f>+V574-'ROR-Model'!G574</f>
        <v>0</v>
      </c>
    </row>
    <row r="575" spans="1:23">
      <c r="A575" s="543">
        <v>805.1</v>
      </c>
      <c r="B575" s="534" t="s">
        <v>321</v>
      </c>
      <c r="C575" s="534"/>
      <c r="D575" s="534"/>
      <c r="E575" s="531"/>
      <c r="F575" s="301"/>
      <c r="G575" s="301"/>
      <c r="H575" s="301"/>
      <c r="I575" s="301"/>
      <c r="J575" s="325"/>
      <c r="K575" s="325"/>
      <c r="L575" s="301"/>
      <c r="M575" s="301"/>
      <c r="N575" s="301"/>
      <c r="O575" s="301"/>
      <c r="P575" s="301"/>
      <c r="Q575" s="325"/>
      <c r="R575" s="325"/>
      <c r="S575" s="325"/>
      <c r="T575" s="532"/>
      <c r="U575" s="301"/>
      <c r="V575" s="532"/>
      <c r="W575" s="532">
        <f>+V575-'ROR-Model'!G575</f>
        <v>0</v>
      </c>
    </row>
    <row r="576" spans="1:23">
      <c r="A576" s="543"/>
      <c r="B576" s="534"/>
      <c r="C576" s="534" t="s">
        <v>12</v>
      </c>
      <c r="D576" s="534"/>
      <c r="E576" s="531"/>
      <c r="F576" s="301"/>
      <c r="G576" s="301"/>
      <c r="H576" s="301"/>
      <c r="I576" s="301"/>
      <c r="J576" s="325"/>
      <c r="K576" s="325"/>
      <c r="L576" s="301"/>
      <c r="M576" s="301"/>
      <c r="N576" s="301"/>
      <c r="O576" s="301"/>
      <c r="P576" s="301"/>
      <c r="Q576" s="325"/>
      <c r="R576" s="325"/>
      <c r="S576" s="325"/>
      <c r="T576" s="532">
        <f>SUM(F576:S576)</f>
        <v>0</v>
      </c>
      <c r="U576" s="301"/>
      <c r="V576" s="532">
        <f>SUM(T576:T576)</f>
        <v>0</v>
      </c>
      <c r="W576" s="532">
        <f>+V576-'ROR-Model'!G576</f>
        <v>0</v>
      </c>
    </row>
    <row r="577" spans="1:23">
      <c r="A577" s="543"/>
      <c r="B577" s="534"/>
      <c r="C577" s="534" t="s">
        <v>23</v>
      </c>
      <c r="D577" s="534"/>
      <c r="E577" s="531"/>
      <c r="F577" s="301"/>
      <c r="G577" s="301"/>
      <c r="H577" s="301"/>
      <c r="I577" s="301"/>
      <c r="J577" s="325"/>
      <c r="K577" s="325"/>
      <c r="L577" s="301"/>
      <c r="M577" s="301"/>
      <c r="N577" s="301"/>
      <c r="O577" s="301"/>
      <c r="P577" s="301"/>
      <c r="Q577" s="325"/>
      <c r="R577" s="325"/>
      <c r="S577" s="325"/>
      <c r="T577" s="532">
        <f>SUM(F577:S577)</f>
        <v>0</v>
      </c>
      <c r="U577" s="301"/>
      <c r="V577" s="532">
        <f>SUM(T577:T577)</f>
        <v>0</v>
      </c>
      <c r="W577" s="532">
        <f>+V577-'ROR-Model'!G577</f>
        <v>0</v>
      </c>
    </row>
    <row r="578" spans="1:23">
      <c r="A578" s="543"/>
      <c r="B578" s="534"/>
      <c r="C578" s="534" t="s">
        <v>145</v>
      </c>
      <c r="D578" s="534"/>
      <c r="E578" s="531"/>
      <c r="F578" s="323">
        <f>SUM(F576:F577)</f>
        <v>0</v>
      </c>
      <c r="G578" s="323">
        <f>G1*SUM(G576:G577)</f>
        <v>0</v>
      </c>
      <c r="H578" s="323">
        <f>SUM(H576:H577)</f>
        <v>0</v>
      </c>
      <c r="I578" s="323">
        <f t="shared" ref="I578:P578" si="121">SUM(I576:I577)</f>
        <v>0</v>
      </c>
      <c r="J578" s="476">
        <f>J1*SUM(J576:J577)</f>
        <v>0</v>
      </c>
      <c r="K578" s="476">
        <f>K1*SUM(K576:K577)</f>
        <v>0</v>
      </c>
      <c r="L578" s="323">
        <f t="shared" si="121"/>
        <v>0</v>
      </c>
      <c r="M578" s="323">
        <f t="shared" si="121"/>
        <v>0</v>
      </c>
      <c r="N578" s="323">
        <f t="shared" si="121"/>
        <v>0</v>
      </c>
      <c r="O578" s="323">
        <f t="shared" si="121"/>
        <v>0</v>
      </c>
      <c r="P578" s="323">
        <f t="shared" si="121"/>
        <v>0</v>
      </c>
      <c r="Q578" s="476">
        <f>SUM(Q576:Q577)</f>
        <v>0</v>
      </c>
      <c r="R578" s="476">
        <f>R1*SUM(R576:R577)</f>
        <v>0</v>
      </c>
      <c r="S578" s="476">
        <f>S1*SUM(S576:S577)</f>
        <v>0</v>
      </c>
      <c r="T578" s="536">
        <f>SUM(T576:T577)</f>
        <v>0</v>
      </c>
      <c r="U578" s="323"/>
      <c r="V578" s="536">
        <f>SUM(V576:V577)</f>
        <v>0</v>
      </c>
      <c r="W578" s="536">
        <f>+V578-'ROR-Model'!G578</f>
        <v>0</v>
      </c>
    </row>
    <row r="579" spans="1:23">
      <c r="A579" s="543"/>
      <c r="B579" s="534"/>
      <c r="C579" s="534"/>
      <c r="D579" s="534"/>
      <c r="E579" s="531"/>
      <c r="F579" s="301"/>
      <c r="G579" s="301"/>
      <c r="H579" s="301"/>
      <c r="I579" s="301"/>
      <c r="J579" s="325"/>
      <c r="K579" s="325"/>
      <c r="L579" s="301"/>
      <c r="M579" s="301"/>
      <c r="N579" s="301"/>
      <c r="O579" s="301"/>
      <c r="P579" s="301"/>
      <c r="Q579" s="325"/>
      <c r="R579" s="325"/>
      <c r="S579" s="325"/>
      <c r="T579" s="532"/>
      <c r="U579" s="301"/>
      <c r="V579" s="532"/>
      <c r="W579" s="532">
        <f>+V579-'ROR-Model'!G579</f>
        <v>0</v>
      </c>
    </row>
    <row r="580" spans="1:23">
      <c r="A580" s="543">
        <v>806</v>
      </c>
      <c r="B580" s="534" t="s">
        <v>322</v>
      </c>
      <c r="C580" s="534"/>
      <c r="D580" s="534"/>
      <c r="E580" s="531"/>
      <c r="F580" s="301"/>
      <c r="G580" s="301"/>
      <c r="H580" s="301"/>
      <c r="I580" s="301"/>
      <c r="J580" s="325"/>
      <c r="K580" s="325"/>
      <c r="L580" s="301"/>
      <c r="M580" s="301"/>
      <c r="N580" s="301"/>
      <c r="O580" s="301"/>
      <c r="P580" s="301"/>
      <c r="Q580" s="325"/>
      <c r="R580" s="325"/>
      <c r="S580" s="325"/>
      <c r="T580" s="532"/>
      <c r="U580" s="301"/>
      <c r="V580" s="532"/>
      <c r="W580" s="532">
        <f>+V580-'ROR-Model'!G580</f>
        <v>0</v>
      </c>
    </row>
    <row r="581" spans="1:23">
      <c r="A581" s="543"/>
      <c r="B581" s="534"/>
      <c r="C581" s="534" t="s">
        <v>12</v>
      </c>
      <c r="D581" s="534"/>
      <c r="E581" s="531"/>
      <c r="F581" s="301"/>
      <c r="G581" s="301"/>
      <c r="H581" s="301"/>
      <c r="I581" s="301"/>
      <c r="J581" s="325"/>
      <c r="K581" s="325"/>
      <c r="L581" s="301"/>
      <c r="M581" s="301"/>
      <c r="N581" s="301"/>
      <c r="O581" s="301"/>
      <c r="P581" s="301"/>
      <c r="Q581" s="325"/>
      <c r="R581" s="325"/>
      <c r="S581" s="325"/>
      <c r="T581" s="532">
        <f>SUM(F581:S581)</f>
        <v>0</v>
      </c>
      <c r="U581" s="301"/>
      <c r="V581" s="532">
        <f>SUM(T581:T581)</f>
        <v>0</v>
      </c>
      <c r="W581" s="532">
        <f>+V581-'ROR-Model'!G581</f>
        <v>0</v>
      </c>
    </row>
    <row r="582" spans="1:23">
      <c r="A582" s="543"/>
      <c r="B582" s="534"/>
      <c r="C582" s="534" t="s">
        <v>23</v>
      </c>
      <c r="D582" s="534"/>
      <c r="E582" s="531"/>
      <c r="F582" s="301"/>
      <c r="G582" s="301"/>
      <c r="H582" s="301"/>
      <c r="I582" s="301"/>
      <c r="J582" s="325"/>
      <c r="K582" s="325"/>
      <c r="L582" s="301"/>
      <c r="M582" s="301"/>
      <c r="N582" s="301"/>
      <c r="O582" s="301"/>
      <c r="P582" s="301"/>
      <c r="Q582" s="325"/>
      <c r="R582" s="325"/>
      <c r="S582" s="325"/>
      <c r="T582" s="532">
        <f>SUM(F582:S582)</f>
        <v>0</v>
      </c>
      <c r="U582" s="301"/>
      <c r="V582" s="532">
        <f>SUM(T582:T582)</f>
        <v>0</v>
      </c>
      <c r="W582" s="532">
        <f>+V582-'ROR-Model'!G582</f>
        <v>0</v>
      </c>
    </row>
    <row r="583" spans="1:23">
      <c r="A583" s="543"/>
      <c r="B583" s="534"/>
      <c r="C583" s="534" t="s">
        <v>145</v>
      </c>
      <c r="D583" s="534"/>
      <c r="E583" s="531"/>
      <c r="F583" s="323">
        <f>SUM(F581:F582)</f>
        <v>0</v>
      </c>
      <c r="G583" s="323">
        <f>G1*SUM(G581:G582)</f>
        <v>0</v>
      </c>
      <c r="H583" s="323">
        <f>SUM(H581:H582)</f>
        <v>0</v>
      </c>
      <c r="I583" s="323">
        <f t="shared" ref="I583:P583" si="122">SUM(I581:I582)</f>
        <v>0</v>
      </c>
      <c r="J583" s="476">
        <f>J1*SUM(J581:J582)</f>
        <v>0</v>
      </c>
      <c r="K583" s="476">
        <f>K1*SUM(K581:K582)</f>
        <v>0</v>
      </c>
      <c r="L583" s="323">
        <f t="shared" si="122"/>
        <v>0</v>
      </c>
      <c r="M583" s="323">
        <f t="shared" si="122"/>
        <v>0</v>
      </c>
      <c r="N583" s="323">
        <f t="shared" si="122"/>
        <v>0</v>
      </c>
      <c r="O583" s="323">
        <f t="shared" si="122"/>
        <v>0</v>
      </c>
      <c r="P583" s="323">
        <f t="shared" si="122"/>
        <v>0</v>
      </c>
      <c r="Q583" s="476">
        <f>SUM(Q581:Q582)</f>
        <v>0</v>
      </c>
      <c r="R583" s="476">
        <f>R1*SUM(R581:R582)</f>
        <v>0</v>
      </c>
      <c r="S583" s="476">
        <f>S1*SUM(S581:S582)</f>
        <v>0</v>
      </c>
      <c r="T583" s="536">
        <f>SUM(T581:T582)</f>
        <v>0</v>
      </c>
      <c r="U583" s="323"/>
      <c r="V583" s="536">
        <f>SUM(V581:V582)</f>
        <v>0</v>
      </c>
      <c r="W583" s="536">
        <f>+V583-'ROR-Model'!G583</f>
        <v>0</v>
      </c>
    </row>
    <row r="584" spans="1:23">
      <c r="A584" s="543"/>
      <c r="B584" s="534"/>
      <c r="C584" s="534"/>
      <c r="D584" s="534"/>
      <c r="E584" s="531"/>
      <c r="F584" s="301"/>
      <c r="G584" s="301"/>
      <c r="H584" s="301"/>
      <c r="I584" s="301"/>
      <c r="J584" s="325"/>
      <c r="K584" s="325"/>
      <c r="L584" s="301"/>
      <c r="M584" s="301"/>
      <c r="N584" s="301"/>
      <c r="O584" s="301"/>
      <c r="P584" s="301"/>
      <c r="Q584" s="325"/>
      <c r="R584" s="325"/>
      <c r="S584" s="325"/>
      <c r="T584" s="532"/>
      <c r="U584" s="301"/>
      <c r="V584" s="532"/>
      <c r="W584" s="532">
        <f>+V584-'ROR-Model'!G584</f>
        <v>0</v>
      </c>
    </row>
    <row r="585" spans="1:23">
      <c r="A585" s="543">
        <v>808.1</v>
      </c>
      <c r="B585" s="534" t="s">
        <v>323</v>
      </c>
      <c r="C585" s="534"/>
      <c r="D585" s="534"/>
      <c r="E585" s="531"/>
      <c r="F585" s="301"/>
      <c r="G585" s="301"/>
      <c r="H585" s="301"/>
      <c r="I585" s="301"/>
      <c r="J585" s="325"/>
      <c r="K585" s="325"/>
      <c r="L585" s="301"/>
      <c r="M585" s="301"/>
      <c r="N585" s="301"/>
      <c r="O585" s="301"/>
      <c r="P585" s="301"/>
      <c r="Q585" s="325"/>
      <c r="R585" s="325"/>
      <c r="S585" s="325"/>
      <c r="T585" s="532"/>
      <c r="U585" s="301"/>
      <c r="V585" s="532"/>
      <c r="W585" s="532">
        <f>+V585-'ROR-Model'!G585</f>
        <v>0</v>
      </c>
    </row>
    <row r="586" spans="1:23">
      <c r="A586" s="543"/>
      <c r="B586" s="534"/>
      <c r="C586" s="534" t="s">
        <v>12</v>
      </c>
      <c r="D586" s="534"/>
      <c r="E586" s="531"/>
      <c r="F586" s="301"/>
      <c r="G586" s="301"/>
      <c r="H586" s="301"/>
      <c r="I586" s="301"/>
      <c r="J586" s="325"/>
      <c r="K586" s="325"/>
      <c r="L586" s="301"/>
      <c r="M586" s="301"/>
      <c r="N586" s="301"/>
      <c r="O586" s="301"/>
      <c r="P586" s="301"/>
      <c r="Q586" s="325"/>
      <c r="R586" s="325"/>
      <c r="S586" s="325"/>
      <c r="T586" s="532">
        <f>SUM(F586:S586)</f>
        <v>0</v>
      </c>
      <c r="U586" s="301"/>
      <c r="V586" s="532">
        <f>SUM(T586:T586)</f>
        <v>0</v>
      </c>
      <c r="W586" s="532">
        <f>+V586-'ROR-Model'!G586</f>
        <v>0</v>
      </c>
    </row>
    <row r="587" spans="1:23">
      <c r="A587" s="543"/>
      <c r="B587" s="534"/>
      <c r="C587" s="534" t="s">
        <v>23</v>
      </c>
      <c r="D587" s="534"/>
      <c r="E587" s="531"/>
      <c r="F587" s="301"/>
      <c r="G587" s="301"/>
      <c r="H587" s="301"/>
      <c r="I587" s="301"/>
      <c r="J587" s="325"/>
      <c r="K587" s="325"/>
      <c r="L587" s="301"/>
      <c r="M587" s="301"/>
      <c r="N587" s="301"/>
      <c r="O587" s="301"/>
      <c r="P587" s="301"/>
      <c r="Q587" s="325"/>
      <c r="R587" s="325"/>
      <c r="S587" s="325"/>
      <c r="T587" s="532">
        <f>SUM(F587:S587)</f>
        <v>0</v>
      </c>
      <c r="U587" s="301"/>
      <c r="V587" s="532">
        <f>SUM(T587:T587)</f>
        <v>0</v>
      </c>
      <c r="W587" s="532">
        <f>+V587-'ROR-Model'!G587</f>
        <v>0</v>
      </c>
    </row>
    <row r="588" spans="1:23">
      <c r="A588" s="543"/>
      <c r="B588" s="534"/>
      <c r="C588" s="534" t="s">
        <v>145</v>
      </c>
      <c r="D588" s="534"/>
      <c r="E588" s="531"/>
      <c r="F588" s="323">
        <f>SUM(F586:F587)</f>
        <v>0</v>
      </c>
      <c r="G588" s="323">
        <f>G1*SUM(G586:G587)</f>
        <v>0</v>
      </c>
      <c r="H588" s="323">
        <f>SUM(H586:H587)</f>
        <v>0</v>
      </c>
      <c r="I588" s="323">
        <f t="shared" ref="I588:P588" si="123">SUM(I586:I587)</f>
        <v>0</v>
      </c>
      <c r="J588" s="476">
        <f>J1*SUM(J586:J587)</f>
        <v>0</v>
      </c>
      <c r="K588" s="476">
        <f>K1*SUM(K586:K587)</f>
        <v>0</v>
      </c>
      <c r="L588" s="323">
        <f t="shared" si="123"/>
        <v>0</v>
      </c>
      <c r="M588" s="323">
        <f t="shared" si="123"/>
        <v>0</v>
      </c>
      <c r="N588" s="323">
        <f t="shared" si="123"/>
        <v>0</v>
      </c>
      <c r="O588" s="323">
        <f t="shared" si="123"/>
        <v>0</v>
      </c>
      <c r="P588" s="323">
        <f t="shared" si="123"/>
        <v>0</v>
      </c>
      <c r="Q588" s="476">
        <f>SUM(Q586:Q587)</f>
        <v>0</v>
      </c>
      <c r="R588" s="476">
        <f>R1*SUM(R586:R587)</f>
        <v>0</v>
      </c>
      <c r="S588" s="476">
        <f>S1*SUM(S586:S587)</f>
        <v>0</v>
      </c>
      <c r="T588" s="536">
        <f>SUM(T586:T587)</f>
        <v>0</v>
      </c>
      <c r="U588" s="323"/>
      <c r="V588" s="536">
        <f>SUM(V586:V587)</f>
        <v>0</v>
      </c>
      <c r="W588" s="536">
        <f>+V588-'ROR-Model'!G588</f>
        <v>0</v>
      </c>
    </row>
    <row r="589" spans="1:23">
      <c r="A589" s="543"/>
      <c r="B589" s="534"/>
      <c r="C589" s="534"/>
      <c r="D589" s="534"/>
      <c r="E589" s="531"/>
      <c r="F589" s="301"/>
      <c r="G589" s="301"/>
      <c r="H589" s="301"/>
      <c r="I589" s="301"/>
      <c r="J589" s="325"/>
      <c r="K589" s="325"/>
      <c r="L589" s="301"/>
      <c r="M589" s="301"/>
      <c r="N589" s="301"/>
      <c r="O589" s="301"/>
      <c r="P589" s="301"/>
      <c r="Q589" s="325"/>
      <c r="R589" s="325"/>
      <c r="S589" s="325"/>
      <c r="T589" s="532"/>
      <c r="U589" s="301"/>
      <c r="V589" s="532"/>
      <c r="W589" s="532">
        <f>+V589-'ROR-Model'!G589</f>
        <v>0</v>
      </c>
    </row>
    <row r="590" spans="1:23">
      <c r="A590" s="543">
        <v>808.2</v>
      </c>
      <c r="B590" s="534" t="s">
        <v>324</v>
      </c>
      <c r="C590" s="534"/>
      <c r="D590" s="534"/>
      <c r="E590" s="531"/>
      <c r="F590" s="301"/>
      <c r="G590" s="301"/>
      <c r="H590" s="301"/>
      <c r="I590" s="301"/>
      <c r="J590" s="325"/>
      <c r="K590" s="325"/>
      <c r="L590" s="301"/>
      <c r="M590" s="301"/>
      <c r="N590" s="301"/>
      <c r="O590" s="301"/>
      <c r="P590" s="301"/>
      <c r="Q590" s="325"/>
      <c r="R590" s="325"/>
      <c r="S590" s="325"/>
      <c r="T590" s="532"/>
      <c r="U590" s="301"/>
      <c r="V590" s="532"/>
      <c r="W590" s="532">
        <f>+V590-'ROR-Model'!G590</f>
        <v>0</v>
      </c>
    </row>
    <row r="591" spans="1:23">
      <c r="A591" s="543"/>
      <c r="B591" s="534"/>
      <c r="C591" s="534" t="s">
        <v>12</v>
      </c>
      <c r="D591" s="534"/>
      <c r="E591" s="531"/>
      <c r="F591" s="301"/>
      <c r="G591" s="301"/>
      <c r="H591" s="301"/>
      <c r="I591" s="301"/>
      <c r="J591" s="325"/>
      <c r="K591" s="325"/>
      <c r="L591" s="301"/>
      <c r="M591" s="301"/>
      <c r="N591" s="301"/>
      <c r="O591" s="301"/>
      <c r="P591" s="301"/>
      <c r="Q591" s="325"/>
      <c r="R591" s="325"/>
      <c r="S591" s="325"/>
      <c r="T591" s="532">
        <f>SUM(F591:S591)</f>
        <v>0</v>
      </c>
      <c r="U591" s="301"/>
      <c r="V591" s="532">
        <f>SUM(T591:T591)</f>
        <v>0</v>
      </c>
      <c r="W591" s="532">
        <f>+V591-'ROR-Model'!G591</f>
        <v>0</v>
      </c>
    </row>
    <row r="592" spans="1:23">
      <c r="A592" s="543"/>
      <c r="B592" s="534"/>
      <c r="C592" s="534" t="s">
        <v>23</v>
      </c>
      <c r="D592" s="534"/>
      <c r="E592" s="531"/>
      <c r="F592" s="301"/>
      <c r="G592" s="301"/>
      <c r="H592" s="301"/>
      <c r="I592" s="301"/>
      <c r="J592" s="325"/>
      <c r="K592" s="325"/>
      <c r="L592" s="301"/>
      <c r="M592" s="301"/>
      <c r="N592" s="301"/>
      <c r="O592" s="301"/>
      <c r="P592" s="301"/>
      <c r="Q592" s="325"/>
      <c r="R592" s="325"/>
      <c r="S592" s="325"/>
      <c r="T592" s="532">
        <f>SUM(F592:S592)</f>
        <v>0</v>
      </c>
      <c r="U592" s="301"/>
      <c r="V592" s="532">
        <f>SUM(T592:T592)</f>
        <v>0</v>
      </c>
      <c r="W592" s="532">
        <f>+V592-'ROR-Model'!G592</f>
        <v>0</v>
      </c>
    </row>
    <row r="593" spans="1:23">
      <c r="A593" s="543"/>
      <c r="B593" s="534"/>
      <c r="C593" s="534" t="s">
        <v>145</v>
      </c>
      <c r="D593" s="534"/>
      <c r="E593" s="531"/>
      <c r="F593" s="323">
        <f>SUM(F591:F592)</f>
        <v>0</v>
      </c>
      <c r="G593" s="323">
        <f>G1*SUM(G591:G592)</f>
        <v>0</v>
      </c>
      <c r="H593" s="323">
        <f>SUM(H591:H592)</f>
        <v>0</v>
      </c>
      <c r="I593" s="323">
        <f t="shared" ref="I593:P593" si="124">SUM(I591:I592)</f>
        <v>0</v>
      </c>
      <c r="J593" s="476">
        <f>J1*SUM(J591:J592)</f>
        <v>0</v>
      </c>
      <c r="K593" s="476">
        <f>K1*SUM(K591:K592)</f>
        <v>0</v>
      </c>
      <c r="L593" s="323">
        <f t="shared" si="124"/>
        <v>0</v>
      </c>
      <c r="M593" s="323">
        <f t="shared" si="124"/>
        <v>0</v>
      </c>
      <c r="N593" s="323">
        <f t="shared" si="124"/>
        <v>0</v>
      </c>
      <c r="O593" s="323">
        <f t="shared" si="124"/>
        <v>0</v>
      </c>
      <c r="P593" s="323">
        <f t="shared" si="124"/>
        <v>0</v>
      </c>
      <c r="Q593" s="476">
        <f>SUM(Q591:Q592)</f>
        <v>0</v>
      </c>
      <c r="R593" s="476">
        <f>R1*SUM(R591:R592)</f>
        <v>0</v>
      </c>
      <c r="S593" s="476">
        <f>S1*SUM(S591:S592)</f>
        <v>0</v>
      </c>
      <c r="T593" s="536">
        <f>SUM(T591:T592)</f>
        <v>0</v>
      </c>
      <c r="U593" s="323"/>
      <c r="V593" s="536">
        <f>SUM(V591:V592)</f>
        <v>0</v>
      </c>
      <c r="W593" s="536">
        <f>+V593-'ROR-Model'!G593</f>
        <v>0</v>
      </c>
    </row>
    <row r="594" spans="1:23">
      <c r="A594" s="543"/>
      <c r="B594" s="534"/>
      <c r="C594" s="534"/>
      <c r="D594" s="534"/>
      <c r="E594" s="531"/>
      <c r="F594" s="301"/>
      <c r="G594" s="301"/>
      <c r="H594" s="301"/>
      <c r="I594" s="301"/>
      <c r="J594" s="325"/>
      <c r="K594" s="325"/>
      <c r="L594" s="301"/>
      <c r="M594" s="301"/>
      <c r="N594" s="301"/>
      <c r="O594" s="301"/>
      <c r="P594" s="301"/>
      <c r="Q594" s="325"/>
      <c r="R594" s="325"/>
      <c r="S594" s="325"/>
      <c r="T594" s="532"/>
      <c r="U594" s="301"/>
      <c r="V594" s="532"/>
      <c r="W594" s="532">
        <f>+V594-'ROR-Model'!G594</f>
        <v>0</v>
      </c>
    </row>
    <row r="595" spans="1:23">
      <c r="A595" s="543">
        <v>808.3</v>
      </c>
      <c r="B595" s="534" t="s">
        <v>322</v>
      </c>
      <c r="C595" s="534"/>
      <c r="D595" s="534"/>
      <c r="E595" s="531"/>
      <c r="F595" s="301"/>
      <c r="G595" s="301"/>
      <c r="H595" s="301"/>
      <c r="I595" s="301"/>
      <c r="J595" s="325"/>
      <c r="K595" s="325"/>
      <c r="L595" s="301"/>
      <c r="M595" s="301"/>
      <c r="N595" s="301"/>
      <c r="O595" s="301"/>
      <c r="P595" s="301"/>
      <c r="Q595" s="325"/>
      <c r="R595" s="325"/>
      <c r="S595" s="325"/>
      <c r="T595" s="532"/>
      <c r="U595" s="301"/>
      <c r="V595" s="532"/>
      <c r="W595" s="532">
        <f>+V595-'ROR-Model'!G595</f>
        <v>0</v>
      </c>
    </row>
    <row r="596" spans="1:23">
      <c r="A596" s="543"/>
      <c r="B596" s="534"/>
      <c r="C596" s="534" t="s">
        <v>12</v>
      </c>
      <c r="D596" s="534"/>
      <c r="E596" s="531"/>
      <c r="F596" s="301"/>
      <c r="G596" s="301"/>
      <c r="H596" s="301"/>
      <c r="I596" s="301"/>
      <c r="J596" s="325"/>
      <c r="K596" s="325"/>
      <c r="L596" s="301"/>
      <c r="M596" s="301"/>
      <c r="N596" s="301"/>
      <c r="O596" s="301"/>
      <c r="P596" s="301"/>
      <c r="Q596" s="325"/>
      <c r="R596" s="325"/>
      <c r="S596" s="325"/>
      <c r="T596" s="532">
        <f>SUM(F596:S596)</f>
        <v>0</v>
      </c>
      <c r="U596" s="301"/>
      <c r="V596" s="532">
        <f>SUM(T596:T596)</f>
        <v>0</v>
      </c>
      <c r="W596" s="532">
        <f>+V596-'ROR-Model'!G596</f>
        <v>0</v>
      </c>
    </row>
    <row r="597" spans="1:23">
      <c r="A597" s="543"/>
      <c r="B597" s="534"/>
      <c r="C597" s="534" t="s">
        <v>23</v>
      </c>
      <c r="D597" s="534"/>
      <c r="E597" s="531"/>
      <c r="F597" s="301"/>
      <c r="G597" s="301"/>
      <c r="H597" s="301"/>
      <c r="I597" s="301"/>
      <c r="J597" s="325"/>
      <c r="K597" s="325"/>
      <c r="L597" s="301"/>
      <c r="M597" s="301"/>
      <c r="N597" s="301"/>
      <c r="O597" s="301"/>
      <c r="P597" s="301"/>
      <c r="Q597" s="325"/>
      <c r="R597" s="325"/>
      <c r="S597" s="325"/>
      <c r="T597" s="532">
        <f>SUM(F597:S597)</f>
        <v>0</v>
      </c>
      <c r="U597" s="301"/>
      <c r="V597" s="532">
        <f>SUM(T597:T597)</f>
        <v>0</v>
      </c>
      <c r="W597" s="532">
        <f>+V597-'ROR-Model'!G597</f>
        <v>0</v>
      </c>
    </row>
    <row r="598" spans="1:23">
      <c r="A598" s="543"/>
      <c r="B598" s="534"/>
      <c r="C598" s="534" t="s">
        <v>145</v>
      </c>
      <c r="D598" s="534"/>
      <c r="E598" s="531"/>
      <c r="F598" s="323">
        <f>SUM(F596:F597)</f>
        <v>0</v>
      </c>
      <c r="G598" s="323">
        <f>G1*SUM(G596:G597)</f>
        <v>0</v>
      </c>
      <c r="H598" s="323">
        <f>SUM(H596:H597)</f>
        <v>0</v>
      </c>
      <c r="I598" s="323">
        <f t="shared" ref="I598:P598" si="125">SUM(I596:I597)</f>
        <v>0</v>
      </c>
      <c r="J598" s="476">
        <f>J1*SUM(J596:J597)</f>
        <v>0</v>
      </c>
      <c r="K598" s="476">
        <f>K1*SUM(K596:K597)</f>
        <v>0</v>
      </c>
      <c r="L598" s="323">
        <f t="shared" si="125"/>
        <v>0</v>
      </c>
      <c r="M598" s="323">
        <f t="shared" si="125"/>
        <v>0</v>
      </c>
      <c r="N598" s="323">
        <f t="shared" si="125"/>
        <v>0</v>
      </c>
      <c r="O598" s="323">
        <f t="shared" si="125"/>
        <v>0</v>
      </c>
      <c r="P598" s="323">
        <f t="shared" si="125"/>
        <v>0</v>
      </c>
      <c r="Q598" s="476">
        <f>SUM(Q596:Q597)</f>
        <v>0</v>
      </c>
      <c r="R598" s="476">
        <f>R1*SUM(R596:R597)</f>
        <v>0</v>
      </c>
      <c r="S598" s="476">
        <f>S1*SUM(S596:S597)</f>
        <v>0</v>
      </c>
      <c r="T598" s="536">
        <f>SUM(T596:T597)</f>
        <v>0</v>
      </c>
      <c r="U598" s="323"/>
      <c r="V598" s="536">
        <f>SUM(V596:V597)</f>
        <v>0</v>
      </c>
      <c r="W598" s="536">
        <f>+V598-'ROR-Model'!G598</f>
        <v>0</v>
      </c>
    </row>
    <row r="599" spans="1:23">
      <c r="A599" s="543"/>
      <c r="B599" s="534"/>
      <c r="C599" s="534"/>
      <c r="D599" s="534"/>
      <c r="E599" s="531"/>
      <c r="F599" s="301"/>
      <c r="G599" s="301"/>
      <c r="H599" s="301"/>
      <c r="I599" s="301"/>
      <c r="J599" s="325"/>
      <c r="K599" s="325"/>
      <c r="L599" s="301"/>
      <c r="M599" s="301"/>
      <c r="N599" s="301"/>
      <c r="O599" s="301"/>
      <c r="P599" s="301"/>
      <c r="Q599" s="325"/>
      <c r="R599" s="325"/>
      <c r="S599" s="325"/>
      <c r="T599" s="532"/>
      <c r="U599" s="301"/>
      <c r="V599" s="532"/>
      <c r="W599" s="532">
        <f>+V599-'ROR-Model'!G599</f>
        <v>0</v>
      </c>
    </row>
    <row r="600" spans="1:23">
      <c r="A600" s="543">
        <v>813</v>
      </c>
      <c r="B600" s="534" t="s">
        <v>325</v>
      </c>
      <c r="C600" s="534"/>
      <c r="D600" s="534"/>
      <c r="E600" s="531"/>
      <c r="F600" s="301"/>
      <c r="G600" s="301"/>
      <c r="H600" s="301"/>
      <c r="I600" s="301"/>
      <c r="J600" s="325"/>
      <c r="K600" s="325"/>
      <c r="L600" s="301"/>
      <c r="M600" s="301"/>
      <c r="N600" s="301"/>
      <c r="O600" s="301"/>
      <c r="P600" s="301"/>
      <c r="Q600" s="325"/>
      <c r="R600" s="325"/>
      <c r="S600" s="325"/>
      <c r="T600" s="532"/>
      <c r="U600" s="301"/>
      <c r="V600" s="532"/>
      <c r="W600" s="532">
        <f>+V600-'ROR-Model'!G600</f>
        <v>0</v>
      </c>
    </row>
    <row r="601" spans="1:23">
      <c r="A601" s="543"/>
      <c r="B601" s="534"/>
      <c r="C601" s="534" t="s">
        <v>12</v>
      </c>
      <c r="D601" s="534"/>
      <c r="E601" s="531"/>
      <c r="F601" s="301"/>
      <c r="G601" s="301"/>
      <c r="H601" s="301"/>
      <c r="I601" s="301"/>
      <c r="J601" s="325"/>
      <c r="K601" s="325"/>
      <c r="L601" s="301"/>
      <c r="M601" s="301"/>
      <c r="N601" s="301"/>
      <c r="O601" s="301"/>
      <c r="P601" s="301"/>
      <c r="Q601" s="325"/>
      <c r="R601" s="325"/>
      <c r="S601" s="325"/>
      <c r="T601" s="532">
        <f>SUM(F601:S601)</f>
        <v>0</v>
      </c>
      <c r="U601" s="301"/>
      <c r="V601" s="532">
        <f>SUM(T601:T601)</f>
        <v>0</v>
      </c>
      <c r="W601" s="532">
        <f>+V601-'ROR-Model'!G601</f>
        <v>0</v>
      </c>
    </row>
    <row r="602" spans="1:23">
      <c r="A602" s="543"/>
      <c r="B602" s="534"/>
      <c r="C602" s="534" t="s">
        <v>23</v>
      </c>
      <c r="D602" s="534"/>
      <c r="E602" s="531"/>
      <c r="F602" s="301"/>
      <c r="G602" s="301"/>
      <c r="H602" s="301"/>
      <c r="I602" s="301"/>
      <c r="J602" s="325"/>
      <c r="K602" s="325"/>
      <c r="L602" s="301"/>
      <c r="M602" s="301"/>
      <c r="N602" s="301"/>
      <c r="O602" s="301"/>
      <c r="P602" s="301"/>
      <c r="Q602" s="325"/>
      <c r="R602" s="325"/>
      <c r="S602" s="325"/>
      <c r="T602" s="532">
        <f>SUM(F602:S602)</f>
        <v>0</v>
      </c>
      <c r="U602" s="301"/>
      <c r="V602" s="532">
        <f>SUM(T602:T602)</f>
        <v>0</v>
      </c>
      <c r="W602" s="532">
        <f>+V602-'ROR-Model'!G602</f>
        <v>0</v>
      </c>
    </row>
    <row r="603" spans="1:23">
      <c r="A603" s="543"/>
      <c r="B603" s="534"/>
      <c r="C603" s="534" t="s">
        <v>145</v>
      </c>
      <c r="D603" s="534"/>
      <c r="E603" s="531"/>
      <c r="F603" s="323">
        <f>SUM(F601:F602)</f>
        <v>0</v>
      </c>
      <c r="G603" s="323">
        <f>G1*SUM(G601:G602)</f>
        <v>0</v>
      </c>
      <c r="H603" s="323">
        <f>SUM(H601:H602)</f>
        <v>0</v>
      </c>
      <c r="I603" s="323">
        <f t="shared" ref="I603:P603" si="126">SUM(I601:I602)</f>
        <v>0</v>
      </c>
      <c r="J603" s="476">
        <f>J1*SUM(J601:J602)</f>
        <v>0</v>
      </c>
      <c r="K603" s="476">
        <f>K1*SUM(K601:K602)</f>
        <v>0</v>
      </c>
      <c r="L603" s="323">
        <f t="shared" si="126"/>
        <v>0</v>
      </c>
      <c r="M603" s="323">
        <f t="shared" si="126"/>
        <v>0</v>
      </c>
      <c r="N603" s="323">
        <f t="shared" si="126"/>
        <v>0</v>
      </c>
      <c r="O603" s="323">
        <f t="shared" si="126"/>
        <v>0</v>
      </c>
      <c r="P603" s="323">
        <f t="shared" si="126"/>
        <v>0</v>
      </c>
      <c r="Q603" s="476">
        <f>SUM(Q601:Q602)</f>
        <v>0</v>
      </c>
      <c r="R603" s="476">
        <f>R1*SUM(R601:R602)</f>
        <v>0</v>
      </c>
      <c r="S603" s="476">
        <f>S1*SUM(S601:S602)</f>
        <v>0</v>
      </c>
      <c r="T603" s="536">
        <f>SUM(T601:T602)</f>
        <v>0</v>
      </c>
      <c r="U603" s="323"/>
      <c r="V603" s="536">
        <f>SUM(V601:V602)</f>
        <v>0</v>
      </c>
      <c r="W603" s="536">
        <f>+V603-'ROR-Model'!G603</f>
        <v>0</v>
      </c>
    </row>
    <row r="604" spans="1:23">
      <c r="A604" s="543"/>
      <c r="B604" s="534"/>
      <c r="C604" s="534"/>
      <c r="D604" s="534"/>
      <c r="E604" s="531"/>
      <c r="F604" s="301"/>
      <c r="G604" s="301"/>
      <c r="H604" s="301"/>
      <c r="I604" s="301"/>
      <c r="J604" s="325"/>
      <c r="K604" s="325"/>
      <c r="L604" s="301"/>
      <c r="M604" s="301"/>
      <c r="N604" s="301"/>
      <c r="O604" s="301"/>
      <c r="P604" s="301"/>
      <c r="Q604" s="325"/>
      <c r="R604" s="325"/>
      <c r="S604" s="325"/>
      <c r="T604" s="532"/>
      <c r="U604" s="301"/>
      <c r="V604" s="532"/>
      <c r="W604" s="532">
        <f>+V604-'ROR-Model'!G604</f>
        <v>0</v>
      </c>
    </row>
    <row r="605" spans="1:23">
      <c r="A605" s="543">
        <v>813</v>
      </c>
      <c r="B605" s="534" t="s">
        <v>326</v>
      </c>
      <c r="C605" s="534"/>
      <c r="D605" s="534"/>
      <c r="E605" s="531"/>
      <c r="F605" s="301"/>
      <c r="G605" s="301"/>
      <c r="H605" s="301"/>
      <c r="I605" s="301"/>
      <c r="J605" s="325"/>
      <c r="K605" s="325"/>
      <c r="L605" s="301"/>
      <c r="M605" s="301"/>
      <c r="N605" s="301"/>
      <c r="O605" s="301"/>
      <c r="P605" s="301"/>
      <c r="Q605" s="325"/>
      <c r="R605" s="325"/>
      <c r="S605" s="325"/>
      <c r="T605" s="532"/>
      <c r="U605" s="301"/>
      <c r="V605" s="532"/>
      <c r="W605" s="532">
        <f>+V605-'ROR-Model'!G605</f>
        <v>0</v>
      </c>
    </row>
    <row r="606" spans="1:23">
      <c r="A606" s="543"/>
      <c r="B606" s="534"/>
      <c r="C606" s="534" t="s">
        <v>12</v>
      </c>
      <c r="D606" s="534"/>
      <c r="E606" s="531"/>
      <c r="F606" s="301"/>
      <c r="G606" s="301"/>
      <c r="H606" s="301"/>
      <c r="I606" s="301"/>
      <c r="J606" s="325"/>
      <c r="K606" s="325"/>
      <c r="L606" s="301"/>
      <c r="M606" s="301"/>
      <c r="N606" s="301"/>
      <c r="O606" s="301"/>
      <c r="P606" s="301"/>
      <c r="Q606" s="325"/>
      <c r="R606" s="325"/>
      <c r="S606" s="325"/>
      <c r="T606" s="532">
        <f>SUM(F606:S606)</f>
        <v>0</v>
      </c>
      <c r="U606" s="301"/>
      <c r="V606" s="532">
        <f>SUM(T606:T606)</f>
        <v>0</v>
      </c>
      <c r="W606" s="532">
        <f>+V606-'ROR-Model'!G606</f>
        <v>0</v>
      </c>
    </row>
    <row r="607" spans="1:23">
      <c r="A607" s="543"/>
      <c r="B607" s="534"/>
      <c r="C607" s="534" t="s">
        <v>23</v>
      </c>
      <c r="D607" s="534"/>
      <c r="E607" s="531"/>
      <c r="F607" s="301"/>
      <c r="G607" s="301"/>
      <c r="H607" s="301"/>
      <c r="I607" s="301"/>
      <c r="J607" s="325"/>
      <c r="K607" s="325"/>
      <c r="L607" s="301"/>
      <c r="M607" s="301"/>
      <c r="N607" s="301"/>
      <c r="O607" s="301"/>
      <c r="P607" s="301"/>
      <c r="Q607" s="325"/>
      <c r="R607" s="325"/>
      <c r="S607" s="325"/>
      <c r="T607" s="532">
        <f>SUM(F607:S607)</f>
        <v>0</v>
      </c>
      <c r="U607" s="301"/>
      <c r="V607" s="532">
        <f>SUM(T607:T607)</f>
        <v>0</v>
      </c>
      <c r="W607" s="532">
        <f>+V607-'ROR-Model'!G607</f>
        <v>0</v>
      </c>
    </row>
    <row r="608" spans="1:23">
      <c r="A608" s="543"/>
      <c r="B608" s="534"/>
      <c r="C608" s="534" t="s">
        <v>145</v>
      </c>
      <c r="D608" s="534"/>
      <c r="E608" s="531"/>
      <c r="F608" s="323">
        <f>SUM(F606:F607)</f>
        <v>0</v>
      </c>
      <c r="G608" s="323">
        <f>G1*SUM(G606:G607)</f>
        <v>0</v>
      </c>
      <c r="H608" s="323">
        <f>SUM(H606:H607)</f>
        <v>0</v>
      </c>
      <c r="I608" s="323">
        <f t="shared" ref="I608:P608" si="127">SUM(I606:I607)</f>
        <v>0</v>
      </c>
      <c r="J608" s="476">
        <f>J1*SUM(J606:J607)</f>
        <v>0</v>
      </c>
      <c r="K608" s="476">
        <f>K1*SUM(K606:K607)</f>
        <v>0</v>
      </c>
      <c r="L608" s="323">
        <f t="shared" si="127"/>
        <v>0</v>
      </c>
      <c r="M608" s="323">
        <f t="shared" si="127"/>
        <v>0</v>
      </c>
      <c r="N608" s="323">
        <f t="shared" si="127"/>
        <v>0</v>
      </c>
      <c r="O608" s="323">
        <f t="shared" si="127"/>
        <v>0</v>
      </c>
      <c r="P608" s="323">
        <f t="shared" si="127"/>
        <v>0</v>
      </c>
      <c r="Q608" s="476">
        <f>SUM(Q606:Q607)</f>
        <v>0</v>
      </c>
      <c r="R608" s="476">
        <f>R1*SUM(R606:R607)</f>
        <v>0</v>
      </c>
      <c r="S608" s="476">
        <f>S1*SUM(S606:S607)</f>
        <v>0</v>
      </c>
      <c r="T608" s="536">
        <f>SUM(T606:T607)</f>
        <v>0</v>
      </c>
      <c r="U608" s="323"/>
      <c r="V608" s="536">
        <f>SUM(V606:V607)</f>
        <v>0</v>
      </c>
      <c r="W608" s="536">
        <f>+V608-'ROR-Model'!G608</f>
        <v>0</v>
      </c>
    </row>
    <row r="609" spans="1:23">
      <c r="A609" s="543"/>
      <c r="B609" s="534"/>
      <c r="C609" s="534"/>
      <c r="D609" s="534"/>
      <c r="E609" s="531"/>
      <c r="F609" s="301"/>
      <c r="G609" s="301"/>
      <c r="H609" s="301"/>
      <c r="I609" s="301"/>
      <c r="J609" s="325"/>
      <c r="K609" s="325"/>
      <c r="L609" s="301"/>
      <c r="M609" s="301"/>
      <c r="N609" s="301"/>
      <c r="O609" s="301"/>
      <c r="P609" s="301"/>
      <c r="Q609" s="325"/>
      <c r="R609" s="325"/>
      <c r="S609" s="325"/>
      <c r="T609" s="532"/>
      <c r="U609" s="301"/>
      <c r="V609" s="532"/>
      <c r="W609" s="532">
        <f>+V609-'ROR-Model'!G609</f>
        <v>0</v>
      </c>
    </row>
    <row r="610" spans="1:23">
      <c r="A610" s="543" t="s">
        <v>639</v>
      </c>
      <c r="B610" s="534" t="s">
        <v>327</v>
      </c>
      <c r="C610" s="534"/>
      <c r="D610" s="534"/>
      <c r="E610" s="531"/>
      <c r="F610" s="301"/>
      <c r="G610" s="301"/>
      <c r="H610" s="301"/>
      <c r="I610" s="301"/>
      <c r="J610" s="325"/>
      <c r="K610" s="325"/>
      <c r="L610" s="301"/>
      <c r="M610" s="301"/>
      <c r="N610" s="301"/>
      <c r="O610" s="301"/>
      <c r="P610" s="301"/>
      <c r="Q610" s="325"/>
      <c r="R610" s="325"/>
      <c r="S610" s="325"/>
      <c r="T610" s="532"/>
      <c r="U610" s="301"/>
      <c r="V610" s="532"/>
      <c r="W610" s="532">
        <f>+V610-'ROR-Model'!G610</f>
        <v>0</v>
      </c>
    </row>
    <row r="611" spans="1:23">
      <c r="A611" s="543"/>
      <c r="B611" s="534"/>
      <c r="C611" s="534" t="s">
        <v>12</v>
      </c>
      <c r="D611" s="534"/>
      <c r="E611" s="531"/>
      <c r="F611" s="301"/>
      <c r="G611" s="301"/>
      <c r="H611" s="301"/>
      <c r="I611" s="301"/>
      <c r="J611" s="325"/>
      <c r="K611" s="325"/>
      <c r="L611" s="301"/>
      <c r="M611" s="301"/>
      <c r="N611" s="301"/>
      <c r="O611" s="474"/>
      <c r="P611" s="301"/>
      <c r="Q611" s="325"/>
      <c r="R611" s="325"/>
      <c r="S611" s="325"/>
      <c r="T611" s="532">
        <f>SUM(F611:S611)</f>
        <v>0</v>
      </c>
      <c r="U611" s="301"/>
      <c r="V611" s="532">
        <f>SUM(T611:T611)</f>
        <v>0</v>
      </c>
      <c r="W611" s="532">
        <f>+V611-'ROR-Model'!G611</f>
        <v>0</v>
      </c>
    </row>
    <row r="612" spans="1:23">
      <c r="A612" s="543"/>
      <c r="B612" s="534"/>
      <c r="C612" s="534" t="s">
        <v>23</v>
      </c>
      <c r="D612" s="534"/>
      <c r="E612" s="531"/>
      <c r="F612" s="301"/>
      <c r="G612" s="301"/>
      <c r="H612" s="301"/>
      <c r="I612" s="301"/>
      <c r="J612" s="325"/>
      <c r="K612" s="325"/>
      <c r="L612" s="301"/>
      <c r="M612" s="301"/>
      <c r="N612" s="301"/>
      <c r="O612" s="301"/>
      <c r="P612" s="301"/>
      <c r="Q612" s="325"/>
      <c r="R612" s="325"/>
      <c r="S612" s="325"/>
      <c r="T612" s="532">
        <f>SUM(F612:S612)</f>
        <v>0</v>
      </c>
      <c r="U612" s="301"/>
      <c r="V612" s="532">
        <f>SUM(T612:T612)</f>
        <v>0</v>
      </c>
      <c r="W612" s="532">
        <f>+V612-'ROR-Model'!G612</f>
        <v>0</v>
      </c>
    </row>
    <row r="613" spans="1:23">
      <c r="A613" s="543"/>
      <c r="B613" s="534"/>
      <c r="C613" s="534" t="s">
        <v>145</v>
      </c>
      <c r="D613" s="534"/>
      <c r="E613" s="531"/>
      <c r="F613" s="323">
        <f>SUM(F611:F612)</f>
        <v>0</v>
      </c>
      <c r="G613" s="323">
        <f>G1*SUM(G611:G612)</f>
        <v>0</v>
      </c>
      <c r="H613" s="323">
        <f>SUM(H611:H612)</f>
        <v>0</v>
      </c>
      <c r="I613" s="323">
        <f t="shared" ref="I613:P613" si="128">SUM(I611:I612)</f>
        <v>0</v>
      </c>
      <c r="J613" s="476">
        <f>J1*SUM(J611:J612)</f>
        <v>0</v>
      </c>
      <c r="K613" s="476">
        <f>K1*SUM(K611:K612)</f>
        <v>0</v>
      </c>
      <c r="L613" s="323">
        <f t="shared" si="128"/>
        <v>0</v>
      </c>
      <c r="M613" s="323">
        <f t="shared" si="128"/>
        <v>0</v>
      </c>
      <c r="N613" s="323">
        <f t="shared" si="128"/>
        <v>0</v>
      </c>
      <c r="O613" s="323">
        <f t="shared" si="128"/>
        <v>0</v>
      </c>
      <c r="P613" s="323">
        <f t="shared" si="128"/>
        <v>0</v>
      </c>
      <c r="Q613" s="476">
        <f>SUM(Q611:Q612)</f>
        <v>0</v>
      </c>
      <c r="R613" s="476">
        <f>R1*SUM(R611:R612)</f>
        <v>0</v>
      </c>
      <c r="S613" s="476">
        <f>S1*SUM(S611:S612)</f>
        <v>0</v>
      </c>
      <c r="T613" s="536">
        <f>SUM(T611:T612)</f>
        <v>0</v>
      </c>
      <c r="U613" s="323"/>
      <c r="V613" s="536">
        <f>SUM(V611:V612)</f>
        <v>0</v>
      </c>
      <c r="W613" s="536">
        <f>+V613-'ROR-Model'!G613</f>
        <v>0</v>
      </c>
    </row>
    <row r="614" spans="1:23">
      <c r="A614" s="543"/>
      <c r="B614" s="534"/>
      <c r="C614" s="534"/>
      <c r="D614" s="534"/>
      <c r="E614" s="531"/>
      <c r="F614" s="301"/>
      <c r="G614" s="301"/>
      <c r="H614" s="301"/>
      <c r="I614" s="301"/>
      <c r="J614" s="325"/>
      <c r="K614" s="325"/>
      <c r="L614" s="301"/>
      <c r="M614" s="301"/>
      <c r="N614" s="301"/>
      <c r="O614" s="301"/>
      <c r="P614" s="301"/>
      <c r="Q614" s="325"/>
      <c r="R614" s="325"/>
      <c r="S614" s="325"/>
      <c r="T614" s="532"/>
      <c r="U614" s="301"/>
      <c r="V614" s="532"/>
      <c r="W614" s="532">
        <f>+V614-'ROR-Model'!G614</f>
        <v>0</v>
      </c>
    </row>
    <row r="615" spans="1:23">
      <c r="A615" s="543">
        <v>858</v>
      </c>
      <c r="B615" s="534" t="s">
        <v>328</v>
      </c>
      <c r="C615" s="534"/>
      <c r="D615" s="534"/>
      <c r="E615" s="531"/>
      <c r="F615" s="301"/>
      <c r="G615" s="301"/>
      <c r="H615" s="301"/>
      <c r="I615" s="301"/>
      <c r="J615" s="325"/>
      <c r="K615" s="325"/>
      <c r="L615" s="301"/>
      <c r="M615" s="301"/>
      <c r="N615" s="301"/>
      <c r="O615" s="301"/>
      <c r="P615" s="301"/>
      <c r="Q615" s="325"/>
      <c r="R615" s="325"/>
      <c r="S615" s="325"/>
      <c r="T615" s="532"/>
      <c r="U615" s="301"/>
      <c r="V615" s="532"/>
      <c r="W615" s="532">
        <f>+V615-'ROR-Model'!G615</f>
        <v>0</v>
      </c>
    </row>
    <row r="616" spans="1:23">
      <c r="A616" s="543"/>
      <c r="B616" s="534"/>
      <c r="C616" s="534" t="s">
        <v>12</v>
      </c>
      <c r="D616" s="534"/>
      <c r="E616" s="531"/>
      <c r="F616" s="301"/>
      <c r="G616" s="301"/>
      <c r="H616" s="301"/>
      <c r="I616" s="301"/>
      <c r="J616" s="325"/>
      <c r="K616" s="325"/>
      <c r="L616" s="301"/>
      <c r="M616" s="301"/>
      <c r="N616" s="301"/>
      <c r="O616" s="301"/>
      <c r="P616" s="301"/>
      <c r="Q616" s="325"/>
      <c r="R616" s="325"/>
      <c r="S616" s="325"/>
      <c r="T616" s="532">
        <f>SUM(F616:S616)</f>
        <v>0</v>
      </c>
      <c r="U616" s="301"/>
      <c r="V616" s="532">
        <f>SUM(T616:T616)</f>
        <v>0</v>
      </c>
      <c r="W616" s="532">
        <f>+V616-'ROR-Model'!G616</f>
        <v>0</v>
      </c>
    </row>
    <row r="617" spans="1:23">
      <c r="A617" s="543"/>
      <c r="B617" s="534"/>
      <c r="C617" s="534" t="s">
        <v>23</v>
      </c>
      <c r="D617" s="534"/>
      <c r="E617" s="531"/>
      <c r="F617" s="301"/>
      <c r="G617" s="301"/>
      <c r="H617" s="301"/>
      <c r="I617" s="301"/>
      <c r="J617" s="325"/>
      <c r="K617" s="325"/>
      <c r="L617" s="301"/>
      <c r="M617" s="301"/>
      <c r="N617" s="301"/>
      <c r="O617" s="301"/>
      <c r="P617" s="301"/>
      <c r="Q617" s="325"/>
      <c r="R617" s="325"/>
      <c r="S617" s="325"/>
      <c r="T617" s="532">
        <f>SUM(F617:S617)</f>
        <v>0</v>
      </c>
      <c r="U617" s="301"/>
      <c r="V617" s="532">
        <f>SUM(T617:T617)</f>
        <v>0</v>
      </c>
      <c r="W617" s="532">
        <f>+V617-'ROR-Model'!G617</f>
        <v>0</v>
      </c>
    </row>
    <row r="618" spans="1:23">
      <c r="A618" s="543"/>
      <c r="B618" s="534"/>
      <c r="C618" s="534" t="s">
        <v>145</v>
      </c>
      <c r="D618" s="534"/>
      <c r="E618" s="531"/>
      <c r="F618" s="323">
        <f t="shared" ref="F618:P618" si="129">SUM(F616:F617)</f>
        <v>0</v>
      </c>
      <c r="G618" s="323">
        <f t="shared" si="129"/>
        <v>0</v>
      </c>
      <c r="H618" s="323">
        <f>SUM(H616:H617)</f>
        <v>0</v>
      </c>
      <c r="I618" s="323">
        <f t="shared" si="129"/>
        <v>0</v>
      </c>
      <c r="J618" s="476">
        <f>SUM(J616:J617)</f>
        <v>0</v>
      </c>
      <c r="K618" s="476">
        <f>SUM(K616:K617)</f>
        <v>0</v>
      </c>
      <c r="L618" s="323">
        <f t="shared" si="129"/>
        <v>0</v>
      </c>
      <c r="M618" s="323">
        <f t="shared" si="129"/>
        <v>0</v>
      </c>
      <c r="N618" s="323">
        <f t="shared" si="129"/>
        <v>0</v>
      </c>
      <c r="O618" s="323">
        <f t="shared" si="129"/>
        <v>0</v>
      </c>
      <c r="P618" s="323">
        <f t="shared" si="129"/>
        <v>0</v>
      </c>
      <c r="Q618" s="476">
        <f>SUM(Q616:Q617)</f>
        <v>0</v>
      </c>
      <c r="R618" s="476">
        <f>SUM(R616:R617)</f>
        <v>0</v>
      </c>
      <c r="S618" s="476">
        <f>SUM(S616:S617)</f>
        <v>0</v>
      </c>
      <c r="T618" s="536">
        <f>SUM(T616:T617)</f>
        <v>0</v>
      </c>
      <c r="U618" s="323"/>
      <c r="V618" s="536">
        <f>SUM(V616:V617)</f>
        <v>0</v>
      </c>
      <c r="W618" s="536">
        <f>+V618-'ROR-Model'!G618</f>
        <v>0</v>
      </c>
    </row>
    <row r="619" spans="1:23">
      <c r="A619" s="543"/>
      <c r="B619" s="534"/>
      <c r="C619" s="534"/>
      <c r="D619" s="534"/>
      <c r="E619" s="531"/>
      <c r="F619" s="301"/>
      <c r="G619" s="301"/>
      <c r="H619" s="301"/>
      <c r="I619" s="301"/>
      <c r="J619" s="325"/>
      <c r="K619" s="325"/>
      <c r="L619" s="301"/>
      <c r="M619" s="301"/>
      <c r="N619" s="301"/>
      <c r="O619" s="301"/>
      <c r="P619" s="301"/>
      <c r="Q619" s="325"/>
      <c r="R619" s="325"/>
      <c r="S619" s="325"/>
      <c r="T619" s="532"/>
      <c r="U619" s="301"/>
      <c r="V619" s="532"/>
      <c r="W619" s="532">
        <f>+V619-'ROR-Model'!G619</f>
        <v>0</v>
      </c>
    </row>
    <row r="620" spans="1:23">
      <c r="A620" s="543">
        <v>858</v>
      </c>
      <c r="B620" s="534" t="s">
        <v>329</v>
      </c>
      <c r="C620" s="534"/>
      <c r="D620" s="534"/>
      <c r="E620" s="531"/>
      <c r="F620" s="301"/>
      <c r="G620" s="301"/>
      <c r="H620" s="301"/>
      <c r="I620" s="301"/>
      <c r="J620" s="325"/>
      <c r="K620" s="325"/>
      <c r="L620" s="301"/>
      <c r="M620" s="301"/>
      <c r="N620" s="301"/>
      <c r="O620" s="301"/>
      <c r="P620" s="301"/>
      <c r="Q620" s="325"/>
      <c r="R620" s="325"/>
      <c r="S620" s="325"/>
      <c r="T620" s="532"/>
      <c r="U620" s="301"/>
      <c r="V620" s="532"/>
      <c r="W620" s="532">
        <f>+V620-'ROR-Model'!G620</f>
        <v>0</v>
      </c>
    </row>
    <row r="621" spans="1:23">
      <c r="A621" s="535"/>
      <c r="B621" s="534"/>
      <c r="C621" s="534" t="s">
        <v>12</v>
      </c>
      <c r="D621" s="534"/>
      <c r="E621" s="531"/>
      <c r="F621" s="301"/>
      <c r="G621" s="301"/>
      <c r="H621" s="301"/>
      <c r="I621" s="301"/>
      <c r="J621" s="325"/>
      <c r="K621" s="325"/>
      <c r="L621" s="301"/>
      <c r="M621" s="301"/>
      <c r="N621" s="301"/>
      <c r="O621" s="301"/>
      <c r="P621" s="301"/>
      <c r="Q621" s="325"/>
      <c r="R621" s="325"/>
      <c r="S621" s="325"/>
      <c r="T621" s="532">
        <f>SUM(F621:S621)</f>
        <v>0</v>
      </c>
      <c r="U621" s="301"/>
      <c r="V621" s="532">
        <f>SUM(T621:T621)</f>
        <v>0</v>
      </c>
      <c r="W621" s="532">
        <f>+V621-'ROR-Model'!G621</f>
        <v>0</v>
      </c>
    </row>
    <row r="622" spans="1:23">
      <c r="A622" s="535"/>
      <c r="B622" s="534"/>
      <c r="C622" s="534" t="s">
        <v>23</v>
      </c>
      <c r="D622" s="534"/>
      <c r="E622" s="531"/>
      <c r="F622" s="301"/>
      <c r="G622" s="301"/>
      <c r="H622" s="301"/>
      <c r="I622" s="301"/>
      <c r="J622" s="325"/>
      <c r="K622" s="325"/>
      <c r="L622" s="301"/>
      <c r="M622" s="301"/>
      <c r="N622" s="301"/>
      <c r="O622" s="301"/>
      <c r="P622" s="301"/>
      <c r="Q622" s="325"/>
      <c r="R622" s="325"/>
      <c r="S622" s="325"/>
      <c r="T622" s="532">
        <f>SUM(F622:S622)</f>
        <v>0</v>
      </c>
      <c r="U622" s="301"/>
      <c r="V622" s="532">
        <f>SUM(T622:T622)</f>
        <v>0</v>
      </c>
      <c r="W622" s="532">
        <f>+V622-'ROR-Model'!G622</f>
        <v>0</v>
      </c>
    </row>
    <row r="623" spans="1:23">
      <c r="A623" s="535"/>
      <c r="B623" s="534"/>
      <c r="C623" s="534" t="s">
        <v>145</v>
      </c>
      <c r="D623" s="534"/>
      <c r="E623" s="531"/>
      <c r="F623" s="323">
        <f t="shared" ref="F623:P623" si="130">SUM(F621:F622)</f>
        <v>0</v>
      </c>
      <c r="G623" s="323">
        <f t="shared" si="130"/>
        <v>0</v>
      </c>
      <c r="H623" s="323">
        <f>SUM(H621:H622)</f>
        <v>0</v>
      </c>
      <c r="I623" s="323">
        <f t="shared" si="130"/>
        <v>0</v>
      </c>
      <c r="J623" s="476">
        <f>SUM(J621:J622)</f>
        <v>0</v>
      </c>
      <c r="K623" s="476">
        <f>SUM(K621:K622)</f>
        <v>0</v>
      </c>
      <c r="L623" s="323">
        <f t="shared" si="130"/>
        <v>0</v>
      </c>
      <c r="M623" s="323">
        <f t="shared" si="130"/>
        <v>0</v>
      </c>
      <c r="N623" s="323">
        <f t="shared" si="130"/>
        <v>0</v>
      </c>
      <c r="O623" s="323">
        <f t="shared" si="130"/>
        <v>0</v>
      </c>
      <c r="P623" s="323">
        <f t="shared" si="130"/>
        <v>0</v>
      </c>
      <c r="Q623" s="476">
        <f>SUM(Q621:Q622)</f>
        <v>0</v>
      </c>
      <c r="R623" s="476">
        <f>SUM(R621:R622)</f>
        <v>0</v>
      </c>
      <c r="S623" s="476">
        <f>SUM(S621:S622)</f>
        <v>0</v>
      </c>
      <c r="T623" s="536">
        <f>SUM(T621:T622)</f>
        <v>0</v>
      </c>
      <c r="U623" s="323"/>
      <c r="V623" s="536">
        <f>SUM(V621:V622)</f>
        <v>0</v>
      </c>
      <c r="W623" s="536">
        <f>+V623-'ROR-Model'!G623</f>
        <v>0</v>
      </c>
    </row>
    <row r="624" spans="1:23">
      <c r="A624" s="535"/>
      <c r="B624" s="534"/>
      <c r="C624" s="534"/>
      <c r="D624" s="534"/>
      <c r="E624" s="531"/>
      <c r="F624" s="301"/>
      <c r="G624" s="301"/>
      <c r="H624" s="301"/>
      <c r="I624" s="301"/>
      <c r="J624" s="325"/>
      <c r="K624" s="325"/>
      <c r="L624" s="301"/>
      <c r="M624" s="301"/>
      <c r="N624" s="301"/>
      <c r="O624" s="301"/>
      <c r="P624" s="301"/>
      <c r="Q624" s="325"/>
      <c r="R624" s="325"/>
      <c r="S624" s="325"/>
      <c r="T624" s="532"/>
      <c r="U624" s="301"/>
      <c r="V624" s="532"/>
      <c r="W624" s="532">
        <f>+V624-'ROR-Model'!G624</f>
        <v>0</v>
      </c>
    </row>
    <row r="625" spans="1:23">
      <c r="A625" s="535"/>
      <c r="B625" s="546" t="s">
        <v>254</v>
      </c>
      <c r="C625" s="537"/>
      <c r="D625" s="537"/>
      <c r="E625" s="537"/>
      <c r="F625" s="301"/>
      <c r="G625" s="301"/>
      <c r="H625" s="301"/>
      <c r="I625" s="301"/>
      <c r="J625" s="325"/>
      <c r="K625" s="325"/>
      <c r="L625" s="301"/>
      <c r="M625" s="301"/>
      <c r="N625" s="301"/>
      <c r="O625" s="301"/>
      <c r="P625" s="301"/>
      <c r="Q625" s="325"/>
      <c r="R625" s="325"/>
      <c r="S625" s="325"/>
      <c r="T625" s="532"/>
      <c r="U625" s="301"/>
      <c r="V625" s="532"/>
      <c r="W625" s="532">
        <f>+V625-'ROR-Model'!G625</f>
        <v>0</v>
      </c>
    </row>
    <row r="626" spans="1:23">
      <c r="A626" s="535"/>
      <c r="B626" s="537"/>
      <c r="C626" s="537" t="s">
        <v>252</v>
      </c>
      <c r="D626" s="537"/>
      <c r="E626" s="547"/>
      <c r="F626" s="301"/>
      <c r="G626" s="301"/>
      <c r="H626" s="301"/>
      <c r="I626" s="301"/>
      <c r="J626" s="325"/>
      <c r="K626" s="325"/>
      <c r="L626" s="301"/>
      <c r="M626" s="301"/>
      <c r="N626" s="301"/>
      <c r="O626" s="301"/>
      <c r="P626" s="301"/>
      <c r="Q626" s="325"/>
      <c r="R626" s="325"/>
      <c r="S626" s="325"/>
      <c r="T626" s="532">
        <f>SUM(F626:S626)</f>
        <v>0</v>
      </c>
      <c r="U626" s="301"/>
      <c r="V626" s="532">
        <f>SUM(T626:T626)</f>
        <v>0</v>
      </c>
      <c r="W626" s="532">
        <f>+V626-'ROR-Model'!G626</f>
        <v>0</v>
      </c>
    </row>
    <row r="627" spans="1:23">
      <c r="A627" s="535"/>
      <c r="B627" s="537"/>
      <c r="C627" s="537" t="s">
        <v>253</v>
      </c>
      <c r="D627" s="537"/>
      <c r="E627" s="547"/>
      <c r="F627" s="301"/>
      <c r="G627" s="301"/>
      <c r="H627" s="301"/>
      <c r="I627" s="301"/>
      <c r="J627" s="325"/>
      <c r="K627" s="325"/>
      <c r="L627" s="301"/>
      <c r="M627" s="301"/>
      <c r="N627" s="301"/>
      <c r="O627" s="301"/>
      <c r="P627" s="301"/>
      <c r="Q627" s="325"/>
      <c r="R627" s="325"/>
      <c r="S627" s="325"/>
      <c r="T627" s="532">
        <f>SUM(F627:S627)</f>
        <v>0</v>
      </c>
      <c r="U627" s="301"/>
      <c r="V627" s="532">
        <f>SUM(T627:T627)</f>
        <v>0</v>
      </c>
      <c r="W627" s="532">
        <f>+V627-'ROR-Model'!G627</f>
        <v>0</v>
      </c>
    </row>
    <row r="628" spans="1:23">
      <c r="A628" s="535"/>
      <c r="B628" s="537"/>
      <c r="C628" s="537" t="s">
        <v>145</v>
      </c>
      <c r="D628" s="537"/>
      <c r="E628" s="537"/>
      <c r="F628" s="323">
        <f t="shared" ref="F628:P628" si="131">SUM(F626:F627)</f>
        <v>0</v>
      </c>
      <c r="G628" s="323">
        <f t="shared" si="131"/>
        <v>0</v>
      </c>
      <c r="H628" s="323">
        <f>SUM(H626:H627)</f>
        <v>0</v>
      </c>
      <c r="I628" s="323">
        <f t="shared" si="131"/>
        <v>0</v>
      </c>
      <c r="J628" s="476">
        <f>SUM(J626:J627)</f>
        <v>0</v>
      </c>
      <c r="K628" s="476">
        <f>SUM(K626:K627)</f>
        <v>0</v>
      </c>
      <c r="L628" s="323">
        <f t="shared" si="131"/>
        <v>0</v>
      </c>
      <c r="M628" s="323">
        <f t="shared" si="131"/>
        <v>0</v>
      </c>
      <c r="N628" s="323">
        <f t="shared" si="131"/>
        <v>0</v>
      </c>
      <c r="O628" s="323">
        <f t="shared" si="131"/>
        <v>0</v>
      </c>
      <c r="P628" s="323">
        <f t="shared" si="131"/>
        <v>0</v>
      </c>
      <c r="Q628" s="476">
        <f>SUM(Q626:Q627)</f>
        <v>0</v>
      </c>
      <c r="R628" s="476">
        <f>SUM(R626:R627)</f>
        <v>0</v>
      </c>
      <c r="S628" s="476">
        <f>SUM(S626:S627)</f>
        <v>0</v>
      </c>
      <c r="T628" s="536">
        <f>SUM(T626:T627)</f>
        <v>0</v>
      </c>
      <c r="U628" s="323"/>
      <c r="V628" s="536">
        <f>SUM(V626:V627)</f>
        <v>0</v>
      </c>
      <c r="W628" s="536">
        <f>+V628-'ROR-Model'!G628</f>
        <v>0</v>
      </c>
    </row>
    <row r="629" spans="1:23" ht="13.5" thickBot="1">
      <c r="A629" s="535"/>
      <c r="B629" s="534"/>
      <c r="C629" s="534"/>
      <c r="D629" s="534"/>
      <c r="E629" s="531"/>
      <c r="F629" s="470"/>
      <c r="G629" s="470"/>
      <c r="H629" s="470"/>
      <c r="I629" s="470"/>
      <c r="J629" s="477"/>
      <c r="K629" s="477"/>
      <c r="L629" s="470"/>
      <c r="M629" s="470"/>
      <c r="N629" s="470"/>
      <c r="O629" s="470"/>
      <c r="P629" s="470"/>
      <c r="Q629" s="477"/>
      <c r="R629" s="477"/>
      <c r="S629" s="477"/>
      <c r="T629" s="538"/>
      <c r="U629" s="470"/>
      <c r="V629" s="538"/>
      <c r="W629" s="538">
        <f>+V629-'ROR-Model'!G629</f>
        <v>0</v>
      </c>
    </row>
    <row r="630" spans="1:23" ht="13.5" thickTop="1">
      <c r="A630" s="167" t="s">
        <v>511</v>
      </c>
      <c r="B630" s="534"/>
      <c r="C630" s="534"/>
      <c r="D630" s="534"/>
      <c r="E630" s="531"/>
      <c r="F630" s="301"/>
      <c r="G630" s="301"/>
      <c r="H630" s="301"/>
      <c r="I630" s="301"/>
      <c r="J630" s="325"/>
      <c r="K630" s="325"/>
      <c r="L630" s="301"/>
      <c r="M630" s="301"/>
      <c r="N630" s="301"/>
      <c r="O630" s="301"/>
      <c r="P630" s="301"/>
      <c r="Q630" s="325"/>
      <c r="R630" s="325"/>
      <c r="S630" s="325"/>
      <c r="T630" s="532"/>
      <c r="U630" s="301"/>
      <c r="V630" s="532"/>
      <c r="W630" s="532">
        <f>+V630-'ROR-Model'!G630</f>
        <v>0</v>
      </c>
    </row>
    <row r="631" spans="1:23">
      <c r="A631" s="535"/>
      <c r="B631" s="534" t="s">
        <v>640</v>
      </c>
      <c r="C631" s="534"/>
      <c r="D631" s="534"/>
      <c r="E631" s="531"/>
      <c r="F631" s="301">
        <f>F536+F611+F628</f>
        <v>0</v>
      </c>
      <c r="G631" s="301">
        <f t="shared" ref="G631:Q631" si="132">G536+G611+G628</f>
        <v>0</v>
      </c>
      <c r="H631" s="301">
        <f>H536+H611+H628</f>
        <v>0</v>
      </c>
      <c r="I631" s="301">
        <f t="shared" si="132"/>
        <v>0</v>
      </c>
      <c r="J631" s="325">
        <f>J536+J611+J628</f>
        <v>0</v>
      </c>
      <c r="K631" s="325">
        <f>K536+K611+K628</f>
        <v>0</v>
      </c>
      <c r="L631" s="301">
        <f t="shared" si="132"/>
        <v>0</v>
      </c>
      <c r="M631" s="301">
        <f t="shared" si="132"/>
        <v>0</v>
      </c>
      <c r="N631" s="301">
        <f t="shared" si="132"/>
        <v>0</v>
      </c>
      <c r="O631" s="301">
        <f t="shared" si="132"/>
        <v>0</v>
      </c>
      <c r="P631" s="301">
        <f t="shared" si="132"/>
        <v>0</v>
      </c>
      <c r="Q631" s="325">
        <f t="shared" si="132"/>
        <v>0</v>
      </c>
      <c r="R631" s="325">
        <f>R536+R611+R628</f>
        <v>0</v>
      </c>
      <c r="S631" s="325">
        <f>S536+S611+S628</f>
        <v>0</v>
      </c>
      <c r="T631" s="532">
        <f>T536+T611+T628</f>
        <v>0</v>
      </c>
      <c r="U631" s="301"/>
      <c r="V631" s="532">
        <f>V536+V611+V628</f>
        <v>0</v>
      </c>
      <c r="W631" s="532">
        <f>+V631-'ROR-Model'!G631</f>
        <v>0</v>
      </c>
    </row>
    <row r="632" spans="1:23">
      <c r="A632" s="535"/>
      <c r="B632" s="534" t="s">
        <v>641</v>
      </c>
      <c r="C632" s="534"/>
      <c r="D632" s="534"/>
      <c r="E632" s="531"/>
      <c r="F632" s="301">
        <f t="shared" ref="F632:Q632" si="133">F521+F526+F531+F541+F546+F551+F556+F561+F566+F571+F576+F581+F586+F591+F596+F601+F606+F616+F621</f>
        <v>0</v>
      </c>
      <c r="G632" s="301">
        <f t="shared" si="133"/>
        <v>0</v>
      </c>
      <c r="H632" s="301">
        <f>H521+H526+H531+H541+H546+H551+H556+H561+H566+H571+H576+H581+H586+H591+H596+H601+H606+H616+H621</f>
        <v>0</v>
      </c>
      <c r="I632" s="301">
        <f t="shared" si="133"/>
        <v>0</v>
      </c>
      <c r="J632" s="325">
        <f>J521+J526+J531+J541+J546+J551+J556+J561+J566+J571+J576+J581+J586+J591+J596+J601+J606+J616+J621</f>
        <v>0</v>
      </c>
      <c r="K632" s="325">
        <f>K521+K526+K531+K541+K546+K551+K556+K561+K566+K571+K576+K581+K586+K591+K596+K601+K606+K616+K621</f>
        <v>0</v>
      </c>
      <c r="L632" s="301">
        <f t="shared" si="133"/>
        <v>0</v>
      </c>
      <c r="M632" s="301">
        <f t="shared" si="133"/>
        <v>0</v>
      </c>
      <c r="N632" s="301">
        <f t="shared" si="133"/>
        <v>0</v>
      </c>
      <c r="O632" s="301">
        <f t="shared" si="133"/>
        <v>0</v>
      </c>
      <c r="P632" s="301">
        <f t="shared" si="133"/>
        <v>0</v>
      </c>
      <c r="Q632" s="325">
        <f t="shared" si="133"/>
        <v>0</v>
      </c>
      <c r="R632" s="325">
        <f>R521+R526+R531+R541+R546+R551+R556+R561+R566+R571+R576+R581+R586+R591+R596+R601+R606+R616+R621</f>
        <v>0</v>
      </c>
      <c r="S632" s="325">
        <f>S521+S526+S531+S541+S546+S551+S556+S561+S566+S571+S576+S581+S586+S591+S596+S601+S606+S616+S621</f>
        <v>0</v>
      </c>
      <c r="T632" s="532">
        <f>T521+T526+T531+T541+T546+T551+T556+T561+T566+T571+T576+T581+T586+T591+T596+T601+T606+T616+T621</f>
        <v>0</v>
      </c>
      <c r="U632" s="301"/>
      <c r="V632" s="532">
        <f>V521+V526+V531+V541+V546+V551+V556+V561+V566+V571+V576+V581+V586+V591+V596+V601+V606+V616+V621</f>
        <v>0</v>
      </c>
      <c r="W632" s="532">
        <f>+V632-'ROR-Model'!G632</f>
        <v>0</v>
      </c>
    </row>
    <row r="633" spans="1:23">
      <c r="A633" s="535"/>
      <c r="B633" s="534" t="s">
        <v>644</v>
      </c>
      <c r="C633" s="534"/>
      <c r="D633" s="534"/>
      <c r="E633" s="531"/>
      <c r="F633" s="301">
        <f t="shared" ref="F633:Q633" si="134">F537+F612</f>
        <v>0</v>
      </c>
      <c r="G633" s="301">
        <f t="shared" si="134"/>
        <v>0</v>
      </c>
      <c r="H633" s="301">
        <f>H537+H612</f>
        <v>0</v>
      </c>
      <c r="I633" s="301">
        <f t="shared" si="134"/>
        <v>0</v>
      </c>
      <c r="J633" s="325">
        <f>J537+J612</f>
        <v>0</v>
      </c>
      <c r="K633" s="325">
        <f>K537+K612</f>
        <v>0</v>
      </c>
      <c r="L633" s="301">
        <f t="shared" si="134"/>
        <v>0</v>
      </c>
      <c r="M633" s="301">
        <f t="shared" si="134"/>
        <v>0</v>
      </c>
      <c r="N633" s="301">
        <f t="shared" si="134"/>
        <v>0</v>
      </c>
      <c r="O633" s="301">
        <f t="shared" si="134"/>
        <v>0</v>
      </c>
      <c r="P633" s="301">
        <f t="shared" si="134"/>
        <v>0</v>
      </c>
      <c r="Q633" s="325">
        <f t="shared" si="134"/>
        <v>0</v>
      </c>
      <c r="R633" s="325">
        <f>R537+R612</f>
        <v>0</v>
      </c>
      <c r="S633" s="325">
        <f>S537+S612</f>
        <v>0</v>
      </c>
      <c r="T633" s="532">
        <f>T537+T612</f>
        <v>0</v>
      </c>
      <c r="U633" s="301"/>
      <c r="V633" s="532">
        <f>V537+V612</f>
        <v>0</v>
      </c>
      <c r="W633" s="532">
        <f>+V633-'ROR-Model'!G633</f>
        <v>0</v>
      </c>
    </row>
    <row r="634" spans="1:23">
      <c r="A634" s="535"/>
      <c r="B634" s="534" t="s">
        <v>645</v>
      </c>
      <c r="C634" s="534"/>
      <c r="D634" s="534"/>
      <c r="E634" s="531"/>
      <c r="F634" s="301">
        <f t="shared" ref="F634:Q634" si="135">F522+F527+F532+F542+F547+F552+F557+F562+F567+F572+F577+F582+F587+F592+F597+F602+F607+F617+F622</f>
        <v>0</v>
      </c>
      <c r="G634" s="301">
        <f t="shared" si="135"/>
        <v>0</v>
      </c>
      <c r="H634" s="301">
        <f>H522+H527+H532+H542+H547+H552+H557+H562+H567+H572+H577+H582+H587+H592+H597+H602+H607+H617+H622</f>
        <v>0</v>
      </c>
      <c r="I634" s="301">
        <f t="shared" si="135"/>
        <v>0</v>
      </c>
      <c r="J634" s="325">
        <f>J522+J527+J532+J542+J547+J552+J557+J562+J567+J572+J577+J582+J587+J592+J597+J602+J607+J617+J622</f>
        <v>0</v>
      </c>
      <c r="K634" s="325">
        <f>K522+K527+K532+K542+K547+K552+K557+K562+K567+K572+K577+K582+K587+K592+K597+K602+K607+K617+K622</f>
        <v>0</v>
      </c>
      <c r="L634" s="301">
        <f t="shared" si="135"/>
        <v>0</v>
      </c>
      <c r="M634" s="301">
        <f t="shared" si="135"/>
        <v>0</v>
      </c>
      <c r="N634" s="301">
        <f t="shared" si="135"/>
        <v>0</v>
      </c>
      <c r="O634" s="301">
        <f t="shared" si="135"/>
        <v>0</v>
      </c>
      <c r="P634" s="301">
        <f t="shared" si="135"/>
        <v>0</v>
      </c>
      <c r="Q634" s="325">
        <f t="shared" si="135"/>
        <v>0</v>
      </c>
      <c r="R634" s="325">
        <f>R522+R527+R532+R542+R547+R552+R557+R562+R567+R572+R577+R582+R587+R592+R597+R602+R607+R617+R622</f>
        <v>0</v>
      </c>
      <c r="S634" s="325">
        <f>S522+S527+S532+S542+S547+S552+S557+S562+S567+S572+S577+S582+S587+S592+S597+S602+S607+S617+S622</f>
        <v>0</v>
      </c>
      <c r="T634" s="532">
        <f>T522+T527+T532+T542+T547+T552+T557+T562+T567+T572+T577+T582+T587+T592+T597+T602+T607+T617+T622</f>
        <v>0</v>
      </c>
      <c r="U634" s="301"/>
      <c r="V634" s="532">
        <f>V522+V527+V532+V542+V547+V552+V557+V562+V567+V572+V577+V582+V587+V592+V597+V602+V607+V617+V622</f>
        <v>0</v>
      </c>
      <c r="W634" s="532">
        <f>+V634-'ROR-Model'!G634</f>
        <v>0</v>
      </c>
    </row>
    <row r="635" spans="1:23">
      <c r="A635" s="535"/>
      <c r="B635" s="534" t="s">
        <v>642</v>
      </c>
      <c r="C635" s="534"/>
      <c r="D635" s="534"/>
      <c r="E635" s="531"/>
      <c r="F635" s="301">
        <f t="shared" ref="F635:Q635" si="136">+(F201+F202+F230+F231+F501)-F632</f>
        <v>0</v>
      </c>
      <c r="G635" s="301">
        <f t="shared" si="136"/>
        <v>0</v>
      </c>
      <c r="H635" s="301">
        <f t="shared" si="136"/>
        <v>0</v>
      </c>
      <c r="I635" s="301">
        <f t="shared" si="136"/>
        <v>0</v>
      </c>
      <c r="J635" s="301">
        <f>+(J201+J202+J230+J231+J501)-J632</f>
        <v>0</v>
      </c>
      <c r="K635" s="301">
        <f>+(K201+K202+K230+K231+K501)-K632</f>
        <v>0</v>
      </c>
      <c r="L635" s="301">
        <f t="shared" si="136"/>
        <v>0</v>
      </c>
      <c r="M635" s="301">
        <f t="shared" si="136"/>
        <v>0</v>
      </c>
      <c r="N635" s="301">
        <f t="shared" si="136"/>
        <v>0</v>
      </c>
      <c r="O635" s="301">
        <f t="shared" si="136"/>
        <v>0</v>
      </c>
      <c r="P635" s="301">
        <f t="shared" si="136"/>
        <v>0</v>
      </c>
      <c r="Q635" s="301">
        <f t="shared" si="136"/>
        <v>0</v>
      </c>
      <c r="R635" s="301">
        <f>+(R201+R202+R230+R231+R501)-R632</f>
        <v>0</v>
      </c>
      <c r="S635" s="301">
        <f>+(S201+S202+S230+S231+S501)-S632</f>
        <v>0</v>
      </c>
      <c r="T635" s="301">
        <f>+(T201+T202+T230+T231+T501)-T632</f>
        <v>0</v>
      </c>
      <c r="U635" s="301"/>
      <c r="V635" s="301">
        <f>+(V201+V202+V230+V231+V501)-V632</f>
        <v>0</v>
      </c>
      <c r="W635" s="301">
        <f>+V635-'ROR-Model'!G636</f>
        <v>0</v>
      </c>
    </row>
    <row r="636" spans="1:23">
      <c r="A636" s="535"/>
      <c r="B636" s="534" t="s">
        <v>643</v>
      </c>
      <c r="C636" s="534"/>
      <c r="D636" s="534"/>
      <c r="E636" s="531"/>
      <c r="F636" s="301">
        <f t="shared" ref="F636:Q636" si="137">+(F324+F326+F354+F505)-F634</f>
        <v>0</v>
      </c>
      <c r="G636" s="301">
        <f>+(G324+G326+G354+G505)-G634</f>
        <v>0</v>
      </c>
      <c r="H636" s="301">
        <f>+(H324+H326+H354+H505)-H634</f>
        <v>0</v>
      </c>
      <c r="I636" s="301">
        <f t="shared" si="137"/>
        <v>0</v>
      </c>
      <c r="J636" s="325">
        <f>+(J324+J326+J354+J505)-J634</f>
        <v>0</v>
      </c>
      <c r="K636" s="325">
        <f>+(K324+K326+K354+K505)-K634</f>
        <v>0</v>
      </c>
      <c r="L636" s="301">
        <f t="shared" si="137"/>
        <v>0</v>
      </c>
      <c r="M636" s="301">
        <f t="shared" si="137"/>
        <v>0</v>
      </c>
      <c r="N636" s="301">
        <f t="shared" si="137"/>
        <v>0</v>
      </c>
      <c r="O636" s="301">
        <f t="shared" si="137"/>
        <v>0</v>
      </c>
      <c r="P636" s="301">
        <f t="shared" si="137"/>
        <v>0</v>
      </c>
      <c r="Q636" s="325">
        <f t="shared" si="137"/>
        <v>0</v>
      </c>
      <c r="R636" s="325">
        <f>+(R324+R326+R354+R505)-R634</f>
        <v>0</v>
      </c>
      <c r="S636" s="325">
        <f>+(S324+S326+S354+S505)-S634</f>
        <v>0</v>
      </c>
      <c r="T636" s="532">
        <f>+(T324+T326+T354+T505)-T634-T633</f>
        <v>0</v>
      </c>
      <c r="U636" s="301"/>
      <c r="V636" s="532">
        <f>+(V324+V326+V354+V505)-V634-V633</f>
        <v>0</v>
      </c>
      <c r="W636" s="532">
        <f>+V636-'ROR-Model'!G637</f>
        <v>0</v>
      </c>
    </row>
    <row r="637" spans="1:23" ht="13.5" thickBot="1">
      <c r="A637" s="535"/>
      <c r="B637" s="534"/>
      <c r="C637" s="534"/>
      <c r="D637" s="534"/>
      <c r="E637" s="531"/>
      <c r="F637" s="470"/>
      <c r="G637" s="470"/>
      <c r="H637" s="470"/>
      <c r="I637" s="470"/>
      <c r="J637" s="477"/>
      <c r="K637" s="477"/>
      <c r="L637" s="470"/>
      <c r="M637" s="470"/>
      <c r="N637" s="470"/>
      <c r="O637" s="470"/>
      <c r="P637" s="470"/>
      <c r="Q637" s="477"/>
      <c r="R637" s="477"/>
      <c r="S637" s="477"/>
      <c r="T637" s="538"/>
      <c r="U637" s="470"/>
      <c r="V637" s="538"/>
      <c r="W637" s="538">
        <f>+V637-'ROR-Model'!G638</f>
        <v>0</v>
      </c>
    </row>
    <row r="638" spans="1:23" ht="13.5" thickTop="1">
      <c r="A638" s="535"/>
      <c r="B638" s="534"/>
      <c r="C638" s="534"/>
      <c r="D638" s="534"/>
      <c r="E638" s="531"/>
      <c r="F638" s="301"/>
      <c r="G638" s="301"/>
      <c r="H638" s="301"/>
      <c r="I638" s="301"/>
      <c r="J638" s="325"/>
      <c r="K638" s="325"/>
      <c r="L638" s="301"/>
      <c r="M638" s="301"/>
      <c r="N638" s="301"/>
      <c r="O638" s="301"/>
      <c r="P638" s="301"/>
      <c r="Q638" s="325"/>
      <c r="R638" s="325"/>
      <c r="S638" s="325"/>
      <c r="T638" s="532"/>
      <c r="U638" s="301"/>
      <c r="V638" s="532"/>
      <c r="W638" s="532">
        <f>+V638-'ROR-Model'!G639</f>
        <v>0</v>
      </c>
    </row>
    <row r="639" spans="1:23">
      <c r="A639" s="535"/>
      <c r="B639" s="175" t="s">
        <v>511</v>
      </c>
      <c r="C639" s="534"/>
      <c r="D639" s="534"/>
      <c r="E639" s="531"/>
      <c r="F639" s="301">
        <f>F523+F528+F533+F538+F543+F548+F553+F558+F563+F568+F573+F578+F583+F588+F593+F598+F603+F608+F613+F618+F623+F635+F636</f>
        <v>0</v>
      </c>
      <c r="G639" s="301">
        <f>G1*G523+G528+G533+G538+G543+G548+G553+G558+G563+G568+G573+G578+G583+G588+G593+G598+G603+G608+G613+G618+G623+G635+G636</f>
        <v>0</v>
      </c>
      <c r="H639" s="301">
        <f>H523+H528+H533+H538+H543+H548+H553+H558+H563+H568+H573+H578+H583+H588+H593+H598+H603+H608+H613+H618+H623+H635+H636</f>
        <v>0</v>
      </c>
      <c r="I639" s="301">
        <f t="shared" ref="I639:Q639" si="138">I523+I528+I533+I538+I543+I548+I553+I558+I563+I568+I573+I578+I583+I588+I593+I598+I603+I608+I613+I618+I623+I635+I636</f>
        <v>0</v>
      </c>
      <c r="J639" s="325">
        <f>J1*J523+J528+J533+J538+J543+J548+J553+J558+J563+J568+J573+J578+J583+J588+J593+J598+J603+J608+J613+J618+J623+J635+J636</f>
        <v>0</v>
      </c>
      <c r="K639" s="325">
        <f>K1*K523+K528+K533+K538+K543+K548+K553+K558+K563+K568+K573+K578+K583+K588+K593+K598+K603+K608+K613+K618+K623+K635+K636</f>
        <v>0</v>
      </c>
      <c r="L639" s="301">
        <f t="shared" si="138"/>
        <v>0</v>
      </c>
      <c r="M639" s="301">
        <f t="shared" si="138"/>
        <v>0</v>
      </c>
      <c r="N639" s="301">
        <f t="shared" si="138"/>
        <v>0</v>
      </c>
      <c r="O639" s="301">
        <f t="shared" si="138"/>
        <v>0</v>
      </c>
      <c r="P639" s="301">
        <f t="shared" si="138"/>
        <v>0</v>
      </c>
      <c r="Q639" s="325">
        <f t="shared" si="138"/>
        <v>0</v>
      </c>
      <c r="R639" s="325">
        <f>R1*R523+R528+R533+R538+R543+R548+R553+R558+R563+R568+R573+R578+R583+R588+R593+R598+R603+R608+R613+R618+R623+R635+R636</f>
        <v>0</v>
      </c>
      <c r="S639" s="325">
        <f>S1*S523+S528+S533+S538+S543+S548+S553+S558+S563+S568+S573+S578+S583+S588+S593+S598+S603+S608+S613+S618+S623+S635+S636</f>
        <v>0</v>
      </c>
      <c r="T639" s="532">
        <f>T523+T528+T533+T538+T543+T548+T553+T558+T563+T568+T573+T578+T583+T588+T593+T598+T603+T608+T613+T618+T623+T635+T636</f>
        <v>0</v>
      </c>
      <c r="U639" s="301"/>
      <c r="V639" s="532">
        <f>V523+V528+V533+V538+V543+V548+V553+V558+V563+V568+V573+V578+V583+V588+V593+V598+V603+V608+V613+V618+V623+V635+V636</f>
        <v>0</v>
      </c>
      <c r="W639" s="532">
        <f>+V639-'ROR-Model'!G640</f>
        <v>0</v>
      </c>
    </row>
    <row r="640" spans="1:23">
      <c r="A640" s="535"/>
      <c r="B640" s="534"/>
      <c r="C640" s="534"/>
      <c r="D640" s="534"/>
      <c r="E640" s="531"/>
      <c r="F640" s="301"/>
      <c r="G640" s="301"/>
      <c r="H640" s="301"/>
      <c r="I640" s="301"/>
      <c r="J640" s="325"/>
      <c r="K640" s="325"/>
      <c r="L640" s="301"/>
      <c r="M640" s="301"/>
      <c r="N640" s="301"/>
      <c r="O640" s="301"/>
      <c r="P640" s="301"/>
      <c r="Q640" s="325"/>
      <c r="R640" s="325"/>
      <c r="S640" s="325"/>
      <c r="T640" s="532"/>
      <c r="U640" s="301"/>
      <c r="V640" s="532"/>
      <c r="W640" s="532">
        <f>+V640-'ROR-Model'!G641</f>
        <v>0</v>
      </c>
    </row>
    <row r="641" spans="1:23">
      <c r="A641" s="535"/>
      <c r="B641" s="534"/>
      <c r="C641" s="534"/>
      <c r="D641" s="534"/>
      <c r="E641" s="531"/>
      <c r="F641" s="301"/>
      <c r="G641" s="301"/>
      <c r="H641" s="301"/>
      <c r="I641" s="301"/>
      <c r="J641" s="325"/>
      <c r="K641" s="325"/>
      <c r="L641" s="301"/>
      <c r="M641" s="301"/>
      <c r="N641" s="301"/>
      <c r="O641" s="301"/>
      <c r="P641" s="301"/>
      <c r="Q641" s="325"/>
      <c r="R641" s="325"/>
      <c r="S641" s="325"/>
      <c r="T641" s="532"/>
      <c r="U641" s="301"/>
      <c r="V641" s="532"/>
      <c r="W641" s="532">
        <f>+V641-'ROR-Model'!G641</f>
        <v>0</v>
      </c>
    </row>
    <row r="642" spans="1:23">
      <c r="A642" s="167" t="s">
        <v>330</v>
      </c>
      <c r="B642" s="534"/>
      <c r="C642" s="534"/>
      <c r="D642" s="534"/>
      <c r="E642" s="531"/>
      <c r="F642" s="301"/>
      <c r="G642" s="301"/>
      <c r="H642" s="301"/>
      <c r="I642" s="301"/>
      <c r="J642" s="325"/>
      <c r="K642" s="325"/>
      <c r="L642" s="301"/>
      <c r="M642" s="301"/>
      <c r="N642" s="301"/>
      <c r="O642" s="301"/>
      <c r="P642" s="301"/>
      <c r="Q642" s="325"/>
      <c r="R642" s="325"/>
      <c r="S642" s="325"/>
      <c r="T642" s="532"/>
      <c r="U642" s="301"/>
      <c r="V642" s="532"/>
      <c r="W642" s="532">
        <f>+V642-'ROR-Model'!G642</f>
        <v>0</v>
      </c>
    </row>
    <row r="643" spans="1:23">
      <c r="A643" s="535"/>
      <c r="B643" s="534"/>
      <c r="C643" s="534"/>
      <c r="D643" s="534"/>
      <c r="E643" s="531"/>
      <c r="F643" s="301"/>
      <c r="G643" s="301"/>
      <c r="H643" s="301"/>
      <c r="I643" s="301"/>
      <c r="J643" s="325"/>
      <c r="K643" s="325"/>
      <c r="L643" s="301"/>
      <c r="M643" s="301"/>
      <c r="N643" s="301"/>
      <c r="O643" s="301"/>
      <c r="P643" s="301"/>
      <c r="Q643" s="325"/>
      <c r="R643" s="325"/>
      <c r="S643" s="325"/>
      <c r="T643" s="532"/>
      <c r="U643" s="301"/>
      <c r="V643" s="532"/>
      <c r="W643" s="532">
        <f>+V643-'ROR-Model'!G643</f>
        <v>0</v>
      </c>
    </row>
    <row r="644" spans="1:23">
      <c r="A644" s="167" t="s">
        <v>331</v>
      </c>
      <c r="B644" s="534"/>
      <c r="C644" s="534"/>
      <c r="D644" s="534"/>
      <c r="E644" s="531"/>
      <c r="F644" s="301"/>
      <c r="G644" s="301"/>
      <c r="H644" s="301"/>
      <c r="I644" s="301"/>
      <c r="J644" s="325"/>
      <c r="K644" s="325"/>
      <c r="L644" s="301"/>
      <c r="M644" s="301"/>
      <c r="N644" s="301"/>
      <c r="O644" s="301"/>
      <c r="P644" s="301"/>
      <c r="Q644" s="325"/>
      <c r="R644" s="325"/>
      <c r="S644" s="325"/>
      <c r="T644" s="532"/>
      <c r="U644" s="301"/>
      <c r="V644" s="532"/>
      <c r="W644" s="532">
        <f>+V644-'ROR-Model'!G644</f>
        <v>0</v>
      </c>
    </row>
    <row r="645" spans="1:23">
      <c r="A645" s="535"/>
      <c r="B645" s="534"/>
      <c r="C645" s="534"/>
      <c r="D645" s="534"/>
      <c r="E645" s="531"/>
      <c r="F645" s="301"/>
      <c r="G645" s="301"/>
      <c r="H645" s="301"/>
      <c r="I645" s="301"/>
      <c r="J645" s="325"/>
      <c r="K645" s="325"/>
      <c r="L645" s="301"/>
      <c r="M645" s="301"/>
      <c r="N645" s="301"/>
      <c r="O645" s="301"/>
      <c r="P645" s="301"/>
      <c r="Q645" s="325"/>
      <c r="R645" s="325"/>
      <c r="S645" s="325"/>
      <c r="T645" s="532"/>
      <c r="U645" s="301"/>
      <c r="V645" s="532"/>
      <c r="W645" s="532">
        <f>+V645-'ROR-Model'!G645</f>
        <v>0</v>
      </c>
    </row>
    <row r="646" spans="1:23">
      <c r="A646" s="543">
        <v>810</v>
      </c>
      <c r="B646" s="534" t="s">
        <v>332</v>
      </c>
      <c r="C646" s="534"/>
      <c r="D646" s="534"/>
      <c r="E646" s="531"/>
      <c r="F646" s="301"/>
      <c r="G646" s="301"/>
      <c r="H646" s="301"/>
      <c r="I646" s="301"/>
      <c r="J646" s="325"/>
      <c r="K646" s="325"/>
      <c r="L646" s="301"/>
      <c r="M646" s="301"/>
      <c r="N646" s="301"/>
      <c r="O646" s="301"/>
      <c r="P646" s="301"/>
      <c r="Q646" s="325"/>
      <c r="R646" s="325"/>
      <c r="S646" s="325"/>
      <c r="T646" s="532">
        <f>SUM(F646:S646)</f>
        <v>0</v>
      </c>
      <c r="U646" s="301"/>
      <c r="V646" s="532">
        <f>SUM(T646:T646)</f>
        <v>0</v>
      </c>
      <c r="W646" s="532">
        <f>+V646-'ROR-Model'!G647</f>
        <v>0</v>
      </c>
    </row>
    <row r="647" spans="1:23">
      <c r="A647" s="543">
        <v>812</v>
      </c>
      <c r="B647" s="534" t="s">
        <v>333</v>
      </c>
      <c r="C647" s="534"/>
      <c r="D647" s="534"/>
      <c r="E647" s="531"/>
      <c r="F647" s="301"/>
      <c r="G647" s="301"/>
      <c r="H647" s="301"/>
      <c r="I647" s="301"/>
      <c r="J647" s="325"/>
      <c r="K647" s="325"/>
      <c r="L647" s="301"/>
      <c r="M647" s="301"/>
      <c r="N647" s="301"/>
      <c r="O647" s="301"/>
      <c r="P647" s="301"/>
      <c r="Q647" s="325"/>
      <c r="R647" s="325"/>
      <c r="S647" s="325"/>
      <c r="T647" s="532">
        <f>SUM(F647:S647)</f>
        <v>0</v>
      </c>
      <c r="U647" s="301"/>
      <c r="V647" s="532">
        <f>SUM(T647:T647)</f>
        <v>0</v>
      </c>
      <c r="W647" s="532">
        <f>+V647-'ROR-Model'!G648</f>
        <v>0</v>
      </c>
    </row>
    <row r="648" spans="1:23" ht="13.5" thickBot="1">
      <c r="A648" s="535"/>
      <c r="B648" s="534"/>
      <c r="C648" s="534"/>
      <c r="D648" s="534"/>
      <c r="E648" s="531"/>
      <c r="F648" s="471"/>
      <c r="G648" s="471"/>
      <c r="H648" s="471"/>
      <c r="I648" s="471"/>
      <c r="J648" s="548"/>
      <c r="K648" s="548"/>
      <c r="L648" s="471"/>
      <c r="M648" s="471"/>
      <c r="N648" s="471"/>
      <c r="O648" s="471"/>
      <c r="P648" s="471"/>
      <c r="Q648" s="548"/>
      <c r="R648" s="548"/>
      <c r="S648" s="548"/>
      <c r="T648" s="549"/>
      <c r="U648" s="471"/>
      <c r="V648" s="549"/>
      <c r="W648" s="549">
        <f>+V648-'ROR-Model'!G649</f>
        <v>0</v>
      </c>
    </row>
    <row r="649" spans="1:23">
      <c r="A649" s="535"/>
      <c r="B649" s="175" t="s">
        <v>334</v>
      </c>
      <c r="C649" s="534"/>
      <c r="D649" s="534"/>
      <c r="E649" s="531"/>
      <c r="F649" s="301">
        <f>SUM(F646:F647)</f>
        <v>0</v>
      </c>
      <c r="G649" s="301">
        <f>G1*SUM(G646:G647)</f>
        <v>0</v>
      </c>
      <c r="H649" s="301">
        <f>SUM(H646:H647)</f>
        <v>0</v>
      </c>
      <c r="I649" s="301">
        <f t="shared" ref="I649:Q649" si="139">SUM(I646:I647)</f>
        <v>0</v>
      </c>
      <c r="J649" s="325">
        <f>J1*SUM(J646:J647)</f>
        <v>0</v>
      </c>
      <c r="K649" s="325">
        <f>K1*SUM(K646:K647)</f>
        <v>0</v>
      </c>
      <c r="L649" s="301">
        <f t="shared" si="139"/>
        <v>0</v>
      </c>
      <c r="M649" s="301">
        <f t="shared" si="139"/>
        <v>0</v>
      </c>
      <c r="N649" s="301">
        <f t="shared" si="139"/>
        <v>0</v>
      </c>
      <c r="O649" s="301">
        <f t="shared" si="139"/>
        <v>0</v>
      </c>
      <c r="P649" s="301">
        <f t="shared" si="139"/>
        <v>0</v>
      </c>
      <c r="Q649" s="325">
        <f t="shared" si="139"/>
        <v>0</v>
      </c>
      <c r="R649" s="325">
        <f>R1*SUM(R646:R647)</f>
        <v>0</v>
      </c>
      <c r="S649" s="325">
        <f>S1*SUM(S646:S647)</f>
        <v>0</v>
      </c>
      <c r="T649" s="532">
        <f>SUM(T646:T647)</f>
        <v>0</v>
      </c>
      <c r="U649" s="301"/>
      <c r="V649" s="532">
        <f>SUM(V646:V647)</f>
        <v>0</v>
      </c>
      <c r="W649" s="532">
        <f>+V649-'ROR-Model'!G650</f>
        <v>0</v>
      </c>
    </row>
    <row r="650" spans="1:23">
      <c r="A650" s="535"/>
      <c r="B650" s="534"/>
      <c r="C650" s="534"/>
      <c r="D650" s="534"/>
      <c r="E650" s="531"/>
      <c r="F650" s="301"/>
      <c r="G650" s="301"/>
      <c r="H650" s="301"/>
      <c r="I650" s="301"/>
      <c r="J650" s="325"/>
      <c r="K650" s="325"/>
      <c r="L650" s="301"/>
      <c r="M650" s="301"/>
      <c r="N650" s="301"/>
      <c r="O650" s="301"/>
      <c r="P650" s="301"/>
      <c r="Q650" s="325"/>
      <c r="R650" s="325"/>
      <c r="S650" s="325"/>
      <c r="T650" s="532"/>
      <c r="U650" s="301"/>
      <c r="V650" s="532"/>
      <c r="W650" s="532">
        <f>+V650-'ROR-Model'!G651</f>
        <v>0</v>
      </c>
    </row>
    <row r="651" spans="1:23">
      <c r="A651" s="167" t="s">
        <v>335</v>
      </c>
      <c r="B651" s="534"/>
      <c r="C651" s="534"/>
      <c r="D651" s="534"/>
      <c r="E651" s="531"/>
      <c r="F651" s="301"/>
      <c r="G651" s="301"/>
      <c r="H651" s="301"/>
      <c r="I651" s="301"/>
      <c r="J651" s="325"/>
      <c r="K651" s="325"/>
      <c r="L651" s="301"/>
      <c r="M651" s="301"/>
      <c r="N651" s="301"/>
      <c r="O651" s="301"/>
      <c r="P651" s="301"/>
      <c r="Q651" s="325"/>
      <c r="R651" s="325"/>
      <c r="S651" s="325"/>
      <c r="T651" s="532"/>
      <c r="U651" s="301"/>
      <c r="V651" s="532"/>
      <c r="W651" s="532">
        <f>+V651-'ROR-Model'!G652</f>
        <v>0</v>
      </c>
    </row>
    <row r="652" spans="1:23">
      <c r="A652" s="535"/>
      <c r="B652" s="534" t="s">
        <v>772</v>
      </c>
      <c r="C652" s="534"/>
      <c r="D652" s="534"/>
      <c r="E652" s="531"/>
      <c r="F652" s="301"/>
      <c r="G652" s="301"/>
      <c r="H652" s="301"/>
      <c r="I652" s="301"/>
      <c r="J652" s="325"/>
      <c r="K652" s="325"/>
      <c r="L652" s="301"/>
      <c r="M652" s="301"/>
      <c r="N652" s="301"/>
      <c r="O652" s="301"/>
      <c r="P652" s="301"/>
      <c r="Q652" s="325"/>
      <c r="R652" s="325"/>
      <c r="S652" s="325"/>
      <c r="T652" s="532"/>
      <c r="U652" s="301"/>
      <c r="V652" s="532"/>
      <c r="W652" s="532">
        <f>+V652-'ROR-Model'!G653</f>
        <v>0</v>
      </c>
    </row>
    <row r="653" spans="1:23">
      <c r="A653" s="543">
        <v>870</v>
      </c>
      <c r="B653" s="534" t="s">
        <v>336</v>
      </c>
      <c r="C653" s="534"/>
      <c r="D653" s="534"/>
      <c r="E653" s="531"/>
      <c r="F653" s="301"/>
      <c r="G653" s="301"/>
      <c r="H653" s="301"/>
      <c r="I653" s="301"/>
      <c r="J653" s="325"/>
      <c r="K653" s="325"/>
      <c r="L653" s="301"/>
      <c r="M653" s="301"/>
      <c r="N653" s="301"/>
      <c r="O653" s="301"/>
      <c r="P653" s="301"/>
      <c r="Q653" s="325"/>
      <c r="R653" s="325"/>
      <c r="S653" s="325"/>
      <c r="T653" s="532"/>
      <c r="U653" s="301"/>
      <c r="V653" s="532"/>
      <c r="W653" s="532">
        <f>+V653-'ROR-Model'!G654</f>
        <v>0</v>
      </c>
    </row>
    <row r="654" spans="1:23">
      <c r="A654" s="543"/>
      <c r="B654" s="534"/>
      <c r="C654" s="534" t="s">
        <v>12</v>
      </c>
      <c r="D654" s="534"/>
      <c r="E654" s="531"/>
      <c r="F654" s="301"/>
      <c r="G654" s="301"/>
      <c r="H654" s="301"/>
      <c r="I654" s="301"/>
      <c r="J654" s="325"/>
      <c r="K654" s="325"/>
      <c r="L654" s="301"/>
      <c r="M654" s="301"/>
      <c r="N654" s="301"/>
      <c r="O654" s="301"/>
      <c r="P654" s="301"/>
      <c r="Q654" s="325"/>
      <c r="R654" s="325"/>
      <c r="S654" s="325"/>
      <c r="T654" s="532">
        <f>SUM(F654:S654)</f>
        <v>0</v>
      </c>
      <c r="U654" s="301"/>
      <c r="V654" s="532">
        <f>SUM(T654:T654)</f>
        <v>0</v>
      </c>
      <c r="W654" s="532">
        <f>+V654-'ROR-Model'!G655</f>
        <v>0</v>
      </c>
    </row>
    <row r="655" spans="1:23">
      <c r="A655" s="543"/>
      <c r="B655" s="534"/>
      <c r="C655" s="534" t="s">
        <v>23</v>
      </c>
      <c r="D655" s="534"/>
      <c r="E655" s="531"/>
      <c r="F655" s="301"/>
      <c r="G655" s="301"/>
      <c r="H655" s="301"/>
      <c r="I655" s="301"/>
      <c r="J655" s="325"/>
      <c r="K655" s="325"/>
      <c r="L655" s="301"/>
      <c r="M655" s="301"/>
      <c r="N655" s="301"/>
      <c r="O655" s="301"/>
      <c r="P655" s="301"/>
      <c r="Q655" s="325"/>
      <c r="R655" s="325"/>
      <c r="S655" s="325"/>
      <c r="T655" s="532">
        <f>SUM(F655:S655)</f>
        <v>0</v>
      </c>
      <c r="U655" s="301"/>
      <c r="V655" s="532">
        <f>SUM(T655:T655)</f>
        <v>0</v>
      </c>
      <c r="W655" s="532">
        <f>+V655-'ROR-Model'!G656</f>
        <v>0</v>
      </c>
    </row>
    <row r="656" spans="1:23">
      <c r="A656" s="543"/>
      <c r="B656" s="534"/>
      <c r="C656" s="534" t="s">
        <v>145</v>
      </c>
      <c r="D656" s="534"/>
      <c r="E656" s="531"/>
      <c r="F656" s="323">
        <f>SUM(F654:F655)</f>
        <v>0</v>
      </c>
      <c r="G656" s="323">
        <f>G1*SUM(G654:G655)</f>
        <v>0</v>
      </c>
      <c r="H656" s="323">
        <f>SUM(H654:H655)</f>
        <v>0</v>
      </c>
      <c r="I656" s="323">
        <f t="shared" ref="I656:P656" si="140">SUM(I654:I655)</f>
        <v>0</v>
      </c>
      <c r="J656" s="476">
        <f>J1*SUM(J654:J655)</f>
        <v>0</v>
      </c>
      <c r="K656" s="476">
        <f>K1*SUM(K654:K655)</f>
        <v>0</v>
      </c>
      <c r="L656" s="323">
        <f t="shared" si="140"/>
        <v>0</v>
      </c>
      <c r="M656" s="323">
        <f t="shared" si="140"/>
        <v>0</v>
      </c>
      <c r="N656" s="323">
        <f t="shared" si="140"/>
        <v>0</v>
      </c>
      <c r="O656" s="323">
        <f t="shared" si="140"/>
        <v>0</v>
      </c>
      <c r="P656" s="323">
        <f t="shared" si="140"/>
        <v>0</v>
      </c>
      <c r="Q656" s="476">
        <f>SUM(Q654:Q655)</f>
        <v>0</v>
      </c>
      <c r="R656" s="476">
        <f>R1*SUM(R654:R655)</f>
        <v>0</v>
      </c>
      <c r="S656" s="476">
        <f>S1*SUM(S654:S655)</f>
        <v>0</v>
      </c>
      <c r="T656" s="536">
        <f>SUM(T654:T655)</f>
        <v>0</v>
      </c>
      <c r="U656" s="323"/>
      <c r="V656" s="536">
        <f>SUM(V654:V655)</f>
        <v>0</v>
      </c>
      <c r="W656" s="536">
        <f>+V656-'ROR-Model'!G657</f>
        <v>0</v>
      </c>
    </row>
    <row r="657" spans="1:23">
      <c r="A657" s="543"/>
      <c r="B657" s="534"/>
      <c r="C657" s="534"/>
      <c r="D657" s="534"/>
      <c r="E657" s="531"/>
      <c r="F657" s="301"/>
      <c r="G657" s="301"/>
      <c r="H657" s="301"/>
      <c r="I657" s="301"/>
      <c r="J657" s="325"/>
      <c r="K657" s="325"/>
      <c r="L657" s="301"/>
      <c r="M657" s="301"/>
      <c r="N657" s="301"/>
      <c r="O657" s="301"/>
      <c r="P657" s="301"/>
      <c r="Q657" s="325"/>
      <c r="R657" s="325"/>
      <c r="S657" s="325"/>
      <c r="T657" s="532"/>
      <c r="U657" s="301"/>
      <c r="V657" s="532"/>
      <c r="W657" s="532">
        <f>+V657-'ROR-Model'!G658</f>
        <v>0</v>
      </c>
    </row>
    <row r="658" spans="1:23">
      <c r="A658" s="543">
        <v>871</v>
      </c>
      <c r="B658" s="534" t="s">
        <v>337</v>
      </c>
      <c r="C658" s="534"/>
      <c r="D658" s="534"/>
      <c r="E658" s="531"/>
      <c r="F658" s="301"/>
      <c r="G658" s="301"/>
      <c r="H658" s="301"/>
      <c r="I658" s="301"/>
      <c r="J658" s="325"/>
      <c r="K658" s="325"/>
      <c r="L658" s="301"/>
      <c r="M658" s="301"/>
      <c r="N658" s="301"/>
      <c r="O658" s="301"/>
      <c r="P658" s="301"/>
      <c r="Q658" s="325"/>
      <c r="R658" s="325"/>
      <c r="S658" s="325"/>
      <c r="T658" s="532"/>
      <c r="U658" s="301"/>
      <c r="V658" s="532"/>
      <c r="W658" s="532">
        <f>+V658-'ROR-Model'!G659</f>
        <v>0</v>
      </c>
    </row>
    <row r="659" spans="1:23">
      <c r="A659" s="543"/>
      <c r="B659" s="534"/>
      <c r="C659" s="534" t="s">
        <v>12</v>
      </c>
      <c r="D659" s="534"/>
      <c r="E659" s="531"/>
      <c r="F659" s="301"/>
      <c r="G659" s="301"/>
      <c r="H659" s="301"/>
      <c r="I659" s="301"/>
      <c r="J659" s="325"/>
      <c r="K659" s="325"/>
      <c r="L659" s="301"/>
      <c r="M659" s="301"/>
      <c r="N659" s="301"/>
      <c r="O659" s="301"/>
      <c r="P659" s="301"/>
      <c r="Q659" s="325"/>
      <c r="R659" s="325"/>
      <c r="S659" s="325"/>
      <c r="T659" s="532">
        <f>SUM(F659:S659)</f>
        <v>0</v>
      </c>
      <c r="U659" s="301"/>
      <c r="V659" s="532">
        <f>SUM(T659:T659)</f>
        <v>0</v>
      </c>
      <c r="W659" s="532">
        <f>+V659-'ROR-Model'!G660</f>
        <v>0</v>
      </c>
    </row>
    <row r="660" spans="1:23">
      <c r="A660" s="543"/>
      <c r="B660" s="534"/>
      <c r="C660" s="534" t="s">
        <v>23</v>
      </c>
      <c r="D660" s="534"/>
      <c r="E660" s="531"/>
      <c r="F660" s="301"/>
      <c r="G660" s="301"/>
      <c r="H660" s="301"/>
      <c r="I660" s="301"/>
      <c r="J660" s="325"/>
      <c r="K660" s="325"/>
      <c r="L660" s="301"/>
      <c r="M660" s="301"/>
      <c r="N660" s="301"/>
      <c r="O660" s="301"/>
      <c r="P660" s="301"/>
      <c r="Q660" s="325"/>
      <c r="R660" s="325"/>
      <c r="S660" s="325"/>
      <c r="T660" s="532">
        <f>SUM(F660:S660)</f>
        <v>0</v>
      </c>
      <c r="U660" s="301"/>
      <c r="V660" s="532">
        <f>SUM(T660:T660)</f>
        <v>0</v>
      </c>
      <c r="W660" s="532">
        <f>+V660-'ROR-Model'!G661</f>
        <v>0</v>
      </c>
    </row>
    <row r="661" spans="1:23">
      <c r="A661" s="543"/>
      <c r="B661" s="534"/>
      <c r="C661" s="534" t="s">
        <v>145</v>
      </c>
      <c r="D661" s="534"/>
      <c r="E661" s="531"/>
      <c r="F661" s="323">
        <f>SUM(F659:F660)</f>
        <v>0</v>
      </c>
      <c r="G661" s="323">
        <f>G1*SUM(G659:G660)</f>
        <v>0</v>
      </c>
      <c r="H661" s="323">
        <f>SUM(H659:H660)</f>
        <v>0</v>
      </c>
      <c r="I661" s="323">
        <f t="shared" ref="I661:P661" si="141">SUM(I659:I660)</f>
        <v>0</v>
      </c>
      <c r="J661" s="476">
        <f>J1*SUM(J659:J660)</f>
        <v>0</v>
      </c>
      <c r="K661" s="476">
        <f>K1*SUM(K659:K660)</f>
        <v>0</v>
      </c>
      <c r="L661" s="323">
        <f t="shared" si="141"/>
        <v>0</v>
      </c>
      <c r="M661" s="323">
        <f t="shared" si="141"/>
        <v>0</v>
      </c>
      <c r="N661" s="323">
        <f t="shared" si="141"/>
        <v>0</v>
      </c>
      <c r="O661" s="323">
        <f t="shared" si="141"/>
        <v>0</v>
      </c>
      <c r="P661" s="323">
        <f t="shared" si="141"/>
        <v>0</v>
      </c>
      <c r="Q661" s="476">
        <f>SUM(Q659:Q660)</f>
        <v>0</v>
      </c>
      <c r="R661" s="476">
        <f>R1*SUM(R659:R660)</f>
        <v>0</v>
      </c>
      <c r="S661" s="476">
        <f>S1*SUM(S659:S660)</f>
        <v>0</v>
      </c>
      <c r="T661" s="536">
        <f>SUM(T659:T660)</f>
        <v>0</v>
      </c>
      <c r="U661" s="323"/>
      <c r="V661" s="536">
        <f>SUM(V659:V660)</f>
        <v>0</v>
      </c>
      <c r="W661" s="536">
        <f>+V661-'ROR-Model'!G662</f>
        <v>0</v>
      </c>
    </row>
    <row r="662" spans="1:23">
      <c r="A662" s="543"/>
      <c r="B662" s="534"/>
      <c r="C662" s="534"/>
      <c r="D662" s="534"/>
      <c r="E662" s="531"/>
      <c r="F662" s="301"/>
      <c r="G662" s="301"/>
      <c r="H662" s="301"/>
      <c r="I662" s="301"/>
      <c r="J662" s="325"/>
      <c r="K662" s="325"/>
      <c r="L662" s="301"/>
      <c r="M662" s="301"/>
      <c r="N662" s="301"/>
      <c r="O662" s="301"/>
      <c r="P662" s="301"/>
      <c r="Q662" s="325"/>
      <c r="R662" s="325"/>
      <c r="S662" s="325"/>
      <c r="T662" s="532"/>
      <c r="U662" s="301"/>
      <c r="V662" s="532"/>
      <c r="W662" s="532">
        <f>+V662-'ROR-Model'!G663</f>
        <v>0</v>
      </c>
    </row>
    <row r="663" spans="1:23">
      <c r="A663" s="543">
        <v>872</v>
      </c>
      <c r="B663" s="534" t="s">
        <v>339</v>
      </c>
      <c r="C663" s="534"/>
      <c r="D663" s="534"/>
      <c r="E663" s="531"/>
      <c r="F663" s="301"/>
      <c r="G663" s="301"/>
      <c r="H663" s="301"/>
      <c r="I663" s="301"/>
      <c r="J663" s="325"/>
      <c r="K663" s="325"/>
      <c r="L663" s="301"/>
      <c r="M663" s="301"/>
      <c r="N663" s="301"/>
      <c r="O663" s="301"/>
      <c r="P663" s="301"/>
      <c r="Q663" s="325"/>
      <c r="R663" s="325"/>
      <c r="S663" s="325"/>
      <c r="T663" s="532"/>
      <c r="U663" s="301"/>
      <c r="V663" s="532"/>
      <c r="W663" s="532">
        <f>+V663-'ROR-Model'!G664</f>
        <v>0</v>
      </c>
    </row>
    <row r="664" spans="1:23">
      <c r="A664" s="543"/>
      <c r="B664" s="534"/>
      <c r="C664" s="534" t="s">
        <v>12</v>
      </c>
      <c r="D664" s="534"/>
      <c r="E664" s="531"/>
      <c r="F664" s="301"/>
      <c r="G664" s="301"/>
      <c r="H664" s="301"/>
      <c r="I664" s="301"/>
      <c r="J664" s="325"/>
      <c r="K664" s="325"/>
      <c r="L664" s="301"/>
      <c r="M664" s="301"/>
      <c r="N664" s="301"/>
      <c r="O664" s="301"/>
      <c r="P664" s="301"/>
      <c r="Q664" s="325"/>
      <c r="R664" s="325"/>
      <c r="S664" s="325"/>
      <c r="T664" s="532">
        <f>SUM(F664:S664)</f>
        <v>0</v>
      </c>
      <c r="U664" s="301"/>
      <c r="V664" s="532">
        <f>SUM(T664:T664)</f>
        <v>0</v>
      </c>
      <c r="W664" s="532">
        <f>+V664-'ROR-Model'!G665</f>
        <v>0</v>
      </c>
    </row>
    <row r="665" spans="1:23">
      <c r="A665" s="543"/>
      <c r="B665" s="534"/>
      <c r="C665" s="534" t="s">
        <v>23</v>
      </c>
      <c r="D665" s="534"/>
      <c r="E665" s="531"/>
      <c r="F665" s="301"/>
      <c r="G665" s="301"/>
      <c r="H665" s="301"/>
      <c r="I665" s="301"/>
      <c r="J665" s="325"/>
      <c r="K665" s="325"/>
      <c r="L665" s="301"/>
      <c r="M665" s="301"/>
      <c r="N665" s="301"/>
      <c r="O665" s="301"/>
      <c r="P665" s="301"/>
      <c r="Q665" s="325"/>
      <c r="R665" s="325"/>
      <c r="S665" s="325"/>
      <c r="T665" s="532">
        <f>SUM(F665:S665)</f>
        <v>0</v>
      </c>
      <c r="U665" s="301"/>
      <c r="V665" s="532">
        <f>SUM(T665:T665)</f>
        <v>0</v>
      </c>
      <c r="W665" s="532">
        <f>+V665-'ROR-Model'!G666</f>
        <v>0</v>
      </c>
    </row>
    <row r="666" spans="1:23">
      <c r="A666" s="543"/>
      <c r="B666" s="534"/>
      <c r="C666" s="534" t="s">
        <v>145</v>
      </c>
      <c r="D666" s="534"/>
      <c r="E666" s="531"/>
      <c r="F666" s="323">
        <f>SUM(F664:F665)</f>
        <v>0</v>
      </c>
      <c r="G666" s="323">
        <f>G1*SUM(G664:G665)</f>
        <v>0</v>
      </c>
      <c r="H666" s="323">
        <f>SUM(H664:H665)</f>
        <v>0</v>
      </c>
      <c r="I666" s="323">
        <f t="shared" ref="I666:P666" si="142">SUM(I664:I665)</f>
        <v>0</v>
      </c>
      <c r="J666" s="476">
        <f>J1*SUM(J664:J665)</f>
        <v>0</v>
      </c>
      <c r="K666" s="476">
        <f>K1*SUM(K664:K665)</f>
        <v>0</v>
      </c>
      <c r="L666" s="323">
        <f t="shared" si="142"/>
        <v>0</v>
      </c>
      <c r="M666" s="323">
        <f t="shared" si="142"/>
        <v>0</v>
      </c>
      <c r="N666" s="323">
        <f t="shared" si="142"/>
        <v>0</v>
      </c>
      <c r="O666" s="323">
        <f t="shared" si="142"/>
        <v>0</v>
      </c>
      <c r="P666" s="323">
        <f t="shared" si="142"/>
        <v>0</v>
      </c>
      <c r="Q666" s="476">
        <f>SUM(Q664:Q665)</f>
        <v>0</v>
      </c>
      <c r="R666" s="476">
        <f>R1*SUM(R664:R665)</f>
        <v>0</v>
      </c>
      <c r="S666" s="476">
        <f>S1*SUM(S664:S665)</f>
        <v>0</v>
      </c>
      <c r="T666" s="536">
        <f>SUM(T664:T665)</f>
        <v>0</v>
      </c>
      <c r="U666" s="323"/>
      <c r="V666" s="536">
        <f>SUM(V664:V665)</f>
        <v>0</v>
      </c>
      <c r="W666" s="536">
        <f>+V666-'ROR-Model'!G667</f>
        <v>0</v>
      </c>
    </row>
    <row r="667" spans="1:23">
      <c r="A667" s="543"/>
      <c r="B667" s="534"/>
      <c r="C667" s="534"/>
      <c r="D667" s="534"/>
      <c r="E667" s="531"/>
      <c r="F667" s="301"/>
      <c r="G667" s="301"/>
      <c r="H667" s="301"/>
      <c r="I667" s="301"/>
      <c r="J667" s="325"/>
      <c r="K667" s="325"/>
      <c r="L667" s="301"/>
      <c r="M667" s="301"/>
      <c r="N667" s="301"/>
      <c r="O667" s="301"/>
      <c r="P667" s="301"/>
      <c r="Q667" s="325"/>
      <c r="R667" s="325"/>
      <c r="S667" s="325"/>
      <c r="T667" s="532"/>
      <c r="U667" s="301"/>
      <c r="V667" s="532"/>
      <c r="W667" s="532">
        <f>+V667-'ROR-Model'!G668</f>
        <v>0</v>
      </c>
    </row>
    <row r="668" spans="1:23">
      <c r="A668" s="543">
        <v>873</v>
      </c>
      <c r="B668" s="534" t="s">
        <v>340</v>
      </c>
      <c r="C668" s="534"/>
      <c r="D668" s="534"/>
      <c r="E668" s="531"/>
      <c r="F668" s="301"/>
      <c r="G668" s="301"/>
      <c r="H668" s="301"/>
      <c r="I668" s="301"/>
      <c r="J668" s="325"/>
      <c r="K668" s="325"/>
      <c r="L668" s="301"/>
      <c r="M668" s="301"/>
      <c r="N668" s="301"/>
      <c r="O668" s="301"/>
      <c r="P668" s="301"/>
      <c r="Q668" s="325"/>
      <c r="R668" s="325"/>
      <c r="S668" s="325"/>
      <c r="T668" s="532"/>
      <c r="U668" s="301"/>
      <c r="V668" s="532"/>
      <c r="W668" s="532">
        <f>+V668-'ROR-Model'!G669</f>
        <v>0</v>
      </c>
    </row>
    <row r="669" spans="1:23">
      <c r="A669" s="543"/>
      <c r="B669" s="534"/>
      <c r="C669" s="534" t="s">
        <v>12</v>
      </c>
      <c r="D669" s="534"/>
      <c r="E669" s="531"/>
      <c r="F669" s="301"/>
      <c r="G669" s="301"/>
      <c r="H669" s="301"/>
      <c r="I669" s="301"/>
      <c r="J669" s="325"/>
      <c r="K669" s="325"/>
      <c r="L669" s="301"/>
      <c r="M669" s="301"/>
      <c r="N669" s="301"/>
      <c r="O669" s="301"/>
      <c r="P669" s="301"/>
      <c r="Q669" s="325"/>
      <c r="R669" s="325"/>
      <c r="S669" s="325"/>
      <c r="T669" s="532">
        <f>SUM(F669:S669)</f>
        <v>0</v>
      </c>
      <c r="U669" s="301"/>
      <c r="V669" s="532">
        <f>SUM(T669:T669)</f>
        <v>0</v>
      </c>
      <c r="W669" s="532">
        <f>+V669-'ROR-Model'!G670</f>
        <v>0</v>
      </c>
    </row>
    <row r="670" spans="1:23">
      <c r="A670" s="543"/>
      <c r="B670" s="534"/>
      <c r="C670" s="534" t="s">
        <v>23</v>
      </c>
      <c r="D670" s="534"/>
      <c r="E670" s="531"/>
      <c r="F670" s="301"/>
      <c r="G670" s="301"/>
      <c r="H670" s="301"/>
      <c r="I670" s="301"/>
      <c r="J670" s="325"/>
      <c r="K670" s="325"/>
      <c r="L670" s="301"/>
      <c r="M670" s="301"/>
      <c r="N670" s="301"/>
      <c r="O670" s="301"/>
      <c r="P670" s="301"/>
      <c r="Q670" s="325"/>
      <c r="R670" s="325"/>
      <c r="S670" s="325"/>
      <c r="T670" s="532">
        <f>SUM(F670:S670)</f>
        <v>0</v>
      </c>
      <c r="U670" s="301"/>
      <c r="V670" s="532">
        <f>SUM(T670:T670)</f>
        <v>0</v>
      </c>
      <c r="W670" s="532">
        <f>+V670-'ROR-Model'!G671</f>
        <v>0</v>
      </c>
    </row>
    <row r="671" spans="1:23">
      <c r="A671" s="543"/>
      <c r="B671" s="534"/>
      <c r="C671" s="534" t="s">
        <v>145</v>
      </c>
      <c r="D671" s="534"/>
      <c r="E671" s="531"/>
      <c r="F671" s="323">
        <f>SUM(F669:F670)</f>
        <v>0</v>
      </c>
      <c r="G671" s="323">
        <f>G1*SUM(G669:G670)</f>
        <v>0</v>
      </c>
      <c r="H671" s="323">
        <f>SUM(H669:H670)</f>
        <v>0</v>
      </c>
      <c r="I671" s="323">
        <f t="shared" ref="I671:P671" si="143">SUM(I669:I670)</f>
        <v>0</v>
      </c>
      <c r="J671" s="476">
        <f>J1*SUM(J669:J670)</f>
        <v>0</v>
      </c>
      <c r="K671" s="476">
        <f>K1*SUM(K669:K670)</f>
        <v>0</v>
      </c>
      <c r="L671" s="323">
        <f t="shared" si="143"/>
        <v>0</v>
      </c>
      <c r="M671" s="323">
        <f t="shared" si="143"/>
        <v>0</v>
      </c>
      <c r="N671" s="323">
        <f t="shared" si="143"/>
        <v>0</v>
      </c>
      <c r="O671" s="323">
        <f t="shared" si="143"/>
        <v>0</v>
      </c>
      <c r="P671" s="323">
        <f t="shared" si="143"/>
        <v>0</v>
      </c>
      <c r="Q671" s="476">
        <f>SUM(Q669:Q670)</f>
        <v>0</v>
      </c>
      <c r="R671" s="476">
        <f>R1*SUM(R669:R670)</f>
        <v>0</v>
      </c>
      <c r="S671" s="476">
        <f>S1*SUM(S669:S670)</f>
        <v>0</v>
      </c>
      <c r="T671" s="536">
        <f>SUM(T669:T670)</f>
        <v>0</v>
      </c>
      <c r="U671" s="323"/>
      <c r="V671" s="536">
        <f>SUM(V669:V670)</f>
        <v>0</v>
      </c>
      <c r="W671" s="536">
        <f>+V671-'ROR-Model'!G672</f>
        <v>0</v>
      </c>
    </row>
    <row r="672" spans="1:23">
      <c r="A672" s="543"/>
      <c r="B672" s="534"/>
      <c r="C672" s="534"/>
      <c r="D672" s="534"/>
      <c r="E672" s="531"/>
      <c r="F672" s="301"/>
      <c r="G672" s="301"/>
      <c r="H672" s="301"/>
      <c r="I672" s="301"/>
      <c r="J672" s="325"/>
      <c r="K672" s="325"/>
      <c r="L672" s="301"/>
      <c r="M672" s="301"/>
      <c r="N672" s="301"/>
      <c r="O672" s="301"/>
      <c r="P672" s="301"/>
      <c r="Q672" s="325"/>
      <c r="R672" s="325"/>
      <c r="S672" s="325"/>
      <c r="T672" s="532"/>
      <c r="U672" s="301"/>
      <c r="V672" s="532"/>
      <c r="W672" s="532">
        <f>+V672-'ROR-Model'!G673</f>
        <v>0</v>
      </c>
    </row>
    <row r="673" spans="1:23">
      <c r="A673" s="543">
        <v>874</v>
      </c>
      <c r="B673" s="534" t="s">
        <v>341</v>
      </c>
      <c r="C673" s="534"/>
      <c r="D673" s="534"/>
      <c r="E673" s="531"/>
      <c r="F673" s="301"/>
      <c r="G673" s="301"/>
      <c r="H673" s="301"/>
      <c r="I673" s="301"/>
      <c r="J673" s="325"/>
      <c r="K673" s="325"/>
      <c r="L673" s="301"/>
      <c r="M673" s="301"/>
      <c r="N673" s="301"/>
      <c r="O673" s="301"/>
      <c r="P673" s="301"/>
      <c r="Q673" s="325"/>
      <c r="R673" s="325"/>
      <c r="S673" s="325"/>
      <c r="T673" s="532"/>
      <c r="U673" s="301"/>
      <c r="V673" s="532"/>
      <c r="W673" s="532">
        <f>+V673-'ROR-Model'!G674</f>
        <v>0</v>
      </c>
    </row>
    <row r="674" spans="1:23">
      <c r="A674" s="543"/>
      <c r="B674" s="534"/>
      <c r="C674" s="534" t="s">
        <v>12</v>
      </c>
      <c r="D674" s="534"/>
      <c r="E674" s="531"/>
      <c r="F674" s="301"/>
      <c r="G674" s="301"/>
      <c r="H674" s="301"/>
      <c r="I674" s="301"/>
      <c r="J674" s="325"/>
      <c r="K674" s="325"/>
      <c r="L674" s="301"/>
      <c r="M674" s="301"/>
      <c r="N674" s="301"/>
      <c r="O674" s="301"/>
      <c r="P674" s="301"/>
      <c r="Q674" s="325"/>
      <c r="R674" s="325"/>
      <c r="S674" s="325"/>
      <c r="T674" s="532">
        <f>SUM(F674:S674)</f>
        <v>0</v>
      </c>
      <c r="U674" s="301"/>
      <c r="V674" s="532">
        <f>SUM(T674:T674)</f>
        <v>0</v>
      </c>
      <c r="W674" s="532">
        <f>+V674-'ROR-Model'!G675</f>
        <v>0</v>
      </c>
    </row>
    <row r="675" spans="1:23">
      <c r="A675" s="543"/>
      <c r="B675" s="534"/>
      <c r="C675" s="534" t="s">
        <v>23</v>
      </c>
      <c r="D675" s="534"/>
      <c r="E675" s="531"/>
      <c r="F675" s="301"/>
      <c r="G675" s="301"/>
      <c r="H675" s="301"/>
      <c r="I675" s="301"/>
      <c r="J675" s="325"/>
      <c r="K675" s="325"/>
      <c r="L675" s="301"/>
      <c r="M675" s="301"/>
      <c r="N675" s="301"/>
      <c r="O675" s="301"/>
      <c r="P675" s="301"/>
      <c r="Q675" s="325"/>
      <c r="R675" s="325"/>
      <c r="S675" s="325"/>
      <c r="T675" s="532">
        <f>SUM(F675:S675)</f>
        <v>0</v>
      </c>
      <c r="U675" s="301"/>
      <c r="V675" s="532">
        <f>SUM(T675:T675)</f>
        <v>0</v>
      </c>
      <c r="W675" s="532">
        <f>+V675-'ROR-Model'!G676</f>
        <v>0</v>
      </c>
    </row>
    <row r="676" spans="1:23">
      <c r="A676" s="543"/>
      <c r="B676" s="534"/>
      <c r="C676" s="534" t="s">
        <v>145</v>
      </c>
      <c r="D676" s="534"/>
      <c r="E676" s="531"/>
      <c r="F676" s="323">
        <f>SUM(F674:F675)</f>
        <v>0</v>
      </c>
      <c r="G676" s="323">
        <f>G1*SUM(G674:G675)</f>
        <v>0</v>
      </c>
      <c r="H676" s="323">
        <f>SUM(H674:H675)</f>
        <v>0</v>
      </c>
      <c r="I676" s="323">
        <f t="shared" ref="I676:P676" si="144">SUM(I674:I675)</f>
        <v>0</v>
      </c>
      <c r="J676" s="476">
        <f>J1*SUM(J674:J675)</f>
        <v>0</v>
      </c>
      <c r="K676" s="476">
        <f>K1*SUM(K674:K675)</f>
        <v>0</v>
      </c>
      <c r="L676" s="323">
        <f t="shared" si="144"/>
        <v>0</v>
      </c>
      <c r="M676" s="323">
        <f t="shared" si="144"/>
        <v>0</v>
      </c>
      <c r="N676" s="323">
        <f t="shared" si="144"/>
        <v>0</v>
      </c>
      <c r="O676" s="323">
        <f t="shared" si="144"/>
        <v>0</v>
      </c>
      <c r="P676" s="323">
        <f t="shared" si="144"/>
        <v>0</v>
      </c>
      <c r="Q676" s="476">
        <f>SUM(Q674:Q675)</f>
        <v>0</v>
      </c>
      <c r="R676" s="476">
        <f>R1*SUM(R674:R675)</f>
        <v>0</v>
      </c>
      <c r="S676" s="476">
        <f>S1*SUM(S674:S675)</f>
        <v>0</v>
      </c>
      <c r="T676" s="536">
        <f>SUM(T674:T675)</f>
        <v>0</v>
      </c>
      <c r="U676" s="323"/>
      <c r="V676" s="536">
        <f>SUM(V674:V675)</f>
        <v>0</v>
      </c>
      <c r="W676" s="536">
        <f>+V676-'ROR-Model'!G677</f>
        <v>0</v>
      </c>
    </row>
    <row r="677" spans="1:23">
      <c r="A677" s="543"/>
      <c r="B677" s="534"/>
      <c r="C677" s="534"/>
      <c r="D677" s="534"/>
      <c r="E677" s="531"/>
      <c r="F677" s="301"/>
      <c r="G677" s="301"/>
      <c r="H677" s="301"/>
      <c r="I677" s="301"/>
      <c r="J677" s="325"/>
      <c r="K677" s="325"/>
      <c r="L677" s="301"/>
      <c r="M677" s="301"/>
      <c r="N677" s="301"/>
      <c r="O677" s="301"/>
      <c r="P677" s="301"/>
      <c r="Q677" s="325"/>
      <c r="R677" s="325"/>
      <c r="S677" s="325"/>
      <c r="T677" s="532"/>
      <c r="U677" s="301"/>
      <c r="V677" s="532"/>
      <c r="W677" s="532">
        <f>+V677-'ROR-Model'!G678</f>
        <v>0</v>
      </c>
    </row>
    <row r="678" spans="1:23">
      <c r="A678" s="543">
        <v>875</v>
      </c>
      <c r="B678" s="534" t="s">
        <v>342</v>
      </c>
      <c r="C678" s="534"/>
      <c r="D678" s="534"/>
      <c r="E678" s="531"/>
      <c r="F678" s="301"/>
      <c r="G678" s="301"/>
      <c r="H678" s="301"/>
      <c r="I678" s="301"/>
      <c r="J678" s="325"/>
      <c r="K678" s="325"/>
      <c r="L678" s="301"/>
      <c r="M678" s="301"/>
      <c r="N678" s="301"/>
      <c r="O678" s="301"/>
      <c r="P678" s="301"/>
      <c r="Q678" s="325"/>
      <c r="R678" s="325"/>
      <c r="S678" s="325"/>
      <c r="T678" s="532"/>
      <c r="U678" s="301"/>
      <c r="V678" s="532"/>
      <c r="W678" s="532">
        <f>+V678-'ROR-Model'!G679</f>
        <v>0</v>
      </c>
    </row>
    <row r="679" spans="1:23">
      <c r="A679" s="543"/>
      <c r="B679" s="534"/>
      <c r="C679" s="534" t="s">
        <v>12</v>
      </c>
      <c r="D679" s="534"/>
      <c r="E679" s="531"/>
      <c r="F679" s="301"/>
      <c r="G679" s="301"/>
      <c r="H679" s="301"/>
      <c r="I679" s="301"/>
      <c r="J679" s="325"/>
      <c r="K679" s="325"/>
      <c r="L679" s="301"/>
      <c r="M679" s="301"/>
      <c r="N679" s="301"/>
      <c r="O679" s="301"/>
      <c r="P679" s="301"/>
      <c r="Q679" s="325"/>
      <c r="R679" s="325"/>
      <c r="S679" s="325"/>
      <c r="T679" s="532">
        <f>SUM(F679:S679)</f>
        <v>0</v>
      </c>
      <c r="U679" s="301"/>
      <c r="V679" s="532">
        <f>SUM(T679:T679)</f>
        <v>0</v>
      </c>
      <c r="W679" s="532">
        <f>+V679-'ROR-Model'!G680</f>
        <v>0</v>
      </c>
    </row>
    <row r="680" spans="1:23">
      <c r="A680" s="543"/>
      <c r="B680" s="534"/>
      <c r="C680" s="534" t="s">
        <v>23</v>
      </c>
      <c r="D680" s="534"/>
      <c r="E680" s="531"/>
      <c r="F680" s="301"/>
      <c r="G680" s="301"/>
      <c r="H680" s="301"/>
      <c r="I680" s="301"/>
      <c r="J680" s="325"/>
      <c r="K680" s="325"/>
      <c r="L680" s="301"/>
      <c r="M680" s="301"/>
      <c r="N680" s="301"/>
      <c r="O680" s="301"/>
      <c r="P680" s="301"/>
      <c r="Q680" s="325"/>
      <c r="R680" s="325"/>
      <c r="S680" s="325"/>
      <c r="T680" s="532">
        <f>SUM(F680:S680)</f>
        <v>0</v>
      </c>
      <c r="U680" s="301"/>
      <c r="V680" s="532">
        <f>SUM(T680:T680)</f>
        <v>0</v>
      </c>
      <c r="W680" s="532">
        <f>+V680-'ROR-Model'!G681</f>
        <v>0</v>
      </c>
    </row>
    <row r="681" spans="1:23">
      <c r="A681" s="543"/>
      <c r="B681" s="534"/>
      <c r="C681" s="534" t="s">
        <v>145</v>
      </c>
      <c r="D681" s="534"/>
      <c r="E681" s="531"/>
      <c r="F681" s="323">
        <f>SUM(F679:F680)</f>
        <v>0</v>
      </c>
      <c r="G681" s="323">
        <f>G1*SUM(G679:G680)</f>
        <v>0</v>
      </c>
      <c r="H681" s="323">
        <f>SUM(H679:H680)</f>
        <v>0</v>
      </c>
      <c r="I681" s="323">
        <f t="shared" ref="I681:P681" si="145">SUM(I679:I680)</f>
        <v>0</v>
      </c>
      <c r="J681" s="476">
        <f>J1*SUM(J679:J680)</f>
        <v>0</v>
      </c>
      <c r="K681" s="476">
        <f>K1*SUM(K679:K680)</f>
        <v>0</v>
      </c>
      <c r="L681" s="323">
        <f t="shared" si="145"/>
        <v>0</v>
      </c>
      <c r="M681" s="323">
        <f t="shared" si="145"/>
        <v>0</v>
      </c>
      <c r="N681" s="323">
        <f t="shared" si="145"/>
        <v>0</v>
      </c>
      <c r="O681" s="323">
        <f t="shared" si="145"/>
        <v>0</v>
      </c>
      <c r="P681" s="323">
        <f t="shared" si="145"/>
        <v>0</v>
      </c>
      <c r="Q681" s="476">
        <f>SUM(Q679:Q680)</f>
        <v>0</v>
      </c>
      <c r="R681" s="476">
        <f>R1*SUM(R679:R680)</f>
        <v>0</v>
      </c>
      <c r="S681" s="476">
        <f>S1*SUM(S679:S680)</f>
        <v>0</v>
      </c>
      <c r="T681" s="536">
        <f>SUM(T679:T680)</f>
        <v>0</v>
      </c>
      <c r="U681" s="323"/>
      <c r="V681" s="536">
        <f>SUM(V679:V680)</f>
        <v>0</v>
      </c>
      <c r="W681" s="536">
        <f>+V681-'ROR-Model'!G682</f>
        <v>0</v>
      </c>
    </row>
    <row r="682" spans="1:23">
      <c r="A682" s="543"/>
      <c r="B682" s="534"/>
      <c r="C682" s="534"/>
      <c r="D682" s="534"/>
      <c r="E682" s="531"/>
      <c r="F682" s="301"/>
      <c r="G682" s="301"/>
      <c r="H682" s="301"/>
      <c r="I682" s="301"/>
      <c r="J682" s="325"/>
      <c r="K682" s="325"/>
      <c r="L682" s="301"/>
      <c r="M682" s="301"/>
      <c r="N682" s="301"/>
      <c r="O682" s="301"/>
      <c r="P682" s="301"/>
      <c r="Q682" s="325"/>
      <c r="R682" s="325"/>
      <c r="S682" s="325"/>
      <c r="T682" s="532"/>
      <c r="U682" s="301"/>
      <c r="V682" s="532"/>
      <c r="W682" s="532">
        <f>+V682-'ROR-Model'!G683</f>
        <v>0</v>
      </c>
    </row>
    <row r="683" spans="1:23">
      <c r="A683" s="543">
        <v>878</v>
      </c>
      <c r="B683" s="534" t="s">
        <v>343</v>
      </c>
      <c r="C683" s="534"/>
      <c r="D683" s="534"/>
      <c r="E683" s="531"/>
      <c r="F683" s="301"/>
      <c r="G683" s="301"/>
      <c r="H683" s="301"/>
      <c r="I683" s="301"/>
      <c r="J683" s="325"/>
      <c r="K683" s="325"/>
      <c r="L683" s="301"/>
      <c r="M683" s="301"/>
      <c r="N683" s="301"/>
      <c r="O683" s="301"/>
      <c r="P683" s="301"/>
      <c r="Q683" s="325"/>
      <c r="R683" s="325"/>
      <c r="S683" s="325"/>
      <c r="T683" s="532"/>
      <c r="U683" s="301"/>
      <c r="V683" s="532"/>
      <c r="W683" s="532">
        <f>+V683-'ROR-Model'!G684</f>
        <v>0</v>
      </c>
    </row>
    <row r="684" spans="1:23">
      <c r="A684" s="543"/>
      <c r="B684" s="534"/>
      <c r="C684" s="534" t="s">
        <v>12</v>
      </c>
      <c r="D684" s="534"/>
      <c r="E684" s="531"/>
      <c r="F684" s="301"/>
      <c r="G684" s="301"/>
      <c r="H684" s="301"/>
      <c r="I684" s="301"/>
      <c r="J684" s="325"/>
      <c r="K684" s="325"/>
      <c r="L684" s="301"/>
      <c r="M684" s="301"/>
      <c r="N684" s="301"/>
      <c r="O684" s="301"/>
      <c r="P684" s="301"/>
      <c r="Q684" s="325"/>
      <c r="R684" s="325"/>
      <c r="S684" s="325"/>
      <c r="T684" s="532">
        <f>SUM(F684:S684)</f>
        <v>0</v>
      </c>
      <c r="U684" s="301"/>
      <c r="V684" s="532">
        <f>SUM(T684:T684)</f>
        <v>0</v>
      </c>
      <c r="W684" s="532">
        <f>+V684-'ROR-Model'!G685</f>
        <v>0</v>
      </c>
    </row>
    <row r="685" spans="1:23">
      <c r="A685" s="543"/>
      <c r="B685" s="534"/>
      <c r="C685" s="534" t="s">
        <v>23</v>
      </c>
      <c r="D685" s="534"/>
      <c r="E685" s="531"/>
      <c r="F685" s="301"/>
      <c r="G685" s="301"/>
      <c r="H685" s="301"/>
      <c r="I685" s="301"/>
      <c r="J685" s="325"/>
      <c r="K685" s="325"/>
      <c r="L685" s="301"/>
      <c r="M685" s="301"/>
      <c r="N685" s="301"/>
      <c r="O685" s="301"/>
      <c r="P685" s="301"/>
      <c r="Q685" s="325"/>
      <c r="R685" s="325"/>
      <c r="S685" s="325"/>
      <c r="T685" s="532">
        <f>SUM(F685:S685)</f>
        <v>0</v>
      </c>
      <c r="U685" s="301"/>
      <c r="V685" s="532">
        <f>SUM(T685:T685)</f>
        <v>0</v>
      </c>
      <c r="W685" s="532">
        <f>+V685-'ROR-Model'!G686</f>
        <v>0</v>
      </c>
    </row>
    <row r="686" spans="1:23">
      <c r="A686" s="543"/>
      <c r="B686" s="534"/>
      <c r="C686" s="534" t="s">
        <v>145</v>
      </c>
      <c r="D686" s="534"/>
      <c r="E686" s="531"/>
      <c r="F686" s="323">
        <f>SUM(F684:F685)</f>
        <v>0</v>
      </c>
      <c r="G686" s="323">
        <f>G1*SUM(G684:G685)</f>
        <v>0</v>
      </c>
      <c r="H686" s="323">
        <f>SUM(H684:H685)</f>
        <v>0</v>
      </c>
      <c r="I686" s="323">
        <f t="shared" ref="I686:P686" si="146">SUM(I684:I685)</f>
        <v>0</v>
      </c>
      <c r="J686" s="476">
        <f>J1*SUM(J684:J685)</f>
        <v>0</v>
      </c>
      <c r="K686" s="476">
        <f>K1*SUM(K684:K685)</f>
        <v>0</v>
      </c>
      <c r="L686" s="323">
        <f t="shared" si="146"/>
        <v>0</v>
      </c>
      <c r="M686" s="323">
        <f t="shared" si="146"/>
        <v>0</v>
      </c>
      <c r="N686" s="323">
        <f t="shared" si="146"/>
        <v>0</v>
      </c>
      <c r="O686" s="323">
        <f t="shared" si="146"/>
        <v>0</v>
      </c>
      <c r="P686" s="323">
        <f t="shared" si="146"/>
        <v>0</v>
      </c>
      <c r="Q686" s="476">
        <f>SUM(Q684:Q685)</f>
        <v>0</v>
      </c>
      <c r="R686" s="476">
        <f>R1*SUM(R684:R685)</f>
        <v>0</v>
      </c>
      <c r="S686" s="476">
        <f>S1*SUM(S684:S685)</f>
        <v>0</v>
      </c>
      <c r="T686" s="536">
        <f>SUM(T684:T685)</f>
        <v>0</v>
      </c>
      <c r="U686" s="323"/>
      <c r="V686" s="536">
        <f>SUM(V684:V685)</f>
        <v>0</v>
      </c>
      <c r="W686" s="536">
        <f>+V686-'ROR-Model'!G687</f>
        <v>0</v>
      </c>
    </row>
    <row r="687" spans="1:23">
      <c r="A687" s="543"/>
      <c r="B687" s="534"/>
      <c r="C687" s="534"/>
      <c r="D687" s="534"/>
      <c r="E687" s="531"/>
      <c r="F687" s="301"/>
      <c r="G687" s="301"/>
      <c r="H687" s="301"/>
      <c r="I687" s="301"/>
      <c r="J687" s="325"/>
      <c r="K687" s="325"/>
      <c r="L687" s="301"/>
      <c r="M687" s="301"/>
      <c r="N687" s="301"/>
      <c r="O687" s="301"/>
      <c r="P687" s="301"/>
      <c r="Q687" s="325"/>
      <c r="R687" s="325"/>
      <c r="S687" s="325"/>
      <c r="T687" s="532"/>
      <c r="U687" s="301"/>
      <c r="V687" s="532"/>
      <c r="W687" s="532">
        <f>+V687-'ROR-Model'!G688</f>
        <v>0</v>
      </c>
    </row>
    <row r="688" spans="1:23">
      <c r="A688" s="543">
        <v>879</v>
      </c>
      <c r="B688" s="534" t="s">
        <v>344</v>
      </c>
      <c r="C688" s="534"/>
      <c r="D688" s="534"/>
      <c r="E688" s="531"/>
      <c r="F688" s="301"/>
      <c r="G688" s="301"/>
      <c r="H688" s="301"/>
      <c r="I688" s="301"/>
      <c r="J688" s="325"/>
      <c r="K688" s="325"/>
      <c r="L688" s="301"/>
      <c r="M688" s="301"/>
      <c r="N688" s="301"/>
      <c r="O688" s="301"/>
      <c r="P688" s="301"/>
      <c r="Q688" s="325"/>
      <c r="R688" s="325"/>
      <c r="S688" s="325"/>
      <c r="T688" s="532"/>
      <c r="U688" s="301"/>
      <c r="V688" s="532"/>
      <c r="W688" s="532">
        <f>+V688-'ROR-Model'!G689</f>
        <v>0</v>
      </c>
    </row>
    <row r="689" spans="1:23">
      <c r="A689" s="543"/>
      <c r="B689" s="534"/>
      <c r="C689" s="534" t="s">
        <v>12</v>
      </c>
      <c r="D689" s="534"/>
      <c r="E689" s="531"/>
      <c r="F689" s="301"/>
      <c r="G689" s="301"/>
      <c r="H689" s="301"/>
      <c r="I689" s="301"/>
      <c r="J689" s="325"/>
      <c r="K689" s="325"/>
      <c r="L689" s="301"/>
      <c r="M689" s="301"/>
      <c r="N689" s="301"/>
      <c r="O689" s="301"/>
      <c r="P689" s="301"/>
      <c r="Q689" s="325"/>
      <c r="R689" s="325"/>
      <c r="S689" s="325"/>
      <c r="T689" s="532">
        <f>SUM(F689:S689)</f>
        <v>0</v>
      </c>
      <c r="U689" s="301"/>
      <c r="V689" s="532">
        <f>SUM(T689:T689)</f>
        <v>0</v>
      </c>
      <c r="W689" s="532">
        <f>+V689-'ROR-Model'!G690</f>
        <v>0</v>
      </c>
    </row>
    <row r="690" spans="1:23">
      <c r="A690" s="543"/>
      <c r="B690" s="534"/>
      <c r="C690" s="534" t="s">
        <v>23</v>
      </c>
      <c r="D690" s="534"/>
      <c r="E690" s="531"/>
      <c r="F690" s="301"/>
      <c r="G690" s="301"/>
      <c r="H690" s="301"/>
      <c r="I690" s="301"/>
      <c r="J690" s="325"/>
      <c r="K690" s="325"/>
      <c r="L690" s="301"/>
      <c r="M690" s="301"/>
      <c r="N690" s="301"/>
      <c r="O690" s="301"/>
      <c r="P690" s="301"/>
      <c r="Q690" s="325"/>
      <c r="R690" s="325"/>
      <c r="S690" s="325"/>
      <c r="T690" s="532">
        <f>SUM(F690:S690)</f>
        <v>0</v>
      </c>
      <c r="U690" s="301"/>
      <c r="V690" s="532">
        <f>SUM(T690:T690)</f>
        <v>0</v>
      </c>
      <c r="W690" s="532">
        <f>+V690-'ROR-Model'!G691</f>
        <v>0</v>
      </c>
    </row>
    <row r="691" spans="1:23">
      <c r="A691" s="543"/>
      <c r="B691" s="534"/>
      <c r="C691" s="534" t="s">
        <v>145</v>
      </c>
      <c r="D691" s="534"/>
      <c r="E691" s="531"/>
      <c r="F691" s="323">
        <f>SUM(F689:F690)</f>
        <v>0</v>
      </c>
      <c r="G691" s="323">
        <f>G1*SUM(G689:G690)</f>
        <v>0</v>
      </c>
      <c r="H691" s="323">
        <f>SUM(H689:H690)</f>
        <v>0</v>
      </c>
      <c r="I691" s="323">
        <f t="shared" ref="I691:P691" si="147">SUM(I689:I690)</f>
        <v>0</v>
      </c>
      <c r="J691" s="476">
        <f>J1*SUM(J689:J690)</f>
        <v>0</v>
      </c>
      <c r="K691" s="476">
        <f>K1*SUM(K689:K690)</f>
        <v>0</v>
      </c>
      <c r="L691" s="323">
        <f t="shared" si="147"/>
        <v>0</v>
      </c>
      <c r="M691" s="323">
        <f t="shared" si="147"/>
        <v>0</v>
      </c>
      <c r="N691" s="323">
        <f t="shared" si="147"/>
        <v>0</v>
      </c>
      <c r="O691" s="323">
        <f t="shared" si="147"/>
        <v>0</v>
      </c>
      <c r="P691" s="323">
        <f t="shared" si="147"/>
        <v>0</v>
      </c>
      <c r="Q691" s="476">
        <f>SUM(Q689:Q690)</f>
        <v>0</v>
      </c>
      <c r="R691" s="476">
        <f>R1*SUM(R689:R690)</f>
        <v>0</v>
      </c>
      <c r="S691" s="476">
        <f>S1*SUM(S689:S690)</f>
        <v>0</v>
      </c>
      <c r="T691" s="536">
        <f>SUM(T689:T690)</f>
        <v>0</v>
      </c>
      <c r="U691" s="323"/>
      <c r="V691" s="536">
        <f>SUM(V689:V690)</f>
        <v>0</v>
      </c>
      <c r="W691" s="536">
        <f>+V691-'ROR-Model'!G692</f>
        <v>0</v>
      </c>
    </row>
    <row r="692" spans="1:23">
      <c r="A692" s="543"/>
      <c r="B692" s="534"/>
      <c r="C692" s="534"/>
      <c r="D692" s="534"/>
      <c r="E692" s="531"/>
      <c r="F692" s="301"/>
      <c r="G692" s="301"/>
      <c r="H692" s="301"/>
      <c r="I692" s="301"/>
      <c r="J692" s="325"/>
      <c r="K692" s="325"/>
      <c r="L692" s="301"/>
      <c r="M692" s="301"/>
      <c r="N692" s="301"/>
      <c r="O692" s="301"/>
      <c r="P692" s="301"/>
      <c r="Q692" s="325"/>
      <c r="R692" s="325"/>
      <c r="S692" s="325"/>
      <c r="T692" s="532"/>
      <c r="U692" s="301"/>
      <c r="V692" s="532"/>
      <c r="W692" s="532">
        <f>+V692-'ROR-Model'!G693</f>
        <v>0</v>
      </c>
    </row>
    <row r="693" spans="1:23">
      <c r="A693" s="543">
        <v>880</v>
      </c>
      <c r="B693" s="534" t="s">
        <v>345</v>
      </c>
      <c r="C693" s="534"/>
      <c r="D693" s="534"/>
      <c r="E693" s="531"/>
      <c r="F693" s="301"/>
      <c r="G693" s="301"/>
      <c r="H693" s="301"/>
      <c r="I693" s="301"/>
      <c r="J693" s="325"/>
      <c r="K693" s="325"/>
      <c r="L693" s="301"/>
      <c r="M693" s="301"/>
      <c r="N693" s="301"/>
      <c r="O693" s="301"/>
      <c r="P693" s="301"/>
      <c r="Q693" s="325"/>
      <c r="R693" s="325"/>
      <c r="S693" s="325"/>
      <c r="T693" s="532"/>
      <c r="U693" s="301"/>
      <c r="V693" s="532"/>
      <c r="W693" s="532">
        <f>+V693-'ROR-Model'!G694</f>
        <v>0</v>
      </c>
    </row>
    <row r="694" spans="1:23">
      <c r="A694" s="543"/>
      <c r="B694" s="534"/>
      <c r="C694" s="534" t="s">
        <v>12</v>
      </c>
      <c r="D694" s="534"/>
      <c r="E694" s="531"/>
      <c r="F694" s="301"/>
      <c r="G694" s="301"/>
      <c r="H694" s="301"/>
      <c r="I694" s="301"/>
      <c r="J694" s="325"/>
      <c r="K694" s="325"/>
      <c r="L694" s="301"/>
      <c r="M694" s="301"/>
      <c r="N694" s="301"/>
      <c r="O694" s="301"/>
      <c r="P694" s="301"/>
      <c r="Q694" s="325"/>
      <c r="R694" s="325"/>
      <c r="S694" s="325"/>
      <c r="T694" s="532">
        <f>SUM(F694:S694)</f>
        <v>0</v>
      </c>
      <c r="U694" s="301"/>
      <c r="V694" s="532">
        <f>SUM(T694:T694)</f>
        <v>0</v>
      </c>
      <c r="W694" s="532">
        <f>+V694-'ROR-Model'!G695</f>
        <v>0</v>
      </c>
    </row>
    <row r="695" spans="1:23">
      <c r="A695" s="543"/>
      <c r="B695" s="534"/>
      <c r="C695" s="534" t="s">
        <v>23</v>
      </c>
      <c r="D695" s="534"/>
      <c r="E695" s="531"/>
      <c r="F695" s="301"/>
      <c r="G695" s="301"/>
      <c r="H695" s="301"/>
      <c r="I695" s="301"/>
      <c r="J695" s="325"/>
      <c r="K695" s="325"/>
      <c r="L695" s="301"/>
      <c r="M695" s="301"/>
      <c r="N695" s="301"/>
      <c r="O695" s="301"/>
      <c r="P695" s="301"/>
      <c r="Q695" s="325"/>
      <c r="R695" s="325"/>
      <c r="S695" s="325"/>
      <c r="T695" s="532">
        <f>SUM(F695:S695)</f>
        <v>0</v>
      </c>
      <c r="U695" s="301"/>
      <c r="V695" s="532">
        <f>SUM(T695:T695)</f>
        <v>0</v>
      </c>
      <c r="W695" s="532">
        <f>+V695-'ROR-Model'!G696</f>
        <v>0</v>
      </c>
    </row>
    <row r="696" spans="1:23">
      <c r="A696" s="543"/>
      <c r="B696" s="534"/>
      <c r="C696" s="534" t="s">
        <v>145</v>
      </c>
      <c r="D696" s="534"/>
      <c r="E696" s="531"/>
      <c r="F696" s="323">
        <f>SUM(F694:F695)</f>
        <v>0</v>
      </c>
      <c r="G696" s="323">
        <f>G1*SUM(G694:G695)</f>
        <v>0</v>
      </c>
      <c r="H696" s="323">
        <f>SUM(H694:H695)</f>
        <v>0</v>
      </c>
      <c r="I696" s="323">
        <f t="shared" ref="I696:P696" si="148">SUM(I694:I695)</f>
        <v>0</v>
      </c>
      <c r="J696" s="476">
        <f>J1*SUM(J694:J695)</f>
        <v>0</v>
      </c>
      <c r="K696" s="476">
        <f>K1*SUM(K694:K695)</f>
        <v>0</v>
      </c>
      <c r="L696" s="323">
        <f t="shared" si="148"/>
        <v>0</v>
      </c>
      <c r="M696" s="323">
        <f t="shared" si="148"/>
        <v>0</v>
      </c>
      <c r="N696" s="323">
        <f t="shared" si="148"/>
        <v>0</v>
      </c>
      <c r="O696" s="323">
        <f t="shared" si="148"/>
        <v>0</v>
      </c>
      <c r="P696" s="323">
        <f t="shared" si="148"/>
        <v>0</v>
      </c>
      <c r="Q696" s="476">
        <f>SUM(Q694:Q695)</f>
        <v>0</v>
      </c>
      <c r="R696" s="476">
        <f>R1*SUM(R694:R695)</f>
        <v>0</v>
      </c>
      <c r="S696" s="476">
        <f>S1*SUM(S694:S695)</f>
        <v>0</v>
      </c>
      <c r="T696" s="536">
        <f>SUM(T694:T695)</f>
        <v>0</v>
      </c>
      <c r="U696" s="323"/>
      <c r="V696" s="536">
        <f>SUM(V694:V695)</f>
        <v>0</v>
      </c>
      <c r="W696" s="536">
        <f>+V696-'ROR-Model'!G697</f>
        <v>0</v>
      </c>
    </row>
    <row r="697" spans="1:23">
      <c r="A697" s="543"/>
      <c r="B697" s="534"/>
      <c r="C697" s="534"/>
      <c r="D697" s="534"/>
      <c r="E697" s="531"/>
      <c r="F697" s="301"/>
      <c r="G697" s="301"/>
      <c r="H697" s="301"/>
      <c r="I697" s="301"/>
      <c r="J697" s="325"/>
      <c r="K697" s="325"/>
      <c r="L697" s="301"/>
      <c r="M697" s="301"/>
      <c r="N697" s="301"/>
      <c r="O697" s="301"/>
      <c r="P697" s="301"/>
      <c r="Q697" s="325"/>
      <c r="R697" s="325"/>
      <c r="S697" s="325"/>
      <c r="T697" s="532"/>
      <c r="U697" s="301"/>
      <c r="V697" s="532"/>
      <c r="W697" s="532">
        <f>+V697-'ROR-Model'!G698</f>
        <v>0</v>
      </c>
    </row>
    <row r="698" spans="1:23">
      <c r="A698" s="543">
        <v>881</v>
      </c>
      <c r="B698" s="534" t="s">
        <v>346</v>
      </c>
      <c r="C698" s="534"/>
      <c r="D698" s="534"/>
      <c r="E698" s="531"/>
      <c r="F698" s="301"/>
      <c r="G698" s="301"/>
      <c r="H698" s="301"/>
      <c r="I698" s="301"/>
      <c r="J698" s="325"/>
      <c r="K698" s="325"/>
      <c r="L698" s="301"/>
      <c r="M698" s="301"/>
      <c r="N698" s="301"/>
      <c r="O698" s="301"/>
      <c r="P698" s="301"/>
      <c r="Q698" s="325"/>
      <c r="R698" s="325"/>
      <c r="S698" s="325"/>
      <c r="T698" s="532"/>
      <c r="U698" s="301"/>
      <c r="V698" s="532"/>
      <c r="W698" s="532">
        <f>+V698-'ROR-Model'!G699</f>
        <v>0</v>
      </c>
    </row>
    <row r="699" spans="1:23">
      <c r="A699" s="543"/>
      <c r="B699" s="534"/>
      <c r="C699" s="534" t="s">
        <v>12</v>
      </c>
      <c r="D699" s="534"/>
      <c r="E699" s="531"/>
      <c r="F699" s="301"/>
      <c r="G699" s="301"/>
      <c r="H699" s="301"/>
      <c r="I699" s="301"/>
      <c r="J699" s="325"/>
      <c r="K699" s="325"/>
      <c r="L699" s="301"/>
      <c r="M699" s="301"/>
      <c r="N699" s="301"/>
      <c r="O699" s="301"/>
      <c r="P699" s="301"/>
      <c r="Q699" s="325"/>
      <c r="R699" s="325"/>
      <c r="S699" s="325"/>
      <c r="T699" s="532">
        <f>SUM(F699:S699)</f>
        <v>0</v>
      </c>
      <c r="U699" s="301"/>
      <c r="V699" s="532">
        <f>SUM(T699:T699)</f>
        <v>0</v>
      </c>
      <c r="W699" s="532">
        <f>+V699-'ROR-Model'!G700</f>
        <v>0</v>
      </c>
    </row>
    <row r="700" spans="1:23">
      <c r="A700" s="543"/>
      <c r="B700" s="534"/>
      <c r="C700" s="534" t="s">
        <v>23</v>
      </c>
      <c r="D700" s="534"/>
      <c r="E700" s="531"/>
      <c r="F700" s="301"/>
      <c r="G700" s="301"/>
      <c r="H700" s="301"/>
      <c r="I700" s="301"/>
      <c r="J700" s="325"/>
      <c r="K700" s="325"/>
      <c r="L700" s="301"/>
      <c r="M700" s="301"/>
      <c r="N700" s="301"/>
      <c r="O700" s="301"/>
      <c r="P700" s="301"/>
      <c r="Q700" s="325"/>
      <c r="R700" s="325"/>
      <c r="S700" s="325"/>
      <c r="T700" s="532">
        <f>SUM(F700:S700)</f>
        <v>0</v>
      </c>
      <c r="U700" s="301"/>
      <c r="V700" s="532">
        <f>SUM(T700:T700)</f>
        <v>0</v>
      </c>
      <c r="W700" s="532">
        <f>+V700-'ROR-Model'!G701</f>
        <v>0</v>
      </c>
    </row>
    <row r="701" spans="1:23">
      <c r="A701" s="543"/>
      <c r="B701" s="534"/>
      <c r="C701" s="534" t="s">
        <v>145</v>
      </c>
      <c r="D701" s="534"/>
      <c r="E701" s="531"/>
      <c r="F701" s="323">
        <f>SUM(F699:F700)</f>
        <v>0</v>
      </c>
      <c r="G701" s="323">
        <f>G1*SUM(G699:G700)</f>
        <v>0</v>
      </c>
      <c r="H701" s="323">
        <f>SUM(H699:H700)</f>
        <v>0</v>
      </c>
      <c r="I701" s="323">
        <f t="shared" ref="I701:P701" si="149">SUM(I699:I700)</f>
        <v>0</v>
      </c>
      <c r="J701" s="476">
        <f>J1*SUM(J699:J700)</f>
        <v>0</v>
      </c>
      <c r="K701" s="476">
        <f>K1*SUM(K699:K700)</f>
        <v>0</v>
      </c>
      <c r="L701" s="323">
        <f t="shared" si="149"/>
        <v>0</v>
      </c>
      <c r="M701" s="323">
        <f t="shared" si="149"/>
        <v>0</v>
      </c>
      <c r="N701" s="323">
        <f t="shared" si="149"/>
        <v>0</v>
      </c>
      <c r="O701" s="323">
        <f t="shared" si="149"/>
        <v>0</v>
      </c>
      <c r="P701" s="323">
        <f t="shared" si="149"/>
        <v>0</v>
      </c>
      <c r="Q701" s="476">
        <f>SUM(Q699:Q700)</f>
        <v>0</v>
      </c>
      <c r="R701" s="476">
        <f>R1*SUM(R699:R700)</f>
        <v>0</v>
      </c>
      <c r="S701" s="476">
        <f>S1*SUM(S699:S700)</f>
        <v>0</v>
      </c>
      <c r="T701" s="536">
        <f>SUM(T699:T700)</f>
        <v>0</v>
      </c>
      <c r="U701" s="323"/>
      <c r="V701" s="536">
        <f>SUM(V699:V700)</f>
        <v>0</v>
      </c>
      <c r="W701" s="536">
        <f>+V701-'ROR-Model'!G702</f>
        <v>0</v>
      </c>
    </row>
    <row r="702" spans="1:23">
      <c r="A702" s="543"/>
      <c r="B702" s="534"/>
      <c r="C702" s="534"/>
      <c r="D702" s="534"/>
      <c r="E702" s="531"/>
      <c r="F702" s="301"/>
      <c r="G702" s="301"/>
      <c r="H702" s="301"/>
      <c r="I702" s="301"/>
      <c r="J702" s="325"/>
      <c r="K702" s="325"/>
      <c r="L702" s="301"/>
      <c r="M702" s="301"/>
      <c r="N702" s="301"/>
      <c r="O702" s="301"/>
      <c r="P702" s="301"/>
      <c r="Q702" s="325"/>
      <c r="R702" s="325"/>
      <c r="S702" s="325"/>
      <c r="T702" s="532"/>
      <c r="U702" s="301"/>
      <c r="V702" s="532"/>
      <c r="W702" s="532">
        <f>+V702-'ROR-Model'!G703</f>
        <v>0</v>
      </c>
    </row>
    <row r="703" spans="1:23">
      <c r="A703" s="543">
        <v>885</v>
      </c>
      <c r="B703" s="534" t="s">
        <v>347</v>
      </c>
      <c r="C703" s="534"/>
      <c r="D703" s="534"/>
      <c r="E703" s="531"/>
      <c r="F703" s="301"/>
      <c r="G703" s="301"/>
      <c r="H703" s="301"/>
      <c r="I703" s="301"/>
      <c r="J703" s="325"/>
      <c r="K703" s="325"/>
      <c r="L703" s="301"/>
      <c r="M703" s="301"/>
      <c r="N703" s="301"/>
      <c r="O703" s="301"/>
      <c r="P703" s="301"/>
      <c r="Q703" s="325"/>
      <c r="R703" s="325"/>
      <c r="S703" s="325"/>
      <c r="T703" s="532"/>
      <c r="U703" s="301"/>
      <c r="V703" s="532"/>
      <c r="W703" s="532">
        <f>+V703-'ROR-Model'!G704</f>
        <v>0</v>
      </c>
    </row>
    <row r="704" spans="1:23">
      <c r="A704" s="543"/>
      <c r="B704" s="534"/>
      <c r="C704" s="534" t="s">
        <v>12</v>
      </c>
      <c r="D704" s="534"/>
      <c r="E704" s="531"/>
      <c r="F704" s="301"/>
      <c r="G704" s="301"/>
      <c r="H704" s="301"/>
      <c r="I704" s="301"/>
      <c r="J704" s="325"/>
      <c r="K704" s="325"/>
      <c r="L704" s="301"/>
      <c r="M704" s="301"/>
      <c r="N704" s="301"/>
      <c r="O704" s="301"/>
      <c r="P704" s="301"/>
      <c r="Q704" s="325"/>
      <c r="R704" s="325"/>
      <c r="S704" s="325"/>
      <c r="T704" s="532">
        <f>SUM(F704:S704)</f>
        <v>0</v>
      </c>
      <c r="U704" s="301"/>
      <c r="V704" s="532">
        <f>SUM(T704:T704)</f>
        <v>0</v>
      </c>
      <c r="W704" s="532">
        <f>+V704-'ROR-Model'!G705</f>
        <v>0</v>
      </c>
    </row>
    <row r="705" spans="1:23">
      <c r="A705" s="543"/>
      <c r="B705" s="534"/>
      <c r="C705" s="534" t="s">
        <v>23</v>
      </c>
      <c r="D705" s="534"/>
      <c r="E705" s="531"/>
      <c r="F705" s="301"/>
      <c r="G705" s="301"/>
      <c r="H705" s="301"/>
      <c r="I705" s="301"/>
      <c r="J705" s="325"/>
      <c r="K705" s="325"/>
      <c r="L705" s="301"/>
      <c r="M705" s="301"/>
      <c r="N705" s="301"/>
      <c r="O705" s="301"/>
      <c r="P705" s="301"/>
      <c r="Q705" s="325"/>
      <c r="R705" s="325"/>
      <c r="S705" s="325"/>
      <c r="T705" s="532">
        <f>SUM(F705:S705)</f>
        <v>0</v>
      </c>
      <c r="U705" s="301"/>
      <c r="V705" s="532">
        <f>SUM(T705:T705)</f>
        <v>0</v>
      </c>
      <c r="W705" s="532">
        <f>+V705-'ROR-Model'!G706</f>
        <v>0</v>
      </c>
    </row>
    <row r="706" spans="1:23">
      <c r="A706" s="543"/>
      <c r="B706" s="534"/>
      <c r="C706" s="534" t="s">
        <v>145</v>
      </c>
      <c r="D706" s="534"/>
      <c r="E706" s="531"/>
      <c r="F706" s="323">
        <f>SUM(F704:F705)</f>
        <v>0</v>
      </c>
      <c r="G706" s="323">
        <f>G1*SUM(G704:G705)</f>
        <v>0</v>
      </c>
      <c r="H706" s="323">
        <f>SUM(H704:H705)</f>
        <v>0</v>
      </c>
      <c r="I706" s="323">
        <f t="shared" ref="I706:P706" si="150">SUM(I704:I705)</f>
        <v>0</v>
      </c>
      <c r="J706" s="476">
        <f>J1*SUM(J704:J705)</f>
        <v>0</v>
      </c>
      <c r="K706" s="476">
        <f>K1*SUM(K704:K705)</f>
        <v>0</v>
      </c>
      <c r="L706" s="323">
        <f t="shared" si="150"/>
        <v>0</v>
      </c>
      <c r="M706" s="323">
        <f t="shared" si="150"/>
        <v>0</v>
      </c>
      <c r="N706" s="323">
        <f t="shared" si="150"/>
        <v>0</v>
      </c>
      <c r="O706" s="323">
        <f t="shared" si="150"/>
        <v>0</v>
      </c>
      <c r="P706" s="323">
        <f t="shared" si="150"/>
        <v>0</v>
      </c>
      <c r="Q706" s="476">
        <f>SUM(Q704:Q705)</f>
        <v>0</v>
      </c>
      <c r="R706" s="476">
        <f>R1*SUM(R704:R705)</f>
        <v>0</v>
      </c>
      <c r="S706" s="476">
        <f>S1*SUM(S704:S705)</f>
        <v>0</v>
      </c>
      <c r="T706" s="536">
        <f>SUM(T704:T705)</f>
        <v>0</v>
      </c>
      <c r="U706" s="323"/>
      <c r="V706" s="536">
        <f>SUM(V704:V705)</f>
        <v>0</v>
      </c>
      <c r="W706" s="536">
        <f>+V706-'ROR-Model'!G707</f>
        <v>0</v>
      </c>
    </row>
    <row r="707" spans="1:23">
      <c r="A707" s="543"/>
      <c r="B707" s="534"/>
      <c r="C707" s="534"/>
      <c r="D707" s="534"/>
      <c r="E707" s="531"/>
      <c r="F707" s="301"/>
      <c r="G707" s="301"/>
      <c r="H707" s="301"/>
      <c r="I707" s="301"/>
      <c r="J707" s="325"/>
      <c r="K707" s="325"/>
      <c r="L707" s="301"/>
      <c r="M707" s="301"/>
      <c r="N707" s="301"/>
      <c r="O707" s="301"/>
      <c r="P707" s="301"/>
      <c r="Q707" s="325"/>
      <c r="R707" s="325"/>
      <c r="S707" s="325"/>
      <c r="T707" s="532"/>
      <c r="U707" s="301"/>
      <c r="V707" s="532"/>
      <c r="W707" s="532">
        <f>+V707-'ROR-Model'!G708</f>
        <v>0</v>
      </c>
    </row>
    <row r="708" spans="1:23">
      <c r="A708" s="543">
        <v>886</v>
      </c>
      <c r="B708" s="534" t="s">
        <v>348</v>
      </c>
      <c r="C708" s="534"/>
      <c r="D708" s="534"/>
      <c r="E708" s="531"/>
      <c r="F708" s="301"/>
      <c r="G708" s="301"/>
      <c r="H708" s="301"/>
      <c r="I708" s="301"/>
      <c r="J708" s="325"/>
      <c r="K708" s="325"/>
      <c r="L708" s="301"/>
      <c r="M708" s="301"/>
      <c r="N708" s="301"/>
      <c r="O708" s="301"/>
      <c r="P708" s="301"/>
      <c r="Q708" s="325"/>
      <c r="R708" s="325"/>
      <c r="S708" s="325"/>
      <c r="T708" s="532"/>
      <c r="U708" s="301"/>
      <c r="V708" s="532"/>
      <c r="W708" s="532">
        <f>+V708-'ROR-Model'!G709</f>
        <v>0</v>
      </c>
    </row>
    <row r="709" spans="1:23">
      <c r="A709" s="543"/>
      <c r="B709" s="534"/>
      <c r="C709" s="534" t="s">
        <v>12</v>
      </c>
      <c r="D709" s="534"/>
      <c r="E709" s="531"/>
      <c r="F709" s="301"/>
      <c r="G709" s="301"/>
      <c r="H709" s="301"/>
      <c r="I709" s="301"/>
      <c r="J709" s="325"/>
      <c r="K709" s="325"/>
      <c r="L709" s="301"/>
      <c r="M709" s="301"/>
      <c r="N709" s="301"/>
      <c r="O709" s="301"/>
      <c r="P709" s="301"/>
      <c r="Q709" s="325"/>
      <c r="R709" s="325"/>
      <c r="S709" s="325"/>
      <c r="T709" s="532">
        <f>SUM(F709:S709)</f>
        <v>0</v>
      </c>
      <c r="U709" s="301"/>
      <c r="V709" s="532">
        <f>SUM(T709:T709)</f>
        <v>0</v>
      </c>
      <c r="W709" s="532">
        <f>+V709-'ROR-Model'!G710</f>
        <v>0</v>
      </c>
    </row>
    <row r="710" spans="1:23">
      <c r="A710" s="543"/>
      <c r="B710" s="534"/>
      <c r="C710" s="534" t="s">
        <v>23</v>
      </c>
      <c r="D710" s="534"/>
      <c r="E710" s="531"/>
      <c r="F710" s="301"/>
      <c r="G710" s="301"/>
      <c r="H710" s="301"/>
      <c r="I710" s="301"/>
      <c r="J710" s="325"/>
      <c r="K710" s="325"/>
      <c r="L710" s="301"/>
      <c r="M710" s="301"/>
      <c r="N710" s="301"/>
      <c r="O710" s="301"/>
      <c r="P710" s="301"/>
      <c r="Q710" s="325"/>
      <c r="R710" s="325"/>
      <c r="S710" s="325"/>
      <c r="T710" s="532">
        <f>SUM(F710:S710)</f>
        <v>0</v>
      </c>
      <c r="U710" s="301"/>
      <c r="V710" s="532">
        <f>SUM(T710:T710)</f>
        <v>0</v>
      </c>
      <c r="W710" s="532">
        <f>+V710-'ROR-Model'!G711</f>
        <v>0</v>
      </c>
    </row>
    <row r="711" spans="1:23">
      <c r="A711" s="543"/>
      <c r="B711" s="534"/>
      <c r="C711" s="534" t="s">
        <v>145</v>
      </c>
      <c r="D711" s="534"/>
      <c r="E711" s="531"/>
      <c r="F711" s="323">
        <f>SUM(F709:F710)</f>
        <v>0</v>
      </c>
      <c r="G711" s="323">
        <f>G1*SUM(G709:G710)</f>
        <v>0</v>
      </c>
      <c r="H711" s="323">
        <f>SUM(H709:H710)</f>
        <v>0</v>
      </c>
      <c r="I711" s="323">
        <f t="shared" ref="I711:P711" si="151">SUM(I709:I710)</f>
        <v>0</v>
      </c>
      <c r="J711" s="476">
        <f>J1*SUM(J709:J710)</f>
        <v>0</v>
      </c>
      <c r="K711" s="476">
        <f>K1*SUM(K709:K710)</f>
        <v>0</v>
      </c>
      <c r="L711" s="323">
        <f t="shared" si="151"/>
        <v>0</v>
      </c>
      <c r="M711" s="323">
        <f t="shared" si="151"/>
        <v>0</v>
      </c>
      <c r="N711" s="323">
        <f t="shared" si="151"/>
        <v>0</v>
      </c>
      <c r="O711" s="323">
        <f t="shared" si="151"/>
        <v>0</v>
      </c>
      <c r="P711" s="323">
        <f t="shared" si="151"/>
        <v>0</v>
      </c>
      <c r="Q711" s="476">
        <f>SUM(Q709:Q710)</f>
        <v>0</v>
      </c>
      <c r="R711" s="476">
        <f>R1*SUM(R709:R710)</f>
        <v>0</v>
      </c>
      <c r="S711" s="476">
        <f>S1*SUM(S709:S710)</f>
        <v>0</v>
      </c>
      <c r="T711" s="536">
        <f>SUM(T709:T710)</f>
        <v>0</v>
      </c>
      <c r="U711" s="323"/>
      <c r="V711" s="536">
        <f>SUM(V709:V710)</f>
        <v>0</v>
      </c>
      <c r="W711" s="536">
        <f>+V711-'ROR-Model'!G712</f>
        <v>0</v>
      </c>
    </row>
    <row r="712" spans="1:23">
      <c r="A712" s="543"/>
      <c r="B712" s="534"/>
      <c r="C712" s="534"/>
      <c r="D712" s="534"/>
      <c r="E712" s="531"/>
      <c r="F712" s="301"/>
      <c r="G712" s="301"/>
      <c r="H712" s="301"/>
      <c r="I712" s="301"/>
      <c r="J712" s="325"/>
      <c r="K712" s="325"/>
      <c r="L712" s="301"/>
      <c r="M712" s="301"/>
      <c r="N712" s="301"/>
      <c r="O712" s="301"/>
      <c r="P712" s="301"/>
      <c r="Q712" s="325"/>
      <c r="R712" s="325"/>
      <c r="S712" s="325"/>
      <c r="T712" s="532"/>
      <c r="U712" s="301"/>
      <c r="V712" s="532"/>
      <c r="W712" s="532">
        <f>+V712-'ROR-Model'!G713</f>
        <v>0</v>
      </c>
    </row>
    <row r="713" spans="1:23">
      <c r="A713" s="543">
        <v>887</v>
      </c>
      <c r="B713" s="534" t="s">
        <v>349</v>
      </c>
      <c r="C713" s="534"/>
      <c r="D713" s="534"/>
      <c r="E713" s="531"/>
      <c r="F713" s="301"/>
      <c r="G713" s="301"/>
      <c r="H713" s="301"/>
      <c r="I713" s="301"/>
      <c r="J713" s="325"/>
      <c r="K713" s="325"/>
      <c r="L713" s="301"/>
      <c r="M713" s="301"/>
      <c r="N713" s="301"/>
      <c r="O713" s="301"/>
      <c r="P713" s="301"/>
      <c r="Q713" s="325"/>
      <c r="R713" s="325"/>
      <c r="S713" s="325"/>
      <c r="T713" s="532"/>
      <c r="U713" s="301"/>
      <c r="V713" s="532"/>
      <c r="W713" s="532">
        <f>+V713-'ROR-Model'!G714</f>
        <v>0</v>
      </c>
    </row>
    <row r="714" spans="1:23">
      <c r="A714" s="543"/>
      <c r="B714" s="534"/>
      <c r="C714" s="534" t="s">
        <v>12</v>
      </c>
      <c r="D714" s="534"/>
      <c r="E714" s="531"/>
      <c r="F714" s="301"/>
      <c r="G714" s="301"/>
      <c r="H714" s="301"/>
      <c r="I714" s="301"/>
      <c r="J714" s="325"/>
      <c r="K714" s="325"/>
      <c r="L714" s="301"/>
      <c r="M714" s="301"/>
      <c r="N714" s="301"/>
      <c r="O714" s="301"/>
      <c r="P714" s="301"/>
      <c r="Q714" s="325"/>
      <c r="R714" s="325"/>
      <c r="S714" s="325"/>
      <c r="T714" s="532">
        <f>SUM(F714:S714)</f>
        <v>0</v>
      </c>
      <c r="U714" s="301"/>
      <c r="V714" s="532">
        <f>SUM(T714:T714)</f>
        <v>0</v>
      </c>
      <c r="W714" s="532">
        <f>+V714-'ROR-Model'!G715</f>
        <v>0</v>
      </c>
    </row>
    <row r="715" spans="1:23">
      <c r="A715" s="543"/>
      <c r="B715" s="534"/>
      <c r="C715" s="534" t="s">
        <v>23</v>
      </c>
      <c r="D715" s="534"/>
      <c r="E715" s="531"/>
      <c r="F715" s="301"/>
      <c r="G715" s="301"/>
      <c r="H715" s="301"/>
      <c r="I715" s="301"/>
      <c r="J715" s="325"/>
      <c r="K715" s="325"/>
      <c r="L715" s="301"/>
      <c r="M715" s="301"/>
      <c r="N715" s="301"/>
      <c r="O715" s="301"/>
      <c r="P715" s="301"/>
      <c r="Q715" s="325"/>
      <c r="R715" s="325"/>
      <c r="S715" s="325"/>
      <c r="T715" s="532">
        <f>SUM(F715:S715)</f>
        <v>0</v>
      </c>
      <c r="U715" s="301"/>
      <c r="V715" s="532">
        <f>SUM(T715:T715)</f>
        <v>0</v>
      </c>
      <c r="W715" s="532">
        <f>+V715-'ROR-Model'!G716</f>
        <v>0</v>
      </c>
    </row>
    <row r="716" spans="1:23">
      <c r="A716" s="543"/>
      <c r="B716" s="534"/>
      <c r="C716" s="534" t="s">
        <v>145</v>
      </c>
      <c r="D716" s="534"/>
      <c r="E716" s="531"/>
      <c r="F716" s="323">
        <f>SUM(F714:F715)</f>
        <v>0</v>
      </c>
      <c r="G716" s="323">
        <f>G1*SUM(G714:G715)</f>
        <v>0</v>
      </c>
      <c r="H716" s="323">
        <f>SUM(H714:H715)</f>
        <v>0</v>
      </c>
      <c r="I716" s="323">
        <f t="shared" ref="I716:P716" si="152">SUM(I714:I715)</f>
        <v>0</v>
      </c>
      <c r="J716" s="476">
        <f>J1*SUM(J714:J715)</f>
        <v>0</v>
      </c>
      <c r="K716" s="476">
        <f>K1*SUM(K714:K715)</f>
        <v>0</v>
      </c>
      <c r="L716" s="323">
        <f t="shared" si="152"/>
        <v>0</v>
      </c>
      <c r="M716" s="323">
        <f t="shared" si="152"/>
        <v>0</v>
      </c>
      <c r="N716" s="323">
        <f t="shared" si="152"/>
        <v>0</v>
      </c>
      <c r="O716" s="323">
        <f t="shared" si="152"/>
        <v>0</v>
      </c>
      <c r="P716" s="323">
        <f t="shared" si="152"/>
        <v>0</v>
      </c>
      <c r="Q716" s="476">
        <f>SUM(Q714:Q715)</f>
        <v>0</v>
      </c>
      <c r="R716" s="476">
        <f>R1*SUM(R714:R715)</f>
        <v>0</v>
      </c>
      <c r="S716" s="476">
        <f>S1*SUM(S714:S715)</f>
        <v>0</v>
      </c>
      <c r="T716" s="536">
        <f>SUM(T714:T715)</f>
        <v>0</v>
      </c>
      <c r="U716" s="323"/>
      <c r="V716" s="536">
        <f>SUM(V714:V715)</f>
        <v>0</v>
      </c>
      <c r="W716" s="536">
        <f>+V716-'ROR-Model'!G717</f>
        <v>0</v>
      </c>
    </row>
    <row r="717" spans="1:23">
      <c r="A717" s="543"/>
      <c r="B717" s="534"/>
      <c r="C717" s="534"/>
      <c r="D717" s="534"/>
      <c r="E717" s="531"/>
      <c r="F717" s="301"/>
      <c r="G717" s="301"/>
      <c r="H717" s="301"/>
      <c r="I717" s="301"/>
      <c r="J717" s="325"/>
      <c r="K717" s="325"/>
      <c r="L717" s="301"/>
      <c r="M717" s="301"/>
      <c r="N717" s="301"/>
      <c r="O717" s="301"/>
      <c r="P717" s="301"/>
      <c r="Q717" s="325"/>
      <c r="R717" s="325"/>
      <c r="S717" s="325"/>
      <c r="T717" s="532"/>
      <c r="U717" s="301"/>
      <c r="V717" s="532"/>
      <c r="W717" s="532">
        <f>+V717-'ROR-Model'!G718</f>
        <v>0</v>
      </c>
    </row>
    <row r="718" spans="1:23">
      <c r="A718" s="543">
        <v>888</v>
      </c>
      <c r="B718" s="534" t="s">
        <v>350</v>
      </c>
      <c r="C718" s="534"/>
      <c r="D718" s="534"/>
      <c r="E718" s="531"/>
      <c r="F718" s="301"/>
      <c r="G718" s="301"/>
      <c r="H718" s="301"/>
      <c r="I718" s="301"/>
      <c r="J718" s="325"/>
      <c r="K718" s="325"/>
      <c r="L718" s="301"/>
      <c r="M718" s="301"/>
      <c r="N718" s="301"/>
      <c r="O718" s="301"/>
      <c r="P718" s="301"/>
      <c r="Q718" s="325"/>
      <c r="R718" s="325"/>
      <c r="S718" s="325"/>
      <c r="T718" s="532"/>
      <c r="U718" s="301"/>
      <c r="V718" s="532"/>
      <c r="W718" s="532">
        <f>+V718-'ROR-Model'!G719</f>
        <v>0</v>
      </c>
    </row>
    <row r="719" spans="1:23">
      <c r="A719" s="543"/>
      <c r="B719" s="534"/>
      <c r="C719" s="534" t="s">
        <v>12</v>
      </c>
      <c r="D719" s="534"/>
      <c r="E719" s="531"/>
      <c r="F719" s="301"/>
      <c r="G719" s="301"/>
      <c r="H719" s="301"/>
      <c r="I719" s="301"/>
      <c r="J719" s="325"/>
      <c r="K719" s="325"/>
      <c r="L719" s="301"/>
      <c r="M719" s="301"/>
      <c r="N719" s="301"/>
      <c r="O719" s="301"/>
      <c r="P719" s="301"/>
      <c r="Q719" s="325"/>
      <c r="R719" s="325"/>
      <c r="S719" s="325"/>
      <c r="T719" s="532">
        <f>SUM(F719:S719)</f>
        <v>0</v>
      </c>
      <c r="U719" s="301"/>
      <c r="V719" s="532">
        <f>SUM(T719:T719)</f>
        <v>0</v>
      </c>
      <c r="W719" s="532">
        <f>+V719-'ROR-Model'!G720</f>
        <v>0</v>
      </c>
    </row>
    <row r="720" spans="1:23">
      <c r="A720" s="543"/>
      <c r="B720" s="534"/>
      <c r="C720" s="534" t="s">
        <v>23</v>
      </c>
      <c r="D720" s="534"/>
      <c r="E720" s="531"/>
      <c r="F720" s="301"/>
      <c r="G720" s="301"/>
      <c r="H720" s="301"/>
      <c r="I720" s="301"/>
      <c r="J720" s="325"/>
      <c r="K720" s="325"/>
      <c r="L720" s="301"/>
      <c r="M720" s="301"/>
      <c r="N720" s="301"/>
      <c r="O720" s="301"/>
      <c r="P720" s="301"/>
      <c r="Q720" s="325"/>
      <c r="R720" s="325"/>
      <c r="S720" s="325"/>
      <c r="T720" s="532">
        <f>SUM(F720:S720)</f>
        <v>0</v>
      </c>
      <c r="U720" s="301"/>
      <c r="V720" s="532">
        <f>SUM(T720:T720)</f>
        <v>0</v>
      </c>
      <c r="W720" s="532">
        <f>+V720-'ROR-Model'!G721</f>
        <v>0</v>
      </c>
    </row>
    <row r="721" spans="1:23">
      <c r="A721" s="543"/>
      <c r="B721" s="534"/>
      <c r="C721" s="534" t="s">
        <v>145</v>
      </c>
      <c r="D721" s="534"/>
      <c r="E721" s="531"/>
      <c r="F721" s="323">
        <f>SUM(F719:F720)</f>
        <v>0</v>
      </c>
      <c r="G721" s="323">
        <f>G1*SUM(G719:G720)</f>
        <v>0</v>
      </c>
      <c r="H721" s="323">
        <f>SUM(H719:H720)</f>
        <v>0</v>
      </c>
      <c r="I721" s="323">
        <f t="shared" ref="I721:P721" si="153">SUM(I719:I720)</f>
        <v>0</v>
      </c>
      <c r="J721" s="476">
        <f>J1*SUM(J719:J720)</f>
        <v>0</v>
      </c>
      <c r="K721" s="476">
        <f>K1*SUM(K719:K720)</f>
        <v>0</v>
      </c>
      <c r="L721" s="323">
        <f t="shared" si="153"/>
        <v>0</v>
      </c>
      <c r="M721" s="323">
        <f t="shared" si="153"/>
        <v>0</v>
      </c>
      <c r="N721" s="323">
        <f t="shared" si="153"/>
        <v>0</v>
      </c>
      <c r="O721" s="323">
        <f t="shared" si="153"/>
        <v>0</v>
      </c>
      <c r="P721" s="323">
        <f t="shared" si="153"/>
        <v>0</v>
      </c>
      <c r="Q721" s="476">
        <f>SUM(Q719:Q720)</f>
        <v>0</v>
      </c>
      <c r="R721" s="476">
        <f>R1*SUM(R719:R720)</f>
        <v>0</v>
      </c>
      <c r="S721" s="476">
        <f>S1*SUM(S719:S720)</f>
        <v>0</v>
      </c>
      <c r="T721" s="536">
        <f>SUM(T719:T720)</f>
        <v>0</v>
      </c>
      <c r="U721" s="323"/>
      <c r="V721" s="536">
        <f>SUM(V719:V720)</f>
        <v>0</v>
      </c>
      <c r="W721" s="536">
        <f>+V721-'ROR-Model'!G722</f>
        <v>0</v>
      </c>
    </row>
    <row r="722" spans="1:23">
      <c r="A722" s="543"/>
      <c r="B722" s="534"/>
      <c r="C722" s="534"/>
      <c r="D722" s="534"/>
      <c r="E722" s="531"/>
      <c r="F722" s="301"/>
      <c r="G722" s="301"/>
      <c r="H722" s="301"/>
      <c r="I722" s="301"/>
      <c r="J722" s="325"/>
      <c r="K722" s="325"/>
      <c r="L722" s="301"/>
      <c r="M722" s="301"/>
      <c r="N722" s="301"/>
      <c r="O722" s="301"/>
      <c r="P722" s="301"/>
      <c r="Q722" s="325"/>
      <c r="R722" s="325"/>
      <c r="S722" s="325"/>
      <c r="T722" s="532"/>
      <c r="U722" s="301"/>
      <c r="V722" s="532"/>
      <c r="W722" s="532">
        <f>+V722-'ROR-Model'!G723</f>
        <v>0</v>
      </c>
    </row>
    <row r="723" spans="1:23">
      <c r="A723" s="543">
        <v>889</v>
      </c>
      <c r="B723" s="534" t="s">
        <v>351</v>
      </c>
      <c r="C723" s="534"/>
      <c r="D723" s="534"/>
      <c r="E723" s="531"/>
      <c r="F723" s="301"/>
      <c r="G723" s="301"/>
      <c r="H723" s="301"/>
      <c r="I723" s="301"/>
      <c r="J723" s="325"/>
      <c r="K723" s="325"/>
      <c r="L723" s="301"/>
      <c r="M723" s="301"/>
      <c r="N723" s="301"/>
      <c r="O723" s="301"/>
      <c r="P723" s="301"/>
      <c r="Q723" s="325"/>
      <c r="R723" s="325"/>
      <c r="S723" s="325"/>
      <c r="T723" s="532"/>
      <c r="U723" s="301"/>
      <c r="V723" s="532"/>
      <c r="W723" s="532">
        <f>+V723-'ROR-Model'!G724</f>
        <v>0</v>
      </c>
    </row>
    <row r="724" spans="1:23">
      <c r="A724" s="543"/>
      <c r="B724" s="534"/>
      <c r="C724" s="534" t="s">
        <v>12</v>
      </c>
      <c r="D724" s="534"/>
      <c r="E724" s="531"/>
      <c r="F724" s="301"/>
      <c r="G724" s="301"/>
      <c r="H724" s="301"/>
      <c r="I724" s="301"/>
      <c r="J724" s="325"/>
      <c r="K724" s="325"/>
      <c r="L724" s="301"/>
      <c r="M724" s="301"/>
      <c r="N724" s="301"/>
      <c r="O724" s="301"/>
      <c r="P724" s="301"/>
      <c r="Q724" s="325"/>
      <c r="R724" s="325"/>
      <c r="S724" s="325"/>
      <c r="T724" s="532">
        <f>SUM(F724:S724)</f>
        <v>0</v>
      </c>
      <c r="U724" s="301"/>
      <c r="V724" s="532">
        <f>SUM(T724:T724)</f>
        <v>0</v>
      </c>
      <c r="W724" s="532">
        <f>+V724-'ROR-Model'!G725</f>
        <v>0</v>
      </c>
    </row>
    <row r="725" spans="1:23">
      <c r="A725" s="543"/>
      <c r="B725" s="534"/>
      <c r="C725" s="534" t="s">
        <v>23</v>
      </c>
      <c r="D725" s="534"/>
      <c r="E725" s="531"/>
      <c r="F725" s="301"/>
      <c r="G725" s="301"/>
      <c r="H725" s="301"/>
      <c r="I725" s="301"/>
      <c r="J725" s="325"/>
      <c r="K725" s="325"/>
      <c r="L725" s="301"/>
      <c r="M725" s="301"/>
      <c r="N725" s="301"/>
      <c r="O725" s="301"/>
      <c r="P725" s="301"/>
      <c r="Q725" s="325"/>
      <c r="R725" s="325"/>
      <c r="S725" s="325"/>
      <c r="T725" s="532">
        <f>SUM(F725:S725)</f>
        <v>0</v>
      </c>
      <c r="U725" s="301"/>
      <c r="V725" s="532">
        <f>SUM(T725:T725)</f>
        <v>0</v>
      </c>
      <c r="W725" s="532">
        <f>+V725-'ROR-Model'!G726</f>
        <v>0</v>
      </c>
    </row>
    <row r="726" spans="1:23">
      <c r="A726" s="543"/>
      <c r="B726" s="534"/>
      <c r="C726" s="534" t="s">
        <v>145</v>
      </c>
      <c r="D726" s="534"/>
      <c r="E726" s="531"/>
      <c r="F726" s="323">
        <f>SUM(F724:F725)</f>
        <v>0</v>
      </c>
      <c r="G726" s="323">
        <f>G1*SUM(G724:G725)</f>
        <v>0</v>
      </c>
      <c r="H726" s="323">
        <f>SUM(H724:H725)</f>
        <v>0</v>
      </c>
      <c r="I726" s="323">
        <f t="shared" ref="I726:P726" si="154">SUM(I724:I725)</f>
        <v>0</v>
      </c>
      <c r="J726" s="476">
        <f>J1*SUM(J724:J725)</f>
        <v>0</v>
      </c>
      <c r="K726" s="476">
        <f>K1*SUM(K724:K725)</f>
        <v>0</v>
      </c>
      <c r="L726" s="323">
        <f t="shared" si="154"/>
        <v>0</v>
      </c>
      <c r="M726" s="323">
        <f t="shared" si="154"/>
        <v>0</v>
      </c>
      <c r="N726" s="323">
        <f t="shared" si="154"/>
        <v>0</v>
      </c>
      <c r="O726" s="323">
        <f t="shared" si="154"/>
        <v>0</v>
      </c>
      <c r="P726" s="323">
        <f t="shared" si="154"/>
        <v>0</v>
      </c>
      <c r="Q726" s="476">
        <f>SUM(Q724:Q725)</f>
        <v>0</v>
      </c>
      <c r="R726" s="476">
        <f>R1*SUM(R724:R725)</f>
        <v>0</v>
      </c>
      <c r="S726" s="476">
        <f>S1*SUM(S724:S725)</f>
        <v>0</v>
      </c>
      <c r="T726" s="536">
        <f>SUM(T724:T725)</f>
        <v>0</v>
      </c>
      <c r="U726" s="323"/>
      <c r="V726" s="536">
        <f>SUM(V724:V725)</f>
        <v>0</v>
      </c>
      <c r="W726" s="536">
        <f>+V726-'ROR-Model'!G727</f>
        <v>0</v>
      </c>
    </row>
    <row r="727" spans="1:23">
      <c r="A727" s="543"/>
      <c r="B727" s="534"/>
      <c r="C727" s="534"/>
      <c r="D727" s="534"/>
      <c r="E727" s="531"/>
      <c r="F727" s="301"/>
      <c r="G727" s="301"/>
      <c r="H727" s="301"/>
      <c r="I727" s="301"/>
      <c r="J727" s="325"/>
      <c r="K727" s="325"/>
      <c r="L727" s="301"/>
      <c r="M727" s="301"/>
      <c r="N727" s="301"/>
      <c r="O727" s="301"/>
      <c r="P727" s="301"/>
      <c r="Q727" s="325"/>
      <c r="R727" s="325"/>
      <c r="S727" s="325"/>
      <c r="T727" s="532"/>
      <c r="U727" s="301"/>
      <c r="V727" s="532"/>
      <c r="W727" s="532">
        <f>+V727-'ROR-Model'!G728</f>
        <v>0</v>
      </c>
    </row>
    <row r="728" spans="1:23">
      <c r="A728" s="543">
        <v>892</v>
      </c>
      <c r="B728" s="534" t="s">
        <v>352</v>
      </c>
      <c r="C728" s="534"/>
      <c r="D728" s="534"/>
      <c r="E728" s="531"/>
      <c r="F728" s="301"/>
      <c r="G728" s="301"/>
      <c r="H728" s="301"/>
      <c r="I728" s="301"/>
      <c r="J728" s="325"/>
      <c r="K728" s="325"/>
      <c r="L728" s="301"/>
      <c r="M728" s="301"/>
      <c r="N728" s="301"/>
      <c r="O728" s="301"/>
      <c r="P728" s="301"/>
      <c r="Q728" s="325"/>
      <c r="R728" s="325"/>
      <c r="S728" s="325"/>
      <c r="T728" s="532"/>
      <c r="U728" s="301"/>
      <c r="V728" s="532"/>
      <c r="W728" s="532">
        <f>+V728-'ROR-Model'!G729</f>
        <v>0</v>
      </c>
    </row>
    <row r="729" spans="1:23">
      <c r="A729" s="543"/>
      <c r="B729" s="534"/>
      <c r="C729" s="534" t="s">
        <v>12</v>
      </c>
      <c r="D729" s="534"/>
      <c r="E729" s="531"/>
      <c r="F729" s="301"/>
      <c r="G729" s="301"/>
      <c r="H729" s="301"/>
      <c r="I729" s="301"/>
      <c r="J729" s="325"/>
      <c r="K729" s="325"/>
      <c r="L729" s="301"/>
      <c r="M729" s="301"/>
      <c r="N729" s="301"/>
      <c r="O729" s="301"/>
      <c r="P729" s="301"/>
      <c r="Q729" s="325"/>
      <c r="R729" s="325"/>
      <c r="S729" s="325"/>
      <c r="T729" s="532">
        <f>SUM(F729:S729)</f>
        <v>0</v>
      </c>
      <c r="U729" s="301"/>
      <c r="V729" s="532">
        <f>SUM(T729:T729)</f>
        <v>0</v>
      </c>
      <c r="W729" s="532">
        <f>+V729-'ROR-Model'!G730</f>
        <v>0</v>
      </c>
    </row>
    <row r="730" spans="1:23">
      <c r="A730" s="543"/>
      <c r="B730" s="534"/>
      <c r="C730" s="534" t="s">
        <v>23</v>
      </c>
      <c r="D730" s="534"/>
      <c r="E730" s="531"/>
      <c r="F730" s="301"/>
      <c r="G730" s="301"/>
      <c r="H730" s="301"/>
      <c r="I730" s="301"/>
      <c r="J730" s="325"/>
      <c r="K730" s="325"/>
      <c r="L730" s="301"/>
      <c r="M730" s="301"/>
      <c r="N730" s="301"/>
      <c r="O730" s="301"/>
      <c r="P730" s="301"/>
      <c r="Q730" s="325"/>
      <c r="R730" s="325"/>
      <c r="S730" s="325"/>
      <c r="T730" s="532">
        <f>SUM(F730:S730)</f>
        <v>0</v>
      </c>
      <c r="U730" s="301"/>
      <c r="V730" s="532">
        <f>SUM(T730:T730)</f>
        <v>0</v>
      </c>
      <c r="W730" s="532">
        <f>+V730-'ROR-Model'!G731</f>
        <v>0</v>
      </c>
    </row>
    <row r="731" spans="1:23">
      <c r="A731" s="543"/>
      <c r="B731" s="534"/>
      <c r="C731" s="534" t="s">
        <v>145</v>
      </c>
      <c r="D731" s="534"/>
      <c r="E731" s="531"/>
      <c r="F731" s="323">
        <f>SUM(F729:F730)</f>
        <v>0</v>
      </c>
      <c r="G731" s="323">
        <f>G1*SUM(G729:G730)</f>
        <v>0</v>
      </c>
      <c r="H731" s="323">
        <f>SUM(H729:H730)</f>
        <v>0</v>
      </c>
      <c r="I731" s="323">
        <f t="shared" ref="I731:P731" si="155">SUM(I729:I730)</f>
        <v>0</v>
      </c>
      <c r="J731" s="476">
        <f>J1*SUM(J729:J730)</f>
        <v>0</v>
      </c>
      <c r="K731" s="476">
        <f>K1*SUM(K729:K730)</f>
        <v>0</v>
      </c>
      <c r="L731" s="323">
        <f t="shared" si="155"/>
        <v>0</v>
      </c>
      <c r="M731" s="323">
        <f t="shared" si="155"/>
        <v>0</v>
      </c>
      <c r="N731" s="323">
        <f t="shared" si="155"/>
        <v>0</v>
      </c>
      <c r="O731" s="323">
        <f t="shared" si="155"/>
        <v>0</v>
      </c>
      <c r="P731" s="323">
        <f t="shared" si="155"/>
        <v>0</v>
      </c>
      <c r="Q731" s="476">
        <f>SUM(Q729:Q730)</f>
        <v>0</v>
      </c>
      <c r="R731" s="476">
        <f>R1*SUM(R729:R730)</f>
        <v>0</v>
      </c>
      <c r="S731" s="476">
        <f>S1*SUM(S729:S730)</f>
        <v>0</v>
      </c>
      <c r="T731" s="536">
        <f>SUM(T729:T730)</f>
        <v>0</v>
      </c>
      <c r="U731" s="323"/>
      <c r="V731" s="536">
        <f>SUM(V729:V730)</f>
        <v>0</v>
      </c>
      <c r="W731" s="536">
        <f>+V731-'ROR-Model'!G732</f>
        <v>0</v>
      </c>
    </row>
    <row r="732" spans="1:23">
      <c r="A732" s="543"/>
      <c r="B732" s="534"/>
      <c r="C732" s="534"/>
      <c r="D732" s="534"/>
      <c r="E732" s="531"/>
      <c r="F732" s="301"/>
      <c r="G732" s="301"/>
      <c r="H732" s="301"/>
      <c r="I732" s="301"/>
      <c r="J732" s="325"/>
      <c r="K732" s="325"/>
      <c r="L732" s="301"/>
      <c r="M732" s="301"/>
      <c r="N732" s="301"/>
      <c r="O732" s="301"/>
      <c r="P732" s="301"/>
      <c r="Q732" s="325"/>
      <c r="R732" s="325"/>
      <c r="S732" s="325"/>
      <c r="T732" s="532"/>
      <c r="U732" s="301"/>
      <c r="V732" s="532"/>
      <c r="W732" s="532">
        <f>+V732-'ROR-Model'!G733</f>
        <v>0</v>
      </c>
    </row>
    <row r="733" spans="1:23">
      <c r="A733" s="543">
        <v>893</v>
      </c>
      <c r="B733" s="534" t="s">
        <v>353</v>
      </c>
      <c r="C733" s="534"/>
      <c r="D733" s="534"/>
      <c r="E733" s="531"/>
      <c r="F733" s="301"/>
      <c r="G733" s="301"/>
      <c r="H733" s="301"/>
      <c r="I733" s="301"/>
      <c r="J733" s="325"/>
      <c r="K733" s="325"/>
      <c r="L733" s="301"/>
      <c r="M733" s="301"/>
      <c r="N733" s="301"/>
      <c r="O733" s="301"/>
      <c r="P733" s="301"/>
      <c r="Q733" s="325"/>
      <c r="R733" s="325"/>
      <c r="S733" s="325"/>
      <c r="T733" s="532"/>
      <c r="U733" s="301"/>
      <c r="V733" s="532"/>
      <c r="W733" s="532">
        <f>+V733-'ROR-Model'!G734</f>
        <v>0</v>
      </c>
    </row>
    <row r="734" spans="1:23">
      <c r="A734" s="543"/>
      <c r="B734" s="534"/>
      <c r="C734" s="534" t="s">
        <v>12</v>
      </c>
      <c r="D734" s="534"/>
      <c r="E734" s="531"/>
      <c r="F734" s="301"/>
      <c r="G734" s="301"/>
      <c r="H734" s="301"/>
      <c r="I734" s="301"/>
      <c r="J734" s="325"/>
      <c r="K734" s="325"/>
      <c r="L734" s="301"/>
      <c r="M734" s="301"/>
      <c r="N734" s="301"/>
      <c r="O734" s="301"/>
      <c r="P734" s="301"/>
      <c r="Q734" s="325"/>
      <c r="R734" s="325"/>
      <c r="S734" s="325"/>
      <c r="T734" s="532">
        <f>SUM(F734:S734)</f>
        <v>0</v>
      </c>
      <c r="U734" s="301"/>
      <c r="V734" s="532">
        <f>SUM(T734:T734)</f>
        <v>0</v>
      </c>
      <c r="W734" s="532">
        <f>+V734-'ROR-Model'!G735</f>
        <v>0</v>
      </c>
    </row>
    <row r="735" spans="1:23">
      <c r="A735" s="543"/>
      <c r="B735" s="534"/>
      <c r="C735" s="534" t="s">
        <v>23</v>
      </c>
      <c r="D735" s="534"/>
      <c r="E735" s="531"/>
      <c r="F735" s="301"/>
      <c r="G735" s="301"/>
      <c r="H735" s="301"/>
      <c r="I735" s="301"/>
      <c r="J735" s="325"/>
      <c r="K735" s="325"/>
      <c r="L735" s="301"/>
      <c r="M735" s="301"/>
      <c r="N735" s="301"/>
      <c r="O735" s="301"/>
      <c r="P735" s="301"/>
      <c r="Q735" s="325"/>
      <c r="R735" s="325"/>
      <c r="S735" s="325"/>
      <c r="T735" s="532">
        <f>SUM(F735:S735)</f>
        <v>0</v>
      </c>
      <c r="U735" s="301"/>
      <c r="V735" s="532">
        <f>SUM(T735:T735)</f>
        <v>0</v>
      </c>
      <c r="W735" s="532">
        <f>+V735-'ROR-Model'!G736</f>
        <v>0</v>
      </c>
    </row>
    <row r="736" spans="1:23">
      <c r="A736" s="543"/>
      <c r="B736" s="534"/>
      <c r="C736" s="534" t="s">
        <v>145</v>
      </c>
      <c r="D736" s="534"/>
      <c r="E736" s="531"/>
      <c r="F736" s="323">
        <f>SUM(F734:F735)</f>
        <v>0</v>
      </c>
      <c r="G736" s="323">
        <f>G1*SUM(G734:G735)</f>
        <v>0</v>
      </c>
      <c r="H736" s="323">
        <f>SUM(H734:H735)</f>
        <v>0</v>
      </c>
      <c r="I736" s="323">
        <f t="shared" ref="I736:P736" si="156">SUM(I734:I735)</f>
        <v>0</v>
      </c>
      <c r="J736" s="476">
        <f>J1*SUM(J734:J735)</f>
        <v>0</v>
      </c>
      <c r="K736" s="476">
        <f>K1*SUM(K734:K735)</f>
        <v>0</v>
      </c>
      <c r="L736" s="323">
        <f t="shared" si="156"/>
        <v>0</v>
      </c>
      <c r="M736" s="323">
        <f t="shared" si="156"/>
        <v>0</v>
      </c>
      <c r="N736" s="323">
        <f t="shared" si="156"/>
        <v>0</v>
      </c>
      <c r="O736" s="323">
        <f t="shared" si="156"/>
        <v>0</v>
      </c>
      <c r="P736" s="323">
        <f t="shared" si="156"/>
        <v>0</v>
      </c>
      <c r="Q736" s="476">
        <f>SUM(Q734:Q735)</f>
        <v>0</v>
      </c>
      <c r="R736" s="476">
        <f>R1*SUM(R734:R735)</f>
        <v>0</v>
      </c>
      <c r="S736" s="476">
        <f>S1*SUM(S734:S735)</f>
        <v>0</v>
      </c>
      <c r="T736" s="536">
        <f>SUM(T734:T735)</f>
        <v>0</v>
      </c>
      <c r="U736" s="323"/>
      <c r="V736" s="536">
        <f>SUM(V734:V735)</f>
        <v>0</v>
      </c>
      <c r="W736" s="536">
        <f>+V736-'ROR-Model'!G737</f>
        <v>0</v>
      </c>
    </row>
    <row r="737" spans="1:23">
      <c r="A737" s="543"/>
      <c r="B737" s="534"/>
      <c r="C737" s="534"/>
      <c r="D737" s="534"/>
      <c r="E737" s="531"/>
      <c r="F737" s="301"/>
      <c r="G737" s="301"/>
      <c r="H737" s="301"/>
      <c r="I737" s="301"/>
      <c r="J737" s="325"/>
      <c r="K737" s="325"/>
      <c r="L737" s="301"/>
      <c r="M737" s="301"/>
      <c r="N737" s="301"/>
      <c r="O737" s="301"/>
      <c r="P737" s="301"/>
      <c r="Q737" s="325"/>
      <c r="R737" s="325"/>
      <c r="S737" s="325"/>
      <c r="T737" s="532"/>
      <c r="U737" s="301"/>
      <c r="V737" s="532"/>
      <c r="W737" s="532">
        <f>+V737-'ROR-Model'!G738</f>
        <v>0</v>
      </c>
    </row>
    <row r="738" spans="1:23">
      <c r="A738" s="543">
        <v>8941</v>
      </c>
      <c r="B738" s="534" t="s">
        <v>355</v>
      </c>
      <c r="C738" s="534"/>
      <c r="D738" s="534"/>
      <c r="E738" s="531"/>
      <c r="F738" s="301"/>
      <c r="G738" s="301"/>
      <c r="H738" s="301"/>
      <c r="I738" s="301"/>
      <c r="J738" s="325"/>
      <c r="K738" s="325"/>
      <c r="L738" s="301"/>
      <c r="M738" s="301"/>
      <c r="N738" s="301"/>
      <c r="O738" s="301"/>
      <c r="P738" s="301"/>
      <c r="Q738" s="325"/>
      <c r="R738" s="325"/>
      <c r="S738" s="325"/>
      <c r="T738" s="532"/>
      <c r="U738" s="301"/>
      <c r="V738" s="532"/>
      <c r="W738" s="532">
        <f>+V738-'ROR-Model'!G739</f>
        <v>0</v>
      </c>
    </row>
    <row r="739" spans="1:23">
      <c r="A739" s="543"/>
      <c r="B739" s="534"/>
      <c r="C739" s="534" t="s">
        <v>12</v>
      </c>
      <c r="D739" s="534"/>
      <c r="E739" s="531"/>
      <c r="F739" s="301"/>
      <c r="G739" s="301"/>
      <c r="H739" s="301"/>
      <c r="I739" s="301"/>
      <c r="J739" s="325"/>
      <c r="K739" s="325"/>
      <c r="L739" s="301"/>
      <c r="M739" s="301"/>
      <c r="N739" s="301"/>
      <c r="O739" s="301"/>
      <c r="P739" s="301"/>
      <c r="Q739" s="325"/>
      <c r="R739" s="325"/>
      <c r="S739" s="325"/>
      <c r="T739" s="532">
        <f>SUM(F739:S739)</f>
        <v>0</v>
      </c>
      <c r="U739" s="301"/>
      <c r="V739" s="532">
        <f>SUM(T739:T739)</f>
        <v>0</v>
      </c>
      <c r="W739" s="532">
        <f>+V739-'ROR-Model'!G740</f>
        <v>0</v>
      </c>
    </row>
    <row r="740" spans="1:23">
      <c r="A740" s="543"/>
      <c r="B740" s="534"/>
      <c r="C740" s="534" t="s">
        <v>23</v>
      </c>
      <c r="D740" s="534"/>
      <c r="E740" s="531"/>
      <c r="F740" s="301"/>
      <c r="G740" s="301"/>
      <c r="H740" s="301"/>
      <c r="I740" s="301"/>
      <c r="J740" s="325"/>
      <c r="K740" s="325"/>
      <c r="L740" s="301"/>
      <c r="M740" s="301"/>
      <c r="N740" s="301"/>
      <c r="O740" s="301"/>
      <c r="P740" s="301"/>
      <c r="Q740" s="325"/>
      <c r="R740" s="325"/>
      <c r="S740" s="325"/>
      <c r="T740" s="532">
        <f>SUM(F740:S740)</f>
        <v>0</v>
      </c>
      <c r="U740" s="301"/>
      <c r="V740" s="532">
        <f>SUM(T740:T740)</f>
        <v>0</v>
      </c>
      <c r="W740" s="532">
        <f>+V740-'ROR-Model'!G741</f>
        <v>0</v>
      </c>
    </row>
    <row r="741" spans="1:23">
      <c r="A741" s="543"/>
      <c r="B741" s="534"/>
      <c r="C741" s="534" t="s">
        <v>145</v>
      </c>
      <c r="D741" s="534"/>
      <c r="E741" s="531"/>
      <c r="F741" s="323">
        <f>SUM(F739:F740)</f>
        <v>0</v>
      </c>
      <c r="G741" s="323">
        <f>G1*SUM(G739:G740)</f>
        <v>0</v>
      </c>
      <c r="H741" s="323">
        <f>SUM(H739:H740)</f>
        <v>0</v>
      </c>
      <c r="I741" s="323">
        <f t="shared" ref="I741:P741" si="157">SUM(I739:I740)</f>
        <v>0</v>
      </c>
      <c r="J741" s="476">
        <f>J1*SUM(J739:J740)</f>
        <v>0</v>
      </c>
      <c r="K741" s="476">
        <f>K1*SUM(K739:K740)</f>
        <v>0</v>
      </c>
      <c r="L741" s="323">
        <f t="shared" si="157"/>
        <v>0</v>
      </c>
      <c r="M741" s="323">
        <f t="shared" si="157"/>
        <v>0</v>
      </c>
      <c r="N741" s="323">
        <f t="shared" si="157"/>
        <v>0</v>
      </c>
      <c r="O741" s="323">
        <f t="shared" si="157"/>
        <v>0</v>
      </c>
      <c r="P741" s="323">
        <f t="shared" si="157"/>
        <v>0</v>
      </c>
      <c r="Q741" s="476">
        <f>SUM(Q739:Q740)</f>
        <v>0</v>
      </c>
      <c r="R741" s="476">
        <f>R1*SUM(R739:R740)</f>
        <v>0</v>
      </c>
      <c r="S741" s="476">
        <f>S1*SUM(S739:S740)</f>
        <v>0</v>
      </c>
      <c r="T741" s="536">
        <f>SUM(T739:T740)</f>
        <v>0</v>
      </c>
      <c r="U741" s="323"/>
      <c r="V741" s="536">
        <f>SUM(V739:V740)</f>
        <v>0</v>
      </c>
      <c r="W741" s="536">
        <f>+V741-'ROR-Model'!G742</f>
        <v>0</v>
      </c>
    </row>
    <row r="742" spans="1:23">
      <c r="A742" s="543"/>
      <c r="B742" s="534"/>
      <c r="C742" s="534"/>
      <c r="D742" s="534"/>
      <c r="E742" s="531"/>
      <c r="F742" s="301"/>
      <c r="G742" s="301"/>
      <c r="H742" s="301"/>
      <c r="I742" s="301"/>
      <c r="J742" s="325"/>
      <c r="K742" s="325"/>
      <c r="L742" s="301"/>
      <c r="M742" s="301"/>
      <c r="N742" s="301"/>
      <c r="O742" s="301"/>
      <c r="P742" s="301"/>
      <c r="Q742" s="325"/>
      <c r="R742" s="325"/>
      <c r="S742" s="325"/>
      <c r="T742" s="532"/>
      <c r="U742" s="301"/>
      <c r="V742" s="532"/>
      <c r="W742" s="532">
        <f>+V742-'ROR-Model'!G743</f>
        <v>0</v>
      </c>
    </row>
    <row r="743" spans="1:23">
      <c r="A743" s="543">
        <v>8942</v>
      </c>
      <c r="B743" s="534" t="s">
        <v>357</v>
      </c>
      <c r="C743" s="534"/>
      <c r="D743" s="534"/>
      <c r="E743" s="531"/>
      <c r="F743" s="301"/>
      <c r="G743" s="301"/>
      <c r="H743" s="301"/>
      <c r="I743" s="301"/>
      <c r="J743" s="325"/>
      <c r="K743" s="325"/>
      <c r="L743" s="301"/>
      <c r="M743" s="301"/>
      <c r="N743" s="301"/>
      <c r="O743" s="301"/>
      <c r="P743" s="301"/>
      <c r="Q743" s="325"/>
      <c r="R743" s="325"/>
      <c r="S743" s="325"/>
      <c r="T743" s="532"/>
      <c r="U743" s="301"/>
      <c r="V743" s="532"/>
      <c r="W743" s="532">
        <f>+V743-'ROR-Model'!G744</f>
        <v>0</v>
      </c>
    </row>
    <row r="744" spans="1:23">
      <c r="A744" s="535"/>
      <c r="B744" s="534"/>
      <c r="C744" s="534" t="s">
        <v>12</v>
      </c>
      <c r="D744" s="534"/>
      <c r="E744" s="531"/>
      <c r="F744" s="301"/>
      <c r="G744" s="301"/>
      <c r="H744" s="301"/>
      <c r="I744" s="301"/>
      <c r="J744" s="325"/>
      <c r="K744" s="325"/>
      <c r="L744" s="301"/>
      <c r="M744" s="301"/>
      <c r="N744" s="301"/>
      <c r="O744" s="301"/>
      <c r="P744" s="301"/>
      <c r="Q744" s="325"/>
      <c r="R744" s="325"/>
      <c r="S744" s="325"/>
      <c r="T744" s="532">
        <f>SUM(F744:S744)</f>
        <v>0</v>
      </c>
      <c r="U744" s="301"/>
      <c r="V744" s="532">
        <f>SUM(T744:T744)</f>
        <v>0</v>
      </c>
      <c r="W744" s="532">
        <f>+V744-'ROR-Model'!G745</f>
        <v>0</v>
      </c>
    </row>
    <row r="745" spans="1:23">
      <c r="A745" s="535"/>
      <c r="B745" s="534"/>
      <c r="C745" s="534" t="s">
        <v>23</v>
      </c>
      <c r="D745" s="534"/>
      <c r="E745" s="531"/>
      <c r="F745" s="301"/>
      <c r="G745" s="301"/>
      <c r="H745" s="301"/>
      <c r="I745" s="301"/>
      <c r="J745" s="325"/>
      <c r="K745" s="325"/>
      <c r="L745" s="301"/>
      <c r="M745" s="301"/>
      <c r="N745" s="301"/>
      <c r="O745" s="301"/>
      <c r="P745" s="301"/>
      <c r="Q745" s="325"/>
      <c r="R745" s="325"/>
      <c r="S745" s="325"/>
      <c r="T745" s="532">
        <f>SUM(F745:S745)</f>
        <v>0</v>
      </c>
      <c r="U745" s="301"/>
      <c r="V745" s="532">
        <f>SUM(T745:T745)</f>
        <v>0</v>
      </c>
      <c r="W745" s="532">
        <f>+V745-'ROR-Model'!G746</f>
        <v>0</v>
      </c>
    </row>
    <row r="746" spans="1:23">
      <c r="A746" s="535"/>
      <c r="B746" s="534"/>
      <c r="C746" s="534" t="s">
        <v>145</v>
      </c>
      <c r="D746" s="534"/>
      <c r="E746" s="531"/>
      <c r="F746" s="323">
        <f>SUM(F744:F745)</f>
        <v>0</v>
      </c>
      <c r="G746" s="323">
        <f>G1*SUM(G744:G745)</f>
        <v>0</v>
      </c>
      <c r="H746" s="323">
        <f>SUM(H744:H745)</f>
        <v>0</v>
      </c>
      <c r="I746" s="323">
        <f t="shared" ref="I746:P746" si="158">SUM(I744:I745)</f>
        <v>0</v>
      </c>
      <c r="J746" s="476">
        <f>J1*SUM(J744:J745)</f>
        <v>0</v>
      </c>
      <c r="K746" s="476">
        <f>K1*SUM(K744:K745)</f>
        <v>0</v>
      </c>
      <c r="L746" s="323">
        <f t="shared" si="158"/>
        <v>0</v>
      </c>
      <c r="M746" s="323">
        <f t="shared" si="158"/>
        <v>0</v>
      </c>
      <c r="N746" s="323">
        <f t="shared" si="158"/>
        <v>0</v>
      </c>
      <c r="O746" s="323">
        <f t="shared" si="158"/>
        <v>0</v>
      </c>
      <c r="P746" s="323">
        <f t="shared" si="158"/>
        <v>0</v>
      </c>
      <c r="Q746" s="476">
        <f>SUM(Q744:Q745)</f>
        <v>0</v>
      </c>
      <c r="R746" s="476">
        <f>R1*SUM(R744:R745)</f>
        <v>0</v>
      </c>
      <c r="S746" s="476">
        <f>S1*SUM(S744:S745)</f>
        <v>0</v>
      </c>
      <c r="T746" s="536">
        <f>SUM(T744:T745)</f>
        <v>0</v>
      </c>
      <c r="U746" s="323"/>
      <c r="V746" s="536">
        <f>SUM(V744:V745)</f>
        <v>0</v>
      </c>
      <c r="W746" s="536">
        <f>+V746-'ROR-Model'!G747</f>
        <v>0</v>
      </c>
    </row>
    <row r="747" spans="1:23" ht="13.5" thickBot="1">
      <c r="A747" s="535"/>
      <c r="B747" s="534"/>
      <c r="C747" s="534"/>
      <c r="D747" s="534"/>
      <c r="E747" s="531"/>
      <c r="F747" s="470"/>
      <c r="G747" s="470"/>
      <c r="H747" s="470"/>
      <c r="I747" s="470"/>
      <c r="J747" s="477"/>
      <c r="K747" s="477"/>
      <c r="L747" s="470"/>
      <c r="M747" s="470"/>
      <c r="N747" s="470"/>
      <c r="O747" s="470"/>
      <c r="P747" s="470"/>
      <c r="Q747" s="477"/>
      <c r="R747" s="477"/>
      <c r="S747" s="477"/>
      <c r="T747" s="538"/>
      <c r="U747" s="470"/>
      <c r="V747" s="538"/>
      <c r="W747" s="538">
        <f>+V747-'ROR-Model'!G748</f>
        <v>0</v>
      </c>
    </row>
    <row r="748" spans="1:23" ht="13.5" thickTop="1">
      <c r="A748" s="167" t="s">
        <v>514</v>
      </c>
      <c r="B748" s="534"/>
      <c r="C748" s="534"/>
      <c r="D748" s="534"/>
      <c r="E748" s="531"/>
      <c r="F748" s="301"/>
      <c r="G748" s="301"/>
      <c r="H748" s="301"/>
      <c r="I748" s="301"/>
      <c r="J748" s="325"/>
      <c r="K748" s="325"/>
      <c r="L748" s="301"/>
      <c r="M748" s="301"/>
      <c r="N748" s="301"/>
      <c r="O748" s="301"/>
      <c r="P748" s="301"/>
      <c r="Q748" s="325"/>
      <c r="R748" s="325"/>
      <c r="S748" s="325"/>
      <c r="T748" s="532"/>
      <c r="U748" s="301"/>
      <c r="V748" s="532"/>
      <c r="W748" s="532">
        <f>+V748-'ROR-Model'!G749</f>
        <v>0</v>
      </c>
    </row>
    <row r="749" spans="1:23">
      <c r="A749" s="535"/>
      <c r="B749" s="534" t="s">
        <v>512</v>
      </c>
      <c r="C749" s="534"/>
      <c r="D749" s="534"/>
      <c r="E749" s="531"/>
      <c r="F749" s="301">
        <f>F654+F659+F664+F669+F674+F679+F684+F689+F694+F699+F704+F709+F714+F719+F724+F729+F734+F739+F744</f>
        <v>0</v>
      </c>
      <c r="G749" s="301">
        <f>G1*G654+G659+G664+G669+G674+G679+G684+G689+G694+G699+G704+G709+G714+G719+G724+G729+G734+G739+G744</f>
        <v>0</v>
      </c>
      <c r="H749" s="301">
        <f>H654+H659+H664+H669+H674+H679+H684+H689+H694+H699+H704+H709+H714+H719+H724+H729+H734+H739+H744</f>
        <v>0</v>
      </c>
      <c r="I749" s="301">
        <f t="shared" ref="I749:P750" si="159">I654+I659+I664+I669+I674+I679+I684+I689+I694+I699+I704+I709+I714+I719+I724+I729+I734+I739+I744</f>
        <v>0</v>
      </c>
      <c r="J749" s="325">
        <f>J1*J654+J659+J664+J669+J674+J679+J684+J689+J694+J699+J704+J709+J714+J719+J724+J729+J734+J739+J744</f>
        <v>0</v>
      </c>
      <c r="K749" s="325">
        <f>K1*K654+K659+K664+K669+K674+K679+K684+K689+K694+K699+K704+K709+K714+K719+K724+K729+K734+K739+K744</f>
        <v>0</v>
      </c>
      <c r="L749" s="301">
        <f t="shared" si="159"/>
        <v>0</v>
      </c>
      <c r="M749" s="301">
        <f t="shared" si="159"/>
        <v>0</v>
      </c>
      <c r="N749" s="301">
        <f t="shared" si="159"/>
        <v>0</v>
      </c>
      <c r="O749" s="301">
        <f t="shared" si="159"/>
        <v>0</v>
      </c>
      <c r="P749" s="301">
        <f t="shared" si="159"/>
        <v>0</v>
      </c>
      <c r="Q749" s="325">
        <f>Q654+Q659+Q664+Q669+Q674+Q679+Q684+Q689+Q694+Q699+Q704+Q709+Q714+Q719+Q724+Q729+Q734+Q739+Q744</f>
        <v>0</v>
      </c>
      <c r="R749" s="325">
        <f>R1*R654+R659+R664+R669+R674+R679+R684+R689+R694+R699+R704+R709+R714+R719+R724+R729+R734+R739+R744</f>
        <v>0</v>
      </c>
      <c r="S749" s="325">
        <f>S1*S654+S659+S664+S669+S674+S679+S684+S689+S694+S699+S704+S709+S714+S719+S724+S729+S734+S739+S744</f>
        <v>0</v>
      </c>
      <c r="T749" s="532">
        <f>T654+T659+T664+T669+T674+T679+T684+T689+T694+T699+T704+T709+T714+T719+T724+T729+T734+T739+T744</f>
        <v>0</v>
      </c>
      <c r="U749" s="301"/>
      <c r="V749" s="532">
        <f>V654+V659+V664+V669+V674+V679+V684+V689+V694+V699+V704+V709+V714+V719+V724+V729+V734+V739+V744</f>
        <v>0</v>
      </c>
      <c r="W749" s="532">
        <f>+V749-'ROR-Model'!G750</f>
        <v>0</v>
      </c>
    </row>
    <row r="750" spans="1:23">
      <c r="A750" s="535"/>
      <c r="B750" s="534" t="s">
        <v>513</v>
      </c>
      <c r="C750" s="534"/>
      <c r="D750" s="534"/>
      <c r="E750" s="531"/>
      <c r="F750" s="301">
        <f>F655+F660+F665+F670+F675+F680+F685+F690+F695+F700+F705+F710+F715+F720+F725+F730+F735+F740+F745</f>
        <v>0</v>
      </c>
      <c r="G750" s="301">
        <f>G1*G655+G660+G665+G670+G675+G680+G685+G690+G695+G700+G705+G710+G715+G720+G725+G730+G735+G740+G745</f>
        <v>0</v>
      </c>
      <c r="H750" s="301">
        <f>H655+H660+H665+H670+H675+H680+H685+H690+H695+H700+H705+H710+H715+H720+H725+H730+H735+H740+H745</f>
        <v>0</v>
      </c>
      <c r="I750" s="301">
        <f t="shared" si="159"/>
        <v>0</v>
      </c>
      <c r="J750" s="325">
        <f>J1*J655+J660+J665+J670+J675+J680+J685+J690+J695+J700+J705+J710+J715+J720+J725+J730+J735+J740+J745</f>
        <v>0</v>
      </c>
      <c r="K750" s="325">
        <f>K1*K655+K660+K665+K670+K675+K680+K685+K690+K695+K700+K705+K710+K715+K720+K725+K730+K735+K740+K745</f>
        <v>0</v>
      </c>
      <c r="L750" s="301">
        <f t="shared" si="159"/>
        <v>0</v>
      </c>
      <c r="M750" s="301">
        <f t="shared" si="159"/>
        <v>0</v>
      </c>
      <c r="N750" s="301">
        <f t="shared" si="159"/>
        <v>0</v>
      </c>
      <c r="O750" s="301">
        <f t="shared" si="159"/>
        <v>0</v>
      </c>
      <c r="P750" s="301">
        <f>P655+P660+P665+P670+P675+P680+P685+P690+P695+P700+P705+P710+P715+P720+P725+P730+P735+P740+P745</f>
        <v>0</v>
      </c>
      <c r="Q750" s="325">
        <f>Q655+Q660+Q665+Q670+Q675+Q680+Q685+Q690+Q695+Q700+Q705+Q710+Q715+Q720+Q725+Q730+Q735+Q740+Q745</f>
        <v>0</v>
      </c>
      <c r="R750" s="325">
        <f>R1*R655+R660+R665+R670+R675+R680+R685+R690+R695+R700+R705+R710+R715+R720+R725+R730+R735+R740+R745</f>
        <v>0</v>
      </c>
      <c r="S750" s="325">
        <f>S1*S655+S660+S665+S670+S675+S680+S685+S690+S695+S700+S705+S710+S715+S720+S725+S730+S735+S740+S745</f>
        <v>0</v>
      </c>
      <c r="T750" s="532">
        <f>T655+T660+T665+T670+T675+T680+T685+T690+T695+T700+T705+T710+T715+T720+T725+T730+T735+T740+T745</f>
        <v>0</v>
      </c>
      <c r="U750" s="301"/>
      <c r="V750" s="532">
        <f>V655+V660+V665+V670+V675+V680+V685+V690+V695+V700+V705+V710+V715+V720+V725+V730+V735+V740+V745</f>
        <v>0</v>
      </c>
      <c r="W750" s="532">
        <f>+V750-'ROR-Model'!G751</f>
        <v>0</v>
      </c>
    </row>
    <row r="751" spans="1:23" ht="13.5" thickBot="1">
      <c r="A751" s="535"/>
      <c r="B751" s="534"/>
      <c r="C751" s="534"/>
      <c r="D751" s="534"/>
      <c r="E751" s="531"/>
      <c r="F751" s="471"/>
      <c r="G751" s="471"/>
      <c r="H751" s="471"/>
      <c r="I751" s="471"/>
      <c r="J751" s="548"/>
      <c r="K751" s="548"/>
      <c r="L751" s="471"/>
      <c r="M751" s="471"/>
      <c r="N751" s="471"/>
      <c r="O751" s="471"/>
      <c r="P751" s="471"/>
      <c r="Q751" s="548"/>
      <c r="R751" s="548"/>
      <c r="S751" s="548"/>
      <c r="T751" s="549"/>
      <c r="U751" s="471"/>
      <c r="V751" s="549"/>
      <c r="W751" s="549">
        <f>+V751-'ROR-Model'!G752</f>
        <v>0</v>
      </c>
    </row>
    <row r="752" spans="1:23">
      <c r="A752" s="535"/>
      <c r="B752" s="175" t="s">
        <v>514</v>
      </c>
      <c r="C752" s="534"/>
      <c r="D752" s="534"/>
      <c r="E752" s="531"/>
      <c r="F752" s="301">
        <f>F656+F661+F666+F671+F676+F681+F686+F691+F696+F701+F706+F711+F716+F721+F726+F731+F736+F741+F746</f>
        <v>0</v>
      </c>
      <c r="G752" s="301">
        <f>G1*G656+G661+G666+G671+G676+G681+G686+G691+G696+G701+G706+G711+G716+G721+G726+G731+G736+G741+G746</f>
        <v>0</v>
      </c>
      <c r="H752" s="301">
        <f>H656+H661+H666+H671+H676+H681+H686+H691+H696+H701+H706+H711+H716+H721+H726+H731+H736+H741+H746</f>
        <v>0</v>
      </c>
      <c r="I752" s="301">
        <f t="shared" ref="I752:Q752" si="160">I656+I661+I666+I671+I676+I681+I686+I691+I696+I701+I706+I711+I716+I721+I726+I731+I736+I741+I746</f>
        <v>0</v>
      </c>
      <c r="J752" s="325">
        <f>J1*J656+J661+J666+J671+J676+J681+J686+J691+J696+J701+J706+J711+J716+J721+J726+J731+J736+J741+J746</f>
        <v>0</v>
      </c>
      <c r="K752" s="325">
        <f>K1*K656+K661+K666+K671+K676+K681+K686+K691+K696+K701+K706+K711+K716+K721+K726+K731+K736+K741+K746</f>
        <v>0</v>
      </c>
      <c r="L752" s="301">
        <f t="shared" si="160"/>
        <v>0</v>
      </c>
      <c r="M752" s="301">
        <f t="shared" si="160"/>
        <v>0</v>
      </c>
      <c r="N752" s="301">
        <f t="shared" si="160"/>
        <v>0</v>
      </c>
      <c r="O752" s="301">
        <f t="shared" si="160"/>
        <v>0</v>
      </c>
      <c r="P752" s="301">
        <f t="shared" si="160"/>
        <v>0</v>
      </c>
      <c r="Q752" s="325">
        <f t="shared" si="160"/>
        <v>0</v>
      </c>
      <c r="R752" s="325">
        <f>R1*R656+R661+R666+R671+R676+R681+R686+R691+R696+R701+R706+R711+R716+R721+R726+R731+R736+R741+R746</f>
        <v>0</v>
      </c>
      <c r="S752" s="325">
        <f>S1*S656+S661+S666+S671+S676+S681+S686+S691+S696+S701+S706+S711+S716+S721+S726+S731+S736+S741+S746</f>
        <v>0</v>
      </c>
      <c r="T752" s="532">
        <f>T656+T661+T666+T671+T676+T681+T686+T691+T696+T701+T706+T711+T716+T721+T726+T731+T736+T741+T746</f>
        <v>0</v>
      </c>
      <c r="U752" s="301"/>
      <c r="V752" s="532">
        <f>V656+V661+V666+V671+V676+V681+V686+V691+V696+V701+V706+V711+V716+V721+V726+V731+V736+V741+V746</f>
        <v>0</v>
      </c>
      <c r="W752" s="532">
        <f>+V752-'ROR-Model'!G753</f>
        <v>0</v>
      </c>
    </row>
    <row r="753" spans="1:23">
      <c r="A753" s="535"/>
      <c r="B753" s="534"/>
      <c r="C753" s="534"/>
      <c r="D753" s="534"/>
      <c r="E753" s="531"/>
      <c r="F753" s="301"/>
      <c r="G753" s="301"/>
      <c r="H753" s="301"/>
      <c r="I753" s="301"/>
      <c r="J753" s="325"/>
      <c r="K753" s="325"/>
      <c r="L753" s="301"/>
      <c r="M753" s="301"/>
      <c r="N753" s="301"/>
      <c r="O753" s="301"/>
      <c r="P753" s="301"/>
      <c r="Q753" s="325"/>
      <c r="R753" s="325"/>
      <c r="S753" s="325"/>
      <c r="T753" s="532"/>
      <c r="U753" s="301"/>
      <c r="V753" s="532"/>
      <c r="W753" s="532">
        <f>+V753-'ROR-Model'!G754</f>
        <v>0</v>
      </c>
    </row>
    <row r="754" spans="1:23">
      <c r="A754" s="167" t="s">
        <v>358</v>
      </c>
      <c r="B754" s="534"/>
      <c r="C754" s="534"/>
      <c r="D754" s="534"/>
      <c r="E754" s="531"/>
      <c r="F754" s="301"/>
      <c r="G754" s="301"/>
      <c r="H754" s="301"/>
      <c r="I754" s="301"/>
      <c r="J754" s="325"/>
      <c r="K754" s="325"/>
      <c r="L754" s="301"/>
      <c r="M754" s="301"/>
      <c r="N754" s="301"/>
      <c r="O754" s="301"/>
      <c r="P754" s="301"/>
      <c r="Q754" s="325"/>
      <c r="R754" s="325"/>
      <c r="S754" s="325"/>
      <c r="T754" s="532"/>
      <c r="U754" s="301"/>
      <c r="V754" s="532"/>
      <c r="W754" s="532">
        <f>+V754-'ROR-Model'!G755</f>
        <v>0</v>
      </c>
    </row>
    <row r="755" spans="1:23">
      <c r="A755" s="535"/>
      <c r="B755" s="534"/>
      <c r="C755" s="534"/>
      <c r="D755" s="534"/>
      <c r="E755" s="531"/>
      <c r="F755" s="301"/>
      <c r="G755" s="301"/>
      <c r="H755" s="301"/>
      <c r="I755" s="301"/>
      <c r="J755" s="325"/>
      <c r="K755" s="325"/>
      <c r="L755" s="301"/>
      <c r="M755" s="301"/>
      <c r="N755" s="301"/>
      <c r="O755" s="301"/>
      <c r="P755" s="301"/>
      <c r="Q755" s="325"/>
      <c r="R755" s="325"/>
      <c r="S755" s="325"/>
      <c r="T755" s="532"/>
      <c r="U755" s="301"/>
      <c r="V755" s="532"/>
      <c r="W755" s="532">
        <f>+V755-'ROR-Model'!G756</f>
        <v>0</v>
      </c>
    </row>
    <row r="756" spans="1:23">
      <c r="A756" s="543">
        <v>901</v>
      </c>
      <c r="B756" s="534" t="s">
        <v>359</v>
      </c>
      <c r="C756" s="534"/>
      <c r="D756" s="534"/>
      <c r="E756" s="531"/>
      <c r="F756" s="301"/>
      <c r="G756" s="301"/>
      <c r="H756" s="301"/>
      <c r="I756" s="301"/>
      <c r="J756" s="325"/>
      <c r="K756" s="325"/>
      <c r="L756" s="301"/>
      <c r="M756" s="301"/>
      <c r="N756" s="301"/>
      <c r="O756" s="301"/>
      <c r="P756" s="301"/>
      <c r="Q756" s="325"/>
      <c r="R756" s="325"/>
      <c r="S756" s="325"/>
      <c r="T756" s="532"/>
      <c r="U756" s="301"/>
      <c r="V756" s="532"/>
      <c r="W756" s="532">
        <f>+V756-'ROR-Model'!G757</f>
        <v>0</v>
      </c>
    </row>
    <row r="757" spans="1:23">
      <c r="A757" s="543"/>
      <c r="B757" s="534"/>
      <c r="C757" s="534" t="s">
        <v>12</v>
      </c>
      <c r="D757" s="534"/>
      <c r="E757" s="531"/>
      <c r="F757" s="301"/>
      <c r="G757" s="301"/>
      <c r="H757" s="301"/>
      <c r="I757" s="301"/>
      <c r="J757" s="325"/>
      <c r="K757" s="325"/>
      <c r="L757" s="301"/>
      <c r="M757" s="301"/>
      <c r="N757" s="301"/>
      <c r="O757" s="301"/>
      <c r="P757" s="301"/>
      <c r="Q757" s="325"/>
      <c r="R757" s="325"/>
      <c r="S757" s="325"/>
      <c r="T757" s="532">
        <f>SUM(F757:S757)</f>
        <v>0</v>
      </c>
      <c r="U757" s="301"/>
      <c r="V757" s="532">
        <f>SUM(T757:T757)</f>
        <v>0</v>
      </c>
      <c r="W757" s="532">
        <f>+V757-'ROR-Model'!G758</f>
        <v>0</v>
      </c>
    </row>
    <row r="758" spans="1:23">
      <c r="A758" s="543"/>
      <c r="B758" s="534"/>
      <c r="C758" s="534" t="s">
        <v>23</v>
      </c>
      <c r="D758" s="534"/>
      <c r="E758" s="531"/>
      <c r="F758" s="301"/>
      <c r="G758" s="301"/>
      <c r="H758" s="301"/>
      <c r="I758" s="301"/>
      <c r="J758" s="325"/>
      <c r="K758" s="325"/>
      <c r="L758" s="301"/>
      <c r="M758" s="301"/>
      <c r="N758" s="301"/>
      <c r="O758" s="301"/>
      <c r="P758" s="301"/>
      <c r="Q758" s="325"/>
      <c r="R758" s="325"/>
      <c r="S758" s="325"/>
      <c r="T758" s="532">
        <f>SUM(F758:S758)</f>
        <v>0</v>
      </c>
      <c r="U758" s="301"/>
      <c r="V758" s="532">
        <f>SUM(T758:T758)</f>
        <v>0</v>
      </c>
      <c r="W758" s="532">
        <f>+V758-'ROR-Model'!G759</f>
        <v>0</v>
      </c>
    </row>
    <row r="759" spans="1:23">
      <c r="A759" s="543"/>
      <c r="B759" s="534"/>
      <c r="C759" s="534" t="s">
        <v>145</v>
      </c>
      <c r="D759" s="534"/>
      <c r="E759" s="531"/>
      <c r="F759" s="323">
        <f>SUM(F757:F758)</f>
        <v>0</v>
      </c>
      <c r="G759" s="323">
        <f>G1*SUM(G757:G758)</f>
        <v>0</v>
      </c>
      <c r="H759" s="323">
        <f>SUM(H757:H758)</f>
        <v>0</v>
      </c>
      <c r="I759" s="323">
        <f t="shared" ref="I759:P759" si="161">SUM(I757:I758)</f>
        <v>0</v>
      </c>
      <c r="J759" s="476">
        <f>J1*SUM(J757:J758)</f>
        <v>0</v>
      </c>
      <c r="K759" s="476">
        <f>K1*SUM(K757:K758)</f>
        <v>0</v>
      </c>
      <c r="L759" s="323">
        <f t="shared" si="161"/>
        <v>0</v>
      </c>
      <c r="M759" s="323">
        <f t="shared" si="161"/>
        <v>0</v>
      </c>
      <c r="N759" s="323">
        <f t="shared" si="161"/>
        <v>0</v>
      </c>
      <c r="O759" s="323">
        <f t="shared" si="161"/>
        <v>0</v>
      </c>
      <c r="P759" s="323">
        <f t="shared" si="161"/>
        <v>0</v>
      </c>
      <c r="Q759" s="476">
        <f>SUM(Q757:Q758)</f>
        <v>0</v>
      </c>
      <c r="R759" s="476">
        <f>R1*SUM(R757:R758)</f>
        <v>0</v>
      </c>
      <c r="S759" s="476">
        <f>S1*SUM(S757:S758)</f>
        <v>0</v>
      </c>
      <c r="T759" s="536">
        <f>SUM(T757:T758)</f>
        <v>0</v>
      </c>
      <c r="U759" s="323"/>
      <c r="V759" s="536">
        <f>SUM(V757:V758)</f>
        <v>0</v>
      </c>
      <c r="W759" s="536">
        <f>+V759-'ROR-Model'!G760</f>
        <v>0</v>
      </c>
    </row>
    <row r="760" spans="1:23">
      <c r="A760" s="543"/>
      <c r="B760" s="534"/>
      <c r="C760" s="534"/>
      <c r="D760" s="534"/>
      <c r="E760" s="531"/>
      <c r="F760" s="301"/>
      <c r="G760" s="301"/>
      <c r="H760" s="301"/>
      <c r="I760" s="301"/>
      <c r="J760" s="325"/>
      <c r="K760" s="325"/>
      <c r="L760" s="301"/>
      <c r="M760" s="301"/>
      <c r="N760" s="301"/>
      <c r="O760" s="301"/>
      <c r="P760" s="301"/>
      <c r="Q760" s="325"/>
      <c r="R760" s="325"/>
      <c r="S760" s="325"/>
      <c r="T760" s="532"/>
      <c r="U760" s="301"/>
      <c r="V760" s="532"/>
      <c r="W760" s="532">
        <f>+V760-'ROR-Model'!G761</f>
        <v>0</v>
      </c>
    </row>
    <row r="761" spans="1:23">
      <c r="A761" s="543">
        <v>902</v>
      </c>
      <c r="B761" s="534" t="s">
        <v>360</v>
      </c>
      <c r="C761" s="534"/>
      <c r="D761" s="534"/>
      <c r="E761" s="531"/>
      <c r="F761" s="301"/>
      <c r="G761" s="301"/>
      <c r="H761" s="301"/>
      <c r="I761" s="301"/>
      <c r="J761" s="325"/>
      <c r="K761" s="325"/>
      <c r="L761" s="301"/>
      <c r="M761" s="301"/>
      <c r="N761" s="301"/>
      <c r="O761" s="301"/>
      <c r="P761" s="301"/>
      <c r="Q761" s="325"/>
      <c r="R761" s="325"/>
      <c r="S761" s="325"/>
      <c r="T761" s="532"/>
      <c r="U761" s="301"/>
      <c r="V761" s="532"/>
      <c r="W761" s="532">
        <f>+V761-'ROR-Model'!G762</f>
        <v>0</v>
      </c>
    </row>
    <row r="762" spans="1:23">
      <c r="A762" s="543"/>
      <c r="B762" s="534"/>
      <c r="C762" s="534" t="s">
        <v>12</v>
      </c>
      <c r="D762" s="534"/>
      <c r="E762" s="531"/>
      <c r="F762" s="301"/>
      <c r="G762" s="301"/>
      <c r="H762" s="301"/>
      <c r="I762" s="301"/>
      <c r="J762" s="325"/>
      <c r="K762" s="325"/>
      <c r="L762" s="301"/>
      <c r="M762" s="301"/>
      <c r="N762" s="301"/>
      <c r="O762" s="301"/>
      <c r="P762" s="301"/>
      <c r="Q762" s="325"/>
      <c r="R762" s="325"/>
      <c r="S762" s="325"/>
      <c r="T762" s="532">
        <f>SUM(F762:S762)</f>
        <v>0</v>
      </c>
      <c r="U762" s="301"/>
      <c r="V762" s="532">
        <f>SUM(T762:T762)</f>
        <v>0</v>
      </c>
      <c r="W762" s="532">
        <f>+V762-'ROR-Model'!G763</f>
        <v>0</v>
      </c>
    </row>
    <row r="763" spans="1:23">
      <c r="A763" s="543"/>
      <c r="B763" s="534"/>
      <c r="C763" s="534" t="s">
        <v>23</v>
      </c>
      <c r="D763" s="534"/>
      <c r="E763" s="531"/>
      <c r="F763" s="301"/>
      <c r="G763" s="301"/>
      <c r="H763" s="301"/>
      <c r="I763" s="301"/>
      <c r="J763" s="325"/>
      <c r="K763" s="325"/>
      <c r="L763" s="301"/>
      <c r="M763" s="301"/>
      <c r="N763" s="301"/>
      <c r="O763" s="301"/>
      <c r="P763" s="301"/>
      <c r="Q763" s="325"/>
      <c r="R763" s="325"/>
      <c r="S763" s="325"/>
      <c r="T763" s="532">
        <f>SUM(F763:S763)</f>
        <v>0</v>
      </c>
      <c r="U763" s="301"/>
      <c r="V763" s="532">
        <f>SUM(T763:T763)</f>
        <v>0</v>
      </c>
      <c r="W763" s="532">
        <f>+V763-'ROR-Model'!G764</f>
        <v>0</v>
      </c>
    </row>
    <row r="764" spans="1:23">
      <c r="A764" s="543"/>
      <c r="B764" s="534"/>
      <c r="C764" s="534" t="s">
        <v>145</v>
      </c>
      <c r="D764" s="534"/>
      <c r="E764" s="531"/>
      <c r="F764" s="323">
        <f>SUM(F762:F763)</f>
        <v>0</v>
      </c>
      <c r="G764" s="323">
        <f>G1*SUM(G762:G763)</f>
        <v>0</v>
      </c>
      <c r="H764" s="323">
        <f>SUM(H762:H763)</f>
        <v>0</v>
      </c>
      <c r="I764" s="323">
        <f t="shared" ref="I764:P764" si="162">SUM(I762:I763)</f>
        <v>0</v>
      </c>
      <c r="J764" s="476">
        <f>J1*SUM(J762:J763)</f>
        <v>0</v>
      </c>
      <c r="K764" s="476">
        <f>K1*SUM(K762:K763)</f>
        <v>0</v>
      </c>
      <c r="L764" s="323">
        <f t="shared" si="162"/>
        <v>0</v>
      </c>
      <c r="M764" s="323">
        <f t="shared" si="162"/>
        <v>0</v>
      </c>
      <c r="N764" s="323">
        <f t="shared" si="162"/>
        <v>0</v>
      </c>
      <c r="O764" s="323">
        <f t="shared" si="162"/>
        <v>0</v>
      </c>
      <c r="P764" s="323">
        <f t="shared" si="162"/>
        <v>0</v>
      </c>
      <c r="Q764" s="476">
        <f>SUM(Q762:Q763)</f>
        <v>0</v>
      </c>
      <c r="R764" s="476">
        <f>R1*SUM(R762:R763)</f>
        <v>0</v>
      </c>
      <c r="S764" s="476">
        <f>S1*SUM(S762:S763)</f>
        <v>0</v>
      </c>
      <c r="T764" s="536">
        <f>SUM(T762:T763)</f>
        <v>0</v>
      </c>
      <c r="U764" s="323"/>
      <c r="V764" s="536">
        <f>SUM(V762:V763)</f>
        <v>0</v>
      </c>
      <c r="W764" s="536">
        <f>+V764-'ROR-Model'!G765</f>
        <v>0</v>
      </c>
    </row>
    <row r="765" spans="1:23">
      <c r="A765" s="543"/>
      <c r="B765" s="534"/>
      <c r="C765" s="534"/>
      <c r="D765" s="534"/>
      <c r="E765" s="531"/>
      <c r="F765" s="301"/>
      <c r="G765" s="301"/>
      <c r="H765" s="301"/>
      <c r="I765" s="301"/>
      <c r="J765" s="325"/>
      <c r="K765" s="325"/>
      <c r="L765" s="301"/>
      <c r="M765" s="301"/>
      <c r="N765" s="301"/>
      <c r="O765" s="301"/>
      <c r="P765" s="301"/>
      <c r="Q765" s="325"/>
      <c r="R765" s="325"/>
      <c r="S765" s="325"/>
      <c r="T765" s="532"/>
      <c r="U765" s="301"/>
      <c r="V765" s="532"/>
      <c r="W765" s="532">
        <f>+V765-'ROR-Model'!G766</f>
        <v>0</v>
      </c>
    </row>
    <row r="766" spans="1:23">
      <c r="A766" s="543">
        <v>9031</v>
      </c>
      <c r="B766" s="534" t="s">
        <v>361</v>
      </c>
      <c r="C766" s="534"/>
      <c r="D766" s="534"/>
      <c r="E766" s="531"/>
      <c r="F766" s="301"/>
      <c r="G766" s="301"/>
      <c r="H766" s="301"/>
      <c r="I766" s="301"/>
      <c r="J766" s="325"/>
      <c r="K766" s="325"/>
      <c r="L766" s="301"/>
      <c r="M766" s="301"/>
      <c r="N766" s="301"/>
      <c r="O766" s="301"/>
      <c r="P766" s="301"/>
      <c r="Q766" s="325"/>
      <c r="R766" s="325"/>
      <c r="S766" s="325"/>
      <c r="T766" s="532"/>
      <c r="U766" s="301"/>
      <c r="V766" s="532"/>
      <c r="W766" s="532">
        <f>+V766-'ROR-Model'!G767</f>
        <v>0</v>
      </c>
    </row>
    <row r="767" spans="1:23">
      <c r="A767" s="543"/>
      <c r="B767" s="534"/>
      <c r="C767" s="534" t="s">
        <v>12</v>
      </c>
      <c r="D767" s="534"/>
      <c r="E767" s="531"/>
      <c r="F767" s="301"/>
      <c r="G767" s="301"/>
      <c r="H767" s="301"/>
      <c r="I767" s="301"/>
      <c r="J767" s="325"/>
      <c r="K767" s="325"/>
      <c r="L767" s="301"/>
      <c r="M767" s="301"/>
      <c r="N767" s="301"/>
      <c r="O767" s="301"/>
      <c r="P767" s="301"/>
      <c r="Q767" s="325"/>
      <c r="R767" s="325"/>
      <c r="S767" s="325"/>
      <c r="T767" s="532">
        <f>SUM(F767:S767)</f>
        <v>0</v>
      </c>
      <c r="U767" s="301"/>
      <c r="V767" s="532">
        <f>SUM(T767:T767)</f>
        <v>0</v>
      </c>
      <c r="W767" s="532">
        <f>+V767-'ROR-Model'!G768</f>
        <v>0</v>
      </c>
    </row>
    <row r="768" spans="1:23">
      <c r="A768" s="543"/>
      <c r="B768" s="534"/>
      <c r="C768" s="534" t="s">
        <v>23</v>
      </c>
      <c r="D768" s="534"/>
      <c r="E768" s="531"/>
      <c r="F768" s="301"/>
      <c r="G768" s="301"/>
      <c r="H768" s="301"/>
      <c r="I768" s="301"/>
      <c r="J768" s="325"/>
      <c r="K768" s="325"/>
      <c r="L768" s="301"/>
      <c r="M768" s="301"/>
      <c r="N768" s="301"/>
      <c r="O768" s="301"/>
      <c r="P768" s="301"/>
      <c r="Q768" s="325"/>
      <c r="R768" s="325"/>
      <c r="S768" s="325"/>
      <c r="T768" s="532">
        <f>SUM(F768:S768)</f>
        <v>0</v>
      </c>
      <c r="U768" s="301"/>
      <c r="V768" s="532">
        <f>SUM(T768:T768)</f>
        <v>0</v>
      </c>
      <c r="W768" s="532">
        <f>+V768-'ROR-Model'!G769</f>
        <v>0</v>
      </c>
    </row>
    <row r="769" spans="1:23">
      <c r="A769" s="543"/>
      <c r="B769" s="534"/>
      <c r="C769" s="534" t="s">
        <v>145</v>
      </c>
      <c r="D769" s="534"/>
      <c r="E769" s="531"/>
      <c r="F769" s="323">
        <f>SUM(F767:F768)</f>
        <v>0</v>
      </c>
      <c r="G769" s="323">
        <f>G1*SUM(G767:G768)</f>
        <v>0</v>
      </c>
      <c r="H769" s="323">
        <f>SUM(H767:H768)</f>
        <v>0</v>
      </c>
      <c r="I769" s="323">
        <f t="shared" ref="I769:P769" si="163">SUM(I767:I768)</f>
        <v>0</v>
      </c>
      <c r="J769" s="476">
        <f>J1*SUM(J767:J768)</f>
        <v>0</v>
      </c>
      <c r="K769" s="476">
        <f>K1*SUM(K767:K768)</f>
        <v>0</v>
      </c>
      <c r="L769" s="323">
        <f t="shared" si="163"/>
        <v>0</v>
      </c>
      <c r="M769" s="323">
        <f t="shared" si="163"/>
        <v>0</v>
      </c>
      <c r="N769" s="323">
        <f t="shared" si="163"/>
        <v>0</v>
      </c>
      <c r="O769" s="323">
        <f t="shared" si="163"/>
        <v>0</v>
      </c>
      <c r="P769" s="323">
        <f t="shared" si="163"/>
        <v>0</v>
      </c>
      <c r="Q769" s="476">
        <f>SUM(Q767:Q768)</f>
        <v>0</v>
      </c>
      <c r="R769" s="476">
        <f>R1*SUM(R767:R768)</f>
        <v>0</v>
      </c>
      <c r="S769" s="476">
        <f>S1*SUM(S767:S768)</f>
        <v>0</v>
      </c>
      <c r="T769" s="536">
        <f>SUM(T767:T768)</f>
        <v>0</v>
      </c>
      <c r="U769" s="323"/>
      <c r="V769" s="536">
        <f>SUM(V767:V768)</f>
        <v>0</v>
      </c>
      <c r="W769" s="536">
        <f>+V769-'ROR-Model'!G770</f>
        <v>0</v>
      </c>
    </row>
    <row r="770" spans="1:23">
      <c r="A770" s="543"/>
      <c r="B770" s="534"/>
      <c r="C770" s="534"/>
      <c r="D770" s="534"/>
      <c r="E770" s="531"/>
      <c r="F770" s="301"/>
      <c r="G770" s="301"/>
      <c r="H770" s="301"/>
      <c r="I770" s="301"/>
      <c r="J770" s="325"/>
      <c r="K770" s="325"/>
      <c r="L770" s="301"/>
      <c r="M770" s="301"/>
      <c r="N770" s="301"/>
      <c r="O770" s="301"/>
      <c r="P770" s="301"/>
      <c r="Q770" s="325"/>
      <c r="R770" s="325"/>
      <c r="S770" s="325"/>
      <c r="T770" s="532"/>
      <c r="U770" s="301"/>
      <c r="V770" s="532"/>
      <c r="W770" s="532">
        <f>+V770-'ROR-Model'!G771</f>
        <v>0</v>
      </c>
    </row>
    <row r="771" spans="1:23">
      <c r="A771" s="543">
        <v>9032</v>
      </c>
      <c r="B771" s="534" t="s">
        <v>362</v>
      </c>
      <c r="C771" s="534"/>
      <c r="D771" s="534"/>
      <c r="E771" s="531"/>
      <c r="F771" s="301"/>
      <c r="G771" s="301"/>
      <c r="H771" s="301"/>
      <c r="I771" s="301"/>
      <c r="J771" s="325"/>
      <c r="K771" s="325"/>
      <c r="L771" s="301"/>
      <c r="M771" s="301"/>
      <c r="N771" s="301"/>
      <c r="O771" s="301"/>
      <c r="P771" s="301"/>
      <c r="Q771" s="325"/>
      <c r="R771" s="325"/>
      <c r="S771" s="325"/>
      <c r="T771" s="532"/>
      <c r="U771" s="301"/>
      <c r="V771" s="532"/>
      <c r="W771" s="532">
        <f>+V771-'ROR-Model'!G772</f>
        <v>0</v>
      </c>
    </row>
    <row r="772" spans="1:23">
      <c r="A772" s="543"/>
      <c r="B772" s="534"/>
      <c r="C772" s="534" t="s">
        <v>12</v>
      </c>
      <c r="D772" s="534"/>
      <c r="E772" s="531"/>
      <c r="F772" s="301"/>
      <c r="G772" s="301"/>
      <c r="H772" s="301"/>
      <c r="I772" s="301"/>
      <c r="J772" s="325"/>
      <c r="K772" s="325"/>
      <c r="L772" s="301"/>
      <c r="M772" s="301"/>
      <c r="N772" s="301"/>
      <c r="O772" s="301"/>
      <c r="P772" s="301"/>
      <c r="Q772" s="325"/>
      <c r="R772" s="325"/>
      <c r="S772" s="325"/>
      <c r="T772" s="532">
        <f>SUM(F772:S772)</f>
        <v>0</v>
      </c>
      <c r="U772" s="301"/>
      <c r="V772" s="532">
        <f>SUM(T772:T772)</f>
        <v>0</v>
      </c>
      <c r="W772" s="532">
        <f>+V772-'ROR-Model'!G773</f>
        <v>0</v>
      </c>
    </row>
    <row r="773" spans="1:23">
      <c r="A773" s="543"/>
      <c r="B773" s="534"/>
      <c r="C773" s="534" t="s">
        <v>23</v>
      </c>
      <c r="D773" s="534"/>
      <c r="E773" s="531"/>
      <c r="F773" s="301"/>
      <c r="G773" s="301"/>
      <c r="H773" s="301"/>
      <c r="I773" s="301"/>
      <c r="J773" s="325"/>
      <c r="K773" s="325"/>
      <c r="L773" s="301"/>
      <c r="M773" s="301"/>
      <c r="N773" s="301"/>
      <c r="O773" s="301"/>
      <c r="P773" s="301"/>
      <c r="Q773" s="325"/>
      <c r="R773" s="325"/>
      <c r="S773" s="325"/>
      <c r="T773" s="532">
        <f>SUM(F773:S773)</f>
        <v>0</v>
      </c>
      <c r="U773" s="301"/>
      <c r="V773" s="532">
        <f>SUM(T773:T773)</f>
        <v>0</v>
      </c>
      <c r="W773" s="532">
        <f>+V773-'ROR-Model'!G774</f>
        <v>0</v>
      </c>
    </row>
    <row r="774" spans="1:23">
      <c r="A774" s="543"/>
      <c r="B774" s="534"/>
      <c r="C774" s="534" t="s">
        <v>145</v>
      </c>
      <c r="D774" s="534"/>
      <c r="E774" s="531"/>
      <c r="F774" s="323">
        <f>SUM(F772:F773)</f>
        <v>0</v>
      </c>
      <c r="G774" s="323">
        <f>G1*SUM(G772:G773)</f>
        <v>0</v>
      </c>
      <c r="H774" s="323">
        <f>SUM(H772:H773)</f>
        <v>0</v>
      </c>
      <c r="I774" s="323">
        <f t="shared" ref="I774:P774" si="164">SUM(I772:I773)</f>
        <v>0</v>
      </c>
      <c r="J774" s="476">
        <f>J1*SUM(J772:J773)</f>
        <v>0</v>
      </c>
      <c r="K774" s="476">
        <f>K1*SUM(K772:K773)</f>
        <v>0</v>
      </c>
      <c r="L774" s="323">
        <f t="shared" si="164"/>
        <v>0</v>
      </c>
      <c r="M774" s="323">
        <f t="shared" si="164"/>
        <v>0</v>
      </c>
      <c r="N774" s="323">
        <f t="shared" si="164"/>
        <v>0</v>
      </c>
      <c r="O774" s="323">
        <f t="shared" si="164"/>
        <v>0</v>
      </c>
      <c r="P774" s="323">
        <f t="shared" si="164"/>
        <v>0</v>
      </c>
      <c r="Q774" s="476">
        <f>SUM(Q772:Q773)</f>
        <v>0</v>
      </c>
      <c r="R774" s="476">
        <f>R1*SUM(R772:R773)</f>
        <v>0</v>
      </c>
      <c r="S774" s="476">
        <f>S1*SUM(S772:S773)</f>
        <v>0</v>
      </c>
      <c r="T774" s="536">
        <f>SUM(T772:T773)</f>
        <v>0</v>
      </c>
      <c r="U774" s="323"/>
      <c r="V774" s="536">
        <f>SUM(V772:V773)</f>
        <v>0</v>
      </c>
      <c r="W774" s="536">
        <f>+V774-'ROR-Model'!G775</f>
        <v>0</v>
      </c>
    </row>
    <row r="775" spans="1:23">
      <c r="A775" s="543"/>
      <c r="B775" s="534"/>
      <c r="C775" s="534"/>
      <c r="D775" s="534"/>
      <c r="E775" s="531"/>
      <c r="F775" s="301"/>
      <c r="G775" s="301"/>
      <c r="H775" s="301"/>
      <c r="I775" s="301"/>
      <c r="J775" s="325"/>
      <c r="K775" s="325"/>
      <c r="L775" s="301"/>
      <c r="M775" s="301"/>
      <c r="N775" s="301"/>
      <c r="O775" s="301"/>
      <c r="P775" s="301"/>
      <c r="Q775" s="325"/>
      <c r="R775" s="325"/>
      <c r="S775" s="325"/>
      <c r="T775" s="532"/>
      <c r="U775" s="301"/>
      <c r="V775" s="532"/>
      <c r="W775" s="532">
        <f>+V775-'ROR-Model'!G776</f>
        <v>0</v>
      </c>
    </row>
    <row r="776" spans="1:23">
      <c r="A776" s="543">
        <v>9033</v>
      </c>
      <c r="B776" s="534" t="s">
        <v>363</v>
      </c>
      <c r="C776" s="534"/>
      <c r="D776" s="534"/>
      <c r="E776" s="531"/>
      <c r="F776" s="301"/>
      <c r="G776" s="301"/>
      <c r="H776" s="301"/>
      <c r="I776" s="301"/>
      <c r="J776" s="325"/>
      <c r="K776" s="325"/>
      <c r="L776" s="301"/>
      <c r="M776" s="301"/>
      <c r="N776" s="301"/>
      <c r="O776" s="301"/>
      <c r="P776" s="301"/>
      <c r="Q776" s="325"/>
      <c r="R776" s="325"/>
      <c r="S776" s="325"/>
      <c r="T776" s="532"/>
      <c r="U776" s="301"/>
      <c r="V776" s="532"/>
      <c r="W776" s="532">
        <f>+V776-'ROR-Model'!G777</f>
        <v>0</v>
      </c>
    </row>
    <row r="777" spans="1:23">
      <c r="A777" s="543"/>
      <c r="B777" s="534"/>
      <c r="C777" s="534" t="s">
        <v>12</v>
      </c>
      <c r="D777" s="534"/>
      <c r="E777" s="531"/>
      <c r="F777" s="301"/>
      <c r="G777" s="301"/>
      <c r="H777" s="301"/>
      <c r="I777" s="301"/>
      <c r="J777" s="325"/>
      <c r="K777" s="325"/>
      <c r="L777" s="301"/>
      <c r="M777" s="301"/>
      <c r="N777" s="301"/>
      <c r="O777" s="301"/>
      <c r="P777" s="301"/>
      <c r="Q777" s="325"/>
      <c r="R777" s="325"/>
      <c r="S777" s="325"/>
      <c r="T777" s="532">
        <f>SUM(F777:S777)</f>
        <v>0</v>
      </c>
      <c r="U777" s="301"/>
      <c r="V777" s="532">
        <f>SUM(T777:T777)</f>
        <v>0</v>
      </c>
      <c r="W777" s="532">
        <f>+V777-'ROR-Model'!G778</f>
        <v>0</v>
      </c>
    </row>
    <row r="778" spans="1:23">
      <c r="A778" s="543"/>
      <c r="B778" s="534"/>
      <c r="C778" s="534" t="s">
        <v>23</v>
      </c>
      <c r="D778" s="534"/>
      <c r="E778" s="531"/>
      <c r="F778" s="301"/>
      <c r="G778" s="301"/>
      <c r="H778" s="301"/>
      <c r="I778" s="301"/>
      <c r="J778" s="325"/>
      <c r="K778" s="325"/>
      <c r="L778" s="301"/>
      <c r="M778" s="301"/>
      <c r="N778" s="301"/>
      <c r="O778" s="301"/>
      <c r="P778" s="301"/>
      <c r="Q778" s="325"/>
      <c r="R778" s="325"/>
      <c r="S778" s="325"/>
      <c r="T778" s="532">
        <f>SUM(F778:S778)</f>
        <v>0</v>
      </c>
      <c r="U778" s="301"/>
      <c r="V778" s="532">
        <f>SUM(T778:T778)</f>
        <v>0</v>
      </c>
      <c r="W778" s="532">
        <f>+V778-'ROR-Model'!G779</f>
        <v>0</v>
      </c>
    </row>
    <row r="779" spans="1:23">
      <c r="A779" s="543"/>
      <c r="B779" s="534"/>
      <c r="C779" s="534" t="s">
        <v>145</v>
      </c>
      <c r="D779" s="534"/>
      <c r="E779" s="531"/>
      <c r="F779" s="323">
        <f>SUM(F777:F778)</f>
        <v>0</v>
      </c>
      <c r="G779" s="323">
        <f>G1*SUM(G777:G778)</f>
        <v>0</v>
      </c>
      <c r="H779" s="323">
        <f>SUM(H777:H778)</f>
        <v>0</v>
      </c>
      <c r="I779" s="323">
        <f t="shared" ref="I779:P779" si="165">SUM(I777:I778)</f>
        <v>0</v>
      </c>
      <c r="J779" s="476">
        <f>J1*SUM(J777:J778)</f>
        <v>0</v>
      </c>
      <c r="K779" s="476">
        <f>K1*SUM(K777:K778)</f>
        <v>0</v>
      </c>
      <c r="L779" s="323">
        <f t="shared" si="165"/>
        <v>0</v>
      </c>
      <c r="M779" s="323">
        <f t="shared" si="165"/>
        <v>0</v>
      </c>
      <c r="N779" s="323">
        <f t="shared" si="165"/>
        <v>0</v>
      </c>
      <c r="O779" s="323">
        <f t="shared" si="165"/>
        <v>0</v>
      </c>
      <c r="P779" s="323">
        <f t="shared" si="165"/>
        <v>0</v>
      </c>
      <c r="Q779" s="476">
        <f>SUM(Q777:Q778)</f>
        <v>0</v>
      </c>
      <c r="R779" s="476">
        <f>R1*SUM(R777:R778)</f>
        <v>0</v>
      </c>
      <c r="S779" s="476">
        <f>S1*SUM(S777:S778)</f>
        <v>0</v>
      </c>
      <c r="T779" s="536">
        <f>SUM(T777:T778)</f>
        <v>0</v>
      </c>
      <c r="U779" s="323"/>
      <c r="V779" s="536">
        <f>SUM(V777:V778)</f>
        <v>0</v>
      </c>
      <c r="W779" s="536">
        <f>+V779-'ROR-Model'!G780</f>
        <v>0</v>
      </c>
    </row>
    <row r="780" spans="1:23">
      <c r="A780" s="543"/>
      <c r="B780" s="534"/>
      <c r="C780" s="534"/>
      <c r="D780" s="534"/>
      <c r="E780" s="531"/>
      <c r="F780" s="301"/>
      <c r="G780" s="301"/>
      <c r="H780" s="301"/>
      <c r="I780" s="301"/>
      <c r="J780" s="325"/>
      <c r="K780" s="325"/>
      <c r="L780" s="301"/>
      <c r="M780" s="301"/>
      <c r="N780" s="301"/>
      <c r="O780" s="301"/>
      <c r="P780" s="301"/>
      <c r="Q780" s="325"/>
      <c r="R780" s="325"/>
      <c r="S780" s="325"/>
      <c r="T780" s="532"/>
      <c r="U780" s="301"/>
      <c r="V780" s="532"/>
      <c r="W780" s="532">
        <f>+V780-'ROR-Model'!G781</f>
        <v>0</v>
      </c>
    </row>
    <row r="781" spans="1:23">
      <c r="A781" s="543" t="s">
        <v>0</v>
      </c>
      <c r="B781" s="534" t="s">
        <v>20</v>
      </c>
      <c r="C781" s="534"/>
      <c r="D781" s="534"/>
      <c r="E781" s="531"/>
      <c r="F781" s="301"/>
      <c r="G781" s="301"/>
      <c r="H781" s="301"/>
      <c r="I781" s="301"/>
      <c r="J781" s="325"/>
      <c r="K781" s="325"/>
      <c r="L781" s="301"/>
      <c r="M781" s="301"/>
      <c r="N781" s="301"/>
      <c r="O781" s="301"/>
      <c r="P781" s="301"/>
      <c r="Q781" s="325"/>
      <c r="R781" s="325"/>
      <c r="S781" s="325"/>
      <c r="T781" s="532"/>
      <c r="U781" s="301"/>
      <c r="V781" s="532"/>
      <c r="W781" s="532">
        <f>+V781-'ROR-Model'!G782</f>
        <v>0</v>
      </c>
    </row>
    <row r="782" spans="1:23">
      <c r="A782" s="543"/>
      <c r="B782" s="534"/>
      <c r="C782" s="534" t="s">
        <v>12</v>
      </c>
      <c r="D782" s="534"/>
      <c r="E782" s="528">
        <f>E1*((E200+E229)+(E$353*'ROR-Model'!$M$4))*'Control Panel'!$F$22*E$1</f>
        <v>0</v>
      </c>
      <c r="F782" s="301">
        <f>((F200+F229)+(F$353*'ROR-Model'!$M$4))*'Control Panel'!$F$22*F$1</f>
        <v>0</v>
      </c>
      <c r="G782" s="301"/>
      <c r="H782" s="301">
        <f>((H200+H229)+(H$353*'ROR-Model'!$M$4))*'Control Panel'!$F$22*H$1</f>
        <v>0</v>
      </c>
      <c r="I782" s="301">
        <f>((I200+I229)+(I$353*'ROR-Model'!$M$4))*'Control Panel'!$F$22*I$1</f>
        <v>0</v>
      </c>
      <c r="J782" s="325"/>
      <c r="K782" s="325"/>
      <c r="L782" s="301">
        <f>'Bad Debt'!F12*$L$1</f>
        <v>197298.66307491087</v>
      </c>
      <c r="M782" s="301">
        <f>((M200+M229)+(M$353*'ROR-Model'!$M$4))*'Control Panel'!$F$22*M$1</f>
        <v>0</v>
      </c>
      <c r="N782" s="301">
        <f>((N200+N229)+(N$353*'ROR-Model'!$M$4))*'Control Panel'!$F$22*N$1</f>
        <v>0</v>
      </c>
      <c r="O782" s="301">
        <f>((O200+O229)+(O$353*'ROR-Model'!$M$4))*'Control Panel'!$F$22*O$1</f>
        <v>0</v>
      </c>
      <c r="P782" s="301">
        <f>((P200+P229)+(P$353*'ROR-Model'!$M$4))*'Control Panel'!$F$22*P$1</f>
        <v>0</v>
      </c>
      <c r="Q782" s="325">
        <f>((Q200+Q229)+(Q$353*'ROR-Model'!$M$4))*'Control Panel'!$F$22*Q$1</f>
        <v>0</v>
      </c>
      <c r="R782" s="325"/>
      <c r="S782" s="325"/>
      <c r="T782" s="532">
        <f>SUM(F782:S782)</f>
        <v>197298.66307491087</v>
      </c>
      <c r="U782" s="301"/>
      <c r="V782" s="532">
        <f>SUM(T782:T782)</f>
        <v>197298.66307491087</v>
      </c>
      <c r="W782" s="532">
        <f>+V782-'ROR-Model'!G783</f>
        <v>0</v>
      </c>
    </row>
    <row r="783" spans="1:23">
      <c r="A783" s="543"/>
      <c r="B783" s="534"/>
      <c r="C783" s="534" t="s">
        <v>23</v>
      </c>
      <c r="D783" s="534"/>
      <c r="E783" s="528">
        <f>E1*((E323)+(E$353*'ROR-Model'!$N$4))*'Control Panel'!$F$22*E$1</f>
        <v>0</v>
      </c>
      <c r="F783" s="301">
        <f>((F323)+(F$353*'ROR-Model'!$N$4))*'Control Panel'!$F$22*F$1</f>
        <v>0</v>
      </c>
      <c r="G783" s="301"/>
      <c r="H783" s="301">
        <f>((H323)+(H$353*'ROR-Model'!$N$4))*'Control Panel'!$F$22*H$1</f>
        <v>0</v>
      </c>
      <c r="I783" s="301">
        <f>((I323)+(I$353*'ROR-Model'!$N$4))*'Control Panel'!$F$22*I$1</f>
        <v>0</v>
      </c>
      <c r="J783" s="325"/>
      <c r="K783" s="325"/>
      <c r="L783" s="301">
        <f>'Bad Debt'!F13*L1</f>
        <v>-65820.193299322476</v>
      </c>
      <c r="M783" s="301">
        <f>((M323)+(M$353*'ROR-Model'!$N$4))*'Control Panel'!$F$22*M$1</f>
        <v>0</v>
      </c>
      <c r="N783" s="301">
        <f>((N323)+(N$353*'ROR-Model'!$N$4))*'Control Panel'!$F$22*N$1</f>
        <v>0</v>
      </c>
      <c r="O783" s="301">
        <f>((O323)+(O$353*'ROR-Model'!$N$4))*'Control Panel'!$F$22*O$1</f>
        <v>0</v>
      </c>
      <c r="P783" s="301">
        <f>((P323)+(P$353*'ROR-Model'!$N$4))*'Control Panel'!$F$22*P$1</f>
        <v>0</v>
      </c>
      <c r="Q783" s="325">
        <f>((Q323)+(Q$353*'ROR-Model'!$N$4))*'Control Panel'!$F$22*Q$1</f>
        <v>0</v>
      </c>
      <c r="R783" s="325"/>
      <c r="S783" s="325"/>
      <c r="T783" s="532">
        <f>SUM(F783:S783)</f>
        <v>-65820.193299322476</v>
      </c>
      <c r="U783" s="301"/>
      <c r="V783" s="532">
        <f>SUM(T783:T783)</f>
        <v>-65820.193299322476</v>
      </c>
      <c r="W783" s="532">
        <f>+V783-'ROR-Model'!G784</f>
        <v>0</v>
      </c>
    </row>
    <row r="784" spans="1:23">
      <c r="A784" s="543"/>
      <c r="B784" s="534"/>
      <c r="C784" s="534" t="s">
        <v>145</v>
      </c>
      <c r="D784" s="534"/>
      <c r="E784" s="550">
        <f>E1*SUM(E782:E783)</f>
        <v>0</v>
      </c>
      <c r="F784" s="323">
        <f>SUM(F782:F783)</f>
        <v>0</v>
      </c>
      <c r="G784" s="323">
        <f>G1*SUM(G782:G783)</f>
        <v>0</v>
      </c>
      <c r="H784" s="323">
        <f>SUM(H782:H783)</f>
        <v>0</v>
      </c>
      <c r="I784" s="323">
        <f t="shared" ref="I784:P784" si="166">SUM(I782:I783)</f>
        <v>0</v>
      </c>
      <c r="J784" s="476">
        <f>J1*SUM(J782:J783)</f>
        <v>0</v>
      </c>
      <c r="K784" s="476">
        <f>K1*SUM(K782:K783)</f>
        <v>0</v>
      </c>
      <c r="L784" s="323">
        <f t="shared" si="166"/>
        <v>131478.4697755884</v>
      </c>
      <c r="M784" s="323">
        <f t="shared" si="166"/>
        <v>0</v>
      </c>
      <c r="N784" s="323">
        <f t="shared" si="166"/>
        <v>0</v>
      </c>
      <c r="O784" s="323">
        <f t="shared" si="166"/>
        <v>0</v>
      </c>
      <c r="P784" s="323">
        <f t="shared" si="166"/>
        <v>0</v>
      </c>
      <c r="Q784" s="476">
        <f>SUM(Q782:Q783)</f>
        <v>0</v>
      </c>
      <c r="R784" s="476">
        <f>R1*SUM(R782:R783)</f>
        <v>0</v>
      </c>
      <c r="S784" s="476">
        <f>S1*SUM(S782:S783)</f>
        <v>0</v>
      </c>
      <c r="T784" s="536">
        <f>SUM(T782:T783)</f>
        <v>131478.4697755884</v>
      </c>
      <c r="U784" s="323"/>
      <c r="V784" s="536">
        <f>SUM(V782:V783)</f>
        <v>131478.4697755884</v>
      </c>
      <c r="W784" s="536">
        <f>+V784-'ROR-Model'!G785</f>
        <v>0</v>
      </c>
    </row>
    <row r="785" spans="1:23">
      <c r="A785" s="543"/>
      <c r="B785" s="534"/>
      <c r="C785" s="534"/>
      <c r="D785" s="534"/>
      <c r="E785" s="528"/>
      <c r="F785" s="301"/>
      <c r="G785" s="301"/>
      <c r="H785" s="301"/>
      <c r="I785" s="301"/>
      <c r="J785" s="325"/>
      <c r="K785" s="325"/>
      <c r="L785" s="301"/>
      <c r="M785" s="301"/>
      <c r="N785" s="301"/>
      <c r="O785" s="301"/>
      <c r="P785" s="301"/>
      <c r="Q785" s="325"/>
      <c r="R785" s="325"/>
      <c r="S785" s="325"/>
      <c r="T785" s="532"/>
      <c r="U785" s="301"/>
      <c r="V785" s="532"/>
      <c r="W785" s="532">
        <f>+V785-'ROR-Model'!G786</f>
        <v>0</v>
      </c>
    </row>
    <row r="786" spans="1:23">
      <c r="A786" s="543" t="s">
        <v>1</v>
      </c>
      <c r="B786" s="534" t="s">
        <v>21</v>
      </c>
      <c r="C786" s="534"/>
      <c r="D786" s="534"/>
      <c r="E786" s="531"/>
      <c r="F786" s="301"/>
      <c r="G786" s="301"/>
      <c r="H786" s="301"/>
      <c r="I786" s="301"/>
      <c r="J786" s="325"/>
      <c r="K786" s="325"/>
      <c r="L786" s="301"/>
      <c r="M786" s="301"/>
      <c r="N786" s="301"/>
      <c r="O786" s="301"/>
      <c r="P786" s="301"/>
      <c r="Q786" s="325"/>
      <c r="R786" s="325"/>
      <c r="S786" s="325"/>
      <c r="T786" s="532"/>
      <c r="U786" s="301"/>
      <c r="V786" s="532"/>
      <c r="W786" s="532">
        <f>+V786-'ROR-Model'!G787</f>
        <v>0</v>
      </c>
    </row>
    <row r="787" spans="1:23">
      <c r="A787" s="543"/>
      <c r="B787" s="534"/>
      <c r="C787" s="534" t="s">
        <v>12</v>
      </c>
      <c r="D787" s="534"/>
      <c r="E787" s="528">
        <f>E6*((E205+E234)+(E$353*'ROR-Model'!$M$4))*'Control Panel'!$F$22*E$1</f>
        <v>0</v>
      </c>
      <c r="F787" s="301">
        <f>((F205+F234)+(F$353*'ROR-Model'!$M$4))*'Control Panel'!$F$22*F$1</f>
        <v>0</v>
      </c>
      <c r="G787" s="301"/>
      <c r="H787" s="301">
        <f>((H205+H234)+(H$353*'ROR-Model'!$M$4))*'Control Panel'!$F$22*H$1</f>
        <v>0</v>
      </c>
      <c r="I787" s="301">
        <f>((I205+I234)+(I$353*'ROR-Model'!$M$4))*'Control Panel'!$F$22*I$1</f>
        <v>0</v>
      </c>
      <c r="J787" s="325">
        <v>0</v>
      </c>
      <c r="K787" s="325">
        <v>0</v>
      </c>
      <c r="L787" s="301">
        <f>'Bad Debt'!F24*$L$1</f>
        <v>-201407.35999999999</v>
      </c>
      <c r="M787" s="301">
        <f>((M205+M234)+(M$353*'ROR-Model'!$M$4))*'Control Panel'!$F$22*M$1</f>
        <v>0</v>
      </c>
      <c r="N787" s="301">
        <f>((N205+N234)+(N$353*'ROR-Model'!$M$4))*'Control Panel'!$F$22*N$1</f>
        <v>0</v>
      </c>
      <c r="O787" s="301">
        <f>((O205+O234)+(O$353*'ROR-Model'!$M$4))*'Control Panel'!$F$22*O$1</f>
        <v>0</v>
      </c>
      <c r="P787" s="301">
        <f>((P205+P234)+(P$353*'ROR-Model'!$M$4))*'Control Panel'!$F$22*P$1</f>
        <v>0</v>
      </c>
      <c r="Q787" s="325">
        <f>((Q205+Q234)+(Q$353*'ROR-Model'!$M$4))*'Control Panel'!$F$22*Q$1</f>
        <v>0</v>
      </c>
      <c r="R787" s="325">
        <v>0</v>
      </c>
      <c r="S787" s="325">
        <v>0</v>
      </c>
      <c r="T787" s="532">
        <f>SUM(F787:S787)</f>
        <v>-201407.35999999999</v>
      </c>
      <c r="U787" s="301"/>
      <c r="V787" s="532">
        <f>SUM(T787:T787)</f>
        <v>-201407.35999999999</v>
      </c>
      <c r="W787" s="532">
        <f>+V787-'ROR-Model'!G788</f>
        <v>0</v>
      </c>
    </row>
    <row r="788" spans="1:23">
      <c r="A788" s="543"/>
      <c r="B788" s="534"/>
      <c r="C788" s="534" t="s">
        <v>23</v>
      </c>
      <c r="D788" s="534"/>
      <c r="E788" s="528">
        <f>E6*((E328)+(E$353*'ROR-Model'!$N$4))*'Control Panel'!$F$22*E$1</f>
        <v>0</v>
      </c>
      <c r="F788" s="301">
        <f>((F328)+(F$353*'ROR-Model'!$N$4))*'Control Panel'!$F$22*F$1</f>
        <v>0</v>
      </c>
      <c r="G788" s="301"/>
      <c r="H788" s="301">
        <f>((H328)+(H$353*'ROR-Model'!$N$4))*'Control Panel'!$F$22*H$1</f>
        <v>0</v>
      </c>
      <c r="I788" s="301">
        <f>((I328)+(I$353*'ROR-Model'!$N$4))*'Control Panel'!$F$22*I$1</f>
        <v>0</v>
      </c>
      <c r="J788" s="325">
        <v>0</v>
      </c>
      <c r="K788" s="325">
        <v>0</v>
      </c>
      <c r="L788" s="301">
        <f>'Bad Debt'!F25*$L$1</f>
        <v>0</v>
      </c>
      <c r="M788" s="301">
        <f>((M328)+(M$353*'ROR-Model'!$N$4))*'Control Panel'!$F$22*M$1</f>
        <v>0</v>
      </c>
      <c r="N788" s="301">
        <f>((N328)+(N$353*'ROR-Model'!$N$4))*'Control Panel'!$F$22*N$1</f>
        <v>0</v>
      </c>
      <c r="O788" s="301">
        <f>((O328)+(O$353*'ROR-Model'!$N$4))*'Control Panel'!$F$22*O$1</f>
        <v>0</v>
      </c>
      <c r="P788" s="301">
        <f>((P328)+(P$353*'ROR-Model'!$N$4))*'Control Panel'!$F$22*P$1</f>
        <v>0</v>
      </c>
      <c r="Q788" s="325">
        <f>((Q328)+(Q$353*'ROR-Model'!$N$4))*'Control Panel'!$F$22*Q$1</f>
        <v>0</v>
      </c>
      <c r="R788" s="325">
        <v>0</v>
      </c>
      <c r="S788" s="325">
        <v>0</v>
      </c>
      <c r="T788" s="532">
        <f>SUM(F788:S788)</f>
        <v>0</v>
      </c>
      <c r="U788" s="301"/>
      <c r="V788" s="532">
        <f>SUM(T788:T788)</f>
        <v>0</v>
      </c>
      <c r="W788" s="532">
        <f>+V788-'ROR-Model'!G789</f>
        <v>0</v>
      </c>
    </row>
    <row r="789" spans="1:23">
      <c r="A789" s="543"/>
      <c r="B789" s="534"/>
      <c r="C789" s="534" t="s">
        <v>145</v>
      </c>
      <c r="D789" s="534"/>
      <c r="E789" s="550">
        <f>E6*SUM(E787:E788)</f>
        <v>0</v>
      </c>
      <c r="F789" s="323">
        <f>SUM(F787:F788)</f>
        <v>0</v>
      </c>
      <c r="G789" s="323">
        <f>SUM(G787:G788)</f>
        <v>0</v>
      </c>
      <c r="H789" s="323">
        <f>SUM(H787:H788)</f>
        <v>0</v>
      </c>
      <c r="I789" s="323">
        <f t="shared" ref="I789:Q789" si="167">SUM(I787:I788)</f>
        <v>0</v>
      </c>
      <c r="J789" s="323">
        <f>SUM(J787:J788)</f>
        <v>0</v>
      </c>
      <c r="K789" s="323">
        <f>SUM(K787:K788)</f>
        <v>0</v>
      </c>
      <c r="L789" s="323">
        <f t="shared" si="167"/>
        <v>-201407.35999999999</v>
      </c>
      <c r="M789" s="323">
        <f t="shared" si="167"/>
        <v>0</v>
      </c>
      <c r="N789" s="323">
        <f t="shared" si="167"/>
        <v>0</v>
      </c>
      <c r="O789" s="323">
        <f t="shared" si="167"/>
        <v>0</v>
      </c>
      <c r="P789" s="323">
        <f t="shared" si="167"/>
        <v>0</v>
      </c>
      <c r="Q789" s="476">
        <f t="shared" si="167"/>
        <v>0</v>
      </c>
      <c r="R789" s="323">
        <f>SUM(R787:R788)</f>
        <v>0</v>
      </c>
      <c r="S789" s="323">
        <f>SUM(S787:S788)</f>
        <v>0</v>
      </c>
      <c r="T789" s="536">
        <f>SUM(T787:T788)</f>
        <v>-201407.35999999999</v>
      </c>
      <c r="U789" s="323"/>
      <c r="V789" s="536">
        <f>SUM(V787:V788)</f>
        <v>-201407.35999999999</v>
      </c>
      <c r="W789" s="536">
        <f>+V789-'ROR-Model'!G790</f>
        <v>0</v>
      </c>
    </row>
    <row r="790" spans="1:23">
      <c r="A790" s="543"/>
      <c r="B790" s="534"/>
      <c r="C790" s="534"/>
      <c r="D790" s="534"/>
      <c r="E790" s="528"/>
      <c r="F790" s="301"/>
      <c r="G790" s="301"/>
      <c r="H790" s="301"/>
      <c r="I790" s="301"/>
      <c r="J790" s="325"/>
      <c r="K790" s="325"/>
      <c r="L790" s="301"/>
      <c r="M790" s="301"/>
      <c r="N790" s="301"/>
      <c r="O790" s="301"/>
      <c r="P790" s="301"/>
      <c r="Q790" s="325"/>
      <c r="R790" s="325"/>
      <c r="S790" s="325"/>
      <c r="T790" s="532"/>
      <c r="U790" s="301"/>
      <c r="V790" s="532"/>
      <c r="W790" s="532">
        <f>+V790-'ROR-Model'!G791</f>
        <v>0</v>
      </c>
    </row>
    <row r="791" spans="1:23">
      <c r="A791" s="543" t="s">
        <v>2</v>
      </c>
      <c r="B791" s="534" t="s">
        <v>22</v>
      </c>
      <c r="C791" s="534"/>
      <c r="D791" s="534"/>
      <c r="E791" s="531"/>
      <c r="F791" s="301"/>
      <c r="G791" s="301"/>
      <c r="H791" s="301"/>
      <c r="I791" s="301"/>
      <c r="J791" s="325"/>
      <c r="K791" s="325"/>
      <c r="L791" s="301"/>
      <c r="M791" s="301"/>
      <c r="N791" s="301"/>
      <c r="O791" s="301"/>
      <c r="P791" s="301"/>
      <c r="Q791" s="325"/>
      <c r="R791" s="325"/>
      <c r="S791" s="325"/>
      <c r="T791" s="532"/>
      <c r="U791" s="301"/>
      <c r="V791" s="532"/>
      <c r="W791" s="532">
        <f>+V791-'ROR-Model'!G792</f>
        <v>0</v>
      </c>
    </row>
    <row r="792" spans="1:23">
      <c r="A792" s="543"/>
      <c r="B792" s="534"/>
      <c r="C792" s="534" t="s">
        <v>12</v>
      </c>
      <c r="D792" s="534"/>
      <c r="E792" s="528">
        <f>E11*((E210+E239)+(E$353*'ROR-Model'!$M$4))*'Control Panel'!$F$22*E$1</f>
        <v>0</v>
      </c>
      <c r="F792" s="301">
        <f>((F210+F239)+(F$353*'ROR-Model'!$M$4))*'Control Panel'!$F$22*F$1</f>
        <v>0</v>
      </c>
      <c r="G792" s="301"/>
      <c r="H792" s="301">
        <f>((H210+H239)+(H$353*'ROR-Model'!$M$4))*'Control Panel'!$F$22*H$1</f>
        <v>0</v>
      </c>
      <c r="I792" s="301">
        <f>((I210+I239)+(I$353*'ROR-Model'!$M$4))*'Control Panel'!$F$22*I$1</f>
        <v>0</v>
      </c>
      <c r="J792" s="325">
        <v>0</v>
      </c>
      <c r="K792" s="325">
        <v>0</v>
      </c>
      <c r="L792" s="301">
        <f>'Bad Debt'!F29*$L$1</f>
        <v>-1836475.2000000002</v>
      </c>
      <c r="M792" s="301">
        <f>((M210+M239)+(M$353*'ROR-Model'!$M$4))*'Control Panel'!$F$22*M$1</f>
        <v>0</v>
      </c>
      <c r="N792" s="301">
        <f>((N210+N239)+(N$353*'ROR-Model'!$M$4))*'Control Panel'!$F$22*N$1</f>
        <v>0</v>
      </c>
      <c r="O792" s="301">
        <f>((O210+O239)+(O$353*'ROR-Model'!$M$4))*'Control Panel'!$F$22*O$1</f>
        <v>0</v>
      </c>
      <c r="P792" s="301">
        <f>((P210+P239)+(P$353*'ROR-Model'!$M$4))*'Control Panel'!$F$22*P$1</f>
        <v>0</v>
      </c>
      <c r="Q792" s="325">
        <f>((Q210+Q239)+(Q$353*'ROR-Model'!$M$4))*'Control Panel'!$F$22*Q$1</f>
        <v>0</v>
      </c>
      <c r="R792" s="325">
        <v>0</v>
      </c>
      <c r="S792" s="325">
        <v>0</v>
      </c>
      <c r="T792" s="532">
        <f>SUM(F792:S792)</f>
        <v>-1836475.2000000002</v>
      </c>
      <c r="U792" s="301"/>
      <c r="V792" s="532">
        <f>SUM(T792:T792)</f>
        <v>-1836475.2000000002</v>
      </c>
      <c r="W792" s="532">
        <f>+V792-'ROR-Model'!G793</f>
        <v>0</v>
      </c>
    </row>
    <row r="793" spans="1:23">
      <c r="A793" s="543"/>
      <c r="B793" s="534"/>
      <c r="C793" s="534" t="s">
        <v>23</v>
      </c>
      <c r="D793" s="534"/>
      <c r="E793" s="528">
        <f>E11*((E333)+(E$353*'ROR-Model'!$N$4))*'Control Panel'!$F$22*E$1</f>
        <v>0</v>
      </c>
      <c r="F793" s="301">
        <f>((F333)+(F$353*'ROR-Model'!$N$4))*'Control Panel'!$F$22*F$1</f>
        <v>0</v>
      </c>
      <c r="G793" s="301"/>
      <c r="H793" s="301">
        <f>((H333)+(H$353*'ROR-Model'!$N$4))*'Control Panel'!$F$22*H$1</f>
        <v>0</v>
      </c>
      <c r="I793" s="301">
        <f>((I333)+(I$353*'ROR-Model'!$N$4))*'Control Panel'!$F$22*I$1</f>
        <v>0</v>
      </c>
      <c r="J793" s="325">
        <v>0</v>
      </c>
      <c r="K793" s="325">
        <v>0</v>
      </c>
      <c r="L793" s="301">
        <f>'Bad Debt'!F30*$L$1</f>
        <v>0</v>
      </c>
      <c r="M793" s="301">
        <f>((M333)+(M$353*'ROR-Model'!$N$4))*'Control Panel'!$F$22*M$1</f>
        <v>0</v>
      </c>
      <c r="N793" s="301">
        <f>((N333)+(N$353*'ROR-Model'!$N$4))*'Control Panel'!$F$22*N$1</f>
        <v>0</v>
      </c>
      <c r="O793" s="301">
        <f>((O333)+(O$353*'ROR-Model'!$N$4))*'Control Panel'!$F$22*O$1</f>
        <v>0</v>
      </c>
      <c r="P793" s="301">
        <f>((P333)+(P$353*'ROR-Model'!$N$4))*'Control Panel'!$F$22*P$1</f>
        <v>0</v>
      </c>
      <c r="Q793" s="325">
        <f>((Q333)+(Q$353*'ROR-Model'!$N$4))*'Control Panel'!$F$22*Q$1</f>
        <v>0</v>
      </c>
      <c r="R793" s="325">
        <v>0</v>
      </c>
      <c r="S793" s="325">
        <v>0</v>
      </c>
      <c r="T793" s="532">
        <f>SUM(F793:S793)</f>
        <v>0</v>
      </c>
      <c r="U793" s="301"/>
      <c r="V793" s="532">
        <f>SUM(T793:T793)</f>
        <v>0</v>
      </c>
      <c r="W793" s="532">
        <f>+V793-'ROR-Model'!G794</f>
        <v>0</v>
      </c>
    </row>
    <row r="794" spans="1:23">
      <c r="A794" s="543"/>
      <c r="B794" s="534"/>
      <c r="C794" s="534" t="s">
        <v>145</v>
      </c>
      <c r="D794" s="534"/>
      <c r="E794" s="550">
        <f>E11*SUM(E792:E793)</f>
        <v>0</v>
      </c>
      <c r="F794" s="323">
        <f>SUM(F792:F793)</f>
        <v>0</v>
      </c>
      <c r="G794" s="323">
        <f>G11*SUM(G792:G793)</f>
        <v>0</v>
      </c>
      <c r="H794" s="323">
        <f>SUM(H792:H793)</f>
        <v>0</v>
      </c>
      <c r="I794" s="323">
        <f t="shared" ref="I794:Q794" si="168">SUM(I792:I793)</f>
        <v>0</v>
      </c>
      <c r="J794" s="476">
        <f>J11*SUM(J792:J793)</f>
        <v>0</v>
      </c>
      <c r="K794" s="476">
        <f>K11*SUM(K792:K793)</f>
        <v>0</v>
      </c>
      <c r="L794" s="323">
        <f t="shared" si="168"/>
        <v>-1836475.2000000002</v>
      </c>
      <c r="M794" s="323">
        <f t="shared" si="168"/>
        <v>0</v>
      </c>
      <c r="N794" s="323">
        <f t="shared" si="168"/>
        <v>0</v>
      </c>
      <c r="O794" s="323">
        <f t="shared" si="168"/>
        <v>0</v>
      </c>
      <c r="P794" s="323">
        <f t="shared" si="168"/>
        <v>0</v>
      </c>
      <c r="Q794" s="476">
        <f t="shared" si="168"/>
        <v>0</v>
      </c>
      <c r="R794" s="476">
        <f>R11*SUM(R792:R793)</f>
        <v>0</v>
      </c>
      <c r="S794" s="476">
        <f>S11*SUM(S792:S793)</f>
        <v>0</v>
      </c>
      <c r="T794" s="536">
        <f>SUM(T792:T793)</f>
        <v>-1836475.2000000002</v>
      </c>
      <c r="U794" s="323"/>
      <c r="V794" s="536">
        <f>SUM(V792:V793)</f>
        <v>-1836475.2000000002</v>
      </c>
      <c r="W794" s="536">
        <f>+V794-'ROR-Model'!G795</f>
        <v>0</v>
      </c>
    </row>
    <row r="795" spans="1:23">
      <c r="A795" s="543"/>
      <c r="B795" s="534"/>
      <c r="C795" s="534"/>
      <c r="D795" s="534"/>
      <c r="E795" s="528"/>
      <c r="F795" s="301"/>
      <c r="G795" s="301"/>
      <c r="H795" s="301"/>
      <c r="I795" s="301"/>
      <c r="J795" s="325"/>
      <c r="K795" s="325"/>
      <c r="L795" s="301"/>
      <c r="M795" s="301"/>
      <c r="N795" s="301"/>
      <c r="O795" s="301"/>
      <c r="P795" s="301"/>
      <c r="Q795" s="325"/>
      <c r="R795" s="325"/>
      <c r="S795" s="325"/>
      <c r="T795" s="532"/>
      <c r="U795" s="301"/>
      <c r="V795" s="532"/>
      <c r="W795" s="532">
        <f>+V795-'ROR-Model'!G796</f>
        <v>0</v>
      </c>
    </row>
    <row r="796" spans="1:23">
      <c r="A796" s="543">
        <v>905</v>
      </c>
      <c r="B796" s="534" t="s">
        <v>366</v>
      </c>
      <c r="C796" s="534"/>
      <c r="D796" s="534"/>
      <c r="E796" s="531"/>
      <c r="F796" s="301"/>
      <c r="G796" s="301"/>
      <c r="H796" s="301"/>
      <c r="I796" s="301"/>
      <c r="J796" s="325"/>
      <c r="K796" s="325"/>
      <c r="L796" s="301"/>
      <c r="M796" s="301"/>
      <c r="N796" s="301"/>
      <c r="O796" s="301"/>
      <c r="P796" s="301"/>
      <c r="Q796" s="325"/>
      <c r="R796" s="325"/>
      <c r="S796" s="325"/>
      <c r="T796" s="532"/>
      <c r="U796" s="301"/>
      <c r="V796" s="532"/>
      <c r="W796" s="532">
        <f>+V796-'ROR-Model'!G797</f>
        <v>0</v>
      </c>
    </row>
    <row r="797" spans="1:23">
      <c r="A797" s="535"/>
      <c r="B797" s="534"/>
      <c r="C797" s="534" t="s">
        <v>12</v>
      </c>
      <c r="D797" s="534"/>
      <c r="E797" s="531"/>
      <c r="F797" s="301"/>
      <c r="G797" s="301"/>
      <c r="H797" s="301"/>
      <c r="I797" s="301"/>
      <c r="J797" s="325"/>
      <c r="K797" s="325"/>
      <c r="L797" s="301"/>
      <c r="M797" s="301"/>
      <c r="N797" s="301"/>
      <c r="O797" s="301"/>
      <c r="P797" s="301"/>
      <c r="Q797" s="325"/>
      <c r="R797" s="325"/>
      <c r="S797" s="325"/>
      <c r="T797" s="532">
        <f>SUM(F797:S797)</f>
        <v>0</v>
      </c>
      <c r="U797" s="301"/>
      <c r="V797" s="532">
        <f>SUM(T797:T797)</f>
        <v>0</v>
      </c>
      <c r="W797" s="532">
        <f>+V797-'ROR-Model'!G798</f>
        <v>0</v>
      </c>
    </row>
    <row r="798" spans="1:23">
      <c r="A798" s="535"/>
      <c r="B798" s="534"/>
      <c r="C798" s="534" t="s">
        <v>23</v>
      </c>
      <c r="D798" s="534"/>
      <c r="E798" s="531"/>
      <c r="F798" s="301"/>
      <c r="G798" s="301"/>
      <c r="H798" s="301"/>
      <c r="I798" s="301"/>
      <c r="J798" s="325"/>
      <c r="K798" s="325"/>
      <c r="L798" s="301"/>
      <c r="M798" s="301"/>
      <c r="N798" s="301"/>
      <c r="O798" s="301"/>
      <c r="P798" s="301"/>
      <c r="Q798" s="325"/>
      <c r="R798" s="325"/>
      <c r="S798" s="325"/>
      <c r="T798" s="532">
        <f>SUM(F798:S798)</f>
        <v>0</v>
      </c>
      <c r="U798" s="301"/>
      <c r="V798" s="532">
        <f>SUM(T798:T798)</f>
        <v>0</v>
      </c>
      <c r="W798" s="532">
        <f>+V798-'ROR-Model'!G799</f>
        <v>0</v>
      </c>
    </row>
    <row r="799" spans="1:23">
      <c r="A799" s="535"/>
      <c r="B799" s="534"/>
      <c r="C799" s="534" t="s">
        <v>145</v>
      </c>
      <c r="D799" s="534"/>
      <c r="E799" s="531"/>
      <c r="F799" s="323">
        <f>SUM(F797:F798)</f>
        <v>0</v>
      </c>
      <c r="G799" s="323">
        <f>G1*SUM(G797:G798)</f>
        <v>0</v>
      </c>
      <c r="H799" s="323">
        <f>SUM(H797:H798)</f>
        <v>0</v>
      </c>
      <c r="I799" s="323">
        <f t="shared" ref="I799:P799" si="169">SUM(I797:I798)</f>
        <v>0</v>
      </c>
      <c r="J799" s="476">
        <f>J1*SUM(J797:J798)</f>
        <v>0</v>
      </c>
      <c r="K799" s="476">
        <f>K1*SUM(K797:K798)</f>
        <v>0</v>
      </c>
      <c r="L799" s="323">
        <f t="shared" si="169"/>
        <v>0</v>
      </c>
      <c r="M799" s="323">
        <f t="shared" si="169"/>
        <v>0</v>
      </c>
      <c r="N799" s="323">
        <f t="shared" si="169"/>
        <v>0</v>
      </c>
      <c r="O799" s="323">
        <f t="shared" si="169"/>
        <v>0</v>
      </c>
      <c r="P799" s="323">
        <f t="shared" si="169"/>
        <v>0</v>
      </c>
      <c r="Q799" s="476">
        <f>SUM(Q797:Q798)</f>
        <v>0</v>
      </c>
      <c r="R799" s="476">
        <f>R1*SUM(R797:R798)</f>
        <v>0</v>
      </c>
      <c r="S799" s="476">
        <f>S1*SUM(S797:S798)</f>
        <v>0</v>
      </c>
      <c r="T799" s="536">
        <f>SUM(T797:T798)</f>
        <v>0</v>
      </c>
      <c r="U799" s="323"/>
      <c r="V799" s="536">
        <f>SUM(V797:V798)</f>
        <v>0</v>
      </c>
      <c r="W799" s="536">
        <f>+V799-'ROR-Model'!G800</f>
        <v>0</v>
      </c>
    </row>
    <row r="800" spans="1:23" ht="13.5" thickBot="1">
      <c r="A800" s="535"/>
      <c r="B800" s="534"/>
      <c r="C800" s="534"/>
      <c r="D800" s="534"/>
      <c r="E800" s="531"/>
      <c r="F800" s="470"/>
      <c r="G800" s="470"/>
      <c r="H800" s="470"/>
      <c r="I800" s="470"/>
      <c r="J800" s="477"/>
      <c r="K800" s="477"/>
      <c r="L800" s="470"/>
      <c r="M800" s="470"/>
      <c r="N800" s="470"/>
      <c r="O800" s="470"/>
      <c r="P800" s="470"/>
      <c r="Q800" s="477"/>
      <c r="R800" s="477"/>
      <c r="S800" s="477"/>
      <c r="T800" s="538"/>
      <c r="U800" s="470"/>
      <c r="V800" s="538"/>
      <c r="W800" s="538">
        <f>+V800-'ROR-Model'!G801</f>
        <v>0</v>
      </c>
    </row>
    <row r="801" spans="1:23" ht="13.5" thickTop="1">
      <c r="A801" s="167" t="s">
        <v>592</v>
      </c>
      <c r="B801" s="534"/>
      <c r="C801" s="534"/>
      <c r="D801" s="534"/>
      <c r="E801" s="531"/>
      <c r="F801" s="301"/>
      <c r="G801" s="301"/>
      <c r="H801" s="301"/>
      <c r="I801" s="301"/>
      <c r="J801" s="325"/>
      <c r="K801" s="325"/>
      <c r="L801" s="301"/>
      <c r="M801" s="301"/>
      <c r="N801" s="301"/>
      <c r="O801" s="301"/>
      <c r="P801" s="301"/>
      <c r="Q801" s="325"/>
      <c r="R801" s="325"/>
      <c r="S801" s="325"/>
      <c r="T801" s="532"/>
      <c r="U801" s="301"/>
      <c r="V801" s="532"/>
      <c r="W801" s="532">
        <f>+V801-'ROR-Model'!G802</f>
        <v>0</v>
      </c>
    </row>
    <row r="802" spans="1:23">
      <c r="A802" s="535"/>
      <c r="B802" s="534" t="s">
        <v>593</v>
      </c>
      <c r="C802" s="534"/>
      <c r="D802" s="534"/>
      <c r="E802" s="531"/>
      <c r="F802" s="301">
        <f t="shared" ref="F802:L802" si="170">F757+F762+F767+F772+F777+F782+F797+F792+F787</f>
        <v>0</v>
      </c>
      <c r="G802" s="301">
        <f t="shared" si="170"/>
        <v>0</v>
      </c>
      <c r="H802" s="301">
        <f t="shared" si="170"/>
        <v>0</v>
      </c>
      <c r="I802" s="301">
        <f t="shared" si="170"/>
        <v>0</v>
      </c>
      <c r="J802" s="301">
        <f>J757+J762+J767+J772+J777+J782+J797+J792+J787</f>
        <v>0</v>
      </c>
      <c r="K802" s="301">
        <f>K757+K762+K767+K772+K777+K782+K797+K792+K787</f>
        <v>0</v>
      </c>
      <c r="L802" s="301">
        <f t="shared" si="170"/>
        <v>-1840583.8969250894</v>
      </c>
      <c r="M802" s="301">
        <f t="shared" ref="M802:Q802" si="171">M757+M762+M767+M772+M777+M782+M797+M792+M787</f>
        <v>0</v>
      </c>
      <c r="N802" s="301">
        <f t="shared" si="171"/>
        <v>0</v>
      </c>
      <c r="O802" s="301">
        <f t="shared" si="171"/>
        <v>0</v>
      </c>
      <c r="P802" s="301">
        <f t="shared" si="171"/>
        <v>0</v>
      </c>
      <c r="Q802" s="301">
        <f t="shared" si="171"/>
        <v>0</v>
      </c>
      <c r="R802" s="301">
        <f>R757+R762+R767+R772+R777+R782+R797+R792+R787</f>
        <v>0</v>
      </c>
      <c r="S802" s="301">
        <f>S757+S762+S767+S772+S777+S782+S797+S792+S787</f>
        <v>0</v>
      </c>
      <c r="T802" s="532">
        <f>T757+T762+T767+T772+T777+T782+T797+T787+T792</f>
        <v>-1840583.8969250894</v>
      </c>
      <c r="U802" s="301"/>
      <c r="V802" s="532">
        <f>V757+V762+V767+V772+V777+V782+V797+V787+V792</f>
        <v>-1840583.8969250894</v>
      </c>
      <c r="W802" s="532">
        <f>+V802-'ROR-Model'!G803</f>
        <v>0</v>
      </c>
    </row>
    <row r="803" spans="1:23">
      <c r="A803" s="535"/>
      <c r="B803" s="534" t="s">
        <v>595</v>
      </c>
      <c r="C803" s="534"/>
      <c r="D803" s="534"/>
      <c r="E803" s="531"/>
      <c r="F803" s="301">
        <f>F758+F763+F768+F773+F778+F783+F798</f>
        <v>0</v>
      </c>
      <c r="G803" s="301">
        <f>G1*G758+G763+G768+G773+G778+G783+G798</f>
        <v>0</v>
      </c>
      <c r="H803" s="301">
        <f>H758+H763+H768+H773+H778+H783+H798</f>
        <v>0</v>
      </c>
      <c r="I803" s="301">
        <f t="shared" ref="I803:O803" si="172">I758+I763+I768+I773+I778+I783+I798</f>
        <v>0</v>
      </c>
      <c r="J803" s="325">
        <f>J1*J758+J763+J768+J773+J778+J783+J798</f>
        <v>0</v>
      </c>
      <c r="K803" s="325">
        <f>K1*K758+K763+K768+K773+K778+K783+K798</f>
        <v>0</v>
      </c>
      <c r="L803" s="301">
        <f t="shared" si="172"/>
        <v>-65820.193299322476</v>
      </c>
      <c r="M803" s="301">
        <f t="shared" si="172"/>
        <v>0</v>
      </c>
      <c r="N803" s="301">
        <f t="shared" si="172"/>
        <v>0</v>
      </c>
      <c r="O803" s="301">
        <f t="shared" si="172"/>
        <v>0</v>
      </c>
      <c r="P803" s="301">
        <f>P758+P763+P768+P773+P778+P783+P798</f>
        <v>0</v>
      </c>
      <c r="Q803" s="325">
        <f>Q758+Q763+Q768+Q773+Q778+Q783+Q798</f>
        <v>0</v>
      </c>
      <c r="R803" s="325">
        <f>R1*R758+R763+R768+R773+R778+R783+R798</f>
        <v>0</v>
      </c>
      <c r="S803" s="325">
        <f>S1*S758+S763+S768+S773+S778+S783+S798</f>
        <v>0</v>
      </c>
      <c r="T803" s="532">
        <f>T758+T763+T768+T773+T778+T783+T798</f>
        <v>-65820.193299322476</v>
      </c>
      <c r="U803" s="301"/>
      <c r="V803" s="532">
        <f>V758+V763+V768+V773+V778+V783+V798</f>
        <v>-65820.193299322476</v>
      </c>
      <c r="W803" s="532">
        <f>+V803-'ROR-Model'!G804</f>
        <v>0</v>
      </c>
    </row>
    <row r="804" spans="1:23" ht="13.5" thickBot="1">
      <c r="A804" s="535"/>
      <c r="B804" s="534"/>
      <c r="C804" s="534"/>
      <c r="D804" s="534"/>
      <c r="E804" s="531"/>
      <c r="F804" s="471"/>
      <c r="G804" s="471"/>
      <c r="H804" s="471"/>
      <c r="I804" s="471"/>
      <c r="J804" s="548"/>
      <c r="K804" s="548"/>
      <c r="L804" s="471"/>
      <c r="M804" s="471"/>
      <c r="N804" s="471"/>
      <c r="O804" s="471"/>
      <c r="P804" s="471"/>
      <c r="Q804" s="548"/>
      <c r="R804" s="548"/>
      <c r="S804" s="548"/>
      <c r="T804" s="549"/>
      <c r="U804" s="471"/>
      <c r="V804" s="549"/>
      <c r="W804" s="549">
        <f>+V804-'ROR-Model'!G805</f>
        <v>0</v>
      </c>
    </row>
    <row r="805" spans="1:23">
      <c r="A805" s="535"/>
      <c r="B805" s="175" t="s">
        <v>592</v>
      </c>
      <c r="C805" s="534"/>
      <c r="D805" s="534"/>
      <c r="E805" s="531"/>
      <c r="F805" s="301">
        <f t="shared" ref="F805:L805" si="173">F759+F764+F769+F774+F794+F789+F784+F799+F779</f>
        <v>0</v>
      </c>
      <c r="G805" s="301">
        <f t="shared" si="173"/>
        <v>0</v>
      </c>
      <c r="H805" s="301">
        <f t="shared" si="173"/>
        <v>0</v>
      </c>
      <c r="I805" s="301">
        <f t="shared" si="173"/>
        <v>0</v>
      </c>
      <c r="J805" s="301">
        <f>J759+J764+J769+J774+J794+J789+J784+J799+J779</f>
        <v>0</v>
      </c>
      <c r="K805" s="301">
        <f>K759+K764+K769+K774+K794+K789+K784+K799+K779</f>
        <v>0</v>
      </c>
      <c r="L805" s="301">
        <f t="shared" si="173"/>
        <v>-1906404.0902244116</v>
      </c>
      <c r="M805" s="301">
        <f t="shared" ref="M805:Q805" si="174">M759+M764+M769+M774+M794+M789+M784+M799+M779</f>
        <v>0</v>
      </c>
      <c r="N805" s="301">
        <f t="shared" si="174"/>
        <v>0</v>
      </c>
      <c r="O805" s="301">
        <f t="shared" si="174"/>
        <v>0</v>
      </c>
      <c r="P805" s="301">
        <f t="shared" si="174"/>
        <v>0</v>
      </c>
      <c r="Q805" s="301">
        <f t="shared" si="174"/>
        <v>0</v>
      </c>
      <c r="R805" s="301">
        <f>R759+R764+R769+R774+R794+R789+R784+R799+R779</f>
        <v>0</v>
      </c>
      <c r="S805" s="301">
        <f>S759+S764+S769+S774+S794+S789+S784+S799+S779</f>
        <v>0</v>
      </c>
      <c r="T805" s="616">
        <f>T759+T764+T769+T774+T779+T784+T799+T789+T794</f>
        <v>-1906404.0902244118</v>
      </c>
      <c r="U805" s="301"/>
      <c r="V805" s="532">
        <f>V759+V764+V769+V774+V779+V784+V799+V789+V794</f>
        <v>-1906404.0902244118</v>
      </c>
      <c r="W805" s="532">
        <f>+V805-'ROR-Model'!G806</f>
        <v>0</v>
      </c>
    </row>
    <row r="806" spans="1:23">
      <c r="A806" s="535"/>
      <c r="B806" s="534"/>
      <c r="C806" s="534"/>
      <c r="D806" s="534"/>
      <c r="E806" s="531"/>
      <c r="F806" s="301"/>
      <c r="G806" s="301"/>
      <c r="H806" s="301"/>
      <c r="I806" s="301"/>
      <c r="J806" s="325"/>
      <c r="K806" s="325"/>
      <c r="L806" s="301"/>
      <c r="M806" s="301"/>
      <c r="N806" s="301"/>
      <c r="O806" s="301"/>
      <c r="P806" s="301"/>
      <c r="Q806" s="325"/>
      <c r="R806" s="325"/>
      <c r="S806" s="325"/>
      <c r="T806" s="532"/>
      <c r="U806" s="301"/>
      <c r="V806" s="532"/>
      <c r="W806" s="532">
        <f>+V806-'ROR-Model'!G807</f>
        <v>0</v>
      </c>
    </row>
    <row r="807" spans="1:23">
      <c r="A807" s="167" t="s">
        <v>367</v>
      </c>
      <c r="B807" s="534"/>
      <c r="C807" s="534"/>
      <c r="D807" s="534"/>
      <c r="E807" s="531"/>
      <c r="F807" s="301"/>
      <c r="G807" s="301"/>
      <c r="H807" s="301"/>
      <c r="I807" s="301"/>
      <c r="J807" s="325"/>
      <c r="K807" s="325"/>
      <c r="L807" s="301"/>
      <c r="M807" s="301"/>
      <c r="N807" s="301"/>
      <c r="O807" s="301"/>
      <c r="P807" s="301"/>
      <c r="Q807" s="325"/>
      <c r="R807" s="325"/>
      <c r="S807" s="325"/>
      <c r="T807" s="532"/>
      <c r="U807" s="301"/>
      <c r="V807" s="532"/>
      <c r="W807" s="532">
        <f>+V807-'ROR-Model'!G808</f>
        <v>0</v>
      </c>
    </row>
    <row r="808" spans="1:23">
      <c r="A808" s="535"/>
      <c r="B808" s="534"/>
      <c r="C808" s="534"/>
      <c r="D808" s="534"/>
      <c r="E808" s="531"/>
      <c r="F808" s="301"/>
      <c r="G808" s="301"/>
      <c r="H808" s="301"/>
      <c r="I808" s="301"/>
      <c r="J808" s="325"/>
      <c r="K808" s="325"/>
      <c r="L808" s="301"/>
      <c r="M808" s="301"/>
      <c r="N808" s="301"/>
      <c r="O808" s="301"/>
      <c r="P808" s="301"/>
      <c r="Q808" s="325"/>
      <c r="R808" s="325"/>
      <c r="S808" s="325"/>
      <c r="T808" s="532"/>
      <c r="U808" s="301"/>
      <c r="V808" s="532"/>
      <c r="W808" s="532">
        <f>+V808-'ROR-Model'!G809</f>
        <v>0</v>
      </c>
    </row>
    <row r="809" spans="1:23">
      <c r="A809" s="543">
        <v>907</v>
      </c>
      <c r="B809" s="534" t="s">
        <v>359</v>
      </c>
      <c r="C809" s="534"/>
      <c r="D809" s="534"/>
      <c r="E809" s="531"/>
      <c r="F809" s="301"/>
      <c r="G809" s="301"/>
      <c r="H809" s="301"/>
      <c r="I809" s="301"/>
      <c r="J809" s="325"/>
      <c r="K809" s="325"/>
      <c r="L809" s="301"/>
      <c r="M809" s="301"/>
      <c r="N809" s="301"/>
      <c r="O809" s="301"/>
      <c r="P809" s="301"/>
      <c r="Q809" s="325"/>
      <c r="R809" s="325"/>
      <c r="S809" s="325"/>
      <c r="T809" s="532"/>
      <c r="U809" s="301"/>
      <c r="V809" s="532"/>
      <c r="W809" s="532">
        <f>+V809-'ROR-Model'!G810</f>
        <v>0</v>
      </c>
    </row>
    <row r="810" spans="1:23">
      <c r="A810" s="543"/>
      <c r="B810" s="534"/>
      <c r="C810" s="534" t="s">
        <v>12</v>
      </c>
      <c r="D810" s="534"/>
      <c r="E810" s="531"/>
      <c r="F810" s="301"/>
      <c r="G810" s="301"/>
      <c r="H810" s="301"/>
      <c r="I810" s="301"/>
      <c r="J810" s="325"/>
      <c r="K810" s="325"/>
      <c r="L810" s="301"/>
      <c r="M810" s="301"/>
      <c r="N810" s="301"/>
      <c r="O810" s="301"/>
      <c r="P810" s="301"/>
      <c r="Q810" s="325"/>
      <c r="R810" s="325"/>
      <c r="S810" s="325"/>
      <c r="T810" s="532">
        <f>SUM(F810:S810)</f>
        <v>0</v>
      </c>
      <c r="U810" s="301"/>
      <c r="V810" s="532">
        <f>SUM(T810:T810)</f>
        <v>0</v>
      </c>
      <c r="W810" s="532">
        <f>+V810-'ROR-Model'!G811</f>
        <v>0</v>
      </c>
    </row>
    <row r="811" spans="1:23">
      <c r="A811" s="543"/>
      <c r="B811" s="534"/>
      <c r="C811" s="534" t="s">
        <v>23</v>
      </c>
      <c r="D811" s="534"/>
      <c r="E811" s="531"/>
      <c r="F811" s="301"/>
      <c r="G811" s="301"/>
      <c r="H811" s="301"/>
      <c r="I811" s="301"/>
      <c r="J811" s="325"/>
      <c r="K811" s="325"/>
      <c r="L811" s="301"/>
      <c r="M811" s="301"/>
      <c r="N811" s="301"/>
      <c r="O811" s="301"/>
      <c r="P811" s="301"/>
      <c r="Q811" s="325"/>
      <c r="R811" s="325"/>
      <c r="S811" s="325"/>
      <c r="T811" s="532">
        <f>SUM(F811:S811)</f>
        <v>0</v>
      </c>
      <c r="U811" s="301"/>
      <c r="V811" s="532">
        <f>SUM(T811:T811)</f>
        <v>0</v>
      </c>
      <c r="W811" s="532">
        <f>+V811-'ROR-Model'!G812</f>
        <v>0</v>
      </c>
    </row>
    <row r="812" spans="1:23">
      <c r="A812" s="543"/>
      <c r="B812" s="534"/>
      <c r="C812" s="534" t="s">
        <v>145</v>
      </c>
      <c r="D812" s="534"/>
      <c r="E812" s="531"/>
      <c r="F812" s="323">
        <f>SUM(F810:F811)</f>
        <v>0</v>
      </c>
      <c r="G812" s="323">
        <f>G1*SUM(G810:G811)</f>
        <v>0</v>
      </c>
      <c r="H812" s="323">
        <f>SUM(H810:H811)</f>
        <v>0</v>
      </c>
      <c r="I812" s="323">
        <f t="shared" ref="I812:P812" si="175">SUM(I810:I811)</f>
        <v>0</v>
      </c>
      <c r="J812" s="476">
        <f>J1*SUM(J810:J811)</f>
        <v>0</v>
      </c>
      <c r="K812" s="476">
        <f>K1*SUM(K810:K811)</f>
        <v>0</v>
      </c>
      <c r="L812" s="323">
        <f t="shared" si="175"/>
        <v>0</v>
      </c>
      <c r="M812" s="323">
        <f t="shared" si="175"/>
        <v>0</v>
      </c>
      <c r="N812" s="323">
        <f t="shared" si="175"/>
        <v>0</v>
      </c>
      <c r="O812" s="323">
        <f t="shared" si="175"/>
        <v>0</v>
      </c>
      <c r="P812" s="323">
        <f t="shared" si="175"/>
        <v>0</v>
      </c>
      <c r="Q812" s="476">
        <f>SUM(Q810:Q811)</f>
        <v>0</v>
      </c>
      <c r="R812" s="476">
        <f>R1*SUM(R810:R811)</f>
        <v>0</v>
      </c>
      <c r="S812" s="476">
        <f>S1*SUM(S810:S811)</f>
        <v>0</v>
      </c>
      <c r="T812" s="536">
        <f>SUM(T810:T811)</f>
        <v>0</v>
      </c>
      <c r="U812" s="323"/>
      <c r="V812" s="536">
        <f>SUM(V810:V811)</f>
        <v>0</v>
      </c>
      <c r="W812" s="536">
        <f>+V812-'ROR-Model'!G813</f>
        <v>0</v>
      </c>
    </row>
    <row r="813" spans="1:23">
      <c r="A813" s="543"/>
      <c r="B813" s="534"/>
      <c r="C813" s="534"/>
      <c r="D813" s="534"/>
      <c r="E813" s="531"/>
      <c r="F813" s="301"/>
      <c r="G813" s="301"/>
      <c r="H813" s="301"/>
      <c r="I813" s="301"/>
      <c r="J813" s="325"/>
      <c r="K813" s="325"/>
      <c r="L813" s="301"/>
      <c r="M813" s="301"/>
      <c r="N813" s="301"/>
      <c r="O813" s="301"/>
      <c r="P813" s="301"/>
      <c r="Q813" s="325"/>
      <c r="R813" s="325"/>
      <c r="S813" s="325"/>
      <c r="T813" s="532"/>
      <c r="U813" s="301"/>
      <c r="V813" s="532"/>
      <c r="W813" s="532">
        <f>+V813-'ROR-Model'!G814</f>
        <v>0</v>
      </c>
    </row>
    <row r="814" spans="1:23">
      <c r="A814" s="543">
        <v>908</v>
      </c>
      <c r="B814" s="534" t="s">
        <v>368</v>
      </c>
      <c r="C814" s="534"/>
      <c r="D814" s="534"/>
      <c r="E814" s="531"/>
      <c r="F814" s="301"/>
      <c r="G814" s="301"/>
      <c r="H814" s="301"/>
      <c r="I814" s="301"/>
      <c r="J814" s="325"/>
      <c r="K814" s="325"/>
      <c r="L814" s="301"/>
      <c r="M814" s="301"/>
      <c r="N814" s="301"/>
      <c r="O814" s="301"/>
      <c r="P814" s="301"/>
      <c r="Q814" s="325"/>
      <c r="R814" s="325"/>
      <c r="S814" s="325"/>
      <c r="T814" s="532"/>
      <c r="U814" s="301"/>
      <c r="V814" s="532"/>
      <c r="W814" s="532">
        <f>+V814-'ROR-Model'!G815</f>
        <v>0</v>
      </c>
    </row>
    <row r="815" spans="1:23">
      <c r="A815" s="543"/>
      <c r="B815" s="534"/>
      <c r="C815" s="534" t="s">
        <v>12</v>
      </c>
      <c r="D815" s="534"/>
      <c r="E815" s="531"/>
      <c r="F815" s="301"/>
      <c r="G815" s="301">
        <f>'ENERGY EFFICIENCY SERVICES ADJ'!E18*G1</f>
        <v>-26736727.259999998</v>
      </c>
      <c r="H815" s="301"/>
      <c r="I815" s="301"/>
      <c r="J815" s="325"/>
      <c r="K815" s="325"/>
      <c r="L815" s="301"/>
      <c r="M815" s="301"/>
      <c r="N815" s="301"/>
      <c r="O815" s="301"/>
      <c r="P815" s="301"/>
      <c r="Q815" s="325"/>
      <c r="R815" s="325"/>
      <c r="S815" s="325"/>
      <c r="T815" s="532">
        <f>SUM(F815:S815)</f>
        <v>-26736727.259999998</v>
      </c>
      <c r="U815" s="301"/>
      <c r="V815" s="532">
        <f>SUM(T815:T815)</f>
        <v>-26736727.259999998</v>
      </c>
      <c r="W815" s="532">
        <f>+V815-'ROR-Model'!G816</f>
        <v>0</v>
      </c>
    </row>
    <row r="816" spans="1:23">
      <c r="A816" s="543"/>
      <c r="B816" s="534"/>
      <c r="C816" s="534" t="s">
        <v>23</v>
      </c>
      <c r="D816" s="534"/>
      <c r="E816" s="531"/>
      <c r="F816" s="301"/>
      <c r="G816" s="301">
        <f>'ENERGY EFFICIENCY SERVICES ADJ'!E19*G1</f>
        <v>-107131.26999999999</v>
      </c>
      <c r="H816" s="301"/>
      <c r="I816" s="301"/>
      <c r="J816" s="325"/>
      <c r="K816" s="325"/>
      <c r="L816" s="301"/>
      <c r="M816" s="301"/>
      <c r="N816" s="301"/>
      <c r="O816" s="301"/>
      <c r="P816" s="301"/>
      <c r="Q816" s="325"/>
      <c r="R816" s="325"/>
      <c r="S816" s="325"/>
      <c r="T816" s="532">
        <f>SUM(F816:S816)</f>
        <v>-107131.26999999999</v>
      </c>
      <c r="U816" s="301"/>
      <c r="V816" s="532">
        <f>SUM(T816:T816)</f>
        <v>-107131.26999999999</v>
      </c>
      <c r="W816" s="532">
        <f>+V816-'ROR-Model'!G817</f>
        <v>0</v>
      </c>
    </row>
    <row r="817" spans="1:23">
      <c r="A817" s="543"/>
      <c r="B817" s="534"/>
      <c r="C817" s="534" t="s">
        <v>145</v>
      </c>
      <c r="D817" s="534"/>
      <c r="E817" s="531"/>
      <c r="F817" s="323">
        <f>SUM(F815:F816)</f>
        <v>0</v>
      </c>
      <c r="G817" s="323">
        <f>G1*SUM(G815:G816)</f>
        <v>-26843858.529999997</v>
      </c>
      <c r="H817" s="323">
        <f>SUM(H815:H816)</f>
        <v>0</v>
      </c>
      <c r="I817" s="323">
        <f t="shared" ref="I817:P817" si="176">SUM(I815:I816)</f>
        <v>0</v>
      </c>
      <c r="J817" s="476">
        <f>J1*SUM(J815:J816)</f>
        <v>0</v>
      </c>
      <c r="K817" s="476">
        <f>K1*SUM(K815:K816)</f>
        <v>0</v>
      </c>
      <c r="L817" s="323">
        <f t="shared" si="176"/>
        <v>0</v>
      </c>
      <c r="M817" s="323">
        <f t="shared" si="176"/>
        <v>0</v>
      </c>
      <c r="N817" s="323">
        <f t="shared" si="176"/>
        <v>0</v>
      </c>
      <c r="O817" s="323">
        <f t="shared" si="176"/>
        <v>0</v>
      </c>
      <c r="P817" s="323">
        <f t="shared" si="176"/>
        <v>0</v>
      </c>
      <c r="Q817" s="476">
        <f>SUM(Q815:Q816)</f>
        <v>0</v>
      </c>
      <c r="R817" s="476">
        <f>R1*SUM(R815:R816)</f>
        <v>0</v>
      </c>
      <c r="S817" s="476">
        <f>S1*SUM(S815:S816)</f>
        <v>0</v>
      </c>
      <c r="T817" s="741">
        <f>SUM(T815:T816)</f>
        <v>-26843858.529999997</v>
      </c>
      <c r="U817" s="323"/>
      <c r="V817" s="536">
        <f>SUM(V815:V816)</f>
        <v>-26843858.529999997</v>
      </c>
      <c r="W817" s="536">
        <f>+V817-'ROR-Model'!G818</f>
        <v>0</v>
      </c>
    </row>
    <row r="818" spans="1:23">
      <c r="A818" s="543"/>
      <c r="B818" s="534"/>
      <c r="C818" s="534"/>
      <c r="D818" s="534"/>
      <c r="E818" s="531"/>
      <c r="F818" s="301"/>
      <c r="G818" s="301"/>
      <c r="H818" s="301"/>
      <c r="I818" s="301"/>
      <c r="J818" s="325"/>
      <c r="K818" s="325"/>
      <c r="L818" s="301"/>
      <c r="M818" s="301"/>
      <c r="N818" s="301"/>
      <c r="O818" s="301"/>
      <c r="P818" s="301"/>
      <c r="Q818" s="325"/>
      <c r="R818" s="325"/>
      <c r="S818" s="325"/>
      <c r="T818" s="532"/>
      <c r="U818" s="301"/>
      <c r="V818" s="532"/>
      <c r="W818" s="532">
        <f>+V818-'ROR-Model'!G819</f>
        <v>0</v>
      </c>
    </row>
    <row r="819" spans="1:23">
      <c r="A819" s="543">
        <v>909</v>
      </c>
      <c r="B819" s="534" t="s">
        <v>381</v>
      </c>
      <c r="C819" s="534"/>
      <c r="D819" s="534"/>
      <c r="E819" s="531"/>
      <c r="F819" s="301"/>
      <c r="G819" s="301"/>
      <c r="H819" s="301"/>
      <c r="I819" s="301"/>
      <c r="J819" s="325"/>
      <c r="K819" s="325"/>
      <c r="L819" s="301"/>
      <c r="M819" s="301"/>
      <c r="N819" s="301"/>
      <c r="O819" s="301"/>
      <c r="P819" s="301"/>
      <c r="Q819" s="325"/>
      <c r="R819" s="325"/>
      <c r="S819" s="325"/>
      <c r="T819" s="532"/>
      <c r="U819" s="301"/>
      <c r="V819" s="532"/>
      <c r="W819" s="532">
        <f>+V819-'ROR-Model'!G820</f>
        <v>0</v>
      </c>
    </row>
    <row r="820" spans="1:23">
      <c r="A820" s="543"/>
      <c r="B820" s="534"/>
      <c r="C820" s="534" t="s">
        <v>12</v>
      </c>
      <c r="D820" s="534"/>
      <c r="E820" s="531"/>
      <c r="F820" s="301"/>
      <c r="G820" s="301"/>
      <c r="H820" s="301"/>
      <c r="I820" s="301"/>
      <c r="J820" s="325"/>
      <c r="K820" s="325"/>
      <c r="L820" s="301"/>
      <c r="M820" s="301"/>
      <c r="N820" s="301"/>
      <c r="O820" s="325">
        <f>Advertising!F26*O1</f>
        <v>0</v>
      </c>
      <c r="P820" s="301"/>
      <c r="Q820" s="325"/>
      <c r="R820" s="325"/>
      <c r="S820" s="325"/>
      <c r="T820" s="532">
        <f>SUM(F820:S820)</f>
        <v>0</v>
      </c>
      <c r="U820" s="301"/>
      <c r="V820" s="532">
        <f>SUM(T820:T820)</f>
        <v>0</v>
      </c>
      <c r="W820" s="532">
        <f>+V820-'ROR-Model'!G821</f>
        <v>0</v>
      </c>
    </row>
    <row r="821" spans="1:23">
      <c r="A821" s="543"/>
      <c r="B821" s="534"/>
      <c r="C821" s="534" t="s">
        <v>23</v>
      </c>
      <c r="D821" s="534"/>
      <c r="E821" s="531"/>
      <c r="F821" s="301"/>
      <c r="G821" s="301"/>
      <c r="H821" s="301"/>
      <c r="I821" s="301"/>
      <c r="J821" s="325"/>
      <c r="K821" s="325"/>
      <c r="L821" s="301"/>
      <c r="M821" s="301"/>
      <c r="N821" s="301"/>
      <c r="O821" s="301">
        <f>Advertising!F27*O1</f>
        <v>0</v>
      </c>
      <c r="P821" s="301"/>
      <c r="Q821" s="325"/>
      <c r="R821" s="325"/>
      <c r="S821" s="325"/>
      <c r="T821" s="532">
        <f>SUM(F821:S821)</f>
        <v>0</v>
      </c>
      <c r="U821" s="301"/>
      <c r="V821" s="532">
        <f>SUM(T821:T821)</f>
        <v>0</v>
      </c>
      <c r="W821" s="532">
        <f>+V821-'ROR-Model'!G822</f>
        <v>0</v>
      </c>
    </row>
    <row r="822" spans="1:23">
      <c r="A822" s="543"/>
      <c r="B822" s="534"/>
      <c r="C822" s="534" t="s">
        <v>145</v>
      </c>
      <c r="D822" s="534"/>
      <c r="E822" s="531"/>
      <c r="F822" s="323">
        <f>SUM(F820:F821)</f>
        <v>0</v>
      </c>
      <c r="G822" s="323">
        <f>G1*SUM(G820:G821)</f>
        <v>0</v>
      </c>
      <c r="H822" s="323">
        <f>SUM(H820:H821)</f>
        <v>0</v>
      </c>
      <c r="I822" s="323">
        <f t="shared" ref="I822:P822" si="177">SUM(I820:I821)</f>
        <v>0</v>
      </c>
      <c r="J822" s="476">
        <f>J1*SUM(J820:J821)</f>
        <v>0</v>
      </c>
      <c r="K822" s="476">
        <f>K1*SUM(K820:K821)</f>
        <v>0</v>
      </c>
      <c r="L822" s="323">
        <f t="shared" si="177"/>
        <v>0</v>
      </c>
      <c r="M822" s="323">
        <f t="shared" si="177"/>
        <v>0</v>
      </c>
      <c r="N822" s="323">
        <f t="shared" si="177"/>
        <v>0</v>
      </c>
      <c r="O822" s="323">
        <f>SUM(O820:O821)</f>
        <v>0</v>
      </c>
      <c r="P822" s="323">
        <f t="shared" si="177"/>
        <v>0</v>
      </c>
      <c r="Q822" s="476">
        <f>SUM(Q820:Q821)</f>
        <v>0</v>
      </c>
      <c r="R822" s="476">
        <f>R1*SUM(R820:R821)</f>
        <v>0</v>
      </c>
      <c r="S822" s="476">
        <f>S1*SUM(S820:S821)</f>
        <v>0</v>
      </c>
      <c r="T822" s="741">
        <f>SUM(T820:T821)</f>
        <v>0</v>
      </c>
      <c r="U822" s="323"/>
      <c r="V822" s="536">
        <f>SUM(V820:V821)</f>
        <v>0</v>
      </c>
      <c r="W822" s="536">
        <f>+V822-'ROR-Model'!G823</f>
        <v>0</v>
      </c>
    </row>
    <row r="823" spans="1:23">
      <c r="A823" s="543"/>
      <c r="B823" s="534"/>
      <c r="C823" s="534"/>
      <c r="D823" s="534"/>
      <c r="E823" s="531"/>
      <c r="F823" s="301"/>
      <c r="G823" s="301"/>
      <c r="H823" s="301"/>
      <c r="I823" s="301"/>
      <c r="J823" s="325"/>
      <c r="K823" s="325"/>
      <c r="L823" s="301"/>
      <c r="M823" s="301"/>
      <c r="N823" s="301"/>
      <c r="O823" s="301"/>
      <c r="P823" s="301"/>
      <c r="Q823" s="325"/>
      <c r="R823" s="325"/>
      <c r="S823" s="325"/>
      <c r="T823" s="532"/>
      <c r="U823" s="301"/>
      <c r="V823" s="532"/>
      <c r="W823" s="532">
        <f>+V823-'ROR-Model'!G824</f>
        <v>0</v>
      </c>
    </row>
    <row r="824" spans="1:23">
      <c r="A824" s="543">
        <v>910</v>
      </c>
      <c r="B824" s="534" t="s">
        <v>382</v>
      </c>
      <c r="C824" s="534"/>
      <c r="D824" s="534"/>
      <c r="E824" s="531"/>
      <c r="F824" s="301"/>
      <c r="G824" s="301"/>
      <c r="H824" s="301"/>
      <c r="I824" s="301"/>
      <c r="J824" s="325"/>
      <c r="K824" s="325"/>
      <c r="L824" s="301"/>
      <c r="M824" s="301"/>
      <c r="N824" s="301"/>
      <c r="O824" s="301"/>
      <c r="P824" s="301"/>
      <c r="Q824" s="325"/>
      <c r="R824" s="325"/>
      <c r="S824" s="325"/>
      <c r="T824" s="532"/>
      <c r="U824" s="301"/>
      <c r="V824" s="532"/>
      <c r="W824" s="532">
        <f>+V824-'ROR-Model'!G825</f>
        <v>0</v>
      </c>
    </row>
    <row r="825" spans="1:23">
      <c r="A825" s="535"/>
      <c r="B825" s="534"/>
      <c r="C825" s="534" t="s">
        <v>12</v>
      </c>
      <c r="D825" s="534"/>
      <c r="E825" s="531"/>
      <c r="F825" s="301"/>
      <c r="G825" s="301"/>
      <c r="H825" s="301"/>
      <c r="I825" s="301"/>
      <c r="J825" s="325"/>
      <c r="K825" s="325"/>
      <c r="L825" s="301"/>
      <c r="M825" s="301"/>
      <c r="N825" s="301"/>
      <c r="O825" s="301"/>
      <c r="P825" s="301"/>
      <c r="Q825" s="325"/>
      <c r="R825" s="325"/>
      <c r="S825" s="325"/>
      <c r="T825" s="532">
        <f>SUM(F825:S825)</f>
        <v>0</v>
      </c>
      <c r="U825" s="301"/>
      <c r="V825" s="532">
        <f>SUM(T825:T825)</f>
        <v>0</v>
      </c>
      <c r="W825" s="532">
        <f>+V825-'ROR-Model'!G826</f>
        <v>0</v>
      </c>
    </row>
    <row r="826" spans="1:23">
      <c r="A826" s="535"/>
      <c r="B826" s="534"/>
      <c r="C826" s="534" t="s">
        <v>23</v>
      </c>
      <c r="D826" s="534"/>
      <c r="E826" s="531"/>
      <c r="F826" s="301"/>
      <c r="G826" s="301"/>
      <c r="H826" s="301"/>
      <c r="I826" s="301"/>
      <c r="J826" s="325"/>
      <c r="K826" s="325"/>
      <c r="L826" s="301"/>
      <c r="M826" s="301"/>
      <c r="N826" s="301"/>
      <c r="O826" s="301"/>
      <c r="P826" s="301"/>
      <c r="Q826" s="325"/>
      <c r="R826" s="325"/>
      <c r="S826" s="325"/>
      <c r="T826" s="532">
        <f>SUM(F826:S826)</f>
        <v>0</v>
      </c>
      <c r="U826" s="301"/>
      <c r="V826" s="532">
        <f>SUM(T826:T826)</f>
        <v>0</v>
      </c>
      <c r="W826" s="532">
        <f>+V826-'ROR-Model'!G827</f>
        <v>0</v>
      </c>
    </row>
    <row r="827" spans="1:23">
      <c r="A827" s="535"/>
      <c r="B827" s="534"/>
      <c r="C827" s="534" t="s">
        <v>145</v>
      </c>
      <c r="D827" s="534"/>
      <c r="E827" s="531"/>
      <c r="F827" s="323">
        <f>SUM(F825:F826)</f>
        <v>0</v>
      </c>
      <c r="G827" s="323">
        <f>G1*SUM(G825:G826)</f>
        <v>0</v>
      </c>
      <c r="H827" s="323">
        <f>SUM(H825:H826)</f>
        <v>0</v>
      </c>
      <c r="I827" s="323">
        <f t="shared" ref="I827:P827" si="178">SUM(I825:I826)</f>
        <v>0</v>
      </c>
      <c r="J827" s="476">
        <f>J1*SUM(J825:J826)</f>
        <v>0</v>
      </c>
      <c r="K827" s="476">
        <f>K1*SUM(K825:K826)</f>
        <v>0</v>
      </c>
      <c r="L827" s="323">
        <f t="shared" si="178"/>
        <v>0</v>
      </c>
      <c r="M827" s="323">
        <f t="shared" si="178"/>
        <v>0</v>
      </c>
      <c r="N827" s="323">
        <f t="shared" si="178"/>
        <v>0</v>
      </c>
      <c r="O827" s="323">
        <f t="shared" si="178"/>
        <v>0</v>
      </c>
      <c r="P827" s="323">
        <f t="shared" si="178"/>
        <v>0</v>
      </c>
      <c r="Q827" s="476">
        <f>SUM(Q825:Q826)</f>
        <v>0</v>
      </c>
      <c r="R827" s="476">
        <f>R1*SUM(R825:R826)</f>
        <v>0</v>
      </c>
      <c r="S827" s="476">
        <f>S1*SUM(S825:S826)</f>
        <v>0</v>
      </c>
      <c r="T827" s="536">
        <f>SUM(T825:T826)</f>
        <v>0</v>
      </c>
      <c r="U827" s="323"/>
      <c r="V827" s="536">
        <f>SUM(V825:V826)</f>
        <v>0</v>
      </c>
      <c r="W827" s="536">
        <f>+V827-'ROR-Model'!G828</f>
        <v>0</v>
      </c>
    </row>
    <row r="828" spans="1:23" ht="13.5" thickBot="1">
      <c r="A828" s="535"/>
      <c r="B828" s="534"/>
      <c r="C828" s="534"/>
      <c r="D828" s="534"/>
      <c r="E828" s="531"/>
      <c r="F828" s="470"/>
      <c r="G828" s="470"/>
      <c r="H828" s="470"/>
      <c r="I828" s="470"/>
      <c r="J828" s="477"/>
      <c r="K828" s="477"/>
      <c r="L828" s="470"/>
      <c r="M828" s="470"/>
      <c r="N828" s="470"/>
      <c r="O828" s="470"/>
      <c r="P828" s="470"/>
      <c r="Q828" s="477"/>
      <c r="R828" s="477"/>
      <c r="S828" s="477"/>
      <c r="T828" s="538"/>
      <c r="U828" s="470"/>
      <c r="V828" s="538"/>
      <c r="W828" s="538">
        <f>+V828-'ROR-Model'!G829</f>
        <v>0</v>
      </c>
    </row>
    <row r="829" spans="1:23" ht="13.5" thickTop="1">
      <c r="A829" s="167" t="s">
        <v>596</v>
      </c>
      <c r="B829" s="534"/>
      <c r="C829" s="534"/>
      <c r="D829" s="534"/>
      <c r="E829" s="531"/>
      <c r="F829" s="301"/>
      <c r="G829" s="301"/>
      <c r="H829" s="301"/>
      <c r="I829" s="301"/>
      <c r="J829" s="325"/>
      <c r="K829" s="325"/>
      <c r="L829" s="301"/>
      <c r="M829" s="301"/>
      <c r="N829" s="301"/>
      <c r="O829" s="301"/>
      <c r="P829" s="301"/>
      <c r="Q829" s="325"/>
      <c r="R829" s="325"/>
      <c r="S829" s="325"/>
      <c r="T829" s="532"/>
      <c r="U829" s="301"/>
      <c r="V829" s="532"/>
      <c r="W829" s="532">
        <f>+V829-'ROR-Model'!G830</f>
        <v>0</v>
      </c>
    </row>
    <row r="830" spans="1:23">
      <c r="A830" s="535"/>
      <c r="B830" s="466" t="s">
        <v>597</v>
      </c>
      <c r="C830" s="534"/>
      <c r="D830" s="534"/>
      <c r="E830" s="531"/>
      <c r="F830" s="301">
        <f>F810+F815+F820+F825</f>
        <v>0</v>
      </c>
      <c r="G830" s="301">
        <f>G1*G810+G815+G820+G825</f>
        <v>-26736727.259999998</v>
      </c>
      <c r="H830" s="301">
        <f>H810+H815+H820+H825</f>
        <v>0</v>
      </c>
      <c r="I830" s="301">
        <f t="shared" ref="I830:Q831" si="179">I810+I815+I820+I825</f>
        <v>0</v>
      </c>
      <c r="J830" s="325">
        <f>J1*J810+J815+J820+J825</f>
        <v>0</v>
      </c>
      <c r="K830" s="325">
        <f>K1*K810+K815+K820+K825</f>
        <v>0</v>
      </c>
      <c r="L830" s="301">
        <f t="shared" si="179"/>
        <v>0</v>
      </c>
      <c r="M830" s="301">
        <f t="shared" si="179"/>
        <v>0</v>
      </c>
      <c r="N830" s="301">
        <f t="shared" si="179"/>
        <v>0</v>
      </c>
      <c r="O830" s="301">
        <f t="shared" si="179"/>
        <v>0</v>
      </c>
      <c r="P830" s="301">
        <f t="shared" si="179"/>
        <v>0</v>
      </c>
      <c r="Q830" s="325">
        <f t="shared" si="179"/>
        <v>0</v>
      </c>
      <c r="R830" s="325">
        <f>R1*R810+R815+R820+R825</f>
        <v>0</v>
      </c>
      <c r="S830" s="325">
        <f>S1*S810+S815+S820+S825</f>
        <v>0</v>
      </c>
      <c r="T830" s="616">
        <f>T810+T815+T820+T825</f>
        <v>-26736727.259999998</v>
      </c>
      <c r="U830" s="301"/>
      <c r="V830" s="532">
        <f>V810+V815+V820+V825</f>
        <v>-26736727.259999998</v>
      </c>
      <c r="W830" s="532">
        <f>+V830-'ROR-Model'!G831</f>
        <v>0</v>
      </c>
    </row>
    <row r="831" spans="1:23">
      <c r="A831" s="535"/>
      <c r="B831" s="466" t="s">
        <v>598</v>
      </c>
      <c r="C831" s="534"/>
      <c r="D831" s="534"/>
      <c r="E831" s="531"/>
      <c r="F831" s="301">
        <f>F811+F816+F821+F826</f>
        <v>0</v>
      </c>
      <c r="G831" s="301">
        <f>G1*G811+G816+G821+G826</f>
        <v>-107131.26999999999</v>
      </c>
      <c r="H831" s="301">
        <f>H811+H816+H821+H826</f>
        <v>0</v>
      </c>
      <c r="I831" s="301">
        <f t="shared" si="179"/>
        <v>0</v>
      </c>
      <c r="J831" s="325">
        <f>J1*J811+J816+J821+J826</f>
        <v>0</v>
      </c>
      <c r="K831" s="325">
        <f>K1*K811+K816+K821+K826</f>
        <v>0</v>
      </c>
      <c r="L831" s="301">
        <f t="shared" si="179"/>
        <v>0</v>
      </c>
      <c r="M831" s="301">
        <f t="shared" si="179"/>
        <v>0</v>
      </c>
      <c r="N831" s="301">
        <f>N811+N816+N821+N826</f>
        <v>0</v>
      </c>
      <c r="O831" s="301">
        <f>O811+O816+O821+O826</f>
        <v>0</v>
      </c>
      <c r="P831" s="301">
        <f t="shared" si="179"/>
        <v>0</v>
      </c>
      <c r="Q831" s="325">
        <f t="shared" si="179"/>
        <v>0</v>
      </c>
      <c r="R831" s="325">
        <f>R1*R811+R816+R821+R826</f>
        <v>0</v>
      </c>
      <c r="S831" s="325">
        <f>S1*S811+S816+S821+S826</f>
        <v>0</v>
      </c>
      <c r="T831" s="616">
        <f>T811+T816+T821+T826</f>
        <v>-107131.26999999999</v>
      </c>
      <c r="U831" s="301"/>
      <c r="V831" s="532">
        <f>V811+V816+V821+V826</f>
        <v>-107131.26999999999</v>
      </c>
      <c r="W831" s="532">
        <f>+V831-'ROR-Model'!G832</f>
        <v>0</v>
      </c>
    </row>
    <row r="832" spans="1:23" ht="13.5" thickBot="1">
      <c r="A832" s="535"/>
      <c r="B832" s="534"/>
      <c r="C832" s="534"/>
      <c r="D832" s="534"/>
      <c r="E832" s="531"/>
      <c r="F832" s="471"/>
      <c r="G832" s="471"/>
      <c r="H832" s="471"/>
      <c r="I832" s="471"/>
      <c r="J832" s="548"/>
      <c r="K832" s="548"/>
      <c r="L832" s="471"/>
      <c r="M832" s="471"/>
      <c r="N832" s="471"/>
      <c r="O832" s="471"/>
      <c r="P832" s="471"/>
      <c r="Q832" s="548"/>
      <c r="R832" s="548"/>
      <c r="S832" s="548"/>
      <c r="T832" s="549"/>
      <c r="U832" s="471"/>
      <c r="V832" s="549"/>
      <c r="W832" s="549">
        <f>+V832-'ROR-Model'!G833</f>
        <v>0</v>
      </c>
    </row>
    <row r="833" spans="1:23">
      <c r="A833" s="535"/>
      <c r="B833" s="175" t="s">
        <v>596</v>
      </c>
      <c r="C833" s="534"/>
      <c r="D833" s="534"/>
      <c r="E833" s="531"/>
      <c r="F833" s="301">
        <f>F812+F817+F822+F827</f>
        <v>0</v>
      </c>
      <c r="G833" s="301">
        <f>G1*G812+G817+G822+G827</f>
        <v>-26843858.529999997</v>
      </c>
      <c r="H833" s="301">
        <f>H812+H817+H822+H827</f>
        <v>0</v>
      </c>
      <c r="I833" s="301">
        <f t="shared" ref="I833:Q833" si="180">I812+I817+I822+I827</f>
        <v>0</v>
      </c>
      <c r="J833" s="325">
        <f>J1*J812+J817+J822+J827</f>
        <v>0</v>
      </c>
      <c r="K833" s="325">
        <f>K1*K812+K817+K822+K827</f>
        <v>0</v>
      </c>
      <c r="L833" s="301">
        <f t="shared" si="180"/>
        <v>0</v>
      </c>
      <c r="M833" s="301">
        <f t="shared" si="180"/>
        <v>0</v>
      </c>
      <c r="N833" s="301">
        <f t="shared" si="180"/>
        <v>0</v>
      </c>
      <c r="O833" s="301">
        <f t="shared" si="180"/>
        <v>0</v>
      </c>
      <c r="P833" s="301">
        <f t="shared" si="180"/>
        <v>0</v>
      </c>
      <c r="Q833" s="325">
        <f t="shared" si="180"/>
        <v>0</v>
      </c>
      <c r="R833" s="325">
        <f>R1*R812+R817+R822+R827</f>
        <v>0</v>
      </c>
      <c r="S833" s="325">
        <f>S1*S812+S817+S822+S827</f>
        <v>0</v>
      </c>
      <c r="T833" s="532">
        <f>SUM(F833:S833)</f>
        <v>-26843858.529999997</v>
      </c>
      <c r="U833" s="301"/>
      <c r="V833" s="532">
        <f>SUM(T833:T833)</f>
        <v>-26843858.529999997</v>
      </c>
      <c r="W833" s="532">
        <f>+V833-'ROR-Model'!G834</f>
        <v>0</v>
      </c>
    </row>
    <row r="834" spans="1:23">
      <c r="A834" s="535"/>
      <c r="B834" s="534"/>
      <c r="C834" s="534"/>
      <c r="D834" s="534"/>
      <c r="E834" s="531"/>
      <c r="F834" s="301"/>
      <c r="G834" s="301"/>
      <c r="H834" s="301"/>
      <c r="I834" s="301"/>
      <c r="J834" s="325"/>
      <c r="K834" s="325"/>
      <c r="L834" s="301"/>
      <c r="M834" s="301"/>
      <c r="N834" s="301"/>
      <c r="O834" s="301"/>
      <c r="P834" s="301"/>
      <c r="Q834" s="325"/>
      <c r="R834" s="325"/>
      <c r="S834" s="325"/>
      <c r="T834" s="532"/>
      <c r="U834" s="301"/>
      <c r="V834" s="532"/>
      <c r="W834" s="532">
        <f>+V834-'ROR-Model'!G835</f>
        <v>0</v>
      </c>
    </row>
    <row r="835" spans="1:23">
      <c r="A835" s="167" t="s">
        <v>383</v>
      </c>
      <c r="B835" s="534"/>
      <c r="C835" s="534"/>
      <c r="D835" s="534"/>
      <c r="E835" s="531"/>
      <c r="F835" s="301"/>
      <c r="G835" s="301"/>
      <c r="H835" s="301"/>
      <c r="I835" s="301"/>
      <c r="J835" s="325"/>
      <c r="K835" s="325"/>
      <c r="L835" s="301"/>
      <c r="M835" s="301"/>
      <c r="N835" s="301"/>
      <c r="O835" s="301"/>
      <c r="P835" s="301"/>
      <c r="Q835" s="325"/>
      <c r="R835" s="325"/>
      <c r="S835" s="325"/>
      <c r="T835" s="532"/>
      <c r="U835" s="301"/>
      <c r="V835" s="532"/>
      <c r="W835" s="532">
        <f>+V835-'ROR-Model'!G836</f>
        <v>0</v>
      </c>
    </row>
    <row r="836" spans="1:23">
      <c r="A836" s="535"/>
      <c r="B836" s="534"/>
      <c r="C836" s="534"/>
      <c r="D836" s="534"/>
      <c r="E836" s="531"/>
      <c r="F836" s="301"/>
      <c r="G836" s="301"/>
      <c r="H836" s="301"/>
      <c r="I836" s="301"/>
      <c r="J836" s="325"/>
      <c r="K836" s="325"/>
      <c r="L836" s="301"/>
      <c r="M836" s="301"/>
      <c r="N836" s="301"/>
      <c r="O836" s="301"/>
      <c r="P836" s="301"/>
      <c r="Q836" s="325"/>
      <c r="R836" s="325"/>
      <c r="S836" s="325"/>
      <c r="T836" s="532"/>
      <c r="U836" s="301"/>
      <c r="V836" s="532"/>
      <c r="W836" s="532">
        <f>+V836-'ROR-Model'!G837</f>
        <v>0</v>
      </c>
    </row>
    <row r="837" spans="1:23">
      <c r="A837" s="543">
        <v>920</v>
      </c>
      <c r="B837" s="534" t="s">
        <v>384</v>
      </c>
      <c r="C837" s="534"/>
      <c r="D837" s="534"/>
      <c r="E837" s="531"/>
      <c r="F837" s="301"/>
      <c r="G837" s="301"/>
      <c r="H837" s="301"/>
      <c r="I837" s="301"/>
      <c r="J837" s="325"/>
      <c r="K837" s="325"/>
      <c r="L837" s="301"/>
      <c r="M837" s="301"/>
      <c r="N837" s="301"/>
      <c r="O837" s="301"/>
      <c r="P837" s="301"/>
      <c r="Q837" s="325"/>
      <c r="R837" s="325"/>
      <c r="S837" s="325"/>
      <c r="T837" s="532"/>
      <c r="U837" s="301"/>
      <c r="V837" s="532"/>
      <c r="W837" s="532">
        <f>+V837-'ROR-Model'!G838</f>
        <v>0</v>
      </c>
    </row>
    <row r="838" spans="1:23">
      <c r="A838" s="535"/>
      <c r="B838" s="534"/>
      <c r="C838" s="534" t="s">
        <v>12</v>
      </c>
      <c r="D838" s="534"/>
      <c r="E838" s="531"/>
      <c r="F838" s="301"/>
      <c r="G838" s="301"/>
      <c r="H838" s="301"/>
      <c r="I838" s="301"/>
      <c r="J838" s="325">
        <v>0</v>
      </c>
      <c r="K838" s="325"/>
      <c r="L838" s="301"/>
      <c r="M838" s="301">
        <f>Incentive!D19*M1</f>
        <v>-2119373.6965824962</v>
      </c>
      <c r="N838" s="301"/>
      <c r="O838" s="301"/>
      <c r="P838" s="301"/>
      <c r="Q838" s="325"/>
      <c r="R838" s="325">
        <f>'Lab Adj'!$E$16*R1</f>
        <v>3101887.17018387</v>
      </c>
      <c r="S838" s="325">
        <v>0</v>
      </c>
      <c r="T838" s="532">
        <f>SUM(F838:S838)</f>
        <v>982513.47360137384</v>
      </c>
      <c r="U838" s="301"/>
      <c r="V838" s="532">
        <f>SUM(T838:T838)</f>
        <v>982513.47360137384</v>
      </c>
      <c r="W838" s="532">
        <f>+V838-'ROR-Model'!G839</f>
        <v>0</v>
      </c>
    </row>
    <row r="839" spans="1:23">
      <c r="A839" s="535"/>
      <c r="B839" s="534"/>
      <c r="C839" s="534" t="s">
        <v>23</v>
      </c>
      <c r="D839" s="534"/>
      <c r="E839" s="531"/>
      <c r="F839" s="301"/>
      <c r="G839" s="301"/>
      <c r="H839" s="301"/>
      <c r="I839" s="301"/>
      <c r="J839" s="325">
        <v>0</v>
      </c>
      <c r="K839" s="325"/>
      <c r="L839" s="301"/>
      <c r="M839" s="301">
        <f>Incentive!D20*M1</f>
        <v>-66067.269917504018</v>
      </c>
      <c r="N839" s="301"/>
      <c r="O839" s="301"/>
      <c r="P839" s="301"/>
      <c r="Q839" s="325"/>
      <c r="R839" s="325">
        <f>'Lab Adj'!$E$17*R1</f>
        <v>94423.490819824146</v>
      </c>
      <c r="S839" s="325">
        <v>0</v>
      </c>
      <c r="T839" s="532">
        <f>SUM(F839:S839)</f>
        <v>28356.220902320129</v>
      </c>
      <c r="U839" s="301"/>
      <c r="V839" s="532">
        <f>SUM(T839:T839)</f>
        <v>28356.220902320129</v>
      </c>
      <c r="W839" s="532">
        <f>+V839-'ROR-Model'!G840</f>
        <v>0</v>
      </c>
    </row>
    <row r="840" spans="1:23">
      <c r="A840" s="543"/>
      <c r="B840" s="534"/>
      <c r="C840" s="534" t="s">
        <v>145</v>
      </c>
      <c r="D840" s="534"/>
      <c r="E840" s="531"/>
      <c r="F840" s="323">
        <f>SUM(F838:F839)</f>
        <v>0</v>
      </c>
      <c r="G840" s="323">
        <f>G1*SUM(G838:G839)</f>
        <v>0</v>
      </c>
      <c r="H840" s="323">
        <f>SUM(H838:H839)</f>
        <v>0</v>
      </c>
      <c r="I840" s="323">
        <f t="shared" ref="I840:P840" si="181">SUM(I838:I839)</f>
        <v>0</v>
      </c>
      <c r="J840" s="476">
        <f>J1*SUM(J838:J839)</f>
        <v>0</v>
      </c>
      <c r="K840" s="476">
        <f>K1*SUM(K838:K839)</f>
        <v>0</v>
      </c>
      <c r="L840" s="323">
        <f t="shared" si="181"/>
        <v>0</v>
      </c>
      <c r="M840" s="323">
        <f t="shared" si="181"/>
        <v>-2185440.9665000001</v>
      </c>
      <c r="N840" s="323">
        <f t="shared" si="181"/>
        <v>0</v>
      </c>
      <c r="O840" s="323">
        <f t="shared" si="181"/>
        <v>0</v>
      </c>
      <c r="P840" s="323">
        <f t="shared" si="181"/>
        <v>0</v>
      </c>
      <c r="Q840" s="476">
        <f>SUM(Q838:Q839)</f>
        <v>0</v>
      </c>
      <c r="R840" s="476">
        <f>R1*SUM(R838:R839)</f>
        <v>3196310.6610036939</v>
      </c>
      <c r="S840" s="476">
        <f>S1*SUM(S838:S839)</f>
        <v>0</v>
      </c>
      <c r="T840" s="536">
        <f>SUM(F840:S840)</f>
        <v>1010869.6945036938</v>
      </c>
      <c r="U840" s="323"/>
      <c r="V840" s="536">
        <f>SUM(T840:T840)</f>
        <v>1010869.6945036938</v>
      </c>
      <c r="W840" s="536">
        <f>+V840-'ROR-Model'!G841</f>
        <v>0</v>
      </c>
    </row>
    <row r="841" spans="1:23">
      <c r="A841" s="543">
        <v>921</v>
      </c>
      <c r="B841" s="534" t="s">
        <v>385</v>
      </c>
      <c r="C841" s="534"/>
      <c r="D841" s="534"/>
      <c r="E841" s="531"/>
      <c r="F841" s="301"/>
      <c r="G841" s="301"/>
      <c r="H841" s="301"/>
      <c r="I841" s="301"/>
      <c r="J841" s="325"/>
      <c r="K841" s="325"/>
      <c r="L841" s="301"/>
      <c r="M841" s="301"/>
      <c r="N841" s="301"/>
      <c r="O841" s="301"/>
      <c r="P841" s="301"/>
      <c r="Q841" s="325"/>
      <c r="R841" s="325"/>
      <c r="S841" s="325"/>
      <c r="T841" s="532"/>
      <c r="U841" s="301"/>
      <c r="V841" s="532"/>
      <c r="W841" s="532">
        <f>+V841-'ROR-Model'!G842</f>
        <v>0</v>
      </c>
    </row>
    <row r="842" spans="1:23">
      <c r="A842" s="543"/>
      <c r="B842" s="534"/>
      <c r="C842" s="534" t="s">
        <v>12</v>
      </c>
      <c r="D842" s="534"/>
      <c r="E842" s="531"/>
      <c r="F842" s="301"/>
      <c r="G842" s="301"/>
      <c r="H842" s="301"/>
      <c r="I842" s="301"/>
      <c r="J842" s="302"/>
      <c r="K842" s="989"/>
      <c r="L842" s="301"/>
      <c r="M842" s="301"/>
      <c r="N842" s="301">
        <f>+'Sporting Events'!$F$14*$N$1</f>
        <v>0</v>
      </c>
      <c r="O842" s="301"/>
      <c r="P842" s="302">
        <f>+Donations!L14*P1</f>
        <v>-176368.66228823297</v>
      </c>
      <c r="Q842" s="737">
        <f>+'RESERVE ACCRUAL'!$F$25*Q1</f>
        <v>480238.58879149193</v>
      </c>
      <c r="R842" s="302"/>
      <c r="S842" s="302"/>
      <c r="T842" s="529">
        <f>SUM(F842:S842)</f>
        <v>303869.92650325899</v>
      </c>
      <c r="U842" s="301"/>
      <c r="V842" s="529">
        <f>SUM(T842:T842)</f>
        <v>303869.92650325899</v>
      </c>
      <c r="W842" s="529">
        <f>+V842-'ROR-Model'!G844</f>
        <v>0</v>
      </c>
    </row>
    <row r="843" spans="1:23">
      <c r="A843" s="543"/>
      <c r="B843" s="534"/>
      <c r="C843" s="534" t="s">
        <v>23</v>
      </c>
      <c r="D843" s="534"/>
      <c r="E843" s="531"/>
      <c r="F843" s="301"/>
      <c r="G843" s="301"/>
      <c r="H843" s="301"/>
      <c r="I843" s="301"/>
      <c r="J843" s="302"/>
      <c r="K843" s="989"/>
      <c r="L843" s="301"/>
      <c r="M843" s="301"/>
      <c r="N843" s="301">
        <f>+'Sporting Events'!$F$15*$N$1</f>
        <v>0</v>
      </c>
      <c r="O843" s="301"/>
      <c r="P843" s="302">
        <f>+Donations!L15*P1</f>
        <v>-5497.9431117669528</v>
      </c>
      <c r="Q843" s="737">
        <f>+'RESERVE ACCRUAL'!$F$26*Q1</f>
        <v>16201.535208508101</v>
      </c>
      <c r="R843" s="302"/>
      <c r="S843" s="302"/>
      <c r="T843" s="529">
        <f>SUM(F843:S843)</f>
        <v>10703.592096741148</v>
      </c>
      <c r="U843" s="301"/>
      <c r="V843" s="529">
        <f>SUM(T843:T843)</f>
        <v>10703.592096741148</v>
      </c>
      <c r="W843" s="529">
        <f>+V843-'ROR-Model'!G845</f>
        <v>0</v>
      </c>
    </row>
    <row r="844" spans="1:23">
      <c r="A844" s="543"/>
      <c r="B844" s="534"/>
      <c r="C844" s="534" t="s">
        <v>145</v>
      </c>
      <c r="D844" s="534"/>
      <c r="E844" s="531"/>
      <c r="F844" s="323">
        <f>SUM(F842:F843)</f>
        <v>0</v>
      </c>
      <c r="G844" s="323">
        <f>G1*SUM(G842:G843)</f>
        <v>0</v>
      </c>
      <c r="H844" s="323">
        <f>SUM(H842:H843)</f>
        <v>0</v>
      </c>
      <c r="I844" s="323">
        <f t="shared" ref="I844:P844" si="182">SUM(I842:I843)</f>
        <v>0</v>
      </c>
      <c r="J844" s="476">
        <f>J1*SUM(J842:J843)</f>
        <v>0</v>
      </c>
      <c r="K844" s="476">
        <f>K1*SUM(K842:K843)</f>
        <v>0</v>
      </c>
      <c r="L844" s="323">
        <f t="shared" si="182"/>
        <v>0</v>
      </c>
      <c r="M844" s="323">
        <f t="shared" si="182"/>
        <v>0</v>
      </c>
      <c r="N844" s="323">
        <f t="shared" si="182"/>
        <v>0</v>
      </c>
      <c r="O844" s="323">
        <f t="shared" si="182"/>
        <v>0</v>
      </c>
      <c r="P844" s="476">
        <f t="shared" si="182"/>
        <v>-181866.60539999991</v>
      </c>
      <c r="Q844" s="738">
        <f>SUM(Q842:Q843)</f>
        <v>496440.12400000001</v>
      </c>
      <c r="R844" s="476">
        <f>R1*SUM(R842:R843)</f>
        <v>0</v>
      </c>
      <c r="S844" s="476">
        <f>S1*SUM(S842:S843)</f>
        <v>0</v>
      </c>
      <c r="T844" s="536">
        <f>SUM(F844:S844)</f>
        <v>314573.51860000007</v>
      </c>
      <c r="U844" s="323"/>
      <c r="V844" s="536">
        <f>SUM(T844:T844)</f>
        <v>314573.51860000007</v>
      </c>
      <c r="W844" s="536">
        <f>+V844-'ROR-Model'!G846</f>
        <v>0</v>
      </c>
    </row>
    <row r="845" spans="1:23">
      <c r="A845" s="543">
        <v>922</v>
      </c>
      <c r="B845" s="534" t="s">
        <v>386</v>
      </c>
      <c r="C845" s="534"/>
      <c r="D845" s="534"/>
      <c r="E845" s="531"/>
      <c r="F845" s="301"/>
      <c r="G845" s="301"/>
      <c r="H845" s="301"/>
      <c r="I845" s="301"/>
      <c r="J845" s="325"/>
      <c r="K845" s="325"/>
      <c r="L845" s="301"/>
      <c r="M845" s="301"/>
      <c r="N845" s="301"/>
      <c r="O845" s="301"/>
      <c r="P845" s="325"/>
      <c r="Q845" s="325"/>
      <c r="R845" s="325"/>
      <c r="S845" s="325"/>
      <c r="T845" s="532"/>
      <c r="U845" s="301"/>
      <c r="V845" s="532"/>
      <c r="W845" s="532">
        <f>+V845-'ROR-Model'!G847</f>
        <v>0</v>
      </c>
    </row>
    <row r="846" spans="1:23">
      <c r="A846" s="543"/>
      <c r="B846" s="534"/>
      <c r="C846" s="534" t="s">
        <v>12</v>
      </c>
      <c r="D846" s="534"/>
      <c r="E846" s="531"/>
      <c r="F846" s="301"/>
      <c r="G846" s="301"/>
      <c r="H846" s="301"/>
      <c r="I846" s="301"/>
      <c r="J846" s="325"/>
      <c r="K846" s="325"/>
      <c r="L846" s="301"/>
      <c r="M846" s="301"/>
      <c r="N846" s="301"/>
      <c r="O846" s="301"/>
      <c r="P846" s="301"/>
      <c r="Q846" s="325"/>
      <c r="R846" s="325"/>
      <c r="S846" s="325"/>
      <c r="T846" s="532">
        <f>SUM(F846:S846)</f>
        <v>0</v>
      </c>
      <c r="U846" s="301"/>
      <c r="V846" s="532">
        <f>SUM(T846:T846)</f>
        <v>0</v>
      </c>
      <c r="W846" s="532">
        <f>+V846-'ROR-Model'!G849</f>
        <v>0</v>
      </c>
    </row>
    <row r="847" spans="1:23">
      <c r="A847" s="543"/>
      <c r="B847" s="534"/>
      <c r="C847" s="534" t="s">
        <v>23</v>
      </c>
      <c r="D847" s="534"/>
      <c r="E847" s="531"/>
      <c r="F847" s="301"/>
      <c r="G847" s="301"/>
      <c r="H847" s="301"/>
      <c r="I847" s="301"/>
      <c r="J847" s="325"/>
      <c r="K847" s="325"/>
      <c r="L847" s="301"/>
      <c r="M847" s="301"/>
      <c r="N847" s="301"/>
      <c r="O847" s="301"/>
      <c r="P847" s="301"/>
      <c r="Q847" s="325"/>
      <c r="R847" s="325"/>
      <c r="S847" s="325"/>
      <c r="T847" s="532">
        <f>SUM(F847:S847)</f>
        <v>0</v>
      </c>
      <c r="U847" s="301"/>
      <c r="V847" s="532">
        <f>SUM(T847:T847)</f>
        <v>0</v>
      </c>
      <c r="W847" s="532">
        <f>+V847-'ROR-Model'!G850</f>
        <v>0</v>
      </c>
    </row>
    <row r="848" spans="1:23">
      <c r="A848" s="543"/>
      <c r="B848" s="534"/>
      <c r="C848" s="534" t="s">
        <v>145</v>
      </c>
      <c r="D848" s="534"/>
      <c r="E848" s="531"/>
      <c r="F848" s="323">
        <f>SUM(F846:F847)</f>
        <v>0</v>
      </c>
      <c r="G848" s="323">
        <f>G1*SUM(G846:G847)</f>
        <v>0</v>
      </c>
      <c r="H848" s="323">
        <f>SUM(H846:H847)</f>
        <v>0</v>
      </c>
      <c r="I848" s="323">
        <f t="shared" ref="I848:P848" si="183">SUM(I846:I847)</f>
        <v>0</v>
      </c>
      <c r="J848" s="476">
        <f>J1*SUM(J846:J847)</f>
        <v>0</v>
      </c>
      <c r="K848" s="476">
        <f>K1*SUM(K846:K847)</f>
        <v>0</v>
      </c>
      <c r="L848" s="323">
        <f t="shared" si="183"/>
        <v>0</v>
      </c>
      <c r="M848" s="323">
        <f t="shared" si="183"/>
        <v>0</v>
      </c>
      <c r="N848" s="323">
        <f t="shared" si="183"/>
        <v>0</v>
      </c>
      <c r="O848" s="323">
        <f t="shared" si="183"/>
        <v>0</v>
      </c>
      <c r="P848" s="323">
        <f t="shared" si="183"/>
        <v>0</v>
      </c>
      <c r="Q848" s="476">
        <f>SUM(Q846:Q847)</f>
        <v>0</v>
      </c>
      <c r="R848" s="476">
        <f>R1*SUM(R846:R847)</f>
        <v>0</v>
      </c>
      <c r="S848" s="476">
        <f>S1*SUM(S846:S847)</f>
        <v>0</v>
      </c>
      <c r="T848" s="536">
        <f>SUM(F848:S848)</f>
        <v>0</v>
      </c>
      <c r="U848" s="323"/>
      <c r="V848" s="536">
        <f>SUM(T848:T848)</f>
        <v>0</v>
      </c>
      <c r="W848" s="536">
        <f>+V848-'ROR-Model'!G851</f>
        <v>0</v>
      </c>
    </row>
    <row r="849" spans="1:23">
      <c r="A849" s="543">
        <v>923</v>
      </c>
      <c r="B849" s="534" t="s">
        <v>387</v>
      </c>
      <c r="C849" s="534"/>
      <c r="D849" s="534"/>
      <c r="E849" s="531"/>
      <c r="F849" s="301"/>
      <c r="G849" s="301"/>
      <c r="H849" s="301"/>
      <c r="I849" s="301"/>
      <c r="J849" s="474"/>
      <c r="K849" s="474"/>
      <c r="L849" s="301"/>
      <c r="M849" s="301"/>
      <c r="N849" s="301"/>
      <c r="O849" s="301"/>
      <c r="P849" s="301"/>
      <c r="Q849" s="325"/>
      <c r="R849" s="474"/>
      <c r="S849" s="474"/>
      <c r="T849" s="532"/>
      <c r="U849" s="301"/>
      <c r="V849" s="532"/>
      <c r="W849" s="532">
        <f>+V849-'ROR-Model'!G852</f>
        <v>0</v>
      </c>
    </row>
    <row r="850" spans="1:23">
      <c r="A850" s="543"/>
      <c r="B850" s="534"/>
      <c r="C850" s="534" t="s">
        <v>12</v>
      </c>
      <c r="D850" s="534"/>
      <c r="E850" s="531"/>
      <c r="F850" s="301"/>
      <c r="G850" s="301"/>
      <c r="H850" s="301"/>
      <c r="I850" s="301"/>
      <c r="J850" s="325"/>
      <c r="K850" s="325"/>
      <c r="L850" s="301"/>
      <c r="M850" s="301"/>
      <c r="N850" s="301"/>
      <c r="O850" s="301"/>
      <c r="P850" s="301"/>
      <c r="R850" s="325"/>
      <c r="S850" s="325"/>
      <c r="T850" s="532">
        <f>SUM(F850:S850)</f>
        <v>0</v>
      </c>
      <c r="U850" s="301"/>
      <c r="V850" s="532">
        <f>SUM(T850:T850)</f>
        <v>0</v>
      </c>
      <c r="W850" s="532">
        <f>+V850-'ROR-Model'!G854</f>
        <v>0</v>
      </c>
    </row>
    <row r="851" spans="1:23">
      <c r="A851" s="543"/>
      <c r="B851" s="534"/>
      <c r="C851" s="534" t="s">
        <v>23</v>
      </c>
      <c r="D851" s="534"/>
      <c r="E851" s="531"/>
      <c r="F851" s="301"/>
      <c r="G851" s="301"/>
      <c r="H851" s="301"/>
      <c r="I851" s="301"/>
      <c r="J851" s="325"/>
      <c r="K851" s="325"/>
      <c r="L851" s="301"/>
      <c r="M851" s="301"/>
      <c r="N851" s="301"/>
      <c r="O851" s="301"/>
      <c r="P851" s="301"/>
      <c r="R851" s="325"/>
      <c r="S851" s="325"/>
      <c r="T851" s="532">
        <f>SUM(F851:S851)</f>
        <v>0</v>
      </c>
      <c r="U851" s="301"/>
      <c r="V851" s="532">
        <f>SUM(T851:T851)</f>
        <v>0</v>
      </c>
      <c r="W851" s="532">
        <f>+V851-'ROR-Model'!G855</f>
        <v>0</v>
      </c>
    </row>
    <row r="852" spans="1:23">
      <c r="A852" s="543"/>
      <c r="B852" s="534"/>
      <c r="C852" s="534" t="s">
        <v>145</v>
      </c>
      <c r="D852" s="534"/>
      <c r="E852" s="531"/>
      <c r="F852" s="323">
        <f>SUM(F850:F851)</f>
        <v>0</v>
      </c>
      <c r="G852" s="323">
        <f>G1*SUM(G850:G851)</f>
        <v>0</v>
      </c>
      <c r="H852" s="323">
        <f>SUM(H850:H851)</f>
        <v>0</v>
      </c>
      <c r="I852" s="323">
        <f t="shared" ref="I852:P852" si="184">SUM(I850:I851)</f>
        <v>0</v>
      </c>
      <c r="J852" s="476">
        <f>J1*SUM(J850:J851)</f>
        <v>0</v>
      </c>
      <c r="K852" s="476">
        <f>K1*SUM(K850:K851)</f>
        <v>0</v>
      </c>
      <c r="L852" s="323">
        <f t="shared" si="184"/>
        <v>0</v>
      </c>
      <c r="M852" s="323">
        <f t="shared" si="184"/>
        <v>0</v>
      </c>
      <c r="N852" s="323">
        <f t="shared" si="184"/>
        <v>0</v>
      </c>
      <c r="O852" s="323">
        <f t="shared" si="184"/>
        <v>0</v>
      </c>
      <c r="P852" s="323">
        <f t="shared" si="184"/>
        <v>0</v>
      </c>
      <c r="Q852" s="476">
        <f>SUM(Q850:Q851)</f>
        <v>0</v>
      </c>
      <c r="R852" s="476">
        <f>R1*SUM(R850:R851)</f>
        <v>0</v>
      </c>
      <c r="S852" s="476">
        <f>S1*SUM(S850:S851)</f>
        <v>0</v>
      </c>
      <c r="T852" s="536">
        <f>SUM(F852:S852)</f>
        <v>0</v>
      </c>
      <c r="U852" s="323"/>
      <c r="V852" s="536">
        <f>SUM(T852:T852)</f>
        <v>0</v>
      </c>
      <c r="W852" s="536">
        <f>+V852-'ROR-Model'!G856</f>
        <v>0</v>
      </c>
    </row>
    <row r="853" spans="1:23">
      <c r="A853" s="543">
        <v>924</v>
      </c>
      <c r="B853" s="534" t="s">
        <v>388</v>
      </c>
      <c r="C853" s="534"/>
      <c r="D853" s="534"/>
      <c r="E853" s="531"/>
      <c r="F853" s="301"/>
      <c r="G853" s="301"/>
      <c r="H853" s="301"/>
      <c r="I853" s="301"/>
      <c r="J853" s="325"/>
      <c r="K853" s="325"/>
      <c r="L853" s="301"/>
      <c r="M853" s="301"/>
      <c r="N853" s="301"/>
      <c r="O853" s="301"/>
      <c r="P853" s="301"/>
      <c r="Q853" s="325"/>
      <c r="R853" s="325"/>
      <c r="S853" s="325"/>
      <c r="T853" s="532"/>
      <c r="U853" s="301"/>
      <c r="V853" s="532"/>
      <c r="W853" s="532">
        <f>+V853-'ROR-Model'!G857</f>
        <v>0</v>
      </c>
    </row>
    <row r="854" spans="1:23">
      <c r="A854" s="543"/>
      <c r="B854" s="534"/>
      <c r="C854" s="534" t="s">
        <v>12</v>
      </c>
      <c r="D854" s="534"/>
      <c r="E854" s="531"/>
      <c r="F854" s="301"/>
      <c r="G854" s="301"/>
      <c r="H854" s="301"/>
      <c r="I854" s="301"/>
      <c r="J854" s="325"/>
      <c r="K854" s="325"/>
      <c r="L854" s="301"/>
      <c r="M854" s="301"/>
      <c r="N854" s="301"/>
      <c r="O854" s="301"/>
      <c r="P854" s="301"/>
      <c r="Q854" s="325"/>
      <c r="R854" s="325"/>
      <c r="S854" s="325"/>
      <c r="T854" s="532">
        <f>SUM(F854:S854)</f>
        <v>0</v>
      </c>
      <c r="U854" s="301"/>
      <c r="V854" s="532">
        <f>SUM(T854:T854)</f>
        <v>0</v>
      </c>
      <c r="W854" s="532">
        <f>+V854-'ROR-Model'!G859</f>
        <v>0</v>
      </c>
    </row>
    <row r="855" spans="1:23">
      <c r="A855" s="543"/>
      <c r="B855" s="534"/>
      <c r="C855" s="534" t="s">
        <v>23</v>
      </c>
      <c r="D855" s="534"/>
      <c r="E855" s="531"/>
      <c r="F855" s="301"/>
      <c r="G855" s="301"/>
      <c r="H855" s="301"/>
      <c r="I855" s="301"/>
      <c r="J855" s="325"/>
      <c r="K855" s="325"/>
      <c r="L855" s="301"/>
      <c r="M855" s="301"/>
      <c r="N855" s="301"/>
      <c r="O855" s="301"/>
      <c r="P855" s="301"/>
      <c r="Q855" s="325"/>
      <c r="R855" s="325"/>
      <c r="S855" s="325"/>
      <c r="T855" s="532">
        <f>SUM(F855:S855)</f>
        <v>0</v>
      </c>
      <c r="U855" s="301"/>
      <c r="V855" s="532">
        <f>SUM(T855:T855)</f>
        <v>0</v>
      </c>
      <c r="W855" s="532">
        <f>+V855-'ROR-Model'!G860</f>
        <v>0</v>
      </c>
    </row>
    <row r="856" spans="1:23">
      <c r="A856" s="543"/>
      <c r="B856" s="534"/>
      <c r="C856" s="534" t="s">
        <v>145</v>
      </c>
      <c r="D856" s="534"/>
      <c r="E856" s="531"/>
      <c r="F856" s="323">
        <f>SUM(F854:F855)</f>
        <v>0</v>
      </c>
      <c r="G856" s="323">
        <f>G1*SUM(G854:G855)</f>
        <v>0</v>
      </c>
      <c r="H856" s="323">
        <f>SUM(H854:H855)</f>
        <v>0</v>
      </c>
      <c r="I856" s="323">
        <f t="shared" ref="I856:P856" si="185">SUM(I854:I855)</f>
        <v>0</v>
      </c>
      <c r="J856" s="476">
        <f>J1*SUM(J854:J855)</f>
        <v>0</v>
      </c>
      <c r="K856" s="476">
        <f>K1*SUM(K854:K855)</f>
        <v>0</v>
      </c>
      <c r="L856" s="323">
        <f t="shared" si="185"/>
        <v>0</v>
      </c>
      <c r="M856" s="323">
        <f t="shared" si="185"/>
        <v>0</v>
      </c>
      <c r="N856" s="323">
        <f t="shared" si="185"/>
        <v>0</v>
      </c>
      <c r="O856" s="323">
        <f t="shared" si="185"/>
        <v>0</v>
      </c>
      <c r="P856" s="323">
        <f t="shared" si="185"/>
        <v>0</v>
      </c>
      <c r="Q856" s="476">
        <f>SUM(Q854:Q855)</f>
        <v>0</v>
      </c>
      <c r="R856" s="476">
        <f>R1*SUM(R854:R855)</f>
        <v>0</v>
      </c>
      <c r="S856" s="476">
        <f>S1*SUM(S854:S855)</f>
        <v>0</v>
      </c>
      <c r="T856" s="536">
        <f>SUM(F856:S856)</f>
        <v>0</v>
      </c>
      <c r="U856" s="323"/>
      <c r="V856" s="536">
        <f>SUM(T856:T856)</f>
        <v>0</v>
      </c>
      <c r="W856" s="536">
        <f>+V856-'ROR-Model'!G861</f>
        <v>0</v>
      </c>
    </row>
    <row r="857" spans="1:23">
      <c r="A857" s="543">
        <v>925</v>
      </c>
      <c r="B857" s="534" t="s">
        <v>389</v>
      </c>
      <c r="C857" s="534"/>
      <c r="D857" s="534"/>
      <c r="E857" s="531"/>
      <c r="F857" s="301"/>
      <c r="G857" s="301"/>
      <c r="H857" s="301"/>
      <c r="I857" s="301"/>
      <c r="J857" s="325"/>
      <c r="K857" s="325"/>
      <c r="L857" s="301"/>
      <c r="M857" s="301"/>
      <c r="N857" s="301"/>
      <c r="O857" s="301"/>
      <c r="P857" s="301"/>
      <c r="Q857" s="325"/>
      <c r="R857" s="325"/>
      <c r="S857" s="325"/>
      <c r="T857" s="532"/>
      <c r="U857" s="301"/>
      <c r="V857" s="532"/>
      <c r="W857" s="532">
        <f>+V857-'ROR-Model'!G862</f>
        <v>0</v>
      </c>
    </row>
    <row r="858" spans="1:23">
      <c r="A858" s="543"/>
      <c r="B858" s="534"/>
      <c r="C858" s="534" t="s">
        <v>12</v>
      </c>
      <c r="D858" s="534"/>
      <c r="E858" s="531"/>
      <c r="F858" s="301"/>
      <c r="G858" s="301"/>
      <c r="H858" s="301"/>
      <c r="I858" s="301"/>
      <c r="J858" s="325"/>
      <c r="K858" s="325"/>
      <c r="L858" s="301"/>
      <c r="M858" s="301"/>
      <c r="N858" s="301"/>
      <c r="O858" s="301"/>
      <c r="P858" s="301"/>
      <c r="Q858" s="325"/>
      <c r="R858" s="325"/>
      <c r="S858" s="325"/>
      <c r="T858" s="532">
        <f>SUM(F858:S858)</f>
        <v>0</v>
      </c>
      <c r="U858" s="301"/>
      <c r="V858" s="532">
        <f>SUM(T858:T858)</f>
        <v>0</v>
      </c>
      <c r="W858" s="532">
        <f>+V858-'ROR-Model'!G864</f>
        <v>0</v>
      </c>
    </row>
    <row r="859" spans="1:23">
      <c r="A859" s="543"/>
      <c r="B859" s="534"/>
      <c r="C859" s="534" t="s">
        <v>23</v>
      </c>
      <c r="D859" s="534"/>
      <c r="E859" s="531"/>
      <c r="F859" s="301"/>
      <c r="G859" s="301"/>
      <c r="H859" s="301"/>
      <c r="I859" s="301"/>
      <c r="J859" s="325"/>
      <c r="K859" s="325"/>
      <c r="L859" s="301"/>
      <c r="M859" s="301"/>
      <c r="N859" s="301"/>
      <c r="O859" s="301"/>
      <c r="P859" s="301"/>
      <c r="Q859" s="325"/>
      <c r="R859" s="325"/>
      <c r="S859" s="325"/>
      <c r="T859" s="532">
        <f>SUM(F859:S859)</f>
        <v>0</v>
      </c>
      <c r="U859" s="301"/>
      <c r="V859" s="532">
        <f>SUM(T859:T859)</f>
        <v>0</v>
      </c>
      <c r="W859" s="532">
        <f>+V859-'ROR-Model'!G865</f>
        <v>0</v>
      </c>
    </row>
    <row r="860" spans="1:23">
      <c r="A860" s="543"/>
      <c r="B860" s="534"/>
      <c r="C860" s="534" t="s">
        <v>145</v>
      </c>
      <c r="D860" s="534"/>
      <c r="E860" s="531"/>
      <c r="F860" s="323">
        <f>SUM(F858:F859)</f>
        <v>0</v>
      </c>
      <c r="G860" s="323">
        <f>G1*SUM(G858:G859)</f>
        <v>0</v>
      </c>
      <c r="H860" s="323">
        <f>SUM(H858:H859)</f>
        <v>0</v>
      </c>
      <c r="I860" s="323">
        <f t="shared" ref="I860:P860" si="186">SUM(I858:I859)</f>
        <v>0</v>
      </c>
      <c r="J860" s="476">
        <f>J1*SUM(J858:J859)</f>
        <v>0</v>
      </c>
      <c r="K860" s="476">
        <f>K1*SUM(K858:K859)</f>
        <v>0</v>
      </c>
      <c r="L860" s="323">
        <f t="shared" si="186"/>
        <v>0</v>
      </c>
      <c r="M860" s="323">
        <f t="shared" si="186"/>
        <v>0</v>
      </c>
      <c r="N860" s="323">
        <f t="shared" si="186"/>
        <v>0</v>
      </c>
      <c r="O860" s="323">
        <f t="shared" si="186"/>
        <v>0</v>
      </c>
      <c r="P860" s="323">
        <f t="shared" si="186"/>
        <v>0</v>
      </c>
      <c r="Q860" s="476">
        <f>SUM(Q858:Q859)</f>
        <v>0</v>
      </c>
      <c r="R860" s="476">
        <f>R1*SUM(R858:R859)</f>
        <v>0</v>
      </c>
      <c r="S860" s="476">
        <f>S1*SUM(S858:S859)</f>
        <v>0</v>
      </c>
      <c r="T860" s="536">
        <f>SUM(F860:S860)</f>
        <v>0</v>
      </c>
      <c r="U860" s="323"/>
      <c r="V860" s="536">
        <f>SUM(T860:T860)</f>
        <v>0</v>
      </c>
      <c r="W860" s="536">
        <f>+V860-'ROR-Model'!G866</f>
        <v>0</v>
      </c>
    </row>
    <row r="861" spans="1:23">
      <c r="A861" s="543">
        <v>926</v>
      </c>
      <c r="B861" s="534" t="s">
        <v>390</v>
      </c>
      <c r="C861" s="534"/>
      <c r="D861" s="534"/>
      <c r="E861" s="531"/>
      <c r="F861" s="301"/>
      <c r="G861" s="301"/>
      <c r="H861" s="301"/>
      <c r="I861" s="301"/>
      <c r="J861" s="325"/>
      <c r="K861" s="325"/>
      <c r="L861" s="301"/>
      <c r="M861" s="301"/>
      <c r="N861" s="301"/>
      <c r="O861" s="301"/>
      <c r="P861" s="301"/>
      <c r="Q861" s="325"/>
      <c r="R861" s="325"/>
      <c r="S861" s="325"/>
      <c r="T861" s="532"/>
      <c r="U861" s="301"/>
      <c r="V861" s="532"/>
      <c r="W861" s="532">
        <f>+V861-'ROR-Model'!G867</f>
        <v>0</v>
      </c>
    </row>
    <row r="862" spans="1:23">
      <c r="A862" s="543"/>
      <c r="B862" s="534"/>
      <c r="C862" s="534" t="s">
        <v>12</v>
      </c>
      <c r="D862" s="534"/>
      <c r="E862" s="531"/>
      <c r="F862" s="301"/>
      <c r="G862" s="301"/>
      <c r="H862" s="301"/>
      <c r="I862" s="301"/>
      <c r="J862" s="325"/>
      <c r="K862" s="325"/>
      <c r="L862" s="301"/>
      <c r="M862" s="301"/>
      <c r="N862" s="301"/>
      <c r="O862" s="301"/>
      <c r="P862" s="301"/>
      <c r="Q862" s="325"/>
      <c r="R862" s="325"/>
      <c r="S862" s="325">
        <f>'Pension Adjustment'!C19*S1</f>
        <v>8198932.6521643</v>
      </c>
      <c r="T862" s="532">
        <f>SUM(F862:S862)</f>
        <v>8198932.6521643</v>
      </c>
      <c r="U862" s="301"/>
      <c r="V862" s="532">
        <f>SUM(T862:T862)</f>
        <v>8198932.6521643</v>
      </c>
      <c r="W862" s="532">
        <f>+V862-'ROR-Model'!G869</f>
        <v>0</v>
      </c>
    </row>
    <row r="863" spans="1:23">
      <c r="A863" s="543"/>
      <c r="B863" s="534"/>
      <c r="C863" s="534" t="s">
        <v>23</v>
      </c>
      <c r="D863" s="534"/>
      <c r="E863" s="531"/>
      <c r="F863" s="301"/>
      <c r="G863" s="301"/>
      <c r="H863" s="301"/>
      <c r="I863" s="301"/>
      <c r="J863" s="325"/>
      <c r="K863" s="325"/>
      <c r="L863" s="301"/>
      <c r="M863" s="301"/>
      <c r="N863" s="301"/>
      <c r="O863" s="301"/>
      <c r="P863" s="301"/>
      <c r="Q863" s="325"/>
      <c r="R863" s="325"/>
      <c r="S863" s="325">
        <f>'Pension Adjustment'!C20*S1</f>
        <v>255585.45783569937</v>
      </c>
      <c r="T863" s="532">
        <f>SUM(F863:S863)</f>
        <v>255585.45783569937</v>
      </c>
      <c r="U863" s="301"/>
      <c r="V863" s="532">
        <f>SUM(T863:T863)</f>
        <v>255585.45783569937</v>
      </c>
      <c r="W863" s="532">
        <f>+V863-'ROR-Model'!G870</f>
        <v>0</v>
      </c>
    </row>
    <row r="864" spans="1:23">
      <c r="A864" s="543"/>
      <c r="B864" s="534"/>
      <c r="C864" s="534" t="s">
        <v>145</v>
      </c>
      <c r="D864" s="534"/>
      <c r="E864" s="531"/>
      <c r="F864" s="323">
        <f>SUM(F862:F863)</f>
        <v>0</v>
      </c>
      <c r="G864" s="323">
        <f>G1*SUM(G862:G863)</f>
        <v>0</v>
      </c>
      <c r="H864" s="323">
        <f>SUM(H862:H863)</f>
        <v>0</v>
      </c>
      <c r="I864" s="323">
        <f t="shared" ref="I864:P864" si="187">SUM(I862:I863)</f>
        <v>0</v>
      </c>
      <c r="J864" s="476">
        <f>J1*SUM(J862:J863)</f>
        <v>0</v>
      </c>
      <c r="K864" s="476">
        <f>K1*SUM(K862:K863)</f>
        <v>0</v>
      </c>
      <c r="L864" s="323">
        <f t="shared" si="187"/>
        <v>0</v>
      </c>
      <c r="M864" s="323">
        <f t="shared" si="187"/>
        <v>0</v>
      </c>
      <c r="N864" s="323">
        <f t="shared" si="187"/>
        <v>0</v>
      </c>
      <c r="O864" s="323">
        <f t="shared" si="187"/>
        <v>0</v>
      </c>
      <c r="P864" s="323">
        <f t="shared" si="187"/>
        <v>0</v>
      </c>
      <c r="Q864" s="476">
        <f>SUM(Q862:Q863)</f>
        <v>0</v>
      </c>
      <c r="R864" s="476">
        <f>R1*SUM(R862:R863)</f>
        <v>0</v>
      </c>
      <c r="S864" s="476">
        <f>S1*SUM(S862:S863)</f>
        <v>8454518.1099999994</v>
      </c>
      <c r="T864" s="536">
        <f>SUM(F864:S864)</f>
        <v>8454518.1099999994</v>
      </c>
      <c r="U864" s="323"/>
      <c r="V864" s="536">
        <f>SUM(T864:T864)</f>
        <v>8454518.1099999994</v>
      </c>
      <c r="W864" s="536">
        <f>+V864-'ROR-Model'!G871</f>
        <v>0</v>
      </c>
    </row>
    <row r="865" spans="1:23">
      <c r="A865" s="543" t="s">
        <v>762</v>
      </c>
      <c r="B865" s="551" t="s">
        <v>763</v>
      </c>
      <c r="C865" s="534"/>
      <c r="D865" s="534"/>
      <c r="E865" s="531"/>
      <c r="F865" s="301"/>
      <c r="G865" s="301"/>
      <c r="H865" s="301"/>
      <c r="I865" s="301"/>
      <c r="J865" s="325"/>
      <c r="K865" s="325"/>
      <c r="L865" s="301"/>
      <c r="M865" s="301"/>
      <c r="N865" s="301"/>
      <c r="O865" s="301"/>
      <c r="P865" s="301"/>
      <c r="Q865" s="325"/>
      <c r="R865" s="325"/>
      <c r="S865" s="325"/>
      <c r="T865" s="532"/>
      <c r="U865" s="301"/>
      <c r="V865" s="532"/>
      <c r="W865" s="532">
        <f>+V865-'ROR-Model'!G872</f>
        <v>0</v>
      </c>
    </row>
    <row r="866" spans="1:23">
      <c r="A866" s="543"/>
      <c r="B866" s="534"/>
      <c r="C866" s="534" t="s">
        <v>12</v>
      </c>
      <c r="D866" s="534"/>
      <c r="E866" s="531"/>
      <c r="F866" s="301"/>
      <c r="G866" s="301"/>
      <c r="H866" s="301"/>
      <c r="I866" s="301"/>
      <c r="J866" s="325"/>
      <c r="K866" s="325"/>
      <c r="L866" s="301"/>
      <c r="M866" s="301"/>
      <c r="N866" s="301"/>
      <c r="O866" s="301"/>
      <c r="P866" s="301"/>
      <c r="Q866" s="325"/>
      <c r="R866" s="325"/>
      <c r="S866" s="325"/>
      <c r="T866" s="532">
        <f>SUM(F866:S866)</f>
        <v>0</v>
      </c>
      <c r="U866" s="301"/>
      <c r="V866" s="532">
        <f>SUM(T866:T866)</f>
        <v>0</v>
      </c>
      <c r="W866" s="532">
        <f>+V866-'ROR-Model'!G873</f>
        <v>0</v>
      </c>
    </row>
    <row r="867" spans="1:23">
      <c r="A867" s="543"/>
      <c r="B867" s="534"/>
      <c r="C867" s="534" t="s">
        <v>23</v>
      </c>
      <c r="D867" s="534"/>
      <c r="E867" s="531"/>
      <c r="F867" s="301"/>
      <c r="G867" s="301"/>
      <c r="H867" s="301"/>
      <c r="I867" s="301"/>
      <c r="J867" s="325"/>
      <c r="K867" s="325"/>
      <c r="L867" s="301"/>
      <c r="M867" s="301"/>
      <c r="N867" s="301"/>
      <c r="O867" s="301"/>
      <c r="P867" s="301"/>
      <c r="Q867" s="325"/>
      <c r="R867" s="325"/>
      <c r="S867" s="325"/>
      <c r="T867" s="532">
        <f>SUM(F867:S867)</f>
        <v>0</v>
      </c>
      <c r="U867" s="301"/>
      <c r="V867" s="532">
        <f>SUM(T867:T867)</f>
        <v>0</v>
      </c>
      <c r="W867" s="532">
        <f>+V867-'ROR-Model'!G874</f>
        <v>0</v>
      </c>
    </row>
    <row r="868" spans="1:23">
      <c r="A868" s="543"/>
      <c r="B868" s="551"/>
      <c r="C868" s="534" t="s">
        <v>145</v>
      </c>
      <c r="D868" s="534"/>
      <c r="E868" s="531"/>
      <c r="F868" s="323">
        <f>SUM(F866:F867)</f>
        <v>0</v>
      </c>
      <c r="G868" s="323">
        <f>G1*SUM(G866:G867)</f>
        <v>0</v>
      </c>
      <c r="H868" s="323">
        <f>SUM(H866:H867)</f>
        <v>0</v>
      </c>
      <c r="I868" s="323">
        <f t="shared" ref="I868:P868" si="188">SUM(I866:I867)</f>
        <v>0</v>
      </c>
      <c r="J868" s="476">
        <f>J1*SUM(J866:J867)</f>
        <v>0</v>
      </c>
      <c r="K868" s="476">
        <f>K1*SUM(K866:K867)</f>
        <v>0</v>
      </c>
      <c r="L868" s="323">
        <f t="shared" si="188"/>
        <v>0</v>
      </c>
      <c r="M868" s="323">
        <f t="shared" si="188"/>
        <v>0</v>
      </c>
      <c r="N868" s="323">
        <f t="shared" si="188"/>
        <v>0</v>
      </c>
      <c r="O868" s="323">
        <f t="shared" si="188"/>
        <v>0</v>
      </c>
      <c r="P868" s="323">
        <f t="shared" si="188"/>
        <v>0</v>
      </c>
      <c r="Q868" s="476">
        <f>SUM(Q866:Q867)</f>
        <v>0</v>
      </c>
      <c r="R868" s="476">
        <f>R1*SUM(R866:R867)</f>
        <v>0</v>
      </c>
      <c r="S868" s="476">
        <f>S1*SUM(S866:S867)</f>
        <v>0</v>
      </c>
      <c r="T868" s="536">
        <f>SUM(F868:S868)</f>
        <v>0</v>
      </c>
      <c r="U868" s="323"/>
      <c r="V868" s="536">
        <f>SUM(T868:T868)</f>
        <v>0</v>
      </c>
      <c r="W868" s="536">
        <f>+V868-'ROR-Model'!G875</f>
        <v>0</v>
      </c>
    </row>
    <row r="869" spans="1:23">
      <c r="A869" s="543">
        <v>9301</v>
      </c>
      <c r="B869" s="534" t="s">
        <v>391</v>
      </c>
      <c r="C869" s="534"/>
      <c r="D869" s="534"/>
      <c r="E869" s="531"/>
      <c r="F869" s="301"/>
      <c r="G869" s="301"/>
      <c r="H869" s="301"/>
      <c r="I869" s="301"/>
      <c r="J869" s="325"/>
      <c r="K869" s="325"/>
      <c r="L869" s="301"/>
      <c r="M869" s="301"/>
      <c r="N869" s="301"/>
      <c r="O869" s="301"/>
      <c r="P869" s="301"/>
      <c r="Q869" s="325"/>
      <c r="R869" s="325"/>
      <c r="S869" s="325"/>
      <c r="T869" s="532"/>
      <c r="U869" s="301"/>
      <c r="V869" s="532"/>
      <c r="W869" s="532">
        <f>+V869-'ROR-Model'!G876</f>
        <v>0</v>
      </c>
    </row>
    <row r="870" spans="1:23">
      <c r="A870" s="543"/>
      <c r="B870" s="551"/>
      <c r="C870" s="534" t="s">
        <v>12</v>
      </c>
      <c r="D870" s="534"/>
      <c r="E870" s="531"/>
      <c r="F870" s="301"/>
      <c r="G870" s="301"/>
      <c r="H870" s="301"/>
      <c r="I870" s="301"/>
      <c r="J870" s="325"/>
      <c r="K870" s="325"/>
      <c r="L870" s="301"/>
      <c r="M870" s="301"/>
      <c r="N870" s="301"/>
      <c r="O870" s="301"/>
      <c r="P870" s="301"/>
      <c r="Q870" s="325"/>
      <c r="R870" s="325"/>
      <c r="S870" s="325"/>
      <c r="T870" s="532">
        <f>SUM(F870:S870)</f>
        <v>0</v>
      </c>
      <c r="U870" s="301"/>
      <c r="V870" s="532">
        <f>SUM(T870:T870)</f>
        <v>0</v>
      </c>
      <c r="W870" s="532">
        <f>+V870-'ROR-Model'!G877</f>
        <v>0</v>
      </c>
    </row>
    <row r="871" spans="1:23">
      <c r="A871" s="543"/>
      <c r="B871" s="551"/>
      <c r="C871" s="534" t="s">
        <v>23</v>
      </c>
      <c r="D871" s="534"/>
      <c r="E871" s="531"/>
      <c r="F871" s="301"/>
      <c r="G871" s="301"/>
      <c r="H871" s="301"/>
      <c r="I871" s="301"/>
      <c r="J871" s="325"/>
      <c r="K871" s="325"/>
      <c r="L871" s="301"/>
      <c r="M871" s="301"/>
      <c r="N871" s="301"/>
      <c r="O871" s="301"/>
      <c r="P871" s="301"/>
      <c r="Q871" s="325"/>
      <c r="R871" s="325"/>
      <c r="S871" s="325"/>
      <c r="T871" s="532">
        <f>SUM(F871:S871)</f>
        <v>0</v>
      </c>
      <c r="U871" s="301"/>
      <c r="V871" s="532">
        <f>SUM(T871:T871)</f>
        <v>0</v>
      </c>
      <c r="W871" s="532">
        <f>+V871-'ROR-Model'!G878</f>
        <v>0</v>
      </c>
    </row>
    <row r="872" spans="1:23">
      <c r="A872" s="543"/>
      <c r="B872" s="534"/>
      <c r="C872" s="534" t="s">
        <v>145</v>
      </c>
      <c r="D872" s="534"/>
      <c r="E872" s="531"/>
      <c r="F872" s="323">
        <f>SUM(F870:F871)</f>
        <v>0</v>
      </c>
      <c r="G872" s="323">
        <f>G1*SUM(G870:G871)</f>
        <v>0</v>
      </c>
      <c r="H872" s="323">
        <f>SUM(H870:H871)</f>
        <v>0</v>
      </c>
      <c r="I872" s="323">
        <f t="shared" ref="I872:P872" si="189">SUM(I870:I871)</f>
        <v>0</v>
      </c>
      <c r="J872" s="476">
        <f>J1*SUM(J870:J871)</f>
        <v>0</v>
      </c>
      <c r="K872" s="476">
        <f>K1*SUM(K870:K871)</f>
        <v>0</v>
      </c>
      <c r="L872" s="323">
        <f t="shared" si="189"/>
        <v>0</v>
      </c>
      <c r="M872" s="323">
        <f t="shared" si="189"/>
        <v>0</v>
      </c>
      <c r="N872" s="323">
        <f t="shared" si="189"/>
        <v>0</v>
      </c>
      <c r="O872" s="323">
        <f t="shared" si="189"/>
        <v>0</v>
      </c>
      <c r="P872" s="323">
        <f t="shared" si="189"/>
        <v>0</v>
      </c>
      <c r="Q872" s="476">
        <f>SUM(Q870:Q871)</f>
        <v>0</v>
      </c>
      <c r="R872" s="476">
        <f>R1*SUM(R870:R871)</f>
        <v>0</v>
      </c>
      <c r="S872" s="476">
        <f>S1*SUM(S870:S871)</f>
        <v>0</v>
      </c>
      <c r="T872" s="536">
        <f>SUM(F872:S872)</f>
        <v>0</v>
      </c>
      <c r="U872" s="323"/>
      <c r="V872" s="536">
        <f>SUM(T872:T872)</f>
        <v>0</v>
      </c>
      <c r="W872" s="536">
        <f>+V872-'ROR-Model'!G879</f>
        <v>0</v>
      </c>
    </row>
    <row r="873" spans="1:23">
      <c r="A873" s="543">
        <v>9302</v>
      </c>
      <c r="B873" s="534" t="s">
        <v>393</v>
      </c>
      <c r="C873" s="534"/>
      <c r="D873" s="534"/>
      <c r="E873" s="531"/>
      <c r="F873" s="301"/>
      <c r="G873" s="301"/>
      <c r="H873" s="301"/>
      <c r="I873" s="301"/>
      <c r="J873" s="325"/>
      <c r="K873" s="325"/>
      <c r="L873" s="301"/>
      <c r="M873" s="301"/>
      <c r="N873" s="301"/>
      <c r="O873" s="301"/>
      <c r="P873" s="301"/>
      <c r="Q873" s="325"/>
      <c r="R873" s="325"/>
      <c r="S873" s="325"/>
      <c r="T873" s="532"/>
      <c r="U873" s="301"/>
      <c r="V873" s="532"/>
      <c r="W873" s="532">
        <f>+V873-'ROR-Model'!G880</f>
        <v>0</v>
      </c>
    </row>
    <row r="874" spans="1:23">
      <c r="A874" s="543"/>
      <c r="B874" s="534"/>
      <c r="C874" s="534" t="s">
        <v>12</v>
      </c>
      <c r="D874" s="534"/>
      <c r="E874" s="531"/>
      <c r="F874" s="301"/>
      <c r="G874" s="301"/>
      <c r="H874" s="301"/>
      <c r="I874" s="301"/>
      <c r="J874" s="325">
        <f>'Transition Costs'!H24*Adjustments!J1</f>
        <v>0</v>
      </c>
      <c r="K874" s="325"/>
      <c r="L874" s="301"/>
      <c r="M874" s="301"/>
      <c r="N874" s="301"/>
      <c r="O874" s="301"/>
      <c r="P874" s="301"/>
      <c r="Q874" s="325"/>
      <c r="R874" s="325"/>
      <c r="S874" s="325"/>
      <c r="T874" s="532">
        <f>SUM(F874:S874)</f>
        <v>0</v>
      </c>
      <c r="U874" s="301"/>
      <c r="V874" s="532">
        <f>SUM(T874:T874)</f>
        <v>0</v>
      </c>
      <c r="W874" s="532">
        <f>+V874-'ROR-Model'!G884</f>
        <v>0</v>
      </c>
    </row>
    <row r="875" spans="1:23">
      <c r="A875" s="543"/>
      <c r="B875" s="534"/>
      <c r="C875" s="534" t="s">
        <v>23</v>
      </c>
      <c r="D875" s="534"/>
      <c r="E875" s="531"/>
      <c r="F875" s="301"/>
      <c r="G875" s="301"/>
      <c r="H875" s="301"/>
      <c r="I875" s="301"/>
      <c r="J875" s="325">
        <f>'Transition Costs'!H25*Adjustments!J1</f>
        <v>0</v>
      </c>
      <c r="K875" s="325"/>
      <c r="L875" s="301"/>
      <c r="M875" s="301"/>
      <c r="N875" s="301"/>
      <c r="O875" s="301"/>
      <c r="P875" s="301"/>
      <c r="Q875" s="325"/>
      <c r="R875" s="325"/>
      <c r="S875" s="325"/>
      <c r="T875" s="532">
        <f>SUM(F875:S875)</f>
        <v>0</v>
      </c>
      <c r="U875" s="301"/>
      <c r="V875" s="532">
        <f>SUM(T875:T875)</f>
        <v>0</v>
      </c>
      <c r="W875" s="532">
        <f>+V875-'ROR-Model'!G885</f>
        <v>0</v>
      </c>
    </row>
    <row r="876" spans="1:23">
      <c r="A876" s="543"/>
      <c r="B876" s="534"/>
      <c r="C876" s="534" t="s">
        <v>145</v>
      </c>
      <c r="D876" s="534"/>
      <c r="E876" s="531"/>
      <c r="F876" s="323">
        <f>SUM(F874:F875)</f>
        <v>0</v>
      </c>
      <c r="G876" s="323">
        <f>G1*SUM(G874:G875)</f>
        <v>0</v>
      </c>
      <c r="H876" s="323">
        <f>SUM(H874:H875)</f>
        <v>0</v>
      </c>
      <c r="I876" s="323">
        <f t="shared" ref="I876:P876" si="190">SUM(I874:I875)</f>
        <v>0</v>
      </c>
      <c r="J876" s="476">
        <f>J1*SUM(J874:J875)</f>
        <v>0</v>
      </c>
      <c r="K876" s="476">
        <f>K1*SUM(K874:K875)</f>
        <v>0</v>
      </c>
      <c r="L876" s="323">
        <f t="shared" si="190"/>
        <v>0</v>
      </c>
      <c r="M876" s="323">
        <f t="shared" si="190"/>
        <v>0</v>
      </c>
      <c r="N876" s="323">
        <f t="shared" si="190"/>
        <v>0</v>
      </c>
      <c r="O876" s="323">
        <f t="shared" si="190"/>
        <v>0</v>
      </c>
      <c r="P876" s="323">
        <f t="shared" si="190"/>
        <v>0</v>
      </c>
      <c r="Q876" s="476">
        <f>SUM(Q874:Q875)</f>
        <v>0</v>
      </c>
      <c r="R876" s="476">
        <f>R1*SUM(R874:R875)</f>
        <v>0</v>
      </c>
      <c r="S876" s="476">
        <f>S1*SUM(S874:S875)</f>
        <v>0</v>
      </c>
      <c r="T876" s="536">
        <f>SUM(F876:S876)</f>
        <v>0</v>
      </c>
      <c r="U876" s="323"/>
      <c r="V876" s="536">
        <f>SUM(T876:T876)</f>
        <v>0</v>
      </c>
      <c r="W876" s="536">
        <f>+V876-'ROR-Model'!G886</f>
        <v>0</v>
      </c>
    </row>
    <row r="877" spans="1:23">
      <c r="A877" s="543">
        <v>931</v>
      </c>
      <c r="B877" s="534" t="s">
        <v>346</v>
      </c>
      <c r="C877" s="534"/>
      <c r="D877" s="534"/>
      <c r="E877" s="531"/>
      <c r="F877" s="301"/>
      <c r="G877" s="301"/>
      <c r="H877" s="301"/>
      <c r="I877" s="301"/>
      <c r="J877" s="325"/>
      <c r="K877" s="325"/>
      <c r="L877" s="301"/>
      <c r="M877" s="301"/>
      <c r="N877" s="301"/>
      <c r="O877" s="301"/>
      <c r="P877" s="301"/>
      <c r="Q877" s="325"/>
      <c r="R877" s="325"/>
      <c r="S877" s="325"/>
      <c r="T877" s="532"/>
      <c r="U877" s="301"/>
      <c r="V877" s="532"/>
      <c r="W877" s="532">
        <f>+V877-'ROR-Model'!G887</f>
        <v>0</v>
      </c>
    </row>
    <row r="878" spans="1:23">
      <c r="A878" s="543"/>
      <c r="B878" s="534"/>
      <c r="C878" s="534" t="s">
        <v>12</v>
      </c>
      <c r="D878" s="534"/>
      <c r="E878" s="531"/>
      <c r="F878" s="301"/>
      <c r="G878" s="301"/>
      <c r="H878" s="301"/>
      <c r="I878" s="301"/>
      <c r="J878" s="325"/>
      <c r="K878" s="325"/>
      <c r="L878" s="301"/>
      <c r="M878" s="301"/>
      <c r="N878" s="301"/>
      <c r="O878" s="301"/>
      <c r="P878" s="301"/>
      <c r="Q878" s="325"/>
      <c r="R878" s="325"/>
      <c r="S878" s="325"/>
      <c r="T878" s="532">
        <f>SUM(F878:S878)</f>
        <v>0</v>
      </c>
      <c r="U878" s="301"/>
      <c r="V878" s="532">
        <f>SUM(T878:T878)</f>
        <v>0</v>
      </c>
      <c r="W878" s="532">
        <f>+V878-'ROR-Model'!G889</f>
        <v>0</v>
      </c>
    </row>
    <row r="879" spans="1:23">
      <c r="A879" s="543"/>
      <c r="B879" s="534"/>
      <c r="C879" s="534" t="s">
        <v>23</v>
      </c>
      <c r="D879" s="534"/>
      <c r="E879" s="531"/>
      <c r="F879" s="301"/>
      <c r="G879" s="301"/>
      <c r="H879" s="301"/>
      <c r="I879" s="301"/>
      <c r="J879" s="325"/>
      <c r="K879" s="325"/>
      <c r="L879" s="301"/>
      <c r="M879" s="301"/>
      <c r="N879" s="301"/>
      <c r="O879" s="301"/>
      <c r="P879" s="301"/>
      <c r="Q879" s="325"/>
      <c r="R879" s="325"/>
      <c r="S879" s="325"/>
      <c r="T879" s="532">
        <f>SUM(F879:S879)</f>
        <v>0</v>
      </c>
      <c r="U879" s="301"/>
      <c r="V879" s="532">
        <f>SUM(T879:T879)</f>
        <v>0</v>
      </c>
      <c r="W879" s="532">
        <f>+V879-'ROR-Model'!G890</f>
        <v>0</v>
      </c>
    </row>
    <row r="880" spans="1:23">
      <c r="A880" s="543"/>
      <c r="B880" s="534"/>
      <c r="C880" s="534" t="s">
        <v>145</v>
      </c>
      <c r="D880" s="534"/>
      <c r="E880" s="531"/>
      <c r="F880" s="323">
        <f>SUM(F878:F879)</f>
        <v>0</v>
      </c>
      <c r="G880" s="323">
        <f>G1*SUM(G878:G879)</f>
        <v>0</v>
      </c>
      <c r="H880" s="323">
        <f>SUM(H878:H879)</f>
        <v>0</v>
      </c>
      <c r="I880" s="323">
        <f t="shared" ref="I880:P880" si="191">SUM(I878:I879)</f>
        <v>0</v>
      </c>
      <c r="J880" s="476">
        <f>J1*SUM(J878:J879)</f>
        <v>0</v>
      </c>
      <c r="K880" s="476">
        <f>K1*SUM(K878:K879)</f>
        <v>0</v>
      </c>
      <c r="L880" s="323">
        <f t="shared" si="191"/>
        <v>0</v>
      </c>
      <c r="M880" s="323">
        <f t="shared" si="191"/>
        <v>0</v>
      </c>
      <c r="N880" s="323">
        <f t="shared" si="191"/>
        <v>0</v>
      </c>
      <c r="O880" s="323">
        <f t="shared" si="191"/>
        <v>0</v>
      </c>
      <c r="P880" s="323">
        <f t="shared" si="191"/>
        <v>0</v>
      </c>
      <c r="Q880" s="476">
        <f>SUM(Q878:Q879)</f>
        <v>0</v>
      </c>
      <c r="R880" s="476">
        <f>R1*SUM(R878:R879)</f>
        <v>0</v>
      </c>
      <c r="S880" s="476">
        <f>S1*SUM(S878:S879)</f>
        <v>0</v>
      </c>
      <c r="T880" s="536">
        <f>SUM(F880:S880)</f>
        <v>0</v>
      </c>
      <c r="U880" s="323"/>
      <c r="V880" s="536">
        <f>SUM(T880:T880)</f>
        <v>0</v>
      </c>
      <c r="W880" s="536">
        <f>+V880-'ROR-Model'!G891</f>
        <v>0</v>
      </c>
    </row>
    <row r="881" spans="1:23">
      <c r="A881" s="543">
        <v>935</v>
      </c>
      <c r="B881" s="534" t="s">
        <v>394</v>
      </c>
      <c r="C881" s="534"/>
      <c r="D881" s="534"/>
      <c r="E881" s="531"/>
      <c r="F881" s="301"/>
      <c r="G881" s="301"/>
      <c r="H881" s="301"/>
      <c r="I881" s="301"/>
      <c r="J881" s="325"/>
      <c r="K881" s="325"/>
      <c r="L881" s="301"/>
      <c r="M881" s="301"/>
      <c r="N881" s="301"/>
      <c r="O881" s="301"/>
      <c r="P881" s="301"/>
      <c r="Q881" s="325"/>
      <c r="R881" s="325"/>
      <c r="S881" s="325"/>
      <c r="T881" s="532"/>
      <c r="U881" s="301"/>
      <c r="V881" s="532"/>
      <c r="W881" s="532">
        <f>+V881-'ROR-Model'!G882</f>
        <v>0</v>
      </c>
    </row>
    <row r="882" spans="1:23">
      <c r="A882" s="543"/>
      <c r="B882" s="534"/>
      <c r="C882" s="534" t="s">
        <v>12</v>
      </c>
      <c r="D882" s="534"/>
      <c r="E882" s="531"/>
      <c r="F882" s="301"/>
      <c r="G882" s="301"/>
      <c r="H882" s="301"/>
      <c r="I882" s="301"/>
      <c r="J882" s="325"/>
      <c r="K882" s="325"/>
      <c r="L882" s="301"/>
      <c r="M882" s="301"/>
      <c r="N882" s="301"/>
      <c r="O882" s="301"/>
      <c r="P882" s="301"/>
      <c r="Q882" s="325"/>
      <c r="R882" s="325"/>
      <c r="S882" s="325"/>
      <c r="T882" s="532">
        <f>SUM(F882:S882)</f>
        <v>0</v>
      </c>
      <c r="U882" s="301"/>
      <c r="V882" s="532">
        <f>SUM(T882:T882)</f>
        <v>0</v>
      </c>
      <c r="W882" s="532">
        <f>+V882-'ROR-Model'!G894</f>
        <v>0</v>
      </c>
    </row>
    <row r="883" spans="1:23">
      <c r="A883" s="543"/>
      <c r="B883" s="534"/>
      <c r="C883" s="534" t="s">
        <v>23</v>
      </c>
      <c r="D883" s="534"/>
      <c r="E883" s="531"/>
      <c r="F883" s="301"/>
      <c r="G883" s="301"/>
      <c r="H883" s="301"/>
      <c r="I883" s="301"/>
      <c r="J883" s="325"/>
      <c r="K883" s="325"/>
      <c r="L883" s="301"/>
      <c r="M883" s="301"/>
      <c r="N883" s="301"/>
      <c r="O883" s="301"/>
      <c r="P883" s="301"/>
      <c r="Q883" s="325"/>
      <c r="R883" s="325"/>
      <c r="S883" s="325"/>
      <c r="T883" s="532">
        <f>SUM(F883:S883)</f>
        <v>0</v>
      </c>
      <c r="U883" s="301"/>
      <c r="V883" s="532">
        <f>SUM(T883:T883)</f>
        <v>0</v>
      </c>
      <c r="W883" s="532">
        <f>+V883-'ROR-Model'!G895</f>
        <v>0</v>
      </c>
    </row>
    <row r="884" spans="1:23">
      <c r="A884" s="543"/>
      <c r="B884" s="534"/>
      <c r="C884" s="534" t="s">
        <v>145</v>
      </c>
      <c r="D884" s="534"/>
      <c r="E884" s="531"/>
      <c r="F884" s="323">
        <f>SUM(F882:F883)</f>
        <v>0</v>
      </c>
      <c r="G884" s="323">
        <f>G1*SUM(G882:G883)</f>
        <v>0</v>
      </c>
      <c r="H884" s="323">
        <f>SUM(H882:H883)</f>
        <v>0</v>
      </c>
      <c r="I884" s="323">
        <f t="shared" ref="I884:P884" si="192">SUM(I882:I883)</f>
        <v>0</v>
      </c>
      <c r="J884" s="476">
        <f>J1*SUM(J882:J883)</f>
        <v>0</v>
      </c>
      <c r="K884" s="476">
        <f>K1*SUM(K882:K883)</f>
        <v>0</v>
      </c>
      <c r="L884" s="323">
        <f t="shared" si="192"/>
        <v>0</v>
      </c>
      <c r="M884" s="323">
        <f t="shared" si="192"/>
        <v>0</v>
      </c>
      <c r="N884" s="323">
        <f t="shared" si="192"/>
        <v>0</v>
      </c>
      <c r="O884" s="323">
        <f t="shared" si="192"/>
        <v>0</v>
      </c>
      <c r="P884" s="323">
        <f t="shared" si="192"/>
        <v>0</v>
      </c>
      <c r="Q884" s="476">
        <f>SUM(Q882:Q883)</f>
        <v>0</v>
      </c>
      <c r="R884" s="476">
        <f>R1*SUM(R882:R883)</f>
        <v>0</v>
      </c>
      <c r="S884" s="476">
        <f>S1*SUM(S882:S883)</f>
        <v>0</v>
      </c>
      <c r="T884" s="536">
        <f>SUM(F884:S884)</f>
        <v>0</v>
      </c>
      <c r="U884" s="323"/>
      <c r="V884" s="536">
        <f>SUM(T884:T884)</f>
        <v>0</v>
      </c>
      <c r="W884" s="536">
        <f>+V884-'ROR-Model'!G896</f>
        <v>0</v>
      </c>
    </row>
    <row r="885" spans="1:23">
      <c r="A885" s="167" t="s">
        <v>767</v>
      </c>
      <c r="B885" s="534"/>
      <c r="C885" s="534"/>
      <c r="D885" s="534"/>
      <c r="E885" s="531"/>
      <c r="F885" s="301"/>
      <c r="G885" s="301"/>
      <c r="H885" s="301"/>
      <c r="I885" s="301"/>
      <c r="J885" s="325"/>
      <c r="K885" s="325"/>
      <c r="L885" s="301"/>
      <c r="M885" s="301"/>
      <c r="N885" s="301"/>
      <c r="O885" s="301"/>
      <c r="P885" s="301"/>
      <c r="Q885" s="325"/>
      <c r="R885" s="325"/>
      <c r="S885" s="325"/>
      <c r="T885" s="532"/>
      <c r="U885" s="301"/>
      <c r="V885" s="532"/>
      <c r="W885" s="532">
        <f>+V885-'ROR-Model'!G897</f>
        <v>0</v>
      </c>
    </row>
    <row r="886" spans="1:23">
      <c r="A886" s="543"/>
      <c r="B886" s="466" t="s">
        <v>765</v>
      </c>
      <c r="C886" s="534"/>
      <c r="D886" s="534"/>
      <c r="E886" s="531"/>
      <c r="F886" s="301">
        <f>F838+F842+F846+F850+F854+F858+F862+F866+F870+F874+F878+F882</f>
        <v>0</v>
      </c>
      <c r="G886" s="301">
        <f>G1*G838+G842+G846+G850+G854+G858+G862+G866+G870+G874+G878+G882</f>
        <v>0</v>
      </c>
      <c r="H886" s="301">
        <f>H838+H842+H846+H850+H854+H858+H862+H866+H870+H874+H878+H882</f>
        <v>0</v>
      </c>
      <c r="I886" s="301">
        <f t="shared" ref="I886:P887" si="193">I838+I842+I846+I850+I854+I858+I862+I866+I870+I874+I878+I882</f>
        <v>0</v>
      </c>
      <c r="J886" s="325">
        <f>J1*J838+J842+J846+J850+J854+J858+J862+J866+J870+J874+J878+J882</f>
        <v>0</v>
      </c>
      <c r="K886" s="325">
        <f>K1*K838+K842+K846+K850+K854+K858+K862+K866+K870+K874+K878+K882</f>
        <v>0</v>
      </c>
      <c r="L886" s="301">
        <f t="shared" si="193"/>
        <v>0</v>
      </c>
      <c r="M886" s="301">
        <f t="shared" si="193"/>
        <v>-2119373.6965824962</v>
      </c>
      <c r="N886" s="301">
        <f t="shared" si="193"/>
        <v>0</v>
      </c>
      <c r="O886" s="301">
        <f t="shared" si="193"/>
        <v>0</v>
      </c>
      <c r="P886" s="301">
        <f t="shared" si="193"/>
        <v>-176368.66228823297</v>
      </c>
      <c r="Q886" s="325">
        <f>Q838+Q842+Q846+Q850+Q854+Q858+Q862+Q866+Q870+Q874+Q878+Q882</f>
        <v>480238.58879149193</v>
      </c>
      <c r="R886" s="325">
        <f>R1*R838+R842+R846+R850+R854+R858+R862+R866+R870+R874+R878+R882</f>
        <v>3101887.17018387</v>
      </c>
      <c r="S886" s="325">
        <f>S1*S838+S842+S846+S850+S854+S858+S862+S866+S870+S874+S878+S882</f>
        <v>8198932.6521643</v>
      </c>
      <c r="T886" s="532">
        <f>SUM(F886:S886)</f>
        <v>9485316.0522689335</v>
      </c>
      <c r="U886" s="301"/>
      <c r="V886" s="532">
        <f>SUM(T886:T886)</f>
        <v>9485316.0522689335</v>
      </c>
      <c r="W886" s="532">
        <f>+V886-'ROR-Model'!G899</f>
        <v>0</v>
      </c>
    </row>
    <row r="887" spans="1:23">
      <c r="A887" s="543"/>
      <c r="B887" s="466" t="s">
        <v>766</v>
      </c>
      <c r="C887" s="534"/>
      <c r="D887" s="534"/>
      <c r="E887" s="531"/>
      <c r="F887" s="301">
        <f>F839+F843+F847+F851+F855+F859+F863+F867+F871+F875+F879+F883</f>
        <v>0</v>
      </c>
      <c r="G887" s="301">
        <f>G1*G839+G843+G847+G851+G855+G859+G863+G867+G871+G875+G879+G883</f>
        <v>0</v>
      </c>
      <c r="H887" s="301">
        <f>H839+H843+H847+H851+H855+H859+H863+H867+H871+H875+H879+H883</f>
        <v>0</v>
      </c>
      <c r="I887" s="301">
        <f t="shared" si="193"/>
        <v>0</v>
      </c>
      <c r="J887" s="325">
        <f>J1*J839+J843+J847+J851+J855+J859+J863+J867+J871+J875+J879+J883</f>
        <v>0</v>
      </c>
      <c r="K887" s="325">
        <f>K1*K839+K843+K847+K851+K855+K859+K863+K867+K871+K875+K879+K883</f>
        <v>0</v>
      </c>
      <c r="L887" s="301">
        <f t="shared" si="193"/>
        <v>0</v>
      </c>
      <c r="M887" s="301">
        <f t="shared" si="193"/>
        <v>-66067.269917504018</v>
      </c>
      <c r="N887" s="301">
        <f t="shared" si="193"/>
        <v>0</v>
      </c>
      <c r="O887" s="301">
        <f t="shared" si="193"/>
        <v>0</v>
      </c>
      <c r="P887" s="301">
        <f t="shared" si="193"/>
        <v>-5497.9431117669528</v>
      </c>
      <c r="Q887" s="325">
        <f>Q839+Q843+Q847+Q851+Q855+Q859+Q863+Q867+Q871+Q875+Q879+Q883</f>
        <v>16201.535208508101</v>
      </c>
      <c r="R887" s="325">
        <f>R1*R839+R843+R847+R851+R855+R859+R863+R867+R871+R875+R879+R883</f>
        <v>94423.490819824146</v>
      </c>
      <c r="S887" s="325">
        <f>S1*S839+S843+S847+S851+S855+S859+S863+S867+S871+S875+S879+S883</f>
        <v>255585.45783569937</v>
      </c>
      <c r="T887" s="532">
        <f>SUM(F887:S887)</f>
        <v>294645.27083476062</v>
      </c>
      <c r="U887" s="301"/>
      <c r="V887" s="532">
        <f>SUM(T887:T887)</f>
        <v>294645.27083476062</v>
      </c>
      <c r="W887" s="532">
        <f>+V887-'ROR-Model'!G900</f>
        <v>0</v>
      </c>
    </row>
    <row r="888" spans="1:23" ht="13.5" thickBot="1">
      <c r="A888" s="535"/>
      <c r="B888" s="534"/>
      <c r="C888" s="534"/>
      <c r="D888" s="534"/>
      <c r="E888" s="531"/>
      <c r="F888" s="471"/>
      <c r="G888" s="471"/>
      <c r="H888" s="471"/>
      <c r="I888" s="471"/>
      <c r="J888" s="548"/>
      <c r="K888" s="548"/>
      <c r="L888" s="471"/>
      <c r="M888" s="471"/>
      <c r="N888" s="471"/>
      <c r="O888" s="471"/>
      <c r="P888" s="471"/>
      <c r="Q888" s="548"/>
      <c r="R888" s="548"/>
      <c r="S888" s="548"/>
      <c r="T888" s="549"/>
      <c r="U888" s="471"/>
      <c r="V888" s="549"/>
      <c r="W888" s="549"/>
    </row>
    <row r="889" spans="1:23">
      <c r="A889" s="535"/>
      <c r="B889" s="175" t="s">
        <v>395</v>
      </c>
      <c r="C889" s="534"/>
      <c r="D889" s="534"/>
      <c r="E889" s="531"/>
      <c r="F889" s="301">
        <f>IF((F886+F887)=F884+F880+F876+F872+F868+F864+F860+F856+F852+F848+F844+F840,F886+F887,"ERROR")</f>
        <v>0</v>
      </c>
      <c r="G889" s="301">
        <f>SUM(G886:G887)</f>
        <v>0</v>
      </c>
      <c r="H889" s="301">
        <f>SUM(H886:H887)</f>
        <v>0</v>
      </c>
      <c r="I889" s="301">
        <f t="shared" ref="I889:Q889" si="194">SUM(I886:I887)</f>
        <v>0</v>
      </c>
      <c r="J889" s="301">
        <f>J1*IF((J886+J887)=J1*J884+J880+J876+J872+J868+J864+J860+J856+J852+J848+J844+J840,J886+J887,"ERROR")</f>
        <v>0</v>
      </c>
      <c r="K889" s="301">
        <f>K1*IF((K886+K887)=K1*K884+K880+K876+K872+K868+K864+K860+K856+K852+K848+K844+K840,K886+K887,"ERROR")</f>
        <v>0</v>
      </c>
      <c r="L889" s="301">
        <f t="shared" si="194"/>
        <v>0</v>
      </c>
      <c r="M889" s="301">
        <f t="shared" si="194"/>
        <v>-2185440.9665000001</v>
      </c>
      <c r="N889" s="301">
        <f t="shared" si="194"/>
        <v>0</v>
      </c>
      <c r="O889" s="301">
        <f t="shared" si="194"/>
        <v>0</v>
      </c>
      <c r="P889" s="301">
        <f t="shared" si="194"/>
        <v>-181866.60539999991</v>
      </c>
      <c r="Q889" s="301">
        <f t="shared" si="194"/>
        <v>496440.12400000001</v>
      </c>
      <c r="R889" s="301">
        <f>R1*IF((R886+R887)=R1*R884+R880+R876+R872+R868+R864+R860+R856+R852+R848+R844+R840,R886+R887,"ERROR")</f>
        <v>3196310.6610036939</v>
      </c>
      <c r="S889" s="301">
        <f>S1*IF((S886+S887)=S1*S884+S880+S876+S872+S868+S864+S860+S856+S852+S848+S844+S840,S886+S887,"ERROR")</f>
        <v>8454518.1099999994</v>
      </c>
      <c r="T889" s="616">
        <f>SUM(F889:S889)</f>
        <v>9779961.3231036942</v>
      </c>
      <c r="U889" s="301"/>
      <c r="V889" s="532">
        <f>SUM(T889:T889)</f>
        <v>9779961.3231036942</v>
      </c>
      <c r="W889" s="532">
        <f>+V889-'ROR-Model'!G902</f>
        <v>0</v>
      </c>
    </row>
    <row r="890" spans="1:23" ht="13.5" thickBot="1">
      <c r="A890" s="535"/>
      <c r="B890" s="534"/>
      <c r="C890" s="534"/>
      <c r="D890" s="534"/>
      <c r="E890" s="531"/>
      <c r="F890" s="470"/>
      <c r="G890" s="470"/>
      <c r="H890" s="470"/>
      <c r="I890" s="470"/>
      <c r="J890" s="477"/>
      <c r="K890" s="477"/>
      <c r="L890" s="470"/>
      <c r="M890" s="470"/>
      <c r="N890" s="470"/>
      <c r="O890" s="470"/>
      <c r="P890" s="470"/>
      <c r="Q890" s="477"/>
      <c r="R890" s="477"/>
      <c r="S890" s="477"/>
      <c r="T890" s="538"/>
      <c r="U890" s="470"/>
      <c r="V890" s="538"/>
      <c r="W890" s="538"/>
    </row>
    <row r="891" spans="1:23" ht="13.5" thickTop="1">
      <c r="A891" s="535"/>
      <c r="B891" s="534"/>
      <c r="C891" s="534"/>
      <c r="D891" s="534"/>
      <c r="E891" s="531"/>
      <c r="F891" s="301"/>
      <c r="G891" s="301"/>
      <c r="H891" s="301"/>
      <c r="I891" s="301"/>
      <c r="J891" s="325"/>
      <c r="K891" s="325"/>
      <c r="L891" s="301"/>
      <c r="M891" s="301"/>
      <c r="N891" s="301"/>
      <c r="O891" s="301"/>
      <c r="P891" s="301"/>
      <c r="Q891" s="325"/>
      <c r="R891" s="325"/>
      <c r="S891" s="325"/>
      <c r="T891" s="532"/>
      <c r="U891" s="301"/>
      <c r="V891" s="532"/>
      <c r="W891" s="532">
        <f>+V891-'ROR-Model'!G892</f>
        <v>0</v>
      </c>
    </row>
    <row r="892" spans="1:23">
      <c r="A892" s="535"/>
      <c r="B892" s="175" t="s">
        <v>599</v>
      </c>
      <c r="C892" s="534"/>
      <c r="D892" s="534"/>
      <c r="E892" s="531"/>
      <c r="F892" s="301">
        <f>F649+F752+F805+F833+F889</f>
        <v>0</v>
      </c>
      <c r="G892" s="301">
        <f>G1*G649+G752+G805+G833+G889</f>
        <v>-26843858.529999997</v>
      </c>
      <c r="H892" s="301">
        <f>H649+H752+H805+H833+H889</f>
        <v>0</v>
      </c>
      <c r="I892" s="301">
        <f t="shared" ref="I892:Q892" si="195">I649+I752+I805+I833+I889</f>
        <v>0</v>
      </c>
      <c r="J892" s="325">
        <f>J1*J649+J752+J805+J833+J889</f>
        <v>0</v>
      </c>
      <c r="K892" s="325">
        <f>K1*K649+K752+K805+K833+K889</f>
        <v>0</v>
      </c>
      <c r="L892" s="301">
        <f>L649+L752+L805+L833+L889</f>
        <v>-1906404.0902244116</v>
      </c>
      <c r="M892" s="301">
        <f t="shared" si="195"/>
        <v>-2185440.9665000001</v>
      </c>
      <c r="N892" s="301">
        <f t="shared" si="195"/>
        <v>0</v>
      </c>
      <c r="O892" s="301">
        <f t="shared" si="195"/>
        <v>0</v>
      </c>
      <c r="P892" s="301">
        <f t="shared" si="195"/>
        <v>-181866.60539999991</v>
      </c>
      <c r="Q892" s="325">
        <f t="shared" si="195"/>
        <v>496440.12400000001</v>
      </c>
      <c r="R892" s="325">
        <f>R1*R649+R752+R805+R833+R889</f>
        <v>3196310.6610036939</v>
      </c>
      <c r="S892" s="325">
        <f>S1*S649+S752+S805+S833+S889</f>
        <v>8454518.1099999994</v>
      </c>
      <c r="T892" s="532">
        <f>SUM(F892:S892)</f>
        <v>-18970301.297120713</v>
      </c>
      <c r="U892" s="301"/>
      <c r="V892" s="532">
        <f>SUM(T892:T892)</f>
        <v>-18970301.297120713</v>
      </c>
      <c r="W892" s="532">
        <f>+V892-'ROR-Model'!G905</f>
        <v>0</v>
      </c>
    </row>
    <row r="893" spans="1:23">
      <c r="A893" s="535"/>
      <c r="B893" s="534"/>
      <c r="C893" s="534"/>
      <c r="D893" s="534"/>
      <c r="E893" s="531"/>
      <c r="F893" s="301"/>
      <c r="G893" s="301"/>
      <c r="H893" s="301"/>
      <c r="I893" s="301"/>
      <c r="J893" s="325"/>
      <c r="K893" s="325"/>
      <c r="L893" s="301"/>
      <c r="M893" s="301"/>
      <c r="N893" s="301"/>
      <c r="O893" s="301"/>
      <c r="P893" s="301"/>
      <c r="Q893" s="325"/>
      <c r="R893" s="325"/>
      <c r="S893" s="325"/>
      <c r="T893" s="532"/>
      <c r="U893" s="301"/>
      <c r="V893" s="532"/>
      <c r="W893" s="532"/>
    </row>
    <row r="894" spans="1:23">
      <c r="A894" s="535"/>
      <c r="B894" s="534"/>
      <c r="C894" s="534"/>
      <c r="D894" s="534"/>
      <c r="E894" s="531"/>
      <c r="F894" s="301"/>
      <c r="G894" s="301"/>
      <c r="H894" s="301"/>
      <c r="I894" s="301"/>
      <c r="J894" s="325"/>
      <c r="K894" s="325"/>
      <c r="L894" s="301"/>
      <c r="M894" s="301"/>
      <c r="N894" s="301"/>
      <c r="O894" s="301"/>
      <c r="P894" s="301"/>
      <c r="Q894" s="325"/>
      <c r="R894" s="325"/>
      <c r="S894" s="325"/>
      <c r="T894" s="532"/>
      <c r="U894" s="301"/>
      <c r="V894" s="532"/>
      <c r="W894" s="532"/>
    </row>
    <row r="895" spans="1:23">
      <c r="A895" s="167" t="s">
        <v>396</v>
      </c>
      <c r="B895" s="534"/>
      <c r="C895" s="534"/>
      <c r="D895" s="534"/>
      <c r="E895" s="531"/>
      <c r="F895" s="301"/>
      <c r="G895" s="301"/>
      <c r="H895" s="301"/>
      <c r="I895" s="301"/>
      <c r="J895" s="325"/>
      <c r="K895" s="325"/>
      <c r="L895" s="301"/>
      <c r="M895" s="301"/>
      <c r="N895" s="301"/>
      <c r="O895" s="301"/>
      <c r="P895" s="301"/>
      <c r="Q895" s="325"/>
      <c r="R895" s="325"/>
      <c r="S895" s="325"/>
      <c r="T895" s="532"/>
      <c r="U895" s="301"/>
      <c r="V895" s="532"/>
      <c r="W895" s="532"/>
    </row>
    <row r="896" spans="1:23">
      <c r="A896" s="535"/>
      <c r="B896" s="534"/>
      <c r="C896" s="534"/>
      <c r="D896" s="534"/>
      <c r="E896" s="531"/>
      <c r="F896" s="301"/>
      <c r="G896" s="301"/>
      <c r="H896" s="301"/>
      <c r="I896" s="301"/>
      <c r="J896" s="325"/>
      <c r="K896" s="325"/>
      <c r="L896" s="301"/>
      <c r="M896" s="301"/>
      <c r="N896" s="301"/>
      <c r="O896" s="301"/>
      <c r="P896" s="301"/>
      <c r="Q896" s="325"/>
      <c r="R896" s="325"/>
      <c r="S896" s="325"/>
      <c r="T896" s="532"/>
      <c r="U896" s="301"/>
      <c r="V896" s="532"/>
      <c r="W896" s="532"/>
    </row>
    <row r="897" spans="1:23">
      <c r="A897" s="167" t="s">
        <v>397</v>
      </c>
      <c r="B897" s="534"/>
      <c r="C897" s="534"/>
      <c r="D897" s="534"/>
      <c r="E897" s="531"/>
      <c r="F897" s="301"/>
      <c r="G897" s="301"/>
      <c r="H897" s="301"/>
      <c r="I897" s="301"/>
      <c r="J897" s="325"/>
      <c r="K897" s="325"/>
      <c r="L897" s="301"/>
      <c r="M897" s="301"/>
      <c r="N897" s="301"/>
      <c r="O897" s="301"/>
      <c r="P897" s="301"/>
      <c r="Q897" s="325"/>
      <c r="R897" s="325"/>
      <c r="S897" s="325"/>
      <c r="T897" s="532"/>
      <c r="U897" s="301"/>
      <c r="V897" s="532"/>
      <c r="W897" s="532"/>
    </row>
    <row r="898" spans="1:23">
      <c r="A898" s="535"/>
      <c r="B898" s="534"/>
      <c r="C898" s="534"/>
      <c r="D898" s="534"/>
      <c r="E898" s="531"/>
      <c r="F898" s="301"/>
      <c r="G898" s="301"/>
      <c r="H898" s="301"/>
      <c r="I898" s="301"/>
      <c r="J898" s="325"/>
      <c r="K898" s="325"/>
      <c r="L898" s="301"/>
      <c r="M898" s="301"/>
      <c r="N898" s="301"/>
      <c r="O898" s="301"/>
      <c r="P898" s="301"/>
      <c r="Q898" s="325"/>
      <c r="R898" s="325"/>
      <c r="S898" s="325"/>
      <c r="T898" s="532"/>
      <c r="U898" s="301"/>
      <c r="V898" s="532"/>
      <c r="W898" s="532"/>
    </row>
    <row r="899" spans="1:23">
      <c r="A899" s="543">
        <v>403</v>
      </c>
      <c r="B899" s="534" t="s">
        <v>398</v>
      </c>
      <c r="C899" s="534"/>
      <c r="D899" s="534"/>
      <c r="E899" s="531"/>
      <c r="F899" s="301"/>
      <c r="G899" s="301"/>
      <c r="H899" s="301"/>
      <c r="I899" s="301"/>
      <c r="J899" s="325"/>
      <c r="K899" s="325"/>
      <c r="L899" s="301"/>
      <c r="M899" s="301"/>
      <c r="N899" s="301"/>
      <c r="O899" s="301"/>
      <c r="P899" s="301"/>
      <c r="Q899" s="325"/>
      <c r="R899" s="325"/>
      <c r="S899" s="325"/>
      <c r="T899" s="532"/>
      <c r="U899" s="301"/>
      <c r="V899" s="532"/>
      <c r="W899" s="532"/>
    </row>
    <row r="900" spans="1:23">
      <c r="A900" s="543"/>
      <c r="B900" s="534"/>
      <c r="C900" s="534" t="s">
        <v>399</v>
      </c>
      <c r="D900" s="534"/>
      <c r="E900" s="531"/>
      <c r="F900" s="301"/>
      <c r="G900" s="301"/>
      <c r="H900" s="301"/>
      <c r="I900" s="301"/>
      <c r="J900" s="325"/>
      <c r="K900" s="325">
        <f>'WYO DEPR EXPENSE'!H19*$K$1</f>
        <v>0</v>
      </c>
      <c r="L900" s="301"/>
      <c r="M900" s="301"/>
      <c r="N900" s="301"/>
      <c r="O900" s="301"/>
      <c r="P900" s="301"/>
      <c r="Q900" s="325"/>
      <c r="R900" s="325"/>
      <c r="S900" s="325"/>
      <c r="T900" s="532">
        <f>SUM(F900:S900)</f>
        <v>0</v>
      </c>
      <c r="U900" s="301"/>
      <c r="V900" s="532">
        <f>SUM(T900:T900)</f>
        <v>0</v>
      </c>
      <c r="W900" s="532">
        <f>+V900-'ROR-Model'!G913</f>
        <v>0</v>
      </c>
    </row>
    <row r="901" spans="1:23">
      <c r="A901" s="543"/>
      <c r="B901" s="534"/>
      <c r="C901" s="534" t="s">
        <v>542</v>
      </c>
      <c r="D901" s="534"/>
      <c r="E901" s="531"/>
      <c r="F901" s="301"/>
      <c r="G901" s="301"/>
      <c r="H901" s="301"/>
      <c r="I901" s="301"/>
      <c r="J901" s="325"/>
      <c r="K901" s="325">
        <f>'WYO DEPR EXPENSE'!H20*$K$1</f>
        <v>0</v>
      </c>
      <c r="L901" s="301"/>
      <c r="M901" s="301"/>
      <c r="N901" s="301"/>
      <c r="O901" s="301"/>
      <c r="P901" s="301"/>
      <c r="Q901" s="325"/>
      <c r="R901" s="325"/>
      <c r="S901" s="325"/>
      <c r="T901" s="532">
        <f>SUM(F901:S901)</f>
        <v>0</v>
      </c>
      <c r="U901" s="301"/>
      <c r="V901" s="532">
        <f>SUM(T901:T901)</f>
        <v>0</v>
      </c>
      <c r="W901" s="532">
        <f>+V901-'ROR-Model'!G914</f>
        <v>0</v>
      </c>
    </row>
    <row r="902" spans="1:23">
      <c r="A902" s="543"/>
      <c r="B902" s="534"/>
      <c r="C902" s="534" t="s">
        <v>543</v>
      </c>
      <c r="D902" s="534"/>
      <c r="E902" s="531"/>
      <c r="F902" s="301"/>
      <c r="G902" s="301"/>
      <c r="H902" s="301"/>
      <c r="I902" s="301"/>
      <c r="J902" s="325"/>
      <c r="K902" s="325">
        <f>'WYO DEPR EXPENSE'!H21*$K$1</f>
        <v>0</v>
      </c>
      <c r="L902" s="301"/>
      <c r="M902" s="301"/>
      <c r="N902" s="301"/>
      <c r="O902" s="301"/>
      <c r="P902" s="301"/>
      <c r="Q902" s="325"/>
      <c r="R902" s="325"/>
      <c r="S902" s="325"/>
      <c r="T902" s="532">
        <f>SUM(F902:S902)</f>
        <v>0</v>
      </c>
      <c r="U902" s="301"/>
      <c r="V902" s="532">
        <f>SUM(T902:T902)</f>
        <v>0</v>
      </c>
      <c r="W902" s="532">
        <f>+V902-'ROR-Model'!G915</f>
        <v>0</v>
      </c>
    </row>
    <row r="903" spans="1:23">
      <c r="A903" s="543"/>
      <c r="B903" s="534"/>
      <c r="C903" s="534" t="s">
        <v>544</v>
      </c>
      <c r="D903" s="534"/>
      <c r="E903" s="531"/>
      <c r="F903" s="301"/>
      <c r="G903" s="301"/>
      <c r="H903" s="301"/>
      <c r="I903" s="301"/>
      <c r="J903" s="325"/>
      <c r="K903" s="325">
        <f>'WYO DEPR EXPENSE'!H22*$K$1</f>
        <v>0</v>
      </c>
      <c r="L903" s="301"/>
      <c r="M903" s="301"/>
      <c r="N903" s="301"/>
      <c r="O903" s="301"/>
      <c r="P903" s="301"/>
      <c r="Q903" s="325"/>
      <c r="R903" s="325"/>
      <c r="S903" s="325"/>
      <c r="T903" s="532">
        <f>SUM(F903:S903)</f>
        <v>0</v>
      </c>
      <c r="U903" s="301"/>
      <c r="V903" s="532">
        <f>SUM(T903:T903)</f>
        <v>0</v>
      </c>
      <c r="W903" s="532">
        <f>+V903-'ROR-Model'!G916</f>
        <v>0</v>
      </c>
    </row>
    <row r="904" spans="1:23">
      <c r="A904" s="543"/>
      <c r="B904" s="534"/>
      <c r="C904" s="534" t="s">
        <v>545</v>
      </c>
      <c r="D904" s="534"/>
      <c r="E904" s="531"/>
      <c r="F904" s="323">
        <f>SUM(F900:F903)</f>
        <v>0</v>
      </c>
      <c r="G904" s="323">
        <f>G1*SUM(G900:G903)</f>
        <v>0</v>
      </c>
      <c r="H904" s="323">
        <f>SUM(H900:H903)</f>
        <v>0</v>
      </c>
      <c r="I904" s="323">
        <f t="shared" ref="I904:P904" si="196">SUM(I900:I903)</f>
        <v>0</v>
      </c>
      <c r="J904" s="476">
        <f>J1*SUM(J900:J903)</f>
        <v>0</v>
      </c>
      <c r="K904" s="476">
        <f>K1*SUM(K900:K903)</f>
        <v>0</v>
      </c>
      <c r="L904" s="323">
        <f t="shared" si="196"/>
        <v>0</v>
      </c>
      <c r="M904" s="323">
        <f t="shared" si="196"/>
        <v>0</v>
      </c>
      <c r="N904" s="323">
        <f t="shared" si="196"/>
        <v>0</v>
      </c>
      <c r="O904" s="323">
        <f t="shared" si="196"/>
        <v>0</v>
      </c>
      <c r="P904" s="323">
        <f t="shared" si="196"/>
        <v>0</v>
      </c>
      <c r="Q904" s="476">
        <f>SUM(Q900:Q903)</f>
        <v>0</v>
      </c>
      <c r="R904" s="476">
        <f>R1*SUM(R900:R903)</f>
        <v>0</v>
      </c>
      <c r="S904" s="476">
        <f>S1*SUM(S900:S903)</f>
        <v>0</v>
      </c>
      <c r="T904" s="536">
        <f>SUM(T900:T903)</f>
        <v>0</v>
      </c>
      <c r="U904" s="323"/>
      <c r="V904" s="536">
        <f>SUM(V900:V903)</f>
        <v>0</v>
      </c>
      <c r="W904" s="536">
        <f>+V904-'ROR-Model'!G917</f>
        <v>0</v>
      </c>
    </row>
    <row r="905" spans="1:23">
      <c r="A905" s="543"/>
      <c r="B905" s="534"/>
      <c r="C905" s="534"/>
      <c r="D905" s="534"/>
      <c r="E905" s="531"/>
      <c r="F905" s="301"/>
      <c r="G905" s="301"/>
      <c r="H905" s="301"/>
      <c r="I905" s="301"/>
      <c r="J905" s="325"/>
      <c r="K905" s="325"/>
      <c r="L905" s="301"/>
      <c r="M905" s="301"/>
      <c r="N905" s="301"/>
      <c r="O905" s="301"/>
      <c r="P905" s="301"/>
      <c r="Q905" s="325"/>
      <c r="R905" s="325"/>
      <c r="S905" s="325"/>
      <c r="T905" s="532"/>
      <c r="U905" s="301"/>
      <c r="V905" s="532"/>
      <c r="W905" s="532">
        <f>+V905-'ROR-Model'!G906</f>
        <v>0</v>
      </c>
    </row>
    <row r="906" spans="1:23">
      <c r="A906" s="543">
        <v>404</v>
      </c>
      <c r="B906" s="534" t="s">
        <v>546</v>
      </c>
      <c r="C906" s="534"/>
      <c r="D906" s="534"/>
      <c r="E906" s="531"/>
      <c r="F906" s="301"/>
      <c r="G906" s="301"/>
      <c r="H906" s="301"/>
      <c r="I906" s="301"/>
      <c r="J906" s="325"/>
      <c r="K906" s="325"/>
      <c r="L906" s="301"/>
      <c r="M906" s="301"/>
      <c r="N906" s="301"/>
      <c r="O906" s="301"/>
      <c r="P906" s="301"/>
      <c r="Q906" s="325"/>
      <c r="R906" s="325"/>
      <c r="S906" s="325"/>
      <c r="T906" s="532"/>
      <c r="U906" s="301"/>
      <c r="V906" s="532"/>
      <c r="W906" s="532">
        <f>+V906-'ROR-Model'!G907</f>
        <v>0</v>
      </c>
    </row>
    <row r="907" spans="1:23">
      <c r="A907" s="543"/>
      <c r="B907" s="534"/>
      <c r="C907" s="534" t="s">
        <v>399</v>
      </c>
      <c r="D907" s="534"/>
      <c r="E907" s="531"/>
      <c r="F907" s="301"/>
      <c r="G907" s="301"/>
      <c r="H907" s="301"/>
      <c r="I907" s="301"/>
      <c r="J907" s="325"/>
      <c r="K907" s="325"/>
      <c r="L907" s="301"/>
      <c r="M907" s="301"/>
      <c r="N907" s="301"/>
      <c r="O907" s="301"/>
      <c r="P907" s="301"/>
      <c r="Q907" s="325"/>
      <c r="R907" s="325"/>
      <c r="S907" s="325"/>
      <c r="T907" s="532">
        <f>SUM(F907:S907)</f>
        <v>0</v>
      </c>
      <c r="U907" s="301"/>
      <c r="V907" s="532">
        <f>SUM(T907:T907)</f>
        <v>0</v>
      </c>
      <c r="W907" s="532">
        <f>+V907-'ROR-Model'!G920</f>
        <v>0</v>
      </c>
    </row>
    <row r="908" spans="1:23">
      <c r="A908" s="543"/>
      <c r="B908" s="534"/>
      <c r="C908" s="534" t="s">
        <v>542</v>
      </c>
      <c r="D908" s="534"/>
      <c r="E908" s="531"/>
      <c r="F908" s="301"/>
      <c r="G908" s="301"/>
      <c r="H908" s="301"/>
      <c r="I908" s="301"/>
      <c r="J908" s="325"/>
      <c r="K908" s="325"/>
      <c r="L908" s="301"/>
      <c r="M908" s="301"/>
      <c r="N908" s="301"/>
      <c r="O908" s="301"/>
      <c r="P908" s="301"/>
      <c r="Q908" s="325"/>
      <c r="R908" s="325"/>
      <c r="S908" s="325"/>
      <c r="T908" s="532">
        <f>SUM(F908:S908)</f>
        <v>0</v>
      </c>
      <c r="U908" s="301"/>
      <c r="V908" s="532">
        <f>SUM(T908:T908)</f>
        <v>0</v>
      </c>
      <c r="W908" s="532">
        <f>+V908-'ROR-Model'!G909</f>
        <v>0</v>
      </c>
    </row>
    <row r="909" spans="1:23">
      <c r="A909" s="543"/>
      <c r="B909" s="534"/>
      <c r="C909" s="534" t="s">
        <v>543</v>
      </c>
      <c r="D909" s="534"/>
      <c r="E909" s="531"/>
      <c r="F909" s="301"/>
      <c r="G909" s="301"/>
      <c r="H909" s="301"/>
      <c r="I909" s="301"/>
      <c r="J909" s="325"/>
      <c r="K909" s="325"/>
      <c r="L909" s="301"/>
      <c r="M909" s="301"/>
      <c r="N909" s="301"/>
      <c r="O909" s="301"/>
      <c r="P909" s="301"/>
      <c r="Q909" s="325"/>
      <c r="R909" s="325"/>
      <c r="S909" s="325"/>
      <c r="T909" s="532">
        <f>SUM(F909:S909)</f>
        <v>0</v>
      </c>
      <c r="U909" s="301"/>
      <c r="V909" s="532">
        <f>SUM(T909:T909)</f>
        <v>0</v>
      </c>
      <c r="W909" s="532">
        <f>+V909-'ROR-Model'!G910</f>
        <v>0</v>
      </c>
    </row>
    <row r="910" spans="1:23">
      <c r="A910" s="543"/>
      <c r="B910" s="534"/>
      <c r="C910" s="534" t="s">
        <v>544</v>
      </c>
      <c r="D910" s="534"/>
      <c r="E910" s="531"/>
      <c r="F910" s="301"/>
      <c r="G910" s="301"/>
      <c r="H910" s="301"/>
      <c r="I910" s="301"/>
      <c r="J910" s="325"/>
      <c r="K910" s="325"/>
      <c r="L910" s="301"/>
      <c r="M910" s="301"/>
      <c r="N910" s="301"/>
      <c r="O910" s="301"/>
      <c r="P910" s="301"/>
      <c r="Q910" s="325"/>
      <c r="R910" s="325"/>
      <c r="S910" s="325"/>
      <c r="T910" s="532">
        <f>SUM(F910:S910)</f>
        <v>0</v>
      </c>
      <c r="U910" s="301"/>
      <c r="V910" s="532">
        <f>SUM(T910:T910)</f>
        <v>0</v>
      </c>
      <c r="W910" s="532">
        <f>+V910-'ROR-Model'!G911</f>
        <v>0</v>
      </c>
    </row>
    <row r="911" spans="1:23">
      <c r="A911" s="543"/>
      <c r="B911" s="534"/>
      <c r="C911" s="534" t="s">
        <v>547</v>
      </c>
      <c r="D911" s="534"/>
      <c r="E911" s="531"/>
      <c r="F911" s="323">
        <f>SUM(F907:F910)</f>
        <v>0</v>
      </c>
      <c r="G911" s="323"/>
      <c r="H911" s="323">
        <f>SUM(H907:H910)</f>
        <v>0</v>
      </c>
      <c r="I911" s="323">
        <f t="shared" ref="I911:P911" si="197">SUM(I907:I910)</f>
        <v>0</v>
      </c>
      <c r="J911" s="476"/>
      <c r="K911" s="476"/>
      <c r="L911" s="323">
        <f t="shared" si="197"/>
        <v>0</v>
      </c>
      <c r="M911" s="323">
        <f t="shared" si="197"/>
        <v>0</v>
      </c>
      <c r="N911" s="323">
        <f t="shared" si="197"/>
        <v>0</v>
      </c>
      <c r="O911" s="323">
        <f t="shared" si="197"/>
        <v>0</v>
      </c>
      <c r="P911" s="323">
        <f t="shared" si="197"/>
        <v>0</v>
      </c>
      <c r="Q911" s="476">
        <f>SUM(Q907:Q910)</f>
        <v>0</v>
      </c>
      <c r="R911" s="476"/>
      <c r="S911" s="476"/>
      <c r="T911" s="536">
        <f>SUM(T907:T910)</f>
        <v>0</v>
      </c>
      <c r="U911" s="323"/>
      <c r="V911" s="536">
        <f>SUM(V907:V910)</f>
        <v>0</v>
      </c>
      <c r="W911" s="536">
        <f>+V911-'ROR-Model'!G924</f>
        <v>0</v>
      </c>
    </row>
    <row r="912" spans="1:23" ht="13.5" thickBot="1">
      <c r="A912" s="543"/>
      <c r="B912" s="534"/>
      <c r="C912" s="534"/>
      <c r="D912" s="534"/>
      <c r="E912" s="531"/>
      <c r="F912" s="471"/>
      <c r="G912" s="471"/>
      <c r="H912" s="471"/>
      <c r="I912" s="471"/>
      <c r="J912" s="548"/>
      <c r="K912" s="548"/>
      <c r="L912" s="471"/>
      <c r="M912" s="471"/>
      <c r="N912" s="471"/>
      <c r="O912" s="471"/>
      <c r="P912" s="471"/>
      <c r="Q912" s="548"/>
      <c r="R912" s="548"/>
      <c r="S912" s="548"/>
      <c r="T912" s="549"/>
      <c r="U912" s="471"/>
      <c r="V912" s="549"/>
      <c r="W912" s="549">
        <f>+V912-'ROR-Model'!G925</f>
        <v>0</v>
      </c>
    </row>
    <row r="913" spans="1:23">
      <c r="A913" s="543"/>
      <c r="B913" s="175" t="s">
        <v>602</v>
      </c>
      <c r="C913" s="534"/>
      <c r="D913" s="534"/>
      <c r="E913" s="531"/>
      <c r="F913" s="301">
        <f>F904+F911</f>
        <v>0</v>
      </c>
      <c r="G913" s="301">
        <f>G1*+G904+G911</f>
        <v>0</v>
      </c>
      <c r="H913" s="301">
        <f>H904+H911</f>
        <v>0</v>
      </c>
      <c r="I913" s="301">
        <f t="shared" ref="I913:Q913" si="198">I904+I911</f>
        <v>0</v>
      </c>
      <c r="J913" s="325">
        <f>J1*+J904+J911</f>
        <v>0</v>
      </c>
      <c r="K913" s="325">
        <f>K1*+K904+K911</f>
        <v>0</v>
      </c>
      <c r="L913" s="301">
        <f t="shared" si="198"/>
        <v>0</v>
      </c>
      <c r="M913" s="301">
        <f t="shared" si="198"/>
        <v>0</v>
      </c>
      <c r="N913" s="301">
        <f t="shared" si="198"/>
        <v>0</v>
      </c>
      <c r="O913" s="301">
        <f t="shared" si="198"/>
        <v>0</v>
      </c>
      <c r="P913" s="301">
        <f t="shared" si="198"/>
        <v>0</v>
      </c>
      <c r="Q913" s="325">
        <f t="shared" si="198"/>
        <v>0</v>
      </c>
      <c r="R913" s="325">
        <f>R1*+R904+R911</f>
        <v>0</v>
      </c>
      <c r="S913" s="325">
        <f>S1*+S904+S911</f>
        <v>0</v>
      </c>
      <c r="T913" s="532">
        <f>SUM(F913:S913)</f>
        <v>0</v>
      </c>
      <c r="U913" s="301"/>
      <c r="V913" s="532">
        <f>SUM(T913:T913)</f>
        <v>0</v>
      </c>
      <c r="W913" s="532">
        <f>+V913-'ROR-Model'!G926</f>
        <v>0</v>
      </c>
    </row>
    <row r="914" spans="1:23">
      <c r="A914" s="543"/>
      <c r="B914" s="534"/>
      <c r="C914" s="534"/>
      <c r="D914" s="534"/>
      <c r="E914" s="531"/>
      <c r="F914" s="301"/>
      <c r="G914" s="301"/>
      <c r="H914" s="301"/>
      <c r="I914" s="301"/>
      <c r="J914" s="325"/>
      <c r="K914" s="325"/>
      <c r="L914" s="301"/>
      <c r="M914" s="301"/>
      <c r="N914" s="301"/>
      <c r="O914" s="301"/>
      <c r="P914" s="301"/>
      <c r="Q914" s="325"/>
      <c r="R914" s="325"/>
      <c r="S914" s="325"/>
      <c r="T914" s="532"/>
      <c r="U914" s="301"/>
      <c r="V914" s="532"/>
      <c r="W914" s="532">
        <f>+V914-'ROR-Model'!G927</f>
        <v>0</v>
      </c>
    </row>
    <row r="915" spans="1:23">
      <c r="A915" s="176" t="s">
        <v>603</v>
      </c>
      <c r="B915" s="534"/>
      <c r="C915" s="534"/>
      <c r="D915" s="534"/>
      <c r="E915" s="531"/>
      <c r="F915" s="301"/>
      <c r="G915" s="301"/>
      <c r="H915" s="301"/>
      <c r="I915" s="301"/>
      <c r="J915" s="325"/>
      <c r="K915" s="325"/>
      <c r="L915" s="301"/>
      <c r="M915" s="301"/>
      <c r="N915" s="301"/>
      <c r="O915" s="301"/>
      <c r="P915" s="301"/>
      <c r="Q915" s="325"/>
      <c r="R915" s="325"/>
      <c r="S915" s="325"/>
      <c r="T915" s="532"/>
      <c r="U915" s="301"/>
      <c r="V915" s="532"/>
      <c r="W915" s="532">
        <f>+V915-'ROR-Model'!G928</f>
        <v>0</v>
      </c>
    </row>
    <row r="916" spans="1:23">
      <c r="A916" s="543">
        <v>408</v>
      </c>
      <c r="B916" s="534" t="s">
        <v>548</v>
      </c>
      <c r="C916" s="534"/>
      <c r="D916" s="534"/>
      <c r="E916" s="531"/>
      <c r="F916" s="301"/>
      <c r="G916" s="301"/>
      <c r="H916" s="301"/>
      <c r="I916" s="301"/>
      <c r="J916" s="325"/>
      <c r="K916" s="325"/>
      <c r="L916" s="301"/>
      <c r="M916" s="301"/>
      <c r="N916" s="301"/>
      <c r="O916" s="301"/>
      <c r="P916" s="301"/>
      <c r="Q916" s="325"/>
      <c r="R916" s="325"/>
      <c r="S916" s="325"/>
      <c r="T916" s="532"/>
      <c r="U916" s="301"/>
      <c r="V916" s="532"/>
      <c r="W916" s="532">
        <f>+V916-'ROR-Model'!G929</f>
        <v>0</v>
      </c>
    </row>
    <row r="917" spans="1:23">
      <c r="A917" s="535"/>
      <c r="B917" s="534"/>
      <c r="C917" s="534" t="s">
        <v>399</v>
      </c>
      <c r="D917" s="534"/>
      <c r="E917" s="531"/>
      <c r="F917" s="301"/>
      <c r="G917" s="301"/>
      <c r="H917" s="301"/>
      <c r="I917" s="301"/>
      <c r="J917" s="325"/>
      <c r="K917" s="325"/>
      <c r="L917" s="301"/>
      <c r="M917" s="301"/>
      <c r="N917" s="301"/>
      <c r="O917" s="301"/>
      <c r="P917" s="301"/>
      <c r="Q917" s="325"/>
      <c r="R917" s="325"/>
      <c r="S917" s="325"/>
      <c r="T917" s="532">
        <f>SUM(F917:S917)</f>
        <v>0</v>
      </c>
      <c r="U917" s="301"/>
      <c r="V917" s="532">
        <f>SUM(T917:T917)</f>
        <v>0</v>
      </c>
      <c r="W917" s="532">
        <f>+V917-'ROR-Model'!G930</f>
        <v>0</v>
      </c>
    </row>
    <row r="918" spans="1:23">
      <c r="A918" s="535"/>
      <c r="B918" s="534"/>
      <c r="C918" s="534" t="s">
        <v>542</v>
      </c>
      <c r="D918" s="534"/>
      <c r="E918" s="531"/>
      <c r="F918" s="301"/>
      <c r="G918" s="301"/>
      <c r="H918" s="301"/>
      <c r="I918" s="301"/>
      <c r="J918" s="325"/>
      <c r="K918" s="325"/>
      <c r="L918" s="301"/>
      <c r="M918" s="301"/>
      <c r="N918" s="301"/>
      <c r="O918" s="301"/>
      <c r="P918" s="301"/>
      <c r="Q918" s="325"/>
      <c r="R918" s="325"/>
      <c r="S918" s="325"/>
      <c r="T918" s="532">
        <f>SUM(F918:S918)</f>
        <v>0</v>
      </c>
      <c r="U918" s="301"/>
      <c r="V918" s="532">
        <f>SUM(T918:T918)</f>
        <v>0</v>
      </c>
      <c r="W918" s="532">
        <f>+V918-'ROR-Model'!G931</f>
        <v>0</v>
      </c>
    </row>
    <row r="919" spans="1:23">
      <c r="A919" s="535"/>
      <c r="B919" s="534"/>
      <c r="C919" s="534" t="s">
        <v>543</v>
      </c>
      <c r="D919" s="534"/>
      <c r="E919" s="531"/>
      <c r="F919" s="301"/>
      <c r="G919" s="301"/>
      <c r="H919" s="301"/>
      <c r="I919" s="301"/>
      <c r="J919" s="325"/>
      <c r="K919" s="325"/>
      <c r="L919" s="301"/>
      <c r="M919" s="301"/>
      <c r="N919" s="301"/>
      <c r="O919" s="301"/>
      <c r="P919" s="301"/>
      <c r="Q919" s="325"/>
      <c r="R919" s="325"/>
      <c r="S919" s="325"/>
      <c r="T919" s="532">
        <f>SUM(F919:S919)</f>
        <v>0</v>
      </c>
      <c r="U919" s="301"/>
      <c r="V919" s="532">
        <f>SUM(T919:T919)</f>
        <v>0</v>
      </c>
      <c r="W919" s="532">
        <f>+V919-'ROR-Model'!G932</f>
        <v>0</v>
      </c>
    </row>
    <row r="920" spans="1:23">
      <c r="A920" s="535"/>
      <c r="B920" s="534"/>
      <c r="C920" s="534" t="s">
        <v>544</v>
      </c>
      <c r="D920" s="534"/>
      <c r="E920" s="531"/>
      <c r="F920" s="301"/>
      <c r="G920" s="301"/>
      <c r="H920" s="301"/>
      <c r="I920" s="301"/>
      <c r="J920" s="325"/>
      <c r="K920" s="325"/>
      <c r="L920" s="301"/>
      <c r="M920" s="301"/>
      <c r="N920" s="301"/>
      <c r="O920" s="301"/>
      <c r="P920" s="301"/>
      <c r="Q920" s="325"/>
      <c r="R920" s="325"/>
      <c r="S920" s="325"/>
      <c r="T920" s="532">
        <f>SUM(F920:S920)</f>
        <v>0</v>
      </c>
      <c r="U920" s="301"/>
      <c r="V920" s="532">
        <f>SUM(T920:T920)</f>
        <v>0</v>
      </c>
      <c r="W920" s="532">
        <f>+V920-'ROR-Model'!G933</f>
        <v>0</v>
      </c>
    </row>
    <row r="921" spans="1:23">
      <c r="A921" s="535"/>
      <c r="B921" s="534"/>
      <c r="C921" s="534" t="s">
        <v>549</v>
      </c>
      <c r="D921" s="534"/>
      <c r="E921" s="531"/>
      <c r="F921" s="323">
        <f>SUM(F917:F920)</f>
        <v>0</v>
      </c>
      <c r="G921" s="323">
        <f>G1*SUM(G917:G920)</f>
        <v>0</v>
      </c>
      <c r="H921" s="323">
        <f>SUM(H917:H920)</f>
        <v>0</v>
      </c>
      <c r="I921" s="323">
        <f t="shared" ref="I921:P921" si="199">SUM(I917:I920)</f>
        <v>0</v>
      </c>
      <c r="J921" s="476">
        <f>J1*SUM(J917:J920)</f>
        <v>0</v>
      </c>
      <c r="K921" s="476">
        <f>K1*SUM(K917:K920)</f>
        <v>0</v>
      </c>
      <c r="L921" s="323">
        <f t="shared" si="199"/>
        <v>0</v>
      </c>
      <c r="M921" s="323">
        <f t="shared" si="199"/>
        <v>0</v>
      </c>
      <c r="N921" s="323">
        <f t="shared" si="199"/>
        <v>0</v>
      </c>
      <c r="O921" s="323">
        <f t="shared" si="199"/>
        <v>0</v>
      </c>
      <c r="P921" s="323">
        <f t="shared" si="199"/>
        <v>0</v>
      </c>
      <c r="Q921" s="476">
        <f>SUM(Q917:Q920)</f>
        <v>0</v>
      </c>
      <c r="R921" s="476">
        <f>R1*SUM(R917:R920)</f>
        <v>0</v>
      </c>
      <c r="S921" s="476">
        <f>S1*SUM(S917:S920)</f>
        <v>0</v>
      </c>
      <c r="T921" s="536">
        <f>SUM(T917:T920)</f>
        <v>0</v>
      </c>
      <c r="U921" s="323"/>
      <c r="V921" s="536">
        <f>SUM(V917:V920)</f>
        <v>0</v>
      </c>
      <c r="W921" s="536">
        <f>+V921-'ROR-Model'!G934</f>
        <v>0</v>
      </c>
    </row>
    <row r="922" spans="1:23">
      <c r="A922" s="535"/>
      <c r="B922" s="534"/>
      <c r="C922" s="534"/>
      <c r="D922" s="534"/>
      <c r="E922" s="531"/>
      <c r="F922" s="301"/>
      <c r="G922" s="301"/>
      <c r="H922" s="301"/>
      <c r="I922" s="301"/>
      <c r="J922" s="325"/>
      <c r="K922" s="325"/>
      <c r="L922" s="301"/>
      <c r="M922" s="301"/>
      <c r="N922" s="301"/>
      <c r="O922" s="301"/>
      <c r="P922" s="301"/>
      <c r="Q922" s="325"/>
      <c r="R922" s="325"/>
      <c r="S922" s="325"/>
      <c r="T922" s="532"/>
      <c r="U922" s="301"/>
      <c r="V922" s="532"/>
      <c r="W922" s="532">
        <f>+V922-'ROR-Model'!G935</f>
        <v>0</v>
      </c>
    </row>
    <row r="923" spans="1:23">
      <c r="A923" s="543">
        <v>4090</v>
      </c>
      <c r="B923" s="534" t="s">
        <v>551</v>
      </c>
      <c r="C923" s="534"/>
      <c r="D923" s="534"/>
      <c r="E923" s="531"/>
      <c r="F923" s="301">
        <f>((F512)-(F639+F892+F913+F921-F925))*Taxes!$L$23</f>
        <v>0</v>
      </c>
      <c r="G923" s="301">
        <f>((G512)-(G639+G892+G913+G921-G925))*Taxes!$L$23</f>
        <v>150900.48175547289</v>
      </c>
      <c r="H923" s="301">
        <f>((H512)-(H639+H892+H913+H921-H925))*Taxes!$L$23</f>
        <v>0</v>
      </c>
      <c r="I923" s="301">
        <f>((I512)-(I639+I892+I913+I921-I925))*Taxes!$L$23</f>
        <v>0</v>
      </c>
      <c r="J923" s="325">
        <f>((J512)-(J639+J892+J913+J921-J925))*Taxes!$L$23</f>
        <v>0</v>
      </c>
      <c r="K923" s="325">
        <f>((K512)-(K639+K892+K913+K921-K925))*Taxes!$L$23</f>
        <v>0</v>
      </c>
      <c r="L923" s="301">
        <f>((L512)-(L639+L892+L913+L921-L925))*Taxes!$L$23</f>
        <v>469997.45252625248</v>
      </c>
      <c r="M923" s="301">
        <f>((M512)-(M639+M892+M913+M921-M925))*Taxes!$L$23</f>
        <v>538790.11914027121</v>
      </c>
      <c r="N923" s="301">
        <f>((N512)-(N639+N892+N913+N921-N925))*Taxes!$L$23</f>
        <v>0</v>
      </c>
      <c r="O923" s="301">
        <f>((O512)-(O639+O892+O913+O921-O925))*Taxes!$L$23</f>
        <v>0</v>
      </c>
      <c r="P923" s="301">
        <f>((P512)-(P639+P892+P913+P921-P925))*Taxes!$L$23</f>
        <v>44836.685819077989</v>
      </c>
      <c r="Q923" s="325">
        <f>((Q512)-(Q639+Q892+Q913+Q921-Q925))*Taxes!$L$23</f>
        <v>-122390.41806941942</v>
      </c>
      <c r="R923" s="325">
        <f>((R512)-(R639+R892+R913+R921-R925))*Taxes!$L$23</f>
        <v>-788006.00347925222</v>
      </c>
      <c r="S923" s="325">
        <f>((S512)-(S639+S892+S913+S921-S925))*Taxes!$L$23</f>
        <v>-2084344.0246549805</v>
      </c>
      <c r="T923" s="532">
        <f>SUM(F923:S923)</f>
        <v>-1790215.7069625775</v>
      </c>
      <c r="U923" s="301"/>
      <c r="V923" s="532">
        <f>SUM(T923:T923)</f>
        <v>-1790215.7069625775</v>
      </c>
      <c r="W923" s="532">
        <f>+V923-'ROR-Model'!G936</f>
        <v>0</v>
      </c>
    </row>
    <row r="924" spans="1:23">
      <c r="A924" s="543"/>
      <c r="B924" s="534"/>
      <c r="C924" s="534"/>
      <c r="D924" s="534"/>
      <c r="E924" s="531"/>
      <c r="F924" s="301"/>
      <c r="G924" s="301"/>
      <c r="H924" s="301"/>
      <c r="I924" s="301"/>
      <c r="J924" s="325"/>
      <c r="K924" s="325"/>
      <c r="L924" s="301"/>
      <c r="M924" s="301"/>
      <c r="N924" s="301"/>
      <c r="O924" s="301"/>
      <c r="P924" s="301"/>
      <c r="Q924" s="325"/>
      <c r="R924" s="325"/>
      <c r="S924" s="325"/>
      <c r="T924" s="532"/>
      <c r="U924" s="301"/>
      <c r="V924" s="532"/>
      <c r="W924" s="532">
        <f>+V924-'ROR-Model'!G937</f>
        <v>0</v>
      </c>
    </row>
    <row r="925" spans="1:23">
      <c r="A925" s="543">
        <v>4091</v>
      </c>
      <c r="B925" s="534" t="s">
        <v>552</v>
      </c>
      <c r="C925" s="534"/>
      <c r="D925" s="534"/>
      <c r="E925" s="531"/>
      <c r="F925" s="301"/>
      <c r="G925" s="301"/>
      <c r="H925" s="301"/>
      <c r="I925" s="301"/>
      <c r="J925" s="325"/>
      <c r="K925" s="325"/>
      <c r="L925" s="301"/>
      <c r="M925" s="301"/>
      <c r="N925" s="301"/>
      <c r="O925" s="301"/>
      <c r="P925" s="301"/>
      <c r="Q925" s="325"/>
      <c r="R925" s="325"/>
      <c r="S925" s="325"/>
      <c r="T925" s="532">
        <f>SUM(F925:S925)</f>
        <v>0</v>
      </c>
      <c r="U925" s="301"/>
      <c r="V925" s="532">
        <f>SUM(T925:T925)</f>
        <v>0</v>
      </c>
      <c r="W925" s="532">
        <f>+V925-'ROR-Model'!G938</f>
        <v>0</v>
      </c>
    </row>
    <row r="926" spans="1:23">
      <c r="A926" s="543"/>
      <c r="B926" s="534"/>
      <c r="C926" s="534"/>
      <c r="D926" s="534"/>
      <c r="E926" s="531"/>
      <c r="F926" s="301"/>
      <c r="G926" s="301"/>
      <c r="H926" s="301"/>
      <c r="I926" s="301"/>
      <c r="J926" s="325"/>
      <c r="K926" s="325"/>
      <c r="L926" s="301"/>
      <c r="M926" s="301"/>
      <c r="N926" s="301"/>
      <c r="O926" s="301"/>
      <c r="P926" s="301"/>
      <c r="Q926" s="325"/>
      <c r="R926" s="325"/>
      <c r="S926" s="325"/>
      <c r="T926" s="532"/>
      <c r="U926" s="301"/>
      <c r="V926" s="532"/>
      <c r="W926" s="532">
        <f>+V926-'ROR-Model'!G939</f>
        <v>0</v>
      </c>
    </row>
    <row r="927" spans="1:23">
      <c r="A927" s="543">
        <v>4101</v>
      </c>
      <c r="B927" s="534" t="s">
        <v>553</v>
      </c>
      <c r="C927" s="534"/>
      <c r="D927" s="534"/>
      <c r="E927" s="531"/>
      <c r="F927" s="301"/>
      <c r="G927" s="301"/>
      <c r="H927" s="301"/>
      <c r="I927" s="301"/>
      <c r="J927" s="325"/>
      <c r="K927" s="325"/>
      <c r="L927" s="301"/>
      <c r="M927" s="301"/>
      <c r="N927" s="301"/>
      <c r="O927" s="301"/>
      <c r="P927" s="301"/>
      <c r="Q927" s="325"/>
      <c r="R927" s="325"/>
      <c r="S927" s="325"/>
      <c r="T927" s="532">
        <f>SUM(F927:S927)</f>
        <v>0</v>
      </c>
      <c r="U927" s="301"/>
      <c r="V927" s="532">
        <f>SUM(T927:T927)</f>
        <v>0</v>
      </c>
      <c r="W927" s="532">
        <f>+V927-'ROR-Model'!G940</f>
        <v>0</v>
      </c>
    </row>
    <row r="928" spans="1:23">
      <c r="A928" s="543"/>
      <c r="B928" s="534"/>
      <c r="C928" s="534"/>
      <c r="D928" s="534"/>
      <c r="E928" s="531"/>
      <c r="F928" s="301"/>
      <c r="G928" s="301"/>
      <c r="H928" s="301"/>
      <c r="I928" s="301"/>
      <c r="J928" s="325"/>
      <c r="K928" s="325"/>
      <c r="L928" s="301"/>
      <c r="M928" s="301"/>
      <c r="N928" s="301"/>
      <c r="O928" s="301"/>
      <c r="P928" s="301"/>
      <c r="Q928" s="325"/>
      <c r="R928" s="325"/>
      <c r="S928" s="325"/>
      <c r="T928" s="532"/>
      <c r="U928" s="301"/>
      <c r="V928" s="532"/>
      <c r="W928" s="532">
        <f>+V928-'ROR-Model'!G941</f>
        <v>0</v>
      </c>
    </row>
    <row r="929" spans="1:23">
      <c r="A929" s="543">
        <v>4111</v>
      </c>
      <c r="B929" s="534" t="s">
        <v>554</v>
      </c>
      <c r="C929" s="534"/>
      <c r="D929" s="534"/>
      <c r="E929" s="531"/>
      <c r="F929" s="301"/>
      <c r="G929" s="301"/>
      <c r="H929" s="301"/>
      <c r="I929" s="301"/>
      <c r="J929" s="325"/>
      <c r="K929" s="325"/>
      <c r="L929" s="301"/>
      <c r="M929" s="301"/>
      <c r="N929" s="301"/>
      <c r="O929" s="301"/>
      <c r="P929" s="301"/>
      <c r="Q929" s="325"/>
      <c r="R929" s="325"/>
      <c r="S929" s="325"/>
      <c r="T929" s="532">
        <f>SUM(F929:S929)</f>
        <v>0</v>
      </c>
      <c r="U929" s="301"/>
      <c r="V929" s="532">
        <f>SUM(T929:T929)</f>
        <v>0</v>
      </c>
      <c r="W929" s="532">
        <f>+V929-'ROR-Model'!G942</f>
        <v>0</v>
      </c>
    </row>
    <row r="930" spans="1:23">
      <c r="A930" s="543"/>
      <c r="B930" s="534"/>
      <c r="C930" s="534"/>
      <c r="D930" s="534"/>
      <c r="E930" s="531"/>
      <c r="F930" s="301"/>
      <c r="G930" s="301"/>
      <c r="H930" s="301"/>
      <c r="I930" s="301"/>
      <c r="J930" s="325"/>
      <c r="K930" s="325"/>
      <c r="L930" s="301"/>
      <c r="M930" s="301"/>
      <c r="N930" s="301"/>
      <c r="O930" s="301"/>
      <c r="P930" s="301"/>
      <c r="Q930" s="325"/>
      <c r="R930" s="325"/>
      <c r="S930" s="325"/>
      <c r="T930" s="532"/>
      <c r="U930" s="301"/>
      <c r="V930" s="532"/>
      <c r="W930" s="532">
        <f>+V930-'ROR-Model'!G943</f>
        <v>0</v>
      </c>
    </row>
    <row r="931" spans="1:23">
      <c r="A931" s="543">
        <v>4114</v>
      </c>
      <c r="B931" s="534" t="s">
        <v>555</v>
      </c>
      <c r="C931" s="534"/>
      <c r="D931" s="534"/>
      <c r="E931" s="531"/>
      <c r="F931" s="301"/>
      <c r="G931" s="301"/>
      <c r="H931" s="301"/>
      <c r="I931" s="301"/>
      <c r="J931" s="325"/>
      <c r="K931" s="325"/>
      <c r="L931" s="301"/>
      <c r="M931" s="301"/>
      <c r="N931" s="301"/>
      <c r="O931" s="301"/>
      <c r="P931" s="301"/>
      <c r="Q931" s="325"/>
      <c r="R931" s="325"/>
      <c r="S931" s="325"/>
      <c r="T931" s="532">
        <f>SUM(F931:S931)</f>
        <v>0</v>
      </c>
      <c r="U931" s="301"/>
      <c r="V931" s="532">
        <f>SUM(T931:T931)</f>
        <v>0</v>
      </c>
      <c r="W931" s="532">
        <f>+V931-'ROR-Model'!G944</f>
        <v>0</v>
      </c>
    </row>
    <row r="932" spans="1:23" ht="13.5" thickBot="1">
      <c r="A932" s="535"/>
      <c r="B932" s="534"/>
      <c r="C932" s="534"/>
      <c r="D932" s="534"/>
      <c r="E932" s="531"/>
      <c r="F932" s="471"/>
      <c r="G932" s="471"/>
      <c r="H932" s="471"/>
      <c r="I932" s="471"/>
      <c r="J932" s="548"/>
      <c r="K932" s="548"/>
      <c r="L932" s="471"/>
      <c r="M932" s="471"/>
      <c r="N932" s="471"/>
      <c r="O932" s="471"/>
      <c r="P932" s="471"/>
      <c r="Q932" s="548"/>
      <c r="R932" s="548"/>
      <c r="S932" s="548"/>
      <c r="T932" s="549"/>
      <c r="U932" s="471"/>
      <c r="V932" s="549"/>
      <c r="W932" s="549">
        <f>+V932-'ROR-Model'!G945</f>
        <v>0</v>
      </c>
    </row>
    <row r="933" spans="1:23">
      <c r="A933" s="535"/>
      <c r="B933" s="175" t="s">
        <v>604</v>
      </c>
      <c r="C933" s="534"/>
      <c r="D933" s="534"/>
      <c r="E933" s="531"/>
      <c r="F933" s="301">
        <f>F921+F923+F925+F927+F929+F931</f>
        <v>0</v>
      </c>
      <c r="G933" s="301">
        <f t="shared" ref="G933:Q933" si="200">G921+G923+G925+G927+G929+G931</f>
        <v>150900.48175547289</v>
      </c>
      <c r="H933" s="301">
        <f>H921+H923+H925+H927+H929+H931</f>
        <v>0</v>
      </c>
      <c r="I933" s="301">
        <f t="shared" si="200"/>
        <v>0</v>
      </c>
      <c r="J933" s="301">
        <f>J921+J923+J925+J927+J929+J931</f>
        <v>0</v>
      </c>
      <c r="K933" s="301">
        <f>K921+K923+K925+K927+K929+K931</f>
        <v>0</v>
      </c>
      <c r="L933" s="301">
        <f t="shared" si="200"/>
        <v>469997.45252625248</v>
      </c>
      <c r="M933" s="301">
        <f t="shared" si="200"/>
        <v>538790.11914027121</v>
      </c>
      <c r="N933" s="301">
        <f t="shared" si="200"/>
        <v>0</v>
      </c>
      <c r="O933" s="301">
        <f t="shared" si="200"/>
        <v>0</v>
      </c>
      <c r="P933" s="301">
        <f t="shared" si="200"/>
        <v>44836.685819077989</v>
      </c>
      <c r="Q933" s="301">
        <f t="shared" si="200"/>
        <v>-122390.41806941942</v>
      </c>
      <c r="R933" s="301">
        <f>R921+R923+R925+R927+R929+R931</f>
        <v>-788006.00347925222</v>
      </c>
      <c r="S933" s="301">
        <f>S921+S923+S925+S927+S929+S931</f>
        <v>-2084344.0246549805</v>
      </c>
      <c r="T933" s="532">
        <f>SUM(F933:S933)</f>
        <v>-1790215.7069625775</v>
      </c>
      <c r="U933" s="301"/>
      <c r="V933" s="532">
        <f>SUM(T933:T933)</f>
        <v>-1790215.7069625775</v>
      </c>
      <c r="W933" s="532">
        <f>+V933-'ROR-Model'!G950</f>
        <v>0</v>
      </c>
    </row>
    <row r="934" spans="1:23" ht="13.5" thickBot="1">
      <c r="A934" s="535"/>
      <c r="B934" s="534"/>
      <c r="C934" s="534"/>
      <c r="D934" s="534"/>
      <c r="E934" s="531"/>
      <c r="F934" s="470"/>
      <c r="G934" s="470"/>
      <c r="H934" s="470"/>
      <c r="I934" s="470"/>
      <c r="J934" s="477"/>
      <c r="K934" s="477"/>
      <c r="L934" s="470"/>
      <c r="M934" s="470"/>
      <c r="N934" s="470"/>
      <c r="O934" s="470"/>
      <c r="P934" s="470"/>
      <c r="Q934" s="477"/>
      <c r="R934" s="477"/>
      <c r="S934" s="477"/>
      <c r="T934" s="538"/>
      <c r="U934" s="470"/>
      <c r="V934" s="538"/>
      <c r="W934" s="538"/>
    </row>
    <row r="935" spans="1:23" ht="13.5" thickTop="1">
      <c r="A935" s="535"/>
      <c r="B935" s="534"/>
      <c r="C935" s="534"/>
      <c r="D935" s="534"/>
      <c r="E935" s="531"/>
      <c r="F935" s="301"/>
      <c r="G935" s="301"/>
      <c r="H935" s="301"/>
      <c r="I935" s="301"/>
      <c r="J935" s="325"/>
      <c r="K935" s="325"/>
      <c r="L935" s="301"/>
      <c r="M935" s="301"/>
      <c r="N935" s="301"/>
      <c r="O935" s="301"/>
      <c r="P935" s="301"/>
      <c r="Q935" s="325"/>
      <c r="R935" s="325"/>
      <c r="S935" s="325"/>
      <c r="T935" s="532"/>
      <c r="U935" s="301"/>
      <c r="V935" s="532"/>
      <c r="W935" s="532"/>
    </row>
    <row r="936" spans="1:23">
      <c r="A936" s="167"/>
      <c r="B936" s="175" t="s">
        <v>601</v>
      </c>
      <c r="C936" s="534"/>
      <c r="D936" s="534"/>
      <c r="E936" s="531"/>
      <c r="F936" s="301">
        <f>F913+F933</f>
        <v>0</v>
      </c>
      <c r="G936" s="301">
        <f>G1*G913+G933</f>
        <v>150900.48175547289</v>
      </c>
      <c r="H936" s="301">
        <f>H913+H933</f>
        <v>0</v>
      </c>
      <c r="I936" s="301">
        <f t="shared" ref="I936:Q936" si="201">I913+I933</f>
        <v>0</v>
      </c>
      <c r="J936" s="325">
        <f>J1*J913+J933</f>
        <v>0</v>
      </c>
      <c r="K936" s="325">
        <f>K1*K913+K933</f>
        <v>0</v>
      </c>
      <c r="L936" s="301">
        <f t="shared" si="201"/>
        <v>469997.45252625248</v>
      </c>
      <c r="M936" s="301">
        <f t="shared" si="201"/>
        <v>538790.11914027121</v>
      </c>
      <c r="N936" s="301">
        <f t="shared" si="201"/>
        <v>0</v>
      </c>
      <c r="O936" s="301">
        <f t="shared" si="201"/>
        <v>0</v>
      </c>
      <c r="P936" s="301">
        <f t="shared" si="201"/>
        <v>44836.685819077989</v>
      </c>
      <c r="Q936" s="325">
        <f t="shared" si="201"/>
        <v>-122390.41806941942</v>
      </c>
      <c r="R936" s="325">
        <f>R1*R913+R933</f>
        <v>-788006.00347925222</v>
      </c>
      <c r="S936" s="325">
        <f>S1*S913+S933</f>
        <v>-2084344.0246549805</v>
      </c>
      <c r="T936" s="532">
        <f>SUM(F936:S936)</f>
        <v>-1790215.7069625775</v>
      </c>
      <c r="U936" s="301"/>
      <c r="V936" s="532">
        <f>SUM(T936:T936)</f>
        <v>-1790215.7069625775</v>
      </c>
      <c r="W936" s="532">
        <f>+V936-'ROR-Model'!G953</f>
        <v>0</v>
      </c>
    </row>
    <row r="937" spans="1:23" ht="13.5" thickBot="1">
      <c r="A937" s="535"/>
      <c r="B937" s="534"/>
      <c r="C937" s="534"/>
      <c r="D937" s="534"/>
      <c r="E937" s="531"/>
      <c r="F937" s="470"/>
      <c r="G937" s="470"/>
      <c r="H937" s="470"/>
      <c r="I937" s="470"/>
      <c r="J937" s="477"/>
      <c r="K937" s="477"/>
      <c r="L937" s="470"/>
      <c r="M937" s="470"/>
      <c r="N937" s="470"/>
      <c r="O937" s="470"/>
      <c r="P937" s="470"/>
      <c r="Q937" s="477"/>
      <c r="R937" s="477"/>
      <c r="S937" s="477"/>
      <c r="T937" s="538"/>
      <c r="U937" s="470"/>
      <c r="V937" s="538"/>
      <c r="W937" s="538">
        <f>+V937-'ROR-Model'!G938</f>
        <v>0</v>
      </c>
    </row>
    <row r="938" spans="1:23" ht="13.5" thickTop="1">
      <c r="A938" s="535"/>
      <c r="B938" s="534"/>
      <c r="C938" s="534"/>
      <c r="D938" s="534"/>
      <c r="E938" s="531"/>
      <c r="F938" s="301"/>
      <c r="G938" s="301"/>
      <c r="H938" s="301"/>
      <c r="I938" s="301"/>
      <c r="J938" s="325"/>
      <c r="K938" s="325"/>
      <c r="L938" s="301"/>
      <c r="M938" s="301"/>
      <c r="N938" s="301"/>
      <c r="O938" s="301"/>
      <c r="P938" s="301"/>
      <c r="Q938" s="325"/>
      <c r="R938" s="325"/>
      <c r="S938" s="325"/>
      <c r="T938" s="532"/>
      <c r="U938" s="301"/>
      <c r="V938" s="532"/>
      <c r="W938" s="532">
        <f>+V938-'ROR-Model'!G939</f>
        <v>0</v>
      </c>
    </row>
    <row r="939" spans="1:23">
      <c r="A939" s="167" t="s">
        <v>600</v>
      </c>
      <c r="B939" s="534"/>
      <c r="C939" s="534"/>
      <c r="D939" s="534"/>
      <c r="E939" s="531"/>
      <c r="F939" s="301">
        <f>F639+F892+F936</f>
        <v>0</v>
      </c>
      <c r="G939" s="301">
        <f>G1*G639+G892+G936</f>
        <v>-26692958.048244525</v>
      </c>
      <c r="H939" s="301">
        <f>H639+H892+H936</f>
        <v>0</v>
      </c>
      <c r="I939" s="301">
        <f t="shared" ref="I939:Q939" si="202">I639+I892+I936</f>
        <v>0</v>
      </c>
      <c r="J939" s="325">
        <f>J1*J639+J892+J936</f>
        <v>0</v>
      </c>
      <c r="K939" s="325">
        <f>K1*K639+K892+K936</f>
        <v>0</v>
      </c>
      <c r="L939" s="301">
        <f t="shared" si="202"/>
        <v>-1436406.6376981591</v>
      </c>
      <c r="M939" s="301">
        <f t="shared" si="202"/>
        <v>-1646650.847359729</v>
      </c>
      <c r="N939" s="301">
        <f t="shared" si="202"/>
        <v>0</v>
      </c>
      <c r="O939" s="301">
        <f t="shared" si="202"/>
        <v>0</v>
      </c>
      <c r="P939" s="301">
        <f t="shared" si="202"/>
        <v>-137029.91958092194</v>
      </c>
      <c r="Q939" s="325">
        <f t="shared" si="202"/>
        <v>374049.70593058062</v>
      </c>
      <c r="R939" s="325">
        <f>R1*R639+R892+R936</f>
        <v>2408304.6575244418</v>
      </c>
      <c r="S939" s="325">
        <f>S1*S639+S892+S936</f>
        <v>6370174.0853450187</v>
      </c>
      <c r="T939" s="532">
        <f>SUM(F939:S939)</f>
        <v>-20760517.004083294</v>
      </c>
      <c r="U939" s="301"/>
      <c r="V939" s="532">
        <f>SUM(T939:T939)</f>
        <v>-20760517.004083294</v>
      </c>
      <c r="W939" s="532">
        <f>+V939-'ROR-Model'!G956</f>
        <v>0</v>
      </c>
    </row>
    <row r="940" spans="1:23">
      <c r="A940" s="535"/>
      <c r="B940" s="534"/>
      <c r="C940" s="534"/>
      <c r="D940" s="534"/>
      <c r="E940" s="531"/>
      <c r="F940" s="301"/>
      <c r="G940" s="301"/>
      <c r="H940" s="301"/>
      <c r="I940" s="301"/>
      <c r="J940" s="325"/>
      <c r="K940" s="325"/>
      <c r="L940" s="301"/>
      <c r="M940" s="301"/>
      <c r="N940" s="301"/>
      <c r="O940" s="301"/>
      <c r="P940" s="301"/>
      <c r="Q940" s="325"/>
      <c r="R940" s="325"/>
      <c r="S940" s="325"/>
      <c r="T940" s="532"/>
      <c r="U940" s="301"/>
      <c r="V940" s="532"/>
      <c r="W940" s="532"/>
    </row>
    <row r="941" spans="1:23">
      <c r="A941" s="167"/>
      <c r="B941" s="106"/>
      <c r="C941" s="106"/>
      <c r="D941" s="106"/>
      <c r="E941" s="177"/>
      <c r="F941" s="4"/>
      <c r="G941" s="4"/>
      <c r="H941" s="4"/>
      <c r="I941" s="4"/>
      <c r="J941" s="261"/>
      <c r="K941" s="261"/>
      <c r="L941" s="4"/>
      <c r="M941" s="4"/>
      <c r="N941" s="4"/>
      <c r="O941" s="4"/>
      <c r="P941" s="4"/>
      <c r="Q941" s="261"/>
      <c r="R941" s="261"/>
      <c r="S941" s="261"/>
      <c r="T941" s="261"/>
      <c r="U941" s="4"/>
      <c r="V941" s="261"/>
      <c r="W941" s="261"/>
    </row>
    <row r="942" spans="1:23">
      <c r="A942" s="167"/>
      <c r="B942" s="106"/>
      <c r="C942" s="106"/>
      <c r="D942" s="106"/>
      <c r="E942" s="177"/>
      <c r="F942" s="4"/>
      <c r="G942" s="4"/>
      <c r="H942" s="4"/>
      <c r="I942" s="4"/>
      <c r="J942" s="261"/>
      <c r="K942" s="261"/>
      <c r="L942" s="4"/>
      <c r="M942" s="4"/>
      <c r="N942" s="4"/>
      <c r="O942" s="4"/>
      <c r="P942" s="4"/>
      <c r="Q942" s="261"/>
      <c r="R942" s="261"/>
      <c r="S942" s="261"/>
      <c r="T942" s="261"/>
      <c r="U942" s="4"/>
      <c r="V942" s="261"/>
      <c r="W942" s="261"/>
    </row>
    <row r="943" spans="1:23" ht="13.5" thickBot="1">
      <c r="A943" s="134" t="s">
        <v>775</v>
      </c>
      <c r="B943" s="135"/>
      <c r="C943" s="1111" t="s">
        <v>776</v>
      </c>
      <c r="D943" s="1111"/>
      <c r="E943" s="178"/>
      <c r="F943" s="19"/>
      <c r="G943" s="19"/>
      <c r="H943" s="19"/>
      <c r="I943" s="19"/>
      <c r="J943" s="312"/>
      <c r="K943" s="312"/>
      <c r="L943" s="19"/>
      <c r="M943" s="19"/>
      <c r="N943" s="19"/>
      <c r="O943" s="19"/>
      <c r="P943" s="19"/>
      <c r="Q943" s="312"/>
      <c r="R943" s="312"/>
      <c r="S943" s="312"/>
      <c r="T943" s="312"/>
      <c r="U943" s="19"/>
      <c r="V943" s="312"/>
      <c r="W943" s="312"/>
    </row>
    <row r="944" spans="1:23">
      <c r="A944" s="535"/>
      <c r="B944" s="534"/>
      <c r="C944" s="534"/>
      <c r="D944" s="534"/>
      <c r="E944" s="531"/>
      <c r="F944" s="301"/>
      <c r="G944" s="301"/>
      <c r="H944" s="301"/>
      <c r="I944" s="301"/>
      <c r="J944" s="325"/>
      <c r="K944" s="325"/>
      <c r="L944" s="301"/>
      <c r="M944" s="301"/>
      <c r="N944" s="301"/>
      <c r="O944" s="301"/>
      <c r="P944" s="301"/>
      <c r="Q944" s="325"/>
      <c r="R944" s="325"/>
      <c r="S944" s="325"/>
      <c r="T944" s="532"/>
      <c r="U944" s="301"/>
      <c r="V944" s="532"/>
      <c r="W944" s="532"/>
    </row>
    <row r="945" spans="1:23">
      <c r="A945" s="1109" t="s">
        <v>263</v>
      </c>
      <c r="B945" s="1109"/>
      <c r="C945" s="1109"/>
      <c r="D945" s="1109"/>
      <c r="E945" s="1110"/>
      <c r="F945" s="301"/>
      <c r="G945" s="301"/>
      <c r="H945" s="301"/>
      <c r="I945" s="301"/>
      <c r="J945" s="325"/>
      <c r="K945" s="325"/>
      <c r="L945" s="301"/>
      <c r="M945" s="301"/>
      <c r="N945" s="301"/>
      <c r="O945" s="301"/>
      <c r="P945" s="301"/>
      <c r="Q945" s="325"/>
      <c r="R945" s="325"/>
      <c r="S945" s="325"/>
      <c r="T945" s="532"/>
      <c r="U945" s="301"/>
      <c r="V945" s="532"/>
      <c r="W945" s="532"/>
    </row>
    <row r="946" spans="1:23">
      <c r="A946" s="116" t="s">
        <v>267</v>
      </c>
      <c r="B946" s="537"/>
      <c r="C946" s="537"/>
      <c r="D946" s="537"/>
      <c r="E946" s="531"/>
      <c r="F946" s="301"/>
      <c r="G946" s="301"/>
      <c r="H946" s="301"/>
      <c r="I946" s="301"/>
      <c r="J946" s="325"/>
      <c r="K946" s="325"/>
      <c r="L946" s="301"/>
      <c r="M946" s="301"/>
      <c r="N946" s="301"/>
      <c r="O946" s="301"/>
      <c r="P946" s="301"/>
      <c r="Q946" s="325"/>
      <c r="R946" s="325"/>
      <c r="S946" s="325"/>
      <c r="T946" s="532"/>
      <c r="U946" s="301"/>
      <c r="V946" s="532"/>
      <c r="W946" s="532"/>
    </row>
    <row r="947" spans="1:23">
      <c r="A947" s="537" t="s">
        <v>264</v>
      </c>
      <c r="B947" s="537"/>
      <c r="C947" s="537"/>
      <c r="D947" s="537"/>
      <c r="E947" s="531"/>
      <c r="F947" s="301"/>
      <c r="G947" s="301"/>
      <c r="H947" s="301"/>
      <c r="I947" s="301"/>
      <c r="J947" s="325"/>
      <c r="K947" s="325"/>
      <c r="L947" s="301"/>
      <c r="M947" s="301"/>
      <c r="N947" s="301"/>
      <c r="O947" s="301"/>
      <c r="P947" s="301"/>
      <c r="Q947" s="325"/>
      <c r="R947" s="325"/>
      <c r="S947" s="325"/>
      <c r="T947" s="532"/>
      <c r="U947" s="301"/>
      <c r="V947" s="532"/>
      <c r="W947" s="532"/>
    </row>
    <row r="948" spans="1:23">
      <c r="A948" s="537"/>
      <c r="B948" s="537" t="s">
        <v>186</v>
      </c>
      <c r="C948" s="537"/>
      <c r="D948" s="537"/>
      <c r="E948" s="531"/>
      <c r="F948" s="301"/>
      <c r="G948" s="301"/>
      <c r="H948" s="301"/>
      <c r="I948" s="301"/>
      <c r="J948" s="325"/>
      <c r="K948" s="325"/>
      <c r="L948" s="301"/>
      <c r="M948" s="301"/>
      <c r="N948" s="301"/>
      <c r="O948" s="301"/>
      <c r="P948" s="301"/>
      <c r="Q948" s="325"/>
      <c r="R948" s="325"/>
      <c r="S948" s="325"/>
      <c r="T948" s="532"/>
      <c r="U948" s="301"/>
      <c r="V948" s="532"/>
      <c r="W948" s="532"/>
    </row>
    <row r="949" spans="1:23">
      <c r="A949" s="537" t="s">
        <v>187</v>
      </c>
      <c r="B949" s="537" t="s">
        <v>188</v>
      </c>
      <c r="C949" s="537"/>
      <c r="D949" s="537"/>
      <c r="E949" s="531"/>
      <c r="F949" s="301"/>
      <c r="G949" s="301"/>
      <c r="H949" s="301"/>
      <c r="I949" s="301"/>
      <c r="J949" s="325"/>
      <c r="K949" s="325"/>
      <c r="L949" s="301"/>
      <c r="M949" s="301"/>
      <c r="N949" s="301"/>
      <c r="O949" s="301"/>
      <c r="P949" s="301"/>
      <c r="Q949" s="325"/>
      <c r="R949" s="325"/>
      <c r="S949" s="325"/>
      <c r="T949" s="532"/>
      <c r="U949" s="301"/>
      <c r="V949" s="532"/>
      <c r="W949" s="532"/>
    </row>
    <row r="950" spans="1:23">
      <c r="A950" s="537"/>
      <c r="B950" s="537" t="s">
        <v>542</v>
      </c>
      <c r="C950" s="537"/>
      <c r="D950" s="537"/>
      <c r="E950" s="531"/>
      <c r="F950" s="301">
        <f>'Rate Base'!$AD$15*F1</f>
        <v>0</v>
      </c>
      <c r="G950" s="301"/>
      <c r="H950" s="301"/>
      <c r="I950" s="301"/>
      <c r="J950" s="325"/>
      <c r="K950" s="325"/>
      <c r="L950" s="301"/>
      <c r="M950" s="301"/>
      <c r="N950" s="301"/>
      <c r="O950" s="301"/>
      <c r="P950" s="301"/>
      <c r="Q950" s="325"/>
      <c r="R950" s="325"/>
      <c r="S950" s="325"/>
      <c r="T950" s="532">
        <f>SUM(F950:S950)</f>
        <v>0</v>
      </c>
      <c r="U950" s="301"/>
      <c r="V950" s="532">
        <f>SUM(T950:T950)</f>
        <v>0</v>
      </c>
      <c r="W950" s="532">
        <f>+V950-'ROR-Model'!G966</f>
        <v>0</v>
      </c>
    </row>
    <row r="951" spans="1:23">
      <c r="A951" s="537"/>
      <c r="B951" s="537" t="s">
        <v>543</v>
      </c>
      <c r="C951" s="537"/>
      <c r="D951" s="537"/>
      <c r="E951" s="531"/>
      <c r="F951" s="301">
        <f>'Rate Base'!$AD$16*F1</f>
        <v>-2661697.8016666663</v>
      </c>
      <c r="G951" s="301"/>
      <c r="H951" s="301"/>
      <c r="I951" s="301"/>
      <c r="J951" s="325"/>
      <c r="K951" s="325"/>
      <c r="L951" s="301"/>
      <c r="M951" s="301"/>
      <c r="N951" s="301"/>
      <c r="O951" s="301"/>
      <c r="P951" s="301"/>
      <c r="Q951" s="325"/>
      <c r="R951" s="325"/>
      <c r="S951" s="325"/>
      <c r="T951" s="532">
        <f>SUM(F951:S951)</f>
        <v>-2661697.8016666663</v>
      </c>
      <c r="U951" s="301"/>
      <c r="V951" s="532">
        <f>SUM(T951:T951)</f>
        <v>-2661697.8016666663</v>
      </c>
      <c r="W951" s="532">
        <f>+V951-'ROR-Model'!G967</f>
        <v>0</v>
      </c>
    </row>
    <row r="952" spans="1:23">
      <c r="A952" s="53"/>
      <c r="B952" s="265" t="s">
        <v>544</v>
      </c>
      <c r="C952" s="537"/>
      <c r="D952" s="537"/>
      <c r="E952" s="531"/>
      <c r="F952" s="301">
        <f>'Rate Base'!$AD$17*F1</f>
        <v>-1538680.8762500002</v>
      </c>
      <c r="G952" s="301"/>
      <c r="H952" s="301"/>
      <c r="I952" s="301"/>
      <c r="J952" s="325"/>
      <c r="K952" s="325"/>
      <c r="L952" s="301"/>
      <c r="M952" s="301"/>
      <c r="N952" s="301"/>
      <c r="O952" s="301"/>
      <c r="P952" s="301"/>
      <c r="Q952" s="325"/>
      <c r="R952" s="325"/>
      <c r="S952" s="325"/>
      <c r="T952" s="532">
        <f>SUM(F952:S952)</f>
        <v>-1538680.8762500002</v>
      </c>
      <c r="U952" s="301"/>
      <c r="V952" s="532">
        <f>SUM(T952:T952)</f>
        <v>-1538680.8762500002</v>
      </c>
      <c r="W952" s="532">
        <f>+V952-'ROR-Model'!G968</f>
        <v>0</v>
      </c>
    </row>
    <row r="953" spans="1:23">
      <c r="A953" s="537"/>
      <c r="B953" s="537" t="s">
        <v>189</v>
      </c>
      <c r="C953" s="537"/>
      <c r="D953" s="537"/>
      <c r="E953" s="531"/>
      <c r="F953" s="301">
        <f>SUM(F950:F952)</f>
        <v>-4200378.6779166665</v>
      </c>
      <c r="G953" s="301"/>
      <c r="H953" s="301"/>
      <c r="I953" s="301"/>
      <c r="J953" s="325"/>
      <c r="K953" s="325"/>
      <c r="L953" s="301"/>
      <c r="M953" s="301"/>
      <c r="N953" s="301"/>
      <c r="O953" s="301"/>
      <c r="P953" s="301"/>
      <c r="Q953" s="325"/>
      <c r="R953" s="325"/>
      <c r="S953" s="325"/>
      <c r="T953" s="532">
        <f>SUM(F953:S953)</f>
        <v>-4200378.6779166665</v>
      </c>
      <c r="U953" s="301"/>
      <c r="V953" s="532">
        <f>SUM(T953:T953)</f>
        <v>-4200378.6779166665</v>
      </c>
      <c r="W953" s="532">
        <f>+V953-'ROR-Model'!G969</f>
        <v>0</v>
      </c>
    </row>
    <row r="954" spans="1:23">
      <c r="A954" s="537"/>
      <c r="B954" s="537"/>
      <c r="C954" s="537"/>
      <c r="D954" s="537"/>
      <c r="E954" s="531"/>
      <c r="F954" s="301"/>
      <c r="G954" s="301"/>
      <c r="H954" s="301"/>
      <c r="I954" s="301"/>
      <c r="J954" s="325"/>
      <c r="K954" s="325"/>
      <c r="L954" s="301"/>
      <c r="M954" s="301"/>
      <c r="N954" s="301"/>
      <c r="O954" s="301"/>
      <c r="P954" s="301"/>
      <c r="Q954" s="325"/>
      <c r="R954" s="325"/>
      <c r="S954" s="325"/>
      <c r="T954" s="532"/>
      <c r="U954" s="301"/>
      <c r="V954" s="532"/>
      <c r="W954" s="532">
        <f>+V954-'ROR-Model'!G970</f>
        <v>0</v>
      </c>
    </row>
    <row r="955" spans="1:23">
      <c r="A955" s="537"/>
      <c r="B955" s="537" t="s">
        <v>190</v>
      </c>
      <c r="C955" s="537"/>
      <c r="D955" s="537"/>
      <c r="E955" s="531"/>
      <c r="F955" s="301"/>
      <c r="G955" s="301"/>
      <c r="H955" s="301"/>
      <c r="I955" s="301"/>
      <c r="J955" s="325"/>
      <c r="K955" s="325"/>
      <c r="L955" s="301"/>
      <c r="M955" s="301"/>
      <c r="N955" s="301"/>
      <c r="O955" s="301"/>
      <c r="P955" s="301"/>
      <c r="Q955" s="325"/>
      <c r="R955" s="325"/>
      <c r="S955" s="325"/>
      <c r="T955" s="532"/>
      <c r="U955" s="301"/>
      <c r="V955" s="532"/>
      <c r="W955" s="532">
        <f>+V955-'ROR-Model'!G971</f>
        <v>0</v>
      </c>
    </row>
    <row r="956" spans="1:23">
      <c r="A956" s="537" t="s">
        <v>191</v>
      </c>
      <c r="B956" s="537" t="s">
        <v>192</v>
      </c>
      <c r="C956" s="537"/>
      <c r="D956" s="537"/>
      <c r="E956" s="531"/>
      <c r="F956" s="301">
        <f>'Rate Base'!$AD$21*$F$1</f>
        <v>0</v>
      </c>
      <c r="G956" s="301"/>
      <c r="H956" s="301"/>
      <c r="I956" s="301">
        <f>-'Rate Base'!AC21*Wexpro!$G$12*$I$1</f>
        <v>-394806.15342000005</v>
      </c>
      <c r="J956" s="325"/>
      <c r="K956" s="325"/>
      <c r="L956" s="301"/>
      <c r="M956" s="301"/>
      <c r="N956" s="301"/>
      <c r="O956" s="301"/>
      <c r="P956" s="301"/>
      <c r="Q956" s="325"/>
      <c r="R956" s="325"/>
      <c r="S956" s="325"/>
      <c r="T956" s="532">
        <f t="shared" ref="T956:T962" si="203">SUM(F956:S956)</f>
        <v>-394806.15342000005</v>
      </c>
      <c r="U956" s="301"/>
      <c r="V956" s="532">
        <f t="shared" ref="V956:V962" si="204">SUM(T956:T956)</f>
        <v>-394806.15342000005</v>
      </c>
      <c r="W956" s="532">
        <f>+V956-'ROR-Model'!G972</f>
        <v>0</v>
      </c>
    </row>
    <row r="957" spans="1:23">
      <c r="A957" s="537" t="s">
        <v>193</v>
      </c>
      <c r="B957" s="537" t="s">
        <v>194</v>
      </c>
      <c r="C957" s="537"/>
      <c r="D957" s="537"/>
      <c r="E957" s="531"/>
      <c r="F957" s="301">
        <f>'Rate Base'!$AD$22*$F$1</f>
        <v>0</v>
      </c>
      <c r="G957" s="301"/>
      <c r="H957" s="301"/>
      <c r="I957" s="301">
        <f>-'Rate Base'!AC22*Wexpro!$G$12*$I$1</f>
        <v>-90575.373420000004</v>
      </c>
      <c r="J957" s="325"/>
      <c r="K957" s="325"/>
      <c r="L957" s="301"/>
      <c r="M957" s="301"/>
      <c r="N957" s="301"/>
      <c r="O957" s="301"/>
      <c r="P957" s="301"/>
      <c r="Q957" s="325"/>
      <c r="R957" s="325"/>
      <c r="S957" s="325"/>
      <c r="T957" s="532">
        <f t="shared" si="203"/>
        <v>-90575.373420000004</v>
      </c>
      <c r="U957" s="301"/>
      <c r="V957" s="532">
        <f t="shared" si="204"/>
        <v>-90575.373420000004</v>
      </c>
      <c r="W957" s="532">
        <f>+V957-'ROR-Model'!G973</f>
        <v>0</v>
      </c>
    </row>
    <row r="958" spans="1:23">
      <c r="A958" s="537" t="s">
        <v>195</v>
      </c>
      <c r="B958" s="537" t="s">
        <v>196</v>
      </c>
      <c r="C958" s="537"/>
      <c r="D958" s="537"/>
      <c r="E958" s="531"/>
      <c r="F958" s="301">
        <f>'Rate Base'!$AD$23*$F$1</f>
        <v>0</v>
      </c>
      <c r="G958" s="301"/>
      <c r="H958" s="301"/>
      <c r="I958" s="301">
        <f>-'Rate Base'!AC23*Wexpro!$G$12*$I$1</f>
        <v>-3287043.51003</v>
      </c>
      <c r="J958" s="325"/>
      <c r="K958" s="325"/>
      <c r="L958" s="301"/>
      <c r="M958" s="301"/>
      <c r="N958" s="301"/>
      <c r="O958" s="301"/>
      <c r="P958" s="301"/>
      <c r="Q958" s="325"/>
      <c r="R958" s="325"/>
      <c r="S958" s="325"/>
      <c r="T958" s="532">
        <f t="shared" si="203"/>
        <v>-3287043.51003</v>
      </c>
      <c r="U958" s="301"/>
      <c r="V958" s="532">
        <f t="shared" si="204"/>
        <v>-3287043.51003</v>
      </c>
      <c r="W958" s="532">
        <f>+V958-'ROR-Model'!G974</f>
        <v>0</v>
      </c>
    </row>
    <row r="959" spans="1:23">
      <c r="A959" s="537" t="s">
        <v>197</v>
      </c>
      <c r="B959" s="537" t="s">
        <v>198</v>
      </c>
      <c r="C959" s="537"/>
      <c r="D959" s="537"/>
      <c r="E959" s="531"/>
      <c r="F959" s="301">
        <f>'Rate Base'!$AD$24*$F$1</f>
        <v>0</v>
      </c>
      <c r="G959" s="301"/>
      <c r="H959" s="301"/>
      <c r="I959" s="301">
        <f>-'Rate Base'!AC24*Wexpro!$G$12*$I$1</f>
        <v>-1084630.4311500003</v>
      </c>
      <c r="J959" s="325"/>
      <c r="K959" s="325"/>
      <c r="L959" s="301"/>
      <c r="M959" s="301"/>
      <c r="N959" s="301"/>
      <c r="O959" s="301"/>
      <c r="P959" s="301"/>
      <c r="Q959" s="325"/>
      <c r="R959" s="325"/>
      <c r="S959" s="325"/>
      <c r="T959" s="532">
        <f t="shared" si="203"/>
        <v>-1084630.4311500003</v>
      </c>
      <c r="U959" s="301"/>
      <c r="V959" s="532">
        <f t="shared" si="204"/>
        <v>-1084630.4311500003</v>
      </c>
      <c r="W959" s="532">
        <f>+V959-'ROR-Model'!G975</f>
        <v>0</v>
      </c>
    </row>
    <row r="960" spans="1:23">
      <c r="A960" s="537" t="s">
        <v>199</v>
      </c>
      <c r="B960" s="537" t="s">
        <v>200</v>
      </c>
      <c r="C960" s="537"/>
      <c r="D960" s="537"/>
      <c r="E960" s="531"/>
      <c r="F960" s="301">
        <f>'Rate Base'!$AD$25*$F$1</f>
        <v>0</v>
      </c>
      <c r="G960" s="301"/>
      <c r="H960" s="301"/>
      <c r="I960" s="301">
        <f>-'Rate Base'!AC25*Wexpro!$G$12*$I$1</f>
        <v>-169710.41556000002</v>
      </c>
      <c r="J960" s="325"/>
      <c r="K960" s="325"/>
      <c r="L960" s="301"/>
      <c r="M960" s="301"/>
      <c r="N960" s="301"/>
      <c r="O960" s="301"/>
      <c r="P960" s="301"/>
      <c r="Q960" s="325"/>
      <c r="R960" s="325"/>
      <c r="S960" s="325"/>
      <c r="T960" s="532">
        <f t="shared" si="203"/>
        <v>-169710.41556000002</v>
      </c>
      <c r="U960" s="301"/>
      <c r="V960" s="532">
        <f t="shared" si="204"/>
        <v>-169710.41556000002</v>
      </c>
      <c r="W960" s="532">
        <f>+V960-'ROR-Model'!G976</f>
        <v>0</v>
      </c>
    </row>
    <row r="961" spans="1:23">
      <c r="A961" s="537" t="s">
        <v>201</v>
      </c>
      <c r="B961" s="537" t="s">
        <v>202</v>
      </c>
      <c r="C961" s="537"/>
      <c r="D961" s="537"/>
      <c r="E961" s="531"/>
      <c r="F961" s="301">
        <f>'Rate Base'!$AD$26*$F$1</f>
        <v>0</v>
      </c>
      <c r="G961" s="301"/>
      <c r="H961" s="301"/>
      <c r="I961" s="301">
        <f>-'Rate Base'!AC26*Wexpro!$G$12*$I$1</f>
        <v>-3591.9267300000001</v>
      </c>
      <c r="J961" s="325"/>
      <c r="K961" s="325"/>
      <c r="L961" s="301"/>
      <c r="M961" s="301"/>
      <c r="N961" s="301"/>
      <c r="O961" s="301"/>
      <c r="P961" s="301"/>
      <c r="Q961" s="325"/>
      <c r="R961" s="325"/>
      <c r="S961" s="325"/>
      <c r="T961" s="532">
        <f t="shared" si="203"/>
        <v>-3591.9267300000001</v>
      </c>
      <c r="U961" s="301"/>
      <c r="V961" s="532">
        <f t="shared" si="204"/>
        <v>-3591.9267300000001</v>
      </c>
      <c r="W961" s="532">
        <f>+V961-'ROR-Model'!G977</f>
        <v>0</v>
      </c>
    </row>
    <row r="962" spans="1:23">
      <c r="A962" s="537" t="s">
        <v>203</v>
      </c>
      <c r="B962" s="537" t="s">
        <v>204</v>
      </c>
      <c r="C962" s="537"/>
      <c r="D962" s="537"/>
      <c r="E962" s="531"/>
      <c r="F962" s="301">
        <f>'Rate Base'!$AD$27*$F$1</f>
        <v>0</v>
      </c>
      <c r="G962" s="301"/>
      <c r="H962" s="301"/>
      <c r="I962" s="301">
        <f>-'Rate Base'!AC27*Wexpro!$G$12*$I$1</f>
        <v>-7634.7576899999976</v>
      </c>
      <c r="J962" s="325"/>
      <c r="K962" s="325"/>
      <c r="L962" s="301"/>
      <c r="M962" s="301"/>
      <c r="N962" s="301"/>
      <c r="O962" s="301"/>
      <c r="P962" s="301"/>
      <c r="Q962" s="325"/>
      <c r="R962" s="325"/>
      <c r="S962" s="325"/>
      <c r="T962" s="532">
        <f t="shared" si="203"/>
        <v>-7634.7576899999976</v>
      </c>
      <c r="U962" s="301"/>
      <c r="V962" s="532">
        <f t="shared" si="204"/>
        <v>-7634.7576899999976</v>
      </c>
      <c r="W962" s="532">
        <f>+V962-'ROR-Model'!G978</f>
        <v>0</v>
      </c>
    </row>
    <row r="963" spans="1:23">
      <c r="A963" s="53"/>
      <c r="B963" s="537"/>
      <c r="C963" s="537"/>
      <c r="D963" s="537"/>
      <c r="E963" s="531"/>
      <c r="F963" s="301"/>
      <c r="G963" s="301"/>
      <c r="H963" s="301"/>
      <c r="I963" s="301"/>
      <c r="J963" s="325"/>
      <c r="K963" s="325"/>
      <c r="L963" s="301"/>
      <c r="M963" s="301"/>
      <c r="N963" s="301"/>
      <c r="O963" s="301"/>
      <c r="P963" s="301"/>
      <c r="Q963" s="325"/>
      <c r="R963" s="325"/>
      <c r="S963" s="325"/>
      <c r="T963" s="532"/>
      <c r="U963" s="301"/>
      <c r="V963" s="532"/>
      <c r="W963" s="532">
        <f>+V963-'ROR-Model'!G979</f>
        <v>0</v>
      </c>
    </row>
    <row r="964" spans="1:23">
      <c r="A964" s="537"/>
      <c r="B964" s="537" t="s">
        <v>205</v>
      </c>
      <c r="C964" s="537"/>
      <c r="D964" s="537"/>
      <c r="E964" s="531"/>
      <c r="F964" s="301">
        <f>SUM(F956:F962)</f>
        <v>0</v>
      </c>
      <c r="G964" s="301"/>
      <c r="H964" s="301"/>
      <c r="I964" s="301">
        <f>SUM(I956:I962)</f>
        <v>-5037992.5680000009</v>
      </c>
      <c r="J964" s="325"/>
      <c r="K964" s="325"/>
      <c r="L964" s="301"/>
      <c r="M964" s="301"/>
      <c r="N964" s="301"/>
      <c r="O964" s="301"/>
      <c r="P964" s="301"/>
      <c r="Q964" s="325"/>
      <c r="R964" s="325"/>
      <c r="S964" s="325"/>
      <c r="T964" s="532">
        <f>+T1088</f>
        <v>-5037992.5680000009</v>
      </c>
      <c r="U964" s="301"/>
      <c r="V964" s="532">
        <f>+V1088</f>
        <v>-5037992.5680000009</v>
      </c>
      <c r="W964" s="532">
        <f>+V964-'ROR-Model'!G980</f>
        <v>0</v>
      </c>
    </row>
    <row r="965" spans="1:23">
      <c r="A965" s="537"/>
      <c r="B965" s="537"/>
      <c r="C965" s="537"/>
      <c r="D965" s="537"/>
      <c r="E965" s="531"/>
      <c r="F965" s="301"/>
      <c r="G965" s="301"/>
      <c r="H965" s="301"/>
      <c r="I965" s="301"/>
      <c r="J965" s="325"/>
      <c r="K965" s="325"/>
      <c r="L965" s="301"/>
      <c r="M965" s="301"/>
      <c r="N965" s="301"/>
      <c r="O965" s="301"/>
      <c r="P965" s="301"/>
      <c r="Q965" s="325"/>
      <c r="R965" s="325"/>
      <c r="S965" s="325"/>
      <c r="T965" s="532"/>
      <c r="U965" s="301"/>
      <c r="V965" s="532"/>
      <c r="W965" s="532">
        <f>+V965-'ROR-Model'!G981</f>
        <v>0</v>
      </c>
    </row>
    <row r="966" spans="1:23">
      <c r="A966" s="537"/>
      <c r="B966" s="537" t="s">
        <v>206</v>
      </c>
      <c r="C966" s="537"/>
      <c r="D966" s="537"/>
      <c r="E966" s="531"/>
      <c r="F966" s="301"/>
      <c r="G966" s="301"/>
      <c r="H966" s="301"/>
      <c r="I966" s="301"/>
      <c r="J966" s="325"/>
      <c r="K966" s="325"/>
      <c r="L966" s="301"/>
      <c r="M966" s="301"/>
      <c r="N966" s="301"/>
      <c r="O966" s="301"/>
      <c r="P966" s="301"/>
      <c r="Q966" s="325"/>
      <c r="R966" s="325"/>
      <c r="S966" s="325"/>
      <c r="T966" s="532"/>
      <c r="U966" s="301"/>
      <c r="V966" s="532"/>
      <c r="W966" s="532">
        <f>+V966-'ROR-Model'!G982</f>
        <v>0</v>
      </c>
    </row>
    <row r="967" spans="1:23">
      <c r="A967" s="537">
        <v>364</v>
      </c>
      <c r="B967" s="537" t="s">
        <v>1261</v>
      </c>
      <c r="C967" s="537"/>
      <c r="D967" s="537"/>
      <c r="E967" s="531"/>
      <c r="F967" s="301"/>
      <c r="G967" s="301"/>
      <c r="H967" s="301"/>
      <c r="I967" s="301"/>
      <c r="J967" s="325"/>
      <c r="K967" s="325"/>
      <c r="L967" s="301"/>
      <c r="M967" s="301"/>
      <c r="N967" s="301"/>
      <c r="O967" s="301"/>
      <c r="P967" s="301"/>
      <c r="Q967" s="325"/>
      <c r="R967" s="325"/>
      <c r="S967" s="325"/>
      <c r="T967" s="532"/>
      <c r="U967" s="301"/>
      <c r="V967" s="532"/>
      <c r="W967" s="532"/>
    </row>
    <row r="968" spans="1:23">
      <c r="A968" s="537"/>
      <c r="B968" s="537"/>
      <c r="C968" s="537" t="s">
        <v>23</v>
      </c>
      <c r="D968" s="537"/>
      <c r="E968" s="531"/>
      <c r="F968" s="301"/>
      <c r="G968" s="301"/>
      <c r="H968" s="301"/>
      <c r="I968" s="301"/>
      <c r="J968" s="325"/>
      <c r="K968" s="325"/>
      <c r="L968" s="301"/>
      <c r="M968" s="301"/>
      <c r="N968" s="301"/>
      <c r="O968" s="301"/>
      <c r="P968" s="301"/>
      <c r="Q968" s="325"/>
      <c r="R968" s="325"/>
      <c r="S968" s="325"/>
      <c r="T968" s="532">
        <f t="shared" ref="T968:T970" si="205">SUM(F968:S968)</f>
        <v>0</v>
      </c>
      <c r="U968" s="301"/>
      <c r="V968" s="532">
        <f t="shared" ref="V968:V970" si="206">SUM(T968:T968)</f>
        <v>0</v>
      </c>
      <c r="W968" s="532">
        <f>+V968-'ROR-Model'!G984</f>
        <v>0</v>
      </c>
    </row>
    <row r="969" spans="1:23">
      <c r="A969" s="537"/>
      <c r="B969" s="537"/>
      <c r="C969" s="537" t="s">
        <v>12</v>
      </c>
      <c r="D969" s="537"/>
      <c r="E969" s="531"/>
      <c r="F969" s="301"/>
      <c r="G969" s="301"/>
      <c r="H969" s="301"/>
      <c r="I969" s="301"/>
      <c r="J969" s="325"/>
      <c r="K969" s="325"/>
      <c r="L969" s="301"/>
      <c r="M969" s="301"/>
      <c r="N969" s="301"/>
      <c r="O969" s="301"/>
      <c r="P969" s="301"/>
      <c r="Q969" s="325"/>
      <c r="R969" s="325"/>
      <c r="S969" s="325"/>
      <c r="T969" s="532">
        <f t="shared" si="205"/>
        <v>0</v>
      </c>
      <c r="U969" s="301"/>
      <c r="V969" s="532">
        <f t="shared" si="206"/>
        <v>0</v>
      </c>
      <c r="W969" s="532">
        <f>+V969-'ROR-Model'!G985</f>
        <v>0</v>
      </c>
    </row>
    <row r="970" spans="1:23">
      <c r="A970" s="537"/>
      <c r="B970" s="537"/>
      <c r="C970" s="537" t="s">
        <v>145</v>
      </c>
      <c r="D970" s="537"/>
      <c r="E970" s="531"/>
      <c r="F970" s="301"/>
      <c r="G970" s="301"/>
      <c r="H970" s="301"/>
      <c r="I970" s="301"/>
      <c r="J970" s="325"/>
      <c r="K970" s="325"/>
      <c r="L970" s="301"/>
      <c r="M970" s="301"/>
      <c r="N970" s="301"/>
      <c r="O970" s="301"/>
      <c r="P970" s="301"/>
      <c r="Q970" s="325"/>
      <c r="R970" s="325"/>
      <c r="S970" s="325"/>
      <c r="T970" s="532">
        <f t="shared" si="205"/>
        <v>0</v>
      </c>
      <c r="U970" s="301"/>
      <c r="V970" s="532">
        <f t="shared" si="206"/>
        <v>0</v>
      </c>
      <c r="W970" s="532">
        <f>+V970-'ROR-Model'!G986</f>
        <v>0</v>
      </c>
    </row>
    <row r="971" spans="1:23">
      <c r="A971" s="537"/>
      <c r="B971" s="537"/>
      <c r="C971" s="537"/>
      <c r="D971" s="537"/>
      <c r="E971" s="531"/>
      <c r="F971" s="301"/>
      <c r="G971" s="301"/>
      <c r="H971" s="301"/>
      <c r="I971" s="301"/>
      <c r="J971" s="325"/>
      <c r="K971" s="325"/>
      <c r="L971" s="301"/>
      <c r="M971" s="301"/>
      <c r="N971" s="301"/>
      <c r="O971" s="301"/>
      <c r="P971" s="301"/>
      <c r="Q971" s="325"/>
      <c r="R971" s="325"/>
      <c r="S971" s="325"/>
      <c r="T971" s="532"/>
      <c r="U971" s="301"/>
      <c r="V971" s="532"/>
      <c r="W971" s="532"/>
    </row>
    <row r="972" spans="1:23">
      <c r="A972" s="537" t="s">
        <v>1262</v>
      </c>
      <c r="B972" s="537" t="s">
        <v>1263</v>
      </c>
      <c r="C972" s="537"/>
      <c r="D972" s="537"/>
      <c r="E972" s="531"/>
      <c r="F972" s="301"/>
      <c r="G972" s="301"/>
      <c r="H972" s="301"/>
      <c r="I972" s="301"/>
      <c r="J972" s="325"/>
      <c r="K972" s="325"/>
      <c r="L972" s="301"/>
      <c r="M972" s="301"/>
      <c r="N972" s="301"/>
      <c r="O972" s="301"/>
      <c r="P972" s="301"/>
      <c r="Q972" s="325"/>
      <c r="R972" s="325"/>
      <c r="S972" s="325"/>
      <c r="T972" s="532"/>
      <c r="U972" s="301"/>
      <c r="V972" s="532"/>
      <c r="W972" s="532"/>
    </row>
    <row r="973" spans="1:23">
      <c r="A973" s="537"/>
      <c r="B973" s="537"/>
      <c r="C973" s="537" t="s">
        <v>23</v>
      </c>
      <c r="D973" s="537"/>
      <c r="E973" s="531"/>
      <c r="F973" s="301"/>
      <c r="G973" s="301"/>
      <c r="H973" s="301"/>
      <c r="I973" s="301"/>
      <c r="J973" s="325"/>
      <c r="K973" s="325"/>
      <c r="L973" s="301"/>
      <c r="M973" s="301"/>
      <c r="N973" s="301"/>
      <c r="O973" s="301"/>
      <c r="P973" s="301"/>
      <c r="Q973" s="325"/>
      <c r="R973" s="325"/>
      <c r="S973" s="325"/>
      <c r="T973" s="532">
        <f t="shared" ref="T973:T975" si="207">SUM(F973:S973)</f>
        <v>0</v>
      </c>
      <c r="U973" s="301"/>
      <c r="V973" s="532">
        <f t="shared" ref="V973:V975" si="208">SUM(T973:T973)</f>
        <v>0</v>
      </c>
      <c r="W973" s="532">
        <f>+V973-'ROR-Model'!G989</f>
        <v>0</v>
      </c>
    </row>
    <row r="974" spans="1:23">
      <c r="A974" s="537"/>
      <c r="B974" s="537"/>
      <c r="C974" s="537" t="s">
        <v>12</v>
      </c>
      <c r="D974" s="537"/>
      <c r="E974" s="531"/>
      <c r="F974" s="301"/>
      <c r="G974" s="301"/>
      <c r="H974" s="301"/>
      <c r="I974" s="301"/>
      <c r="J974" s="325"/>
      <c r="K974" s="325"/>
      <c r="L974" s="301"/>
      <c r="M974" s="301"/>
      <c r="N974" s="301"/>
      <c r="O974" s="301"/>
      <c r="P974" s="301"/>
      <c r="Q974" s="325"/>
      <c r="R974" s="325"/>
      <c r="S974" s="325"/>
      <c r="T974" s="532">
        <f t="shared" si="207"/>
        <v>0</v>
      </c>
      <c r="U974" s="301"/>
      <c r="V974" s="532">
        <f t="shared" si="208"/>
        <v>0</v>
      </c>
      <c r="W974" s="532">
        <f>+V974-'ROR-Model'!G990</f>
        <v>0</v>
      </c>
    </row>
    <row r="975" spans="1:23">
      <c r="A975" s="537"/>
      <c r="B975" s="537"/>
      <c r="C975" s="537" t="s">
        <v>145</v>
      </c>
      <c r="D975" s="537"/>
      <c r="E975" s="531"/>
      <c r="F975" s="301"/>
      <c r="G975" s="301"/>
      <c r="H975" s="301"/>
      <c r="I975" s="301"/>
      <c r="J975" s="325"/>
      <c r="K975" s="325"/>
      <c r="L975" s="301"/>
      <c r="M975" s="301"/>
      <c r="N975" s="301"/>
      <c r="O975" s="301"/>
      <c r="P975" s="301"/>
      <c r="Q975" s="325"/>
      <c r="R975" s="325"/>
      <c r="S975" s="325"/>
      <c r="T975" s="532">
        <f t="shared" si="207"/>
        <v>0</v>
      </c>
      <c r="U975" s="301"/>
      <c r="V975" s="532">
        <f t="shared" si="208"/>
        <v>0</v>
      </c>
      <c r="W975" s="532">
        <f>+V975-'ROR-Model'!G991</f>
        <v>0</v>
      </c>
    </row>
    <row r="976" spans="1:23">
      <c r="A976" s="537"/>
      <c r="B976" s="537"/>
      <c r="C976" s="537"/>
      <c r="D976" s="537"/>
      <c r="E976" s="531"/>
      <c r="F976" s="301"/>
      <c r="G976" s="301"/>
      <c r="H976" s="301"/>
      <c r="I976" s="301"/>
      <c r="J976" s="325"/>
      <c r="K976" s="325"/>
      <c r="L976" s="301"/>
      <c r="M976" s="301"/>
      <c r="N976" s="301"/>
      <c r="O976" s="301"/>
      <c r="P976" s="301"/>
      <c r="Q976" s="325"/>
      <c r="R976" s="325"/>
      <c r="S976" s="325"/>
      <c r="T976" s="532"/>
      <c r="U976" s="301"/>
      <c r="V976" s="532"/>
      <c r="W976" s="532"/>
    </row>
    <row r="977" spans="1:23">
      <c r="A977" s="537" t="s">
        <v>207</v>
      </c>
      <c r="B977" s="537" t="s">
        <v>192</v>
      </c>
      <c r="C977" s="537"/>
      <c r="D977" s="537"/>
      <c r="E977" s="531"/>
      <c r="F977" s="301"/>
      <c r="G977" s="301"/>
      <c r="H977" s="301"/>
      <c r="I977" s="301"/>
      <c r="J977" s="325"/>
      <c r="K977" s="325"/>
      <c r="L977" s="301"/>
      <c r="M977" s="301"/>
      <c r="N977" s="301"/>
      <c r="O977" s="301"/>
      <c r="P977" s="301"/>
      <c r="Q977" s="325"/>
      <c r="R977" s="325"/>
      <c r="S977" s="325"/>
      <c r="T977" s="532"/>
      <c r="U977" s="301"/>
      <c r="V977" s="532"/>
      <c r="W977" s="532">
        <f>+V977-'ROR-Model'!G993</f>
        <v>0</v>
      </c>
    </row>
    <row r="978" spans="1:23">
      <c r="A978" s="537"/>
      <c r="B978" s="537"/>
      <c r="C978" s="537" t="s">
        <v>23</v>
      </c>
      <c r="D978" s="537"/>
      <c r="E978" s="531">
        <f>+F978</f>
        <v>0</v>
      </c>
      <c r="F978" s="301">
        <f>'Rate Base'!$AD$33*$F$1</f>
        <v>0</v>
      </c>
      <c r="G978" s="301"/>
      <c r="H978" s="301"/>
      <c r="I978" s="301"/>
      <c r="J978" s="325"/>
      <c r="K978" s="325"/>
      <c r="L978" s="301"/>
      <c r="M978" s="301"/>
      <c r="N978" s="301"/>
      <c r="O978" s="301"/>
      <c r="P978" s="301"/>
      <c r="Q978" s="325"/>
      <c r="R978" s="325"/>
      <c r="S978" s="325"/>
      <c r="T978" s="532">
        <f>SUM(F978:S978)</f>
        <v>0</v>
      </c>
      <c r="U978" s="301"/>
      <c r="V978" s="532">
        <f>SUM(T978:T978)</f>
        <v>0</v>
      </c>
      <c r="W978" s="532">
        <f>+V978-'ROR-Model'!G994</f>
        <v>0</v>
      </c>
    </row>
    <row r="979" spans="1:23">
      <c r="A979" s="537"/>
      <c r="B979" s="537"/>
      <c r="C979" s="537" t="s">
        <v>12</v>
      </c>
      <c r="D979" s="537"/>
      <c r="E979" s="531"/>
      <c r="F979" s="301">
        <f>'Rate Base'!$AD$34*$F$1</f>
        <v>-471623.1950000003</v>
      </c>
      <c r="G979" s="301"/>
      <c r="H979" s="301"/>
      <c r="I979" s="301"/>
      <c r="J979" s="325"/>
      <c r="K979" s="325"/>
      <c r="L979" s="301"/>
      <c r="M979" s="301"/>
      <c r="N979" s="301"/>
      <c r="O979" s="301"/>
      <c r="P979" s="301"/>
      <c r="Q979" s="325"/>
      <c r="R979" s="325"/>
      <c r="S979" s="325"/>
      <c r="T979" s="532">
        <f>SUM(F979:S979)</f>
        <v>-471623.1950000003</v>
      </c>
      <c r="U979" s="301"/>
      <c r="V979" s="532">
        <f>SUM(T979:T979)</f>
        <v>-471623.1950000003</v>
      </c>
      <c r="W979" s="532">
        <f>+V979-'ROR-Model'!G995</f>
        <v>0</v>
      </c>
    </row>
    <row r="980" spans="1:23">
      <c r="A980" s="537"/>
      <c r="B980" s="537"/>
      <c r="C980" s="537" t="s">
        <v>145</v>
      </c>
      <c r="D980" s="537"/>
      <c r="E980" s="531"/>
      <c r="F980" s="301">
        <f>SUM(F978:F979)</f>
        <v>-471623.1950000003</v>
      </c>
      <c r="G980" s="301"/>
      <c r="H980" s="301"/>
      <c r="I980" s="301"/>
      <c r="J980" s="325"/>
      <c r="K980" s="325"/>
      <c r="L980" s="301"/>
      <c r="M980" s="301"/>
      <c r="N980" s="301"/>
      <c r="O980" s="301"/>
      <c r="P980" s="301"/>
      <c r="Q980" s="325"/>
      <c r="R980" s="325"/>
      <c r="S980" s="325"/>
      <c r="T980" s="532">
        <f>SUM(F980:S980)</f>
        <v>-471623.1950000003</v>
      </c>
      <c r="U980" s="301"/>
      <c r="V980" s="532">
        <f>SUM(T980:T980)</f>
        <v>-471623.1950000003</v>
      </c>
      <c r="W980" s="532">
        <f>+V980-'ROR-Model'!G996</f>
        <v>0</v>
      </c>
    </row>
    <row r="981" spans="1:23">
      <c r="A981" s="537"/>
      <c r="B981" s="537"/>
      <c r="C981" s="537"/>
      <c r="D981" s="537"/>
      <c r="E981" s="531"/>
      <c r="F981" s="301"/>
      <c r="G981" s="301"/>
      <c r="H981" s="301"/>
      <c r="I981" s="301"/>
      <c r="J981" s="325"/>
      <c r="K981" s="325"/>
      <c r="L981" s="301"/>
      <c r="M981" s="301"/>
      <c r="N981" s="301"/>
      <c r="O981" s="301"/>
      <c r="P981" s="301"/>
      <c r="Q981" s="325"/>
      <c r="R981" s="325"/>
      <c r="S981" s="325"/>
      <c r="T981" s="532"/>
      <c r="U981" s="301"/>
      <c r="V981" s="532"/>
      <c r="W981" s="532">
        <f>+V981-'ROR-Model'!G997</f>
        <v>0</v>
      </c>
    </row>
    <row r="982" spans="1:23">
      <c r="A982" s="537" t="s">
        <v>208</v>
      </c>
      <c r="B982" s="537" t="s">
        <v>209</v>
      </c>
      <c r="C982" s="537"/>
      <c r="D982" s="537"/>
      <c r="E982" s="531"/>
      <c r="F982" s="301"/>
      <c r="G982" s="301"/>
      <c r="H982" s="301"/>
      <c r="I982" s="301"/>
      <c r="J982" s="325"/>
      <c r="K982" s="325"/>
      <c r="L982" s="301"/>
      <c r="M982" s="301"/>
      <c r="N982" s="301"/>
      <c r="O982" s="301"/>
      <c r="P982" s="301"/>
      <c r="Q982" s="325"/>
      <c r="R982" s="325"/>
      <c r="S982" s="325"/>
      <c r="T982" s="532"/>
      <c r="U982" s="301"/>
      <c r="V982" s="532"/>
      <c r="W982" s="532">
        <f>+V982-'ROR-Model'!G998</f>
        <v>0</v>
      </c>
    </row>
    <row r="983" spans="1:23">
      <c r="A983" s="537"/>
      <c r="B983" s="537"/>
      <c r="C983" s="537" t="s">
        <v>23</v>
      </c>
      <c r="D983" s="537"/>
      <c r="E983" s="531">
        <f>+F983</f>
        <v>0</v>
      </c>
      <c r="F983" s="301">
        <f>'Rate Base'!$AD$38*$F$1</f>
        <v>0</v>
      </c>
      <c r="G983" s="301"/>
      <c r="H983" s="301"/>
      <c r="I983" s="301"/>
      <c r="J983" s="325"/>
      <c r="K983" s="325"/>
      <c r="L983" s="301"/>
      <c r="M983" s="301"/>
      <c r="N983" s="301"/>
      <c r="O983" s="301"/>
      <c r="P983" s="301"/>
      <c r="Q983" s="325"/>
      <c r="R983" s="325"/>
      <c r="S983" s="325"/>
      <c r="T983" s="532">
        <f>SUM(F983:S983)</f>
        <v>0</v>
      </c>
      <c r="U983" s="301"/>
      <c r="V983" s="532">
        <f>SUM(T983:T983)</f>
        <v>0</v>
      </c>
      <c r="W983" s="532">
        <f>+V983-'ROR-Model'!G999</f>
        <v>0</v>
      </c>
    </row>
    <row r="984" spans="1:23">
      <c r="A984" s="537"/>
      <c r="B984" s="537"/>
      <c r="C984" s="537" t="s">
        <v>12</v>
      </c>
      <c r="D984" s="537"/>
      <c r="E984" s="531"/>
      <c r="F984" s="301">
        <f>'Rate Base'!$AD$39*$F$1</f>
        <v>-264978.67750000209</v>
      </c>
      <c r="G984" s="301"/>
      <c r="H984" s="301"/>
      <c r="I984" s="301"/>
      <c r="J984" s="325"/>
      <c r="K984" s="325"/>
      <c r="L984" s="301"/>
      <c r="M984" s="301"/>
      <c r="N984" s="301"/>
      <c r="O984" s="301"/>
      <c r="P984" s="301"/>
      <c r="Q984" s="325"/>
      <c r="R984" s="325"/>
      <c r="S984" s="325"/>
      <c r="T984" s="532">
        <f>SUM(F984:S984)</f>
        <v>-264978.67750000209</v>
      </c>
      <c r="U984" s="301"/>
      <c r="V984" s="532">
        <f>SUM(T984:T984)</f>
        <v>-264978.67750000209</v>
      </c>
      <c r="W984" s="532">
        <f>+V984-'ROR-Model'!G1000</f>
        <v>0</v>
      </c>
    </row>
    <row r="985" spans="1:23">
      <c r="A985" s="537"/>
      <c r="B985" s="537"/>
      <c r="C985" s="537" t="s">
        <v>145</v>
      </c>
      <c r="D985" s="537"/>
      <c r="E985" s="531"/>
      <c r="F985" s="301">
        <f>SUM(F983:F984)</f>
        <v>-264978.67750000209</v>
      </c>
      <c r="G985" s="301"/>
      <c r="H985" s="301"/>
      <c r="I985" s="301"/>
      <c r="J985" s="325"/>
      <c r="K985" s="325"/>
      <c r="L985" s="301"/>
      <c r="M985" s="301"/>
      <c r="N985" s="301"/>
      <c r="O985" s="301"/>
      <c r="P985" s="301"/>
      <c r="Q985" s="325"/>
      <c r="R985" s="325"/>
      <c r="S985" s="325"/>
      <c r="T985" s="532">
        <f>SUM(F985:S985)</f>
        <v>-264978.67750000209</v>
      </c>
      <c r="U985" s="301"/>
      <c r="V985" s="532">
        <f>SUM(T985:T985)</f>
        <v>-264978.67750000209</v>
      </c>
      <c r="W985" s="532">
        <f>+V985-'ROR-Model'!G1001</f>
        <v>0</v>
      </c>
    </row>
    <row r="986" spans="1:23">
      <c r="A986" s="537"/>
      <c r="B986" s="537"/>
      <c r="C986" s="537"/>
      <c r="D986" s="537"/>
      <c r="E986" s="531"/>
      <c r="F986" s="301"/>
      <c r="G986" s="301"/>
      <c r="H986" s="301"/>
      <c r="I986" s="301"/>
      <c r="J986" s="325"/>
      <c r="K986" s="325"/>
      <c r="L986" s="301"/>
      <c r="M986" s="301"/>
      <c r="N986" s="301"/>
      <c r="O986" s="301"/>
      <c r="P986" s="301"/>
      <c r="Q986" s="325"/>
      <c r="R986" s="325"/>
      <c r="S986" s="325"/>
      <c r="T986" s="532"/>
      <c r="U986" s="301"/>
      <c r="V986" s="532"/>
      <c r="W986" s="532">
        <f>+V986-'ROR-Model'!G1002</f>
        <v>0</v>
      </c>
    </row>
    <row r="987" spans="1:23">
      <c r="A987" s="537" t="s">
        <v>213</v>
      </c>
      <c r="B987" s="537" t="s">
        <v>214</v>
      </c>
      <c r="C987" s="537"/>
      <c r="D987" s="537"/>
      <c r="E987" s="531"/>
      <c r="F987" s="301"/>
      <c r="G987" s="301"/>
      <c r="H987" s="301"/>
      <c r="I987" s="301"/>
      <c r="J987" s="325"/>
      <c r="K987" s="325"/>
      <c r="L987" s="301"/>
      <c r="M987" s="301"/>
      <c r="N987" s="301"/>
      <c r="O987" s="301"/>
      <c r="P987" s="301"/>
      <c r="Q987" s="325"/>
      <c r="R987" s="325"/>
      <c r="S987" s="325"/>
      <c r="T987" s="532"/>
      <c r="U987" s="301"/>
      <c r="V987" s="532"/>
      <c r="W987" s="532">
        <f>+V987-'ROR-Model'!G1003</f>
        <v>0</v>
      </c>
    </row>
    <row r="988" spans="1:23">
      <c r="A988" s="537"/>
      <c r="B988" s="537"/>
      <c r="C988" s="537" t="s">
        <v>54</v>
      </c>
      <c r="D988" s="537"/>
      <c r="E988" s="531"/>
      <c r="F988" s="301">
        <f>'Rate Base'!$AD$43*$F$1</f>
        <v>0</v>
      </c>
      <c r="G988" s="301"/>
      <c r="H988" s="301"/>
      <c r="I988" s="301"/>
      <c r="J988" s="325"/>
      <c r="K988" s="325"/>
      <c r="L988" s="301"/>
      <c r="M988" s="301"/>
      <c r="N988" s="301"/>
      <c r="O988" s="301"/>
      <c r="P988" s="301"/>
      <c r="Q988" s="325"/>
      <c r="R988" s="325"/>
      <c r="S988" s="325"/>
      <c r="T988" s="532">
        <f t="shared" ref="T988:T996" si="209">SUM(F988:S988)</f>
        <v>0</v>
      </c>
      <c r="U988" s="301"/>
      <c r="V988" s="532">
        <f t="shared" ref="V988:V996" si="210">SUM(T988:T988)</f>
        <v>0</v>
      </c>
      <c r="W988" s="532">
        <f>+V988-'ROR-Model'!G1004</f>
        <v>0</v>
      </c>
    </row>
    <row r="989" spans="1:23">
      <c r="A989" s="537"/>
      <c r="B989" s="537"/>
      <c r="C989" s="537" t="s">
        <v>482</v>
      </c>
      <c r="D989" s="537"/>
      <c r="E989" s="531"/>
      <c r="F989" s="301">
        <f>'Rate Base'!$AD$44*$F$1</f>
        <v>0</v>
      </c>
      <c r="G989" s="301"/>
      <c r="H989" s="301"/>
      <c r="I989" s="301"/>
      <c r="J989" s="325"/>
      <c r="K989" s="325"/>
      <c r="L989" s="301"/>
      <c r="M989" s="301"/>
      <c r="N989" s="301"/>
      <c r="O989" s="301"/>
      <c r="P989" s="301"/>
      <c r="Q989" s="325"/>
      <c r="R989" s="325"/>
      <c r="S989" s="325"/>
      <c r="T989" s="532">
        <f t="shared" si="209"/>
        <v>0</v>
      </c>
      <c r="U989" s="301"/>
      <c r="V989" s="532">
        <f t="shared" si="210"/>
        <v>0</v>
      </c>
      <c r="W989" s="532">
        <f>+V989-'ROR-Model'!G1005</f>
        <v>0</v>
      </c>
    </row>
    <row r="990" spans="1:23">
      <c r="A990" s="537"/>
      <c r="B990" s="537"/>
      <c r="C990" s="537" t="s">
        <v>483</v>
      </c>
      <c r="D990" s="537"/>
      <c r="E990" s="531"/>
      <c r="F990" s="301">
        <f>'Rate Base'!$AD$45*$F$1</f>
        <v>0</v>
      </c>
      <c r="G990" s="301"/>
      <c r="H990" s="301"/>
      <c r="I990" s="301"/>
      <c r="J990" s="325"/>
      <c r="K990" s="325"/>
      <c r="L990" s="301"/>
      <c r="M990" s="301"/>
      <c r="N990" s="301"/>
      <c r="O990" s="301"/>
      <c r="P990" s="301"/>
      <c r="Q990" s="325"/>
      <c r="R990" s="325"/>
      <c r="S990" s="325"/>
      <c r="T990" s="532">
        <f t="shared" si="209"/>
        <v>0</v>
      </c>
      <c r="U990" s="301"/>
      <c r="V990" s="532">
        <f t="shared" si="210"/>
        <v>0</v>
      </c>
      <c r="W990" s="532">
        <f>+V990-'ROR-Model'!G1006</f>
        <v>0</v>
      </c>
    </row>
    <row r="991" spans="1:23">
      <c r="A991" s="537"/>
      <c r="B991" s="537"/>
      <c r="C991" s="537" t="s">
        <v>484</v>
      </c>
      <c r="D991" s="537"/>
      <c r="E991" s="531">
        <f>+F991</f>
        <v>-914514.73541666567</v>
      </c>
      <c r="F991" s="301">
        <f>'Rate Base'!$AD$46*$F$1</f>
        <v>-914514.73541666567</v>
      </c>
      <c r="G991" s="301"/>
      <c r="H991" s="301"/>
      <c r="I991" s="301"/>
      <c r="J991" s="325"/>
      <c r="K991" s="325"/>
      <c r="L991" s="301"/>
      <c r="M991" s="301"/>
      <c r="N991" s="301"/>
      <c r="O991" s="301"/>
      <c r="P991" s="301"/>
      <c r="Q991" s="325"/>
      <c r="R991" s="325"/>
      <c r="S991" s="325"/>
      <c r="T991" s="532">
        <f t="shared" si="209"/>
        <v>-914514.73541666567</v>
      </c>
      <c r="U991" s="301"/>
      <c r="V991" s="532">
        <f t="shared" si="210"/>
        <v>-914514.73541666567</v>
      </c>
      <c r="W991" s="532">
        <f>+V991-'ROR-Model'!G1007</f>
        <v>0</v>
      </c>
    </row>
    <row r="992" spans="1:23">
      <c r="A992" s="537"/>
      <c r="B992" s="537"/>
      <c r="C992" s="537" t="s">
        <v>485</v>
      </c>
      <c r="D992" s="537"/>
      <c r="E992" s="531"/>
      <c r="F992" s="301">
        <f>'Rate Base'!$AD$47*$F$1</f>
        <v>0</v>
      </c>
      <c r="G992" s="301"/>
      <c r="H992" s="301"/>
      <c r="I992" s="301"/>
      <c r="J992" s="325"/>
      <c r="K992" s="325"/>
      <c r="L992" s="301"/>
      <c r="M992" s="301"/>
      <c r="N992" s="301"/>
      <c r="O992" s="301"/>
      <c r="P992" s="301"/>
      <c r="Q992" s="325"/>
      <c r="R992" s="325"/>
      <c r="S992" s="325"/>
      <c r="T992" s="532">
        <f t="shared" si="209"/>
        <v>0</v>
      </c>
      <c r="U992" s="301"/>
      <c r="V992" s="532">
        <f t="shared" si="210"/>
        <v>0</v>
      </c>
      <c r="W992" s="532">
        <f>+V992-'ROR-Model'!G1008</f>
        <v>0</v>
      </c>
    </row>
    <row r="993" spans="1:23">
      <c r="A993" s="537"/>
      <c r="B993" s="537"/>
      <c r="C993" s="537" t="s">
        <v>486</v>
      </c>
      <c r="D993" s="537"/>
      <c r="E993" s="531"/>
      <c r="F993" s="301">
        <f>'Rate Base'!$AD$48*$F$1</f>
        <v>0</v>
      </c>
      <c r="G993" s="301"/>
      <c r="H993" s="301"/>
      <c r="I993" s="301"/>
      <c r="J993" s="325"/>
      <c r="K993" s="325"/>
      <c r="L993" s="301"/>
      <c r="M993" s="301"/>
      <c r="N993" s="301"/>
      <c r="O993" s="301"/>
      <c r="P993" s="301"/>
      <c r="Q993" s="325"/>
      <c r="R993" s="325"/>
      <c r="S993" s="325"/>
      <c r="T993" s="532">
        <f t="shared" si="209"/>
        <v>0</v>
      </c>
      <c r="U993" s="301"/>
      <c r="V993" s="532">
        <f t="shared" si="210"/>
        <v>0</v>
      </c>
      <c r="W993" s="532">
        <f>+V993-'ROR-Model'!G1009</f>
        <v>0</v>
      </c>
    </row>
    <row r="994" spans="1:23">
      <c r="A994" s="537"/>
      <c r="B994" s="537"/>
      <c r="C994" s="537" t="s">
        <v>487</v>
      </c>
      <c r="D994" s="537"/>
      <c r="E994" s="531"/>
      <c r="F994" s="301">
        <f>'Rate Base'!$AD$49*$F$1</f>
        <v>0</v>
      </c>
      <c r="G994" s="301"/>
      <c r="H994" s="301"/>
      <c r="I994" s="301"/>
      <c r="J994" s="325"/>
      <c r="K994" s="325"/>
      <c r="L994" s="301"/>
      <c r="M994" s="301"/>
      <c r="N994" s="301"/>
      <c r="O994" s="301"/>
      <c r="P994" s="301"/>
      <c r="Q994" s="325"/>
      <c r="R994" s="325"/>
      <c r="S994" s="325"/>
      <c r="T994" s="532">
        <f t="shared" si="209"/>
        <v>0</v>
      </c>
      <c r="U994" s="301"/>
      <c r="V994" s="532">
        <f t="shared" si="210"/>
        <v>0</v>
      </c>
      <c r="W994" s="532">
        <f>+V994-'ROR-Model'!G1010</f>
        <v>0</v>
      </c>
    </row>
    <row r="995" spans="1:23">
      <c r="A995" s="537"/>
      <c r="B995" s="537"/>
      <c r="C995" s="537" t="s">
        <v>488</v>
      </c>
      <c r="D995" s="537"/>
      <c r="E995" s="531"/>
      <c r="F995" s="301">
        <f>'Rate Base'!$AD$50*$F$1</f>
        <v>-73904316.760833263</v>
      </c>
      <c r="G995" s="301"/>
      <c r="H995" s="301"/>
      <c r="I995" s="301"/>
      <c r="J995" s="301"/>
      <c r="K995" s="301"/>
      <c r="L995" s="301"/>
      <c r="M995" s="301"/>
      <c r="N995" s="301"/>
      <c r="O995" s="301"/>
      <c r="P995" s="301"/>
      <c r="Q995" s="325"/>
      <c r="R995" s="301"/>
      <c r="S995" s="301"/>
      <c r="T995" s="532">
        <f t="shared" si="209"/>
        <v>-73904316.760833263</v>
      </c>
      <c r="U995" s="301"/>
      <c r="V995" s="532">
        <f t="shared" si="210"/>
        <v>-73904316.760833263</v>
      </c>
      <c r="W995" s="532">
        <f>+V995-'ROR-Model'!G1011</f>
        <v>0</v>
      </c>
    </row>
    <row r="996" spans="1:23">
      <c r="A996" s="537"/>
      <c r="B996" s="537"/>
      <c r="C996" s="537" t="s">
        <v>657</v>
      </c>
      <c r="D996" s="537"/>
      <c r="E996" s="531"/>
      <c r="F996" s="301">
        <f>SUM(F988:F995)</f>
        <v>-74818831.496249929</v>
      </c>
      <c r="G996" s="301"/>
      <c r="H996" s="301"/>
      <c r="I996" s="301"/>
      <c r="J996" s="301"/>
      <c r="K996" s="301"/>
      <c r="L996" s="301"/>
      <c r="M996" s="301"/>
      <c r="N996" s="301"/>
      <c r="O996" s="301"/>
      <c r="P996" s="301"/>
      <c r="Q996" s="325"/>
      <c r="R996" s="301"/>
      <c r="S996" s="301"/>
      <c r="T996" s="532">
        <f t="shared" si="209"/>
        <v>-74818831.496249929</v>
      </c>
      <c r="U996" s="301"/>
      <c r="V996" s="532">
        <f t="shared" si="210"/>
        <v>-74818831.496249929</v>
      </c>
      <c r="W996" s="532">
        <f>+V996-'ROR-Model'!G1012</f>
        <v>0</v>
      </c>
    </row>
    <row r="997" spans="1:23">
      <c r="A997" s="537"/>
      <c r="B997" s="537"/>
      <c r="C997" s="537"/>
      <c r="D997" s="537"/>
      <c r="E997" s="531"/>
      <c r="F997" s="301"/>
      <c r="G997" s="301"/>
      <c r="H997" s="301"/>
      <c r="I997" s="301"/>
      <c r="J997" s="325"/>
      <c r="K997" s="325"/>
      <c r="L997" s="301"/>
      <c r="M997" s="301"/>
      <c r="N997" s="301"/>
      <c r="O997" s="301"/>
      <c r="P997" s="301"/>
      <c r="Q997" s="325"/>
      <c r="R997" s="325"/>
      <c r="S997" s="325"/>
      <c r="T997" s="532"/>
      <c r="U997" s="301"/>
      <c r="V997" s="532"/>
      <c r="W997" s="532">
        <f>+V997-'ROR-Model'!G1013</f>
        <v>0</v>
      </c>
    </row>
    <row r="998" spans="1:23">
      <c r="A998" s="537" t="s">
        <v>215</v>
      </c>
      <c r="B998" s="537" t="s">
        <v>217</v>
      </c>
      <c r="C998" s="537"/>
      <c r="D998" s="537"/>
      <c r="E998" s="531"/>
      <c r="F998" s="301"/>
      <c r="G998" s="301"/>
      <c r="H998" s="301"/>
      <c r="I998" s="301"/>
      <c r="J998" s="325"/>
      <c r="K998" s="325"/>
      <c r="L998" s="301"/>
      <c r="M998" s="301"/>
      <c r="N998" s="301"/>
      <c r="O998" s="301"/>
      <c r="P998" s="301"/>
      <c r="Q998" s="325"/>
      <c r="R998" s="325"/>
      <c r="S998" s="325"/>
      <c r="T998" s="532"/>
      <c r="U998" s="301"/>
      <c r="V998" s="532"/>
      <c r="W998" s="532">
        <f>+V998-'ROR-Model'!G1014</f>
        <v>0</v>
      </c>
    </row>
    <row r="999" spans="1:23">
      <c r="A999" s="537"/>
      <c r="B999" s="537"/>
      <c r="C999" s="537" t="s">
        <v>23</v>
      </c>
      <c r="D999" s="537"/>
      <c r="E999" s="531"/>
      <c r="F999" s="301">
        <f>'Rate Base'!$AD$54*$F$1</f>
        <v>-12465.696249999994</v>
      </c>
      <c r="G999" s="301"/>
      <c r="H999" s="301"/>
      <c r="I999" s="301"/>
      <c r="J999" s="325"/>
      <c r="K999" s="325"/>
      <c r="L999" s="301"/>
      <c r="M999" s="301"/>
      <c r="N999" s="301"/>
      <c r="O999" s="301"/>
      <c r="P999" s="301"/>
      <c r="Q999" s="325"/>
      <c r="R999" s="325"/>
      <c r="S999" s="325"/>
      <c r="T999" s="532">
        <f>SUM(F999:S999)</f>
        <v>-12465.696249999994</v>
      </c>
      <c r="U999" s="301"/>
      <c r="V999" s="532">
        <f>SUM(T999:T999)</f>
        <v>-12465.696249999994</v>
      </c>
      <c r="W999" s="532">
        <f>+V999-'ROR-Model'!G1015</f>
        <v>0</v>
      </c>
    </row>
    <row r="1000" spans="1:23">
      <c r="A1000" s="537"/>
      <c r="B1000" s="537"/>
      <c r="C1000" s="537" t="s">
        <v>12</v>
      </c>
      <c r="D1000" s="537"/>
      <c r="E1000" s="531"/>
      <c r="F1000" s="301">
        <f>'Rate Base'!$AD$55*$F$1</f>
        <v>-18528.987500000745</v>
      </c>
      <c r="G1000" s="301"/>
      <c r="H1000" s="301"/>
      <c r="I1000" s="301"/>
      <c r="J1000" s="325"/>
      <c r="K1000" s="325"/>
      <c r="L1000" s="301"/>
      <c r="M1000" s="301"/>
      <c r="N1000" s="301"/>
      <c r="O1000" s="301"/>
      <c r="P1000" s="301"/>
      <c r="Q1000" s="325"/>
      <c r="R1000" s="325"/>
      <c r="S1000" s="325"/>
      <c r="T1000" s="532">
        <f>SUM(F1000:S1000)</f>
        <v>-18528.987500000745</v>
      </c>
      <c r="U1000" s="301"/>
      <c r="V1000" s="532">
        <f>SUM(T1000:T1000)</f>
        <v>-18528.987500000745</v>
      </c>
      <c r="W1000" s="532">
        <f>+V1000-'ROR-Model'!G1016</f>
        <v>0</v>
      </c>
    </row>
    <row r="1001" spans="1:23">
      <c r="A1001" s="537"/>
      <c r="B1001" s="537"/>
      <c r="C1001" s="537" t="s">
        <v>145</v>
      </c>
      <c r="D1001" s="537"/>
      <c r="E1001" s="531"/>
      <c r="F1001" s="301">
        <f>SUM(F999:F1000)</f>
        <v>-30994.683750000739</v>
      </c>
      <c r="G1001" s="301"/>
      <c r="H1001" s="301"/>
      <c r="I1001" s="301"/>
      <c r="J1001" s="325"/>
      <c r="K1001" s="325"/>
      <c r="L1001" s="301"/>
      <c r="M1001" s="301"/>
      <c r="N1001" s="301"/>
      <c r="O1001" s="301"/>
      <c r="P1001" s="301"/>
      <c r="Q1001" s="325"/>
      <c r="R1001" s="325"/>
      <c r="S1001" s="325"/>
      <c r="T1001" s="532">
        <f>SUM(F1001:S1001)</f>
        <v>-30994.683750000739</v>
      </c>
      <c r="U1001" s="301"/>
      <c r="V1001" s="532">
        <f>SUM(T1001:T1001)</f>
        <v>-30994.683750000739</v>
      </c>
      <c r="W1001" s="532">
        <f>+V1001-'ROR-Model'!G1017</f>
        <v>0</v>
      </c>
    </row>
    <row r="1002" spans="1:23">
      <c r="A1002" s="537"/>
      <c r="B1002" s="537"/>
      <c r="C1002" s="537"/>
      <c r="D1002" s="537"/>
      <c r="E1002" s="531"/>
      <c r="F1002" s="301"/>
      <c r="G1002" s="301"/>
      <c r="H1002" s="301"/>
      <c r="I1002" s="301"/>
      <c r="J1002" s="325"/>
      <c r="K1002" s="325"/>
      <c r="L1002" s="301"/>
      <c r="M1002" s="301"/>
      <c r="N1002" s="301"/>
      <c r="O1002" s="301"/>
      <c r="P1002" s="301"/>
      <c r="Q1002" s="325"/>
      <c r="R1002" s="325"/>
      <c r="S1002" s="325"/>
      <c r="T1002" s="532"/>
      <c r="U1002" s="301"/>
      <c r="V1002" s="532"/>
      <c r="W1002" s="532">
        <f>+V1002-'ROR-Model'!G1018</f>
        <v>0</v>
      </c>
    </row>
    <row r="1003" spans="1:23">
      <c r="A1003" s="537" t="s">
        <v>218</v>
      </c>
      <c r="B1003" s="537" t="s">
        <v>219</v>
      </c>
      <c r="C1003" s="537"/>
      <c r="D1003" s="537"/>
      <c r="E1003" s="531"/>
      <c r="F1003" s="301"/>
      <c r="G1003" s="301"/>
      <c r="H1003" s="301"/>
      <c r="I1003" s="301"/>
      <c r="J1003" s="325"/>
      <c r="K1003" s="325"/>
      <c r="L1003" s="301"/>
      <c r="M1003" s="301"/>
      <c r="N1003" s="301"/>
      <c r="O1003" s="301"/>
      <c r="P1003" s="301"/>
      <c r="Q1003" s="325"/>
      <c r="R1003" s="325"/>
      <c r="S1003" s="325"/>
      <c r="T1003" s="532"/>
      <c r="U1003" s="301"/>
      <c r="V1003" s="532"/>
      <c r="W1003" s="532">
        <f>+V1003-'ROR-Model'!G1019</f>
        <v>0</v>
      </c>
    </row>
    <row r="1004" spans="1:23">
      <c r="A1004" s="537"/>
      <c r="B1004" s="537"/>
      <c r="C1004" s="537" t="s">
        <v>23</v>
      </c>
      <c r="D1004" s="537"/>
      <c r="E1004" s="531"/>
      <c r="F1004" s="301">
        <f>'Rate Base'!$AD$59*$F$1</f>
        <v>-130857.92500000075</v>
      </c>
      <c r="G1004" s="301"/>
      <c r="H1004" s="301"/>
      <c r="I1004" s="301"/>
      <c r="J1004" s="325"/>
      <c r="K1004" s="325"/>
      <c r="L1004" s="301"/>
      <c r="M1004" s="301"/>
      <c r="N1004" s="301"/>
      <c r="O1004" s="301"/>
      <c r="P1004" s="301"/>
      <c r="Q1004" s="325"/>
      <c r="R1004" s="325"/>
      <c r="S1004" s="325"/>
      <c r="T1004" s="532">
        <f>SUM(F1004:S1004)</f>
        <v>-130857.92500000075</v>
      </c>
      <c r="U1004" s="301"/>
      <c r="V1004" s="532">
        <f>SUM(T1004:T1004)</f>
        <v>-130857.92500000075</v>
      </c>
      <c r="W1004" s="532">
        <f>+V1004-'ROR-Model'!G1020</f>
        <v>0</v>
      </c>
    </row>
    <row r="1005" spans="1:23">
      <c r="A1005" s="537"/>
      <c r="B1005" s="537"/>
      <c r="C1005" s="537" t="s">
        <v>12</v>
      </c>
      <c r="D1005" s="537"/>
      <c r="E1005" s="531"/>
      <c r="F1005" s="301">
        <f>'Rate Base'!$AD$60*$F$1</f>
        <v>-8482431.651249975</v>
      </c>
      <c r="G1005" s="301"/>
      <c r="H1005" s="301"/>
      <c r="I1005" s="301"/>
      <c r="J1005" s="325"/>
      <c r="K1005" s="325"/>
      <c r="L1005" s="301"/>
      <c r="M1005" s="301"/>
      <c r="N1005" s="301"/>
      <c r="O1005" s="301"/>
      <c r="P1005" s="301"/>
      <c r="Q1005" s="325"/>
      <c r="R1005" s="325"/>
      <c r="S1005" s="325"/>
      <c r="T1005" s="532">
        <f>SUM(F1005:S1005)</f>
        <v>-8482431.651249975</v>
      </c>
      <c r="U1005" s="301"/>
      <c r="V1005" s="532">
        <f>SUM(T1005:T1005)</f>
        <v>-8482431.651249975</v>
      </c>
      <c r="W1005" s="532">
        <f>+V1005-'ROR-Model'!G1021</f>
        <v>0</v>
      </c>
    </row>
    <row r="1006" spans="1:23">
      <c r="A1006" s="537"/>
      <c r="B1006" s="537"/>
      <c r="C1006" s="537" t="s">
        <v>145</v>
      </c>
      <c r="D1006" s="537"/>
      <c r="E1006" s="531"/>
      <c r="F1006" s="301">
        <f>SUM(F1004:F1005)</f>
        <v>-8613289.5762499757</v>
      </c>
      <c r="G1006" s="301"/>
      <c r="H1006" s="301"/>
      <c r="I1006" s="301"/>
      <c r="J1006" s="325"/>
      <c r="K1006" s="325"/>
      <c r="L1006" s="301"/>
      <c r="M1006" s="301"/>
      <c r="N1006" s="301"/>
      <c r="O1006" s="301"/>
      <c r="P1006" s="301"/>
      <c r="Q1006" s="325"/>
      <c r="R1006" s="325"/>
      <c r="S1006" s="325"/>
      <c r="T1006" s="532">
        <f>SUM(F1006:S1006)</f>
        <v>-8613289.5762499757</v>
      </c>
      <c r="U1006" s="301"/>
      <c r="V1006" s="532">
        <f>SUM(T1006:T1006)</f>
        <v>-8613289.5762499757</v>
      </c>
      <c r="W1006" s="532">
        <f>+V1006-'ROR-Model'!G1022</f>
        <v>0</v>
      </c>
    </row>
    <row r="1007" spans="1:23">
      <c r="A1007" s="537"/>
      <c r="B1007" s="537"/>
      <c r="C1007" s="537"/>
      <c r="D1007" s="537"/>
      <c r="E1007" s="531"/>
      <c r="F1007" s="301"/>
      <c r="G1007" s="301"/>
      <c r="H1007" s="301"/>
      <c r="I1007" s="301"/>
      <c r="J1007" s="325"/>
      <c r="K1007" s="325"/>
      <c r="L1007" s="301"/>
      <c r="M1007" s="301"/>
      <c r="N1007" s="301"/>
      <c r="O1007" s="301"/>
      <c r="P1007" s="301"/>
      <c r="Q1007" s="325"/>
      <c r="R1007" s="325"/>
      <c r="S1007" s="325"/>
      <c r="T1007" s="532"/>
      <c r="U1007" s="301"/>
      <c r="V1007" s="532"/>
      <c r="W1007" s="532">
        <f>+V1007-'ROR-Model'!G1023</f>
        <v>0</v>
      </c>
    </row>
    <row r="1008" spans="1:23">
      <c r="A1008" s="537" t="s">
        <v>220</v>
      </c>
      <c r="B1008" s="537" t="s">
        <v>722</v>
      </c>
      <c r="C1008" s="537"/>
      <c r="D1008" s="537"/>
      <c r="E1008" s="531"/>
      <c r="F1008" s="301"/>
      <c r="G1008" s="301"/>
      <c r="H1008" s="301"/>
      <c r="I1008" s="301"/>
      <c r="J1008" s="325"/>
      <c r="K1008" s="325"/>
      <c r="L1008" s="301"/>
      <c r="M1008" s="301"/>
      <c r="N1008" s="301"/>
      <c r="O1008" s="301"/>
      <c r="P1008" s="301"/>
      <c r="Q1008" s="325"/>
      <c r="R1008" s="325"/>
      <c r="S1008" s="325"/>
      <c r="T1008" s="532"/>
      <c r="U1008" s="301"/>
      <c r="V1008" s="532"/>
      <c r="W1008" s="532">
        <f>+V1008-'ROR-Model'!G1024</f>
        <v>0</v>
      </c>
    </row>
    <row r="1009" spans="1:23">
      <c r="A1009" s="537"/>
      <c r="B1009" s="537"/>
      <c r="C1009" s="537" t="s">
        <v>23</v>
      </c>
      <c r="D1009" s="537"/>
      <c r="E1009" s="531"/>
      <c r="F1009" s="301">
        <f>'Rate Base'!$AD$64*$F$1</f>
        <v>-79234.015416659415</v>
      </c>
      <c r="G1009" s="301"/>
      <c r="H1009" s="301"/>
      <c r="I1009" s="301"/>
      <c r="J1009" s="325"/>
      <c r="K1009" s="325"/>
      <c r="L1009" s="301"/>
      <c r="M1009" s="301"/>
      <c r="N1009" s="301"/>
      <c r="O1009" s="301"/>
      <c r="P1009" s="301"/>
      <c r="Q1009" s="325"/>
      <c r="R1009" s="325"/>
      <c r="S1009" s="325"/>
      <c r="T1009" s="532">
        <f>SUM(F1009:S1009)</f>
        <v>-79234.015416659415</v>
      </c>
      <c r="U1009" s="301"/>
      <c r="V1009" s="532">
        <f>SUM(T1009:T1009)</f>
        <v>-79234.015416659415</v>
      </c>
      <c r="W1009" s="532">
        <f>+V1009-'ROR-Model'!G1025</f>
        <v>0</v>
      </c>
    </row>
    <row r="1010" spans="1:23">
      <c r="A1010" s="537"/>
      <c r="B1010" s="537"/>
      <c r="C1010" s="537" t="s">
        <v>12</v>
      </c>
      <c r="D1010" s="537"/>
      <c r="E1010" s="531"/>
      <c r="F1010" s="301">
        <f>'Rate Base'!$AD$65*$F$1</f>
        <v>106725.6358332634</v>
      </c>
      <c r="G1010" s="301"/>
      <c r="H1010" s="301"/>
      <c r="I1010" s="301"/>
      <c r="J1010" s="325"/>
      <c r="K1010" s="325"/>
      <c r="L1010" s="301"/>
      <c r="M1010" s="301"/>
      <c r="N1010" s="301"/>
      <c r="O1010" s="301"/>
      <c r="P1010" s="301"/>
      <c r="Q1010" s="325"/>
      <c r="R1010" s="325"/>
      <c r="S1010" s="325"/>
      <c r="T1010" s="532">
        <f>SUM(F1010:S1010)</f>
        <v>106725.6358332634</v>
      </c>
      <c r="U1010" s="301"/>
      <c r="V1010" s="532">
        <f>SUM(T1010:T1010)</f>
        <v>106725.6358332634</v>
      </c>
      <c r="W1010" s="532">
        <f>+V1010-'ROR-Model'!G1026</f>
        <v>0</v>
      </c>
    </row>
    <row r="1011" spans="1:23">
      <c r="A1011" s="537"/>
      <c r="B1011" s="537"/>
      <c r="C1011" s="537" t="s">
        <v>145</v>
      </c>
      <c r="D1011" s="537"/>
      <c r="E1011" s="531"/>
      <c r="F1011" s="301">
        <f>SUM(F1009:F1010)</f>
        <v>27491.620416603982</v>
      </c>
      <c r="G1011" s="301"/>
      <c r="H1011" s="301"/>
      <c r="I1011" s="301"/>
      <c r="J1011" s="325"/>
      <c r="K1011" s="325"/>
      <c r="L1011" s="301"/>
      <c r="M1011" s="301"/>
      <c r="N1011" s="301"/>
      <c r="O1011" s="301"/>
      <c r="P1011" s="301"/>
      <c r="Q1011" s="325"/>
      <c r="R1011" s="325"/>
      <c r="S1011" s="325"/>
      <c r="T1011" s="532">
        <f>SUM(F1011:S1011)</f>
        <v>27491.620416603982</v>
      </c>
      <c r="U1011" s="301"/>
      <c r="V1011" s="532">
        <f>SUM(T1011:T1011)</f>
        <v>27491.620416603982</v>
      </c>
      <c r="W1011" s="532">
        <f>+V1011-'ROR-Model'!G1027</f>
        <v>0</v>
      </c>
    </row>
    <row r="1012" spans="1:23">
      <c r="A1012" s="537"/>
      <c r="B1012" s="537"/>
      <c r="C1012" s="537"/>
      <c r="D1012" s="537"/>
      <c r="E1012" s="531"/>
      <c r="F1012" s="301"/>
      <c r="G1012" s="301"/>
      <c r="H1012" s="301"/>
      <c r="I1012" s="301"/>
      <c r="J1012" s="325"/>
      <c r="K1012" s="325"/>
      <c r="L1012" s="301"/>
      <c r="M1012" s="301"/>
      <c r="N1012" s="301"/>
      <c r="O1012" s="301"/>
      <c r="P1012" s="301"/>
      <c r="Q1012" s="325"/>
      <c r="R1012" s="325"/>
      <c r="S1012" s="325"/>
      <c r="T1012" s="532"/>
      <c r="U1012" s="301"/>
      <c r="V1012" s="532"/>
      <c r="W1012" s="532">
        <f>+V1012-'ROR-Model'!G1028</f>
        <v>0</v>
      </c>
    </row>
    <row r="1013" spans="1:23">
      <c r="A1013" s="537" t="s">
        <v>221</v>
      </c>
      <c r="B1013" s="537" t="s">
        <v>222</v>
      </c>
      <c r="C1013" s="537"/>
      <c r="D1013" s="537"/>
      <c r="E1013" s="531"/>
      <c r="F1013" s="301"/>
      <c r="G1013" s="301"/>
      <c r="H1013" s="301"/>
      <c r="I1013" s="301"/>
      <c r="J1013" s="325"/>
      <c r="K1013" s="325"/>
      <c r="L1013" s="301"/>
      <c r="M1013" s="301"/>
      <c r="N1013" s="301"/>
      <c r="O1013" s="301"/>
      <c r="P1013" s="301"/>
      <c r="Q1013" s="325"/>
      <c r="R1013" s="325"/>
      <c r="S1013" s="325"/>
      <c r="T1013" s="532"/>
      <c r="U1013" s="301"/>
      <c r="V1013" s="532"/>
      <c r="W1013" s="532">
        <f>+V1013-'ROR-Model'!G1029</f>
        <v>0</v>
      </c>
    </row>
    <row r="1014" spans="1:23">
      <c r="A1014" s="537"/>
      <c r="B1014" s="537"/>
      <c r="C1014" s="537" t="s">
        <v>23</v>
      </c>
      <c r="D1014" s="537"/>
      <c r="E1014" s="531"/>
      <c r="F1014" s="301">
        <f>'Rate Base'!$AD$69*$F$1</f>
        <v>2631.0850000008941</v>
      </c>
      <c r="G1014" s="301"/>
      <c r="H1014" s="301"/>
      <c r="I1014" s="301"/>
      <c r="J1014" s="325"/>
      <c r="K1014" s="325"/>
      <c r="L1014" s="301"/>
      <c r="M1014" s="301"/>
      <c r="N1014" s="301"/>
      <c r="O1014" s="301"/>
      <c r="P1014" s="301"/>
      <c r="Q1014" s="325"/>
      <c r="R1014" s="325"/>
      <c r="S1014" s="325"/>
      <c r="T1014" s="532">
        <f>SUM(F1014:S1014)</f>
        <v>2631.0850000008941</v>
      </c>
      <c r="U1014" s="301"/>
      <c r="V1014" s="532">
        <f>SUM(T1014:T1014)</f>
        <v>2631.0850000008941</v>
      </c>
      <c r="W1014" s="532">
        <f>+V1014-'ROR-Model'!G1030</f>
        <v>0</v>
      </c>
    </row>
    <row r="1015" spans="1:23">
      <c r="A1015" s="537"/>
      <c r="B1015" s="537"/>
      <c r="C1015" s="537" t="s">
        <v>12</v>
      </c>
      <c r="D1015" s="537"/>
      <c r="E1015" s="531"/>
      <c r="F1015" s="301">
        <f>'Rate Base'!$AD$70*$F$1</f>
        <v>103114.76083320379</v>
      </c>
      <c r="G1015" s="301"/>
      <c r="H1015" s="301"/>
      <c r="I1015" s="301"/>
      <c r="J1015" s="325"/>
      <c r="K1015" s="325"/>
      <c r="L1015" s="301"/>
      <c r="M1015" s="301"/>
      <c r="N1015" s="301"/>
      <c r="O1015" s="301"/>
      <c r="P1015" s="301"/>
      <c r="Q1015" s="325"/>
      <c r="R1015" s="325"/>
      <c r="S1015" s="325"/>
      <c r="T1015" s="532">
        <f>SUM(F1015:S1015)</f>
        <v>103114.76083320379</v>
      </c>
      <c r="U1015" s="301"/>
      <c r="V1015" s="532">
        <f>SUM(T1015:T1015)</f>
        <v>103114.76083320379</v>
      </c>
      <c r="W1015" s="532">
        <f>+V1015-'ROR-Model'!G1031</f>
        <v>0</v>
      </c>
    </row>
    <row r="1016" spans="1:23">
      <c r="A1016" s="537"/>
      <c r="B1016" s="537"/>
      <c r="C1016" s="537" t="s">
        <v>145</v>
      </c>
      <c r="D1016" s="537"/>
      <c r="E1016" s="531"/>
      <c r="F1016" s="301">
        <f>SUM(F1014:F1015)</f>
        <v>105745.84583320469</v>
      </c>
      <c r="G1016" s="301"/>
      <c r="H1016" s="301"/>
      <c r="I1016" s="301"/>
      <c r="J1016" s="325"/>
      <c r="K1016" s="325"/>
      <c r="L1016" s="301"/>
      <c r="M1016" s="301"/>
      <c r="N1016" s="301"/>
      <c r="O1016" s="301"/>
      <c r="P1016" s="301"/>
      <c r="Q1016" s="325"/>
      <c r="R1016" s="325"/>
      <c r="S1016" s="325"/>
      <c r="T1016" s="532">
        <f>SUM(F1016:S1016)</f>
        <v>105745.84583320469</v>
      </c>
      <c r="U1016" s="301"/>
      <c r="V1016" s="532">
        <f>SUM(T1016:T1016)</f>
        <v>105745.84583320469</v>
      </c>
      <c r="W1016" s="532">
        <f>+V1016-'ROR-Model'!G1032</f>
        <v>0</v>
      </c>
    </row>
    <row r="1017" spans="1:23">
      <c r="A1017" s="537"/>
      <c r="B1017" s="537"/>
      <c r="C1017" s="537"/>
      <c r="D1017" s="537"/>
      <c r="E1017" s="531"/>
      <c r="F1017" s="301"/>
      <c r="G1017" s="301"/>
      <c r="H1017" s="301"/>
      <c r="I1017" s="301"/>
      <c r="J1017" s="325"/>
      <c r="K1017" s="325"/>
      <c r="L1017" s="301"/>
      <c r="M1017" s="301"/>
      <c r="N1017" s="301"/>
      <c r="O1017" s="301"/>
      <c r="P1017" s="301"/>
      <c r="Q1017" s="325"/>
      <c r="R1017" s="325"/>
      <c r="S1017" s="325"/>
      <c r="T1017" s="532"/>
      <c r="U1017" s="301"/>
      <c r="V1017" s="532"/>
      <c r="W1017" s="532">
        <f>+V1017-'ROR-Model'!G1033</f>
        <v>0</v>
      </c>
    </row>
    <row r="1018" spans="1:23">
      <c r="A1018" s="537" t="s">
        <v>223</v>
      </c>
      <c r="B1018" s="537" t="s">
        <v>224</v>
      </c>
      <c r="C1018" s="537"/>
      <c r="D1018" s="537"/>
      <c r="E1018" s="531"/>
      <c r="F1018" s="301"/>
      <c r="G1018" s="301"/>
      <c r="H1018" s="301"/>
      <c r="I1018" s="301"/>
      <c r="J1018" s="325"/>
      <c r="K1018" s="325"/>
      <c r="L1018" s="301"/>
      <c r="M1018" s="301"/>
      <c r="N1018" s="301"/>
      <c r="O1018" s="301"/>
      <c r="P1018" s="301"/>
      <c r="Q1018" s="325"/>
      <c r="R1018" s="325"/>
      <c r="S1018" s="325"/>
      <c r="T1018" s="532"/>
      <c r="U1018" s="301"/>
      <c r="V1018" s="532"/>
      <c r="W1018" s="532">
        <f>+V1018-'ROR-Model'!G1034</f>
        <v>0</v>
      </c>
    </row>
    <row r="1019" spans="1:23">
      <c r="A1019" s="537"/>
      <c r="B1019" s="537"/>
      <c r="C1019" s="537" t="s">
        <v>23</v>
      </c>
      <c r="D1019" s="537"/>
      <c r="E1019" s="531"/>
      <c r="F1019" s="301">
        <f>'Rate Base'!$AD$74*$F$1</f>
        <v>0</v>
      </c>
      <c r="G1019" s="301"/>
      <c r="H1019" s="301"/>
      <c r="I1019" s="301"/>
      <c r="J1019" s="325"/>
      <c r="K1019" s="325"/>
      <c r="L1019" s="301"/>
      <c r="M1019" s="301"/>
      <c r="N1019" s="301"/>
      <c r="O1019" s="301"/>
      <c r="P1019" s="301"/>
      <c r="Q1019" s="325"/>
      <c r="R1019" s="325"/>
      <c r="S1019" s="325"/>
      <c r="T1019" s="532">
        <f>SUM(F1019:S1019)</f>
        <v>0</v>
      </c>
      <c r="U1019" s="301"/>
      <c r="V1019" s="532">
        <f>SUM(T1019:T1019)</f>
        <v>0</v>
      </c>
      <c r="W1019" s="532">
        <f>+V1019-'ROR-Model'!G1035</f>
        <v>0</v>
      </c>
    </row>
    <row r="1020" spans="1:23">
      <c r="A1020" s="537"/>
      <c r="B1020" s="537"/>
      <c r="C1020" s="537" t="s">
        <v>12</v>
      </c>
      <c r="D1020" s="537"/>
      <c r="E1020" s="531"/>
      <c r="F1020" s="301">
        <f>'Rate Base'!$AD$75*$F$1</f>
        <v>0</v>
      </c>
      <c r="G1020" s="301"/>
      <c r="H1020" s="301"/>
      <c r="I1020" s="301"/>
      <c r="J1020" s="325"/>
      <c r="K1020" s="325"/>
      <c r="L1020" s="301"/>
      <c r="M1020" s="301"/>
      <c r="N1020" s="301"/>
      <c r="O1020" s="301"/>
      <c r="P1020" s="301"/>
      <c r="Q1020" s="325"/>
      <c r="R1020" s="325"/>
      <c r="S1020" s="325"/>
      <c r="T1020" s="532">
        <f>SUM(F1020:S1020)</f>
        <v>0</v>
      </c>
      <c r="U1020" s="301"/>
      <c r="V1020" s="532">
        <f>SUM(T1020:T1020)</f>
        <v>0</v>
      </c>
      <c r="W1020" s="532">
        <f>+V1020-'ROR-Model'!G1036</f>
        <v>0</v>
      </c>
    </row>
    <row r="1021" spans="1:23">
      <c r="A1021" s="537"/>
      <c r="B1021" s="537"/>
      <c r="C1021" s="537" t="s">
        <v>145</v>
      </c>
      <c r="D1021" s="537"/>
      <c r="E1021" s="531"/>
      <c r="F1021" s="301">
        <f>SUM(F1019:F1020)</f>
        <v>0</v>
      </c>
      <c r="G1021" s="301"/>
      <c r="H1021" s="301"/>
      <c r="I1021" s="301"/>
      <c r="J1021" s="325"/>
      <c r="K1021" s="325"/>
      <c r="L1021" s="301"/>
      <c r="M1021" s="301"/>
      <c r="N1021" s="301"/>
      <c r="O1021" s="301"/>
      <c r="P1021" s="301"/>
      <c r="Q1021" s="325"/>
      <c r="R1021" s="325"/>
      <c r="S1021" s="325"/>
      <c r="T1021" s="532">
        <f>SUM(F1021:S1021)</f>
        <v>0</v>
      </c>
      <c r="U1021" s="301"/>
      <c r="V1021" s="532">
        <f>SUM(T1021:T1021)</f>
        <v>0</v>
      </c>
      <c r="W1021" s="532">
        <f>+V1021-'ROR-Model'!G1037</f>
        <v>0</v>
      </c>
    </row>
    <row r="1022" spans="1:23">
      <c r="A1022" s="537"/>
      <c r="B1022" s="537"/>
      <c r="C1022" s="537"/>
      <c r="D1022" s="537"/>
      <c r="E1022" s="531"/>
      <c r="F1022" s="301"/>
      <c r="G1022" s="301"/>
      <c r="H1022" s="301"/>
      <c r="I1022" s="301"/>
      <c r="J1022" s="325"/>
      <c r="K1022" s="325"/>
      <c r="L1022" s="301"/>
      <c r="M1022" s="301"/>
      <c r="N1022" s="301"/>
      <c r="O1022" s="301"/>
      <c r="P1022" s="301"/>
      <c r="Q1022" s="325"/>
      <c r="R1022" s="325"/>
      <c r="S1022" s="325"/>
      <c r="T1022" s="532"/>
      <c r="U1022" s="301"/>
      <c r="V1022" s="532"/>
      <c r="W1022" s="532">
        <f>+V1022-'ROR-Model'!G1038</f>
        <v>0</v>
      </c>
    </row>
    <row r="1023" spans="1:23">
      <c r="A1023" s="537" t="s">
        <v>225</v>
      </c>
      <c r="B1023" s="537" t="s">
        <v>204</v>
      </c>
      <c r="C1023" s="537"/>
      <c r="D1023" s="537"/>
      <c r="E1023" s="531"/>
      <c r="F1023" s="301"/>
      <c r="G1023" s="301"/>
      <c r="H1023" s="301"/>
      <c r="I1023" s="301"/>
      <c r="J1023" s="325"/>
      <c r="K1023" s="325"/>
      <c r="L1023" s="301"/>
      <c r="M1023" s="301"/>
      <c r="N1023" s="301"/>
      <c r="O1023" s="301"/>
      <c r="P1023" s="301"/>
      <c r="Q1023" s="325"/>
      <c r="R1023" s="325"/>
      <c r="S1023" s="325"/>
      <c r="T1023" s="532"/>
      <c r="U1023" s="301"/>
      <c r="V1023" s="532"/>
      <c r="W1023" s="532">
        <f>+V1023-'ROR-Model'!G1039</f>
        <v>0</v>
      </c>
    </row>
    <row r="1024" spans="1:23">
      <c r="A1024" s="537"/>
      <c r="B1024" s="537"/>
      <c r="C1024" s="537" t="s">
        <v>23</v>
      </c>
      <c r="D1024" s="537"/>
      <c r="E1024" s="531"/>
      <c r="F1024" s="301">
        <f>'Rate Base'!$AD$79*$F$1</f>
        <v>-430931.9233333334</v>
      </c>
      <c r="G1024" s="301"/>
      <c r="H1024" s="301"/>
      <c r="I1024" s="301"/>
      <c r="J1024" s="325"/>
      <c r="K1024" s="325"/>
      <c r="L1024" s="301"/>
      <c r="M1024" s="301"/>
      <c r="N1024" s="301"/>
      <c r="O1024" s="301"/>
      <c r="P1024" s="301"/>
      <c r="Q1024" s="325"/>
      <c r="R1024" s="325"/>
      <c r="S1024" s="325"/>
      <c r="T1024" s="532">
        <f>SUM(F1024:S1024)</f>
        <v>-430931.9233333334</v>
      </c>
      <c r="U1024" s="301"/>
      <c r="V1024" s="532">
        <f>SUM(T1024:T1024)</f>
        <v>-430931.9233333334</v>
      </c>
      <c r="W1024" s="532">
        <f>+V1024-'ROR-Model'!G1040</f>
        <v>0</v>
      </c>
    </row>
    <row r="1025" spans="1:23">
      <c r="A1025" s="537"/>
      <c r="B1025" s="537"/>
      <c r="C1025" s="537" t="s">
        <v>12</v>
      </c>
      <c r="D1025" s="537"/>
      <c r="E1025" s="531"/>
      <c r="F1025" s="301">
        <f>'Rate Base'!$AD$80*$F$1</f>
        <v>-1712562.9841666678</v>
      </c>
      <c r="G1025" s="301"/>
      <c r="H1025" s="301"/>
      <c r="I1025" s="301"/>
      <c r="J1025" s="325"/>
      <c r="K1025" s="325"/>
      <c r="L1025" s="301"/>
      <c r="M1025" s="301"/>
      <c r="N1025" s="301"/>
      <c r="O1025" s="301"/>
      <c r="P1025" s="301"/>
      <c r="Q1025" s="325"/>
      <c r="R1025" s="325"/>
      <c r="S1025" s="325"/>
      <c r="T1025" s="532">
        <f>SUM(F1025:S1025)</f>
        <v>-1712562.9841666678</v>
      </c>
      <c r="U1025" s="301"/>
      <c r="V1025" s="532">
        <f>SUM(T1025:T1025)</f>
        <v>-1712562.9841666678</v>
      </c>
      <c r="W1025" s="532">
        <f>+V1025-'ROR-Model'!G1041</f>
        <v>0</v>
      </c>
    </row>
    <row r="1026" spans="1:23">
      <c r="A1026" s="537"/>
      <c r="B1026" s="537"/>
      <c r="C1026" s="537" t="s">
        <v>145</v>
      </c>
      <c r="D1026" s="537"/>
      <c r="E1026" s="531"/>
      <c r="F1026" s="301">
        <f>SUM(F1024:F1025)</f>
        <v>-2143494.9075000011</v>
      </c>
      <c r="G1026" s="301"/>
      <c r="H1026" s="301"/>
      <c r="I1026" s="301"/>
      <c r="J1026" s="325"/>
      <c r="K1026" s="325"/>
      <c r="L1026" s="301"/>
      <c r="M1026" s="301"/>
      <c r="N1026" s="301"/>
      <c r="O1026" s="301"/>
      <c r="P1026" s="301"/>
      <c r="Q1026" s="325"/>
      <c r="R1026" s="325"/>
      <c r="S1026" s="325"/>
      <c r="T1026" s="532">
        <f>SUM(F1026:S1026)</f>
        <v>-2143494.9075000011</v>
      </c>
      <c r="U1026" s="301"/>
      <c r="V1026" s="532">
        <f>SUM(T1026:T1026)</f>
        <v>-2143494.9075000011</v>
      </c>
      <c r="W1026" s="532">
        <f>+V1026-'ROR-Model'!G1042</f>
        <v>0</v>
      </c>
    </row>
    <row r="1027" spans="1:23">
      <c r="A1027" s="537"/>
      <c r="B1027" s="537"/>
      <c r="C1027" s="537"/>
      <c r="D1027" s="537"/>
      <c r="E1027" s="531"/>
      <c r="F1027" s="301"/>
      <c r="G1027" s="301"/>
      <c r="H1027" s="301"/>
      <c r="I1027" s="301"/>
      <c r="J1027" s="325"/>
      <c r="K1027" s="325"/>
      <c r="L1027" s="301"/>
      <c r="M1027" s="301"/>
      <c r="N1027" s="301"/>
      <c r="O1027" s="301"/>
      <c r="P1027" s="301"/>
      <c r="Q1027" s="325"/>
      <c r="R1027" s="325"/>
      <c r="S1027" s="325"/>
      <c r="T1027" s="532"/>
      <c r="U1027" s="301"/>
      <c r="V1027" s="532"/>
      <c r="W1027" s="532">
        <f>+V1027-'ROR-Model'!G1043</f>
        <v>0</v>
      </c>
    </row>
    <row r="1028" spans="1:23">
      <c r="A1028" s="537" t="s">
        <v>227</v>
      </c>
      <c r="B1028" s="537" t="s">
        <v>192</v>
      </c>
      <c r="C1028" s="537"/>
      <c r="D1028" s="537"/>
      <c r="E1028" s="531"/>
      <c r="F1028" s="301"/>
      <c r="G1028" s="301"/>
      <c r="H1028" s="301"/>
      <c r="I1028" s="301"/>
      <c r="J1028" s="325"/>
      <c r="K1028" s="325"/>
      <c r="L1028" s="301"/>
      <c r="M1028" s="301"/>
      <c r="N1028" s="301"/>
      <c r="O1028" s="301"/>
      <c r="P1028" s="301"/>
      <c r="Q1028" s="325"/>
      <c r="R1028" s="325"/>
      <c r="S1028" s="325"/>
      <c r="T1028" s="532"/>
      <c r="U1028" s="301"/>
      <c r="V1028" s="532"/>
      <c r="W1028" s="532">
        <f>+V1028-'ROR-Model'!G1047</f>
        <v>0</v>
      </c>
    </row>
    <row r="1029" spans="1:23">
      <c r="A1029" s="537"/>
      <c r="B1029" s="537"/>
      <c r="C1029" s="537" t="s">
        <v>542</v>
      </c>
      <c r="D1029" s="537"/>
      <c r="E1029" s="531"/>
      <c r="F1029" s="301">
        <f>'Rate Base'!$AD$87*$F$1</f>
        <v>-1067.3224999999984</v>
      </c>
      <c r="G1029" s="301"/>
      <c r="H1029" s="301"/>
      <c r="I1029" s="301"/>
      <c r="J1029" s="325"/>
      <c r="K1029" s="325"/>
      <c r="L1029" s="301"/>
      <c r="M1029" s="301"/>
      <c r="N1029" s="301"/>
      <c r="O1029" s="301"/>
      <c r="P1029" s="301"/>
      <c r="Q1029" s="325"/>
      <c r="R1029" s="325"/>
      <c r="S1029" s="325"/>
      <c r="T1029" s="532">
        <f>SUM(F1029:S1029)</f>
        <v>-1067.3224999999984</v>
      </c>
      <c r="U1029" s="301"/>
      <c r="V1029" s="532">
        <f>SUM(T1029:T1029)</f>
        <v>-1067.3224999999984</v>
      </c>
      <c r="W1029" s="532">
        <f>+V1029-'ROR-Model'!G1048</f>
        <v>0</v>
      </c>
    </row>
    <row r="1030" spans="1:23">
      <c r="A1030" s="537"/>
      <c r="B1030" s="537"/>
      <c r="C1030" s="537" t="s">
        <v>543</v>
      </c>
      <c r="D1030" s="537"/>
      <c r="E1030" s="531"/>
      <c r="F1030" s="301">
        <f>'Rate Base'!$AD$88*$F$1</f>
        <v>-84743.686249997467</v>
      </c>
      <c r="G1030" s="301"/>
      <c r="H1030" s="301"/>
      <c r="I1030" s="301"/>
      <c r="J1030" s="325"/>
      <c r="K1030" s="325"/>
      <c r="L1030" s="301"/>
      <c r="M1030" s="301"/>
      <c r="N1030" s="301"/>
      <c r="O1030" s="301"/>
      <c r="P1030" s="301"/>
      <c r="Q1030" s="325"/>
      <c r="R1030" s="325"/>
      <c r="S1030" s="325"/>
      <c r="T1030" s="532">
        <f>SUM(F1030:S1030)</f>
        <v>-84743.686249997467</v>
      </c>
      <c r="U1030" s="301"/>
      <c r="V1030" s="532">
        <f>SUM(T1030:T1030)</f>
        <v>-84743.686249997467</v>
      </c>
      <c r="W1030" s="532">
        <f>+V1030-'ROR-Model'!G1049</f>
        <v>0</v>
      </c>
    </row>
    <row r="1031" spans="1:23">
      <c r="A1031" s="537"/>
      <c r="B1031" s="537"/>
      <c r="C1031" s="537" t="s">
        <v>145</v>
      </c>
      <c r="D1031" s="537"/>
      <c r="E1031" s="531"/>
      <c r="F1031" s="301">
        <f>'Rate Base'!$AD$89*$F$1</f>
        <v>-85811.008749999106</v>
      </c>
      <c r="G1031" s="301"/>
      <c r="H1031" s="301"/>
      <c r="I1031" s="301"/>
      <c r="J1031" s="325"/>
      <c r="K1031" s="325"/>
      <c r="L1031" s="301"/>
      <c r="M1031" s="301"/>
      <c r="N1031" s="301"/>
      <c r="O1031" s="301"/>
      <c r="P1031" s="301"/>
      <c r="Q1031" s="325"/>
      <c r="R1031" s="325"/>
      <c r="S1031" s="325"/>
      <c r="T1031" s="532">
        <f>SUM(F1031:S1031)</f>
        <v>-85811.008749999106</v>
      </c>
      <c r="U1031" s="301"/>
      <c r="V1031" s="532">
        <f>SUM(T1031:T1031)</f>
        <v>-85811.008749999106</v>
      </c>
      <c r="W1031" s="532">
        <f>+V1031-'ROR-Model'!G1050</f>
        <v>0</v>
      </c>
    </row>
    <row r="1032" spans="1:23">
      <c r="A1032" s="537"/>
      <c r="B1032" s="537"/>
      <c r="C1032" s="537"/>
      <c r="D1032" s="537"/>
      <c r="E1032" s="531"/>
      <c r="F1032" s="301"/>
      <c r="G1032" s="301"/>
      <c r="H1032" s="301"/>
      <c r="I1032" s="301"/>
      <c r="J1032" s="325"/>
      <c r="K1032" s="325"/>
      <c r="L1032" s="301"/>
      <c r="M1032" s="301"/>
      <c r="N1032" s="301"/>
      <c r="O1032" s="301"/>
      <c r="P1032" s="301"/>
      <c r="Q1032" s="325"/>
      <c r="R1032" s="325"/>
      <c r="S1032" s="325"/>
      <c r="T1032" s="532"/>
      <c r="U1032" s="301"/>
      <c r="V1032" s="532"/>
      <c r="W1032" s="532">
        <f>+V1032-'ROR-Model'!G1051</f>
        <v>0</v>
      </c>
    </row>
    <row r="1033" spans="1:23">
      <c r="A1033" s="537" t="s">
        <v>228</v>
      </c>
      <c r="B1033" s="537" t="s">
        <v>209</v>
      </c>
      <c r="C1033" s="537"/>
      <c r="D1033" s="537"/>
      <c r="E1033" s="531"/>
      <c r="F1033" s="301"/>
      <c r="G1033" s="301"/>
      <c r="H1033" s="301"/>
      <c r="I1033" s="301"/>
      <c r="J1033" s="325"/>
      <c r="K1033" s="325"/>
      <c r="L1033" s="301"/>
      <c r="M1033" s="301"/>
      <c r="N1033" s="301"/>
      <c r="O1033" s="301"/>
      <c r="P1033" s="301"/>
      <c r="Q1033" s="325"/>
      <c r="R1033" s="325"/>
      <c r="S1033" s="325"/>
      <c r="T1033" s="532"/>
      <c r="U1033" s="301"/>
      <c r="V1033" s="532"/>
      <c r="W1033" s="532">
        <f>+V1033-'ROR-Model'!G1052</f>
        <v>0</v>
      </c>
    </row>
    <row r="1034" spans="1:23">
      <c r="A1034" s="537"/>
      <c r="B1034" s="537"/>
      <c r="C1034" s="537" t="s">
        <v>542</v>
      </c>
      <c r="D1034" s="537"/>
      <c r="E1034" s="531"/>
      <c r="F1034" s="301">
        <f>'Rate Base'!$AD$92*$F$1</f>
        <v>-559115.27541666664</v>
      </c>
      <c r="G1034" s="301"/>
      <c r="H1034" s="301"/>
      <c r="I1034" s="301"/>
      <c r="J1034" s="325"/>
      <c r="K1034" s="325"/>
      <c r="L1034" s="301"/>
      <c r="M1034" s="301"/>
      <c r="N1034" s="301"/>
      <c r="O1034" s="301"/>
      <c r="P1034" s="301"/>
      <c r="Q1034" s="325"/>
      <c r="R1034" s="325"/>
      <c r="S1034" s="325"/>
      <c r="T1034" s="532">
        <f>SUM(F1034:S1034)</f>
        <v>-559115.27541666664</v>
      </c>
      <c r="U1034" s="301"/>
      <c r="V1034" s="532">
        <f>SUM(T1034:T1034)</f>
        <v>-559115.27541666664</v>
      </c>
      <c r="W1034" s="532">
        <f>+V1034-'ROR-Model'!G1053</f>
        <v>0</v>
      </c>
    </row>
    <row r="1035" spans="1:23">
      <c r="A1035" s="537"/>
      <c r="B1035" s="537"/>
      <c r="C1035" s="537" t="s">
        <v>543</v>
      </c>
      <c r="D1035" s="537"/>
      <c r="E1035" s="531"/>
      <c r="F1035" s="301">
        <f>'Rate Base'!$AD$93*$F$1</f>
        <v>-1640262.69083336</v>
      </c>
      <c r="G1035" s="301"/>
      <c r="H1035" s="301"/>
      <c r="I1035" s="301"/>
      <c r="J1035" s="325"/>
      <c r="K1035" s="325"/>
      <c r="L1035" s="301"/>
      <c r="M1035" s="301"/>
      <c r="N1035" s="301"/>
      <c r="O1035" s="301"/>
      <c r="P1035" s="301"/>
      <c r="Q1035" s="325"/>
      <c r="R1035" s="325"/>
      <c r="S1035" s="325"/>
      <c r="T1035" s="532">
        <f>SUM(F1035:S1035)</f>
        <v>-1640262.69083336</v>
      </c>
      <c r="U1035" s="301"/>
      <c r="V1035" s="532">
        <f>SUM(T1035:T1035)</f>
        <v>-1640262.69083336</v>
      </c>
      <c r="W1035" s="532">
        <f>+V1035-'ROR-Model'!G1054</f>
        <v>0</v>
      </c>
    </row>
    <row r="1036" spans="1:23">
      <c r="A1036" s="537"/>
      <c r="B1036" s="537"/>
      <c r="C1036" s="265" t="s">
        <v>544</v>
      </c>
      <c r="D1036" s="537"/>
      <c r="E1036" s="531"/>
      <c r="F1036" s="301">
        <f>'Rate Base'!$AD$94*$F$1</f>
        <v>0</v>
      </c>
      <c r="G1036" s="301"/>
      <c r="H1036" s="301"/>
      <c r="I1036" s="301"/>
      <c r="J1036" s="325"/>
      <c r="K1036" s="325"/>
      <c r="L1036" s="301"/>
      <c r="M1036" s="301"/>
      <c r="N1036" s="301"/>
      <c r="O1036" s="301"/>
      <c r="P1036" s="301"/>
      <c r="Q1036" s="325"/>
      <c r="R1036" s="325"/>
      <c r="S1036" s="325"/>
      <c r="T1036" s="532">
        <f>SUM(F1036:S1036)</f>
        <v>0</v>
      </c>
      <c r="U1036" s="301"/>
      <c r="V1036" s="532">
        <f>SUM(T1036:T1036)</f>
        <v>0</v>
      </c>
      <c r="W1036" s="532">
        <f>+V1036-'ROR-Model'!G1055</f>
        <v>0</v>
      </c>
    </row>
    <row r="1037" spans="1:23">
      <c r="A1037" s="537"/>
      <c r="B1037" s="537"/>
      <c r="C1037" s="537" t="s">
        <v>145</v>
      </c>
      <c r="D1037" s="537"/>
      <c r="E1037" s="531"/>
      <c r="F1037" s="301">
        <f>'Rate Base'!$AD$95*$F$1</f>
        <v>-2199377.9662500173</v>
      </c>
      <c r="G1037" s="301"/>
      <c r="H1037" s="301"/>
      <c r="I1037" s="301"/>
      <c r="J1037" s="325"/>
      <c r="K1037" s="325"/>
      <c r="L1037" s="301"/>
      <c r="M1037" s="301"/>
      <c r="N1037" s="301"/>
      <c r="O1037" s="301"/>
      <c r="P1037" s="301"/>
      <c r="Q1037" s="325"/>
      <c r="R1037" s="325"/>
      <c r="S1037" s="325"/>
      <c r="T1037" s="532">
        <f>SUM(F1037:S1037)</f>
        <v>-2199377.9662500173</v>
      </c>
      <c r="U1037" s="301"/>
      <c r="V1037" s="532">
        <f>SUM(T1037:T1037)</f>
        <v>-2199377.9662500173</v>
      </c>
      <c r="W1037" s="532">
        <f>+V1037-'ROR-Model'!G1056</f>
        <v>0</v>
      </c>
    </row>
    <row r="1038" spans="1:23">
      <c r="A1038" s="537"/>
      <c r="B1038" s="537"/>
      <c r="C1038" s="537"/>
      <c r="D1038" s="537"/>
      <c r="E1038" s="531"/>
      <c r="F1038" s="301"/>
      <c r="G1038" s="301"/>
      <c r="H1038" s="301"/>
      <c r="I1038" s="301"/>
      <c r="J1038" s="325"/>
      <c r="K1038" s="325"/>
      <c r="L1038" s="301"/>
      <c r="M1038" s="301"/>
      <c r="N1038" s="301"/>
      <c r="O1038" s="301"/>
      <c r="P1038" s="301"/>
      <c r="Q1038" s="325"/>
      <c r="R1038" s="325"/>
      <c r="S1038" s="325"/>
      <c r="T1038" s="532"/>
      <c r="U1038" s="301"/>
      <c r="V1038" s="532"/>
      <c r="W1038" s="532">
        <f>+V1038-'ROR-Model'!G1057</f>
        <v>0</v>
      </c>
    </row>
    <row r="1039" spans="1:23">
      <c r="A1039" s="537" t="s">
        <v>229</v>
      </c>
      <c r="B1039" s="537" t="s">
        <v>230</v>
      </c>
      <c r="C1039" s="537"/>
      <c r="D1039" s="537"/>
      <c r="E1039" s="531"/>
      <c r="F1039" s="301"/>
      <c r="G1039" s="301"/>
      <c r="H1039" s="301"/>
      <c r="I1039" s="301"/>
      <c r="J1039" s="325"/>
      <c r="K1039" s="325"/>
      <c r="L1039" s="301"/>
      <c r="M1039" s="301"/>
      <c r="N1039" s="301"/>
      <c r="O1039" s="301"/>
      <c r="P1039" s="301"/>
      <c r="Q1039" s="325"/>
      <c r="R1039" s="325"/>
      <c r="S1039" s="325"/>
      <c r="T1039" s="532"/>
      <c r="U1039" s="301"/>
      <c r="V1039" s="532"/>
      <c r="W1039" s="532">
        <f>+V1039-'ROR-Model'!G1058</f>
        <v>0</v>
      </c>
    </row>
    <row r="1040" spans="1:23">
      <c r="A1040" s="537"/>
      <c r="B1040" s="537"/>
      <c r="C1040" s="537" t="s">
        <v>542</v>
      </c>
      <c r="D1040" s="537"/>
      <c r="E1040" s="531"/>
      <c r="F1040" s="301">
        <f>'Rate Base'!$AD$98*$F$1</f>
        <v>-14703.813749999972</v>
      </c>
      <c r="G1040" s="301"/>
      <c r="H1040" s="301"/>
      <c r="I1040" s="301"/>
      <c r="J1040" s="325"/>
      <c r="K1040" s="325"/>
      <c r="L1040" s="301"/>
      <c r="M1040" s="301"/>
      <c r="N1040" s="301"/>
      <c r="O1040" s="301"/>
      <c r="P1040" s="301"/>
      <c r="Q1040" s="325"/>
      <c r="R1040" s="325"/>
      <c r="S1040" s="325"/>
      <c r="T1040" s="532">
        <f>SUM(F1040:S1040)</f>
        <v>-14703.813749999972</v>
      </c>
      <c r="U1040" s="301"/>
      <c r="V1040" s="532">
        <f>SUM(T1040:T1040)</f>
        <v>-14703.813749999972</v>
      </c>
      <c r="W1040" s="532">
        <f>+V1040-'ROR-Model'!G1059</f>
        <v>0</v>
      </c>
    </row>
    <row r="1041" spans="1:23">
      <c r="A1041" s="537"/>
      <c r="B1041" s="537"/>
      <c r="C1041" s="537" t="s">
        <v>543</v>
      </c>
      <c r="D1041" s="537"/>
      <c r="E1041" s="531"/>
      <c r="F1041" s="301">
        <f>'Rate Base'!$AD$99*$F$1</f>
        <v>-2049433.7949999962</v>
      </c>
      <c r="G1041" s="301"/>
      <c r="H1041" s="301"/>
      <c r="I1041" s="301"/>
      <c r="J1041" s="325"/>
      <c r="K1041" s="325"/>
      <c r="L1041" s="301"/>
      <c r="M1041" s="301"/>
      <c r="N1041" s="301"/>
      <c r="O1041" s="301"/>
      <c r="P1041" s="301"/>
      <c r="Q1041" s="325"/>
      <c r="R1041" s="325"/>
      <c r="S1041" s="325"/>
      <c r="T1041" s="532">
        <f>SUM(F1041:S1041)</f>
        <v>-2049433.7949999962</v>
      </c>
      <c r="U1041" s="301"/>
      <c r="V1041" s="532">
        <f>SUM(T1041:T1041)</f>
        <v>-2049433.7949999962</v>
      </c>
      <c r="W1041" s="532">
        <f>+V1041-'ROR-Model'!G1060</f>
        <v>0</v>
      </c>
    </row>
    <row r="1042" spans="1:23">
      <c r="A1042" s="537"/>
      <c r="B1042" s="537"/>
      <c r="C1042" s="537" t="s">
        <v>544</v>
      </c>
      <c r="D1042" s="537"/>
      <c r="E1042" s="531"/>
      <c r="F1042" s="301">
        <f>'Rate Base'!$AD$100*$F$1</f>
        <v>-403.05750000104308</v>
      </c>
      <c r="G1042" s="301"/>
      <c r="H1042" s="301"/>
      <c r="I1042" s="301"/>
      <c r="J1042" s="325"/>
      <c r="K1042" s="325"/>
      <c r="L1042" s="301"/>
      <c r="M1042" s="301"/>
      <c r="N1042" s="301"/>
      <c r="O1042" s="301"/>
      <c r="P1042" s="301"/>
      <c r="Q1042" s="325"/>
      <c r="R1042" s="325"/>
      <c r="S1042" s="325"/>
      <c r="T1042" s="532">
        <f>SUM(F1042:S1042)</f>
        <v>-403.05750000104308</v>
      </c>
      <c r="U1042" s="301"/>
      <c r="V1042" s="532">
        <f>SUM(T1042:T1042)</f>
        <v>-403.05750000104308</v>
      </c>
      <c r="W1042" s="532">
        <f>+V1042-'ROR-Model'!G1061</f>
        <v>0</v>
      </c>
    </row>
    <row r="1043" spans="1:23">
      <c r="A1043" s="537"/>
      <c r="B1043" s="537"/>
      <c r="C1043" s="537" t="s">
        <v>145</v>
      </c>
      <c r="D1043" s="537"/>
      <c r="E1043" s="531"/>
      <c r="F1043" s="301">
        <f>'Rate Base'!$AD$101*$F$1</f>
        <v>-2064540.6662499979</v>
      </c>
      <c r="G1043" s="301"/>
      <c r="H1043" s="301"/>
      <c r="I1043" s="301"/>
      <c r="J1043" s="325"/>
      <c r="K1043" s="325"/>
      <c r="L1043" s="301"/>
      <c r="M1043" s="301"/>
      <c r="N1043" s="301"/>
      <c r="O1043" s="301"/>
      <c r="P1043" s="301"/>
      <c r="Q1043" s="325"/>
      <c r="R1043" s="325"/>
      <c r="S1043" s="325"/>
      <c r="T1043" s="532">
        <f>SUM(F1043:S1043)</f>
        <v>-2064540.6662499979</v>
      </c>
      <c r="U1043" s="301"/>
      <c r="V1043" s="532">
        <f>SUM(T1043:T1043)</f>
        <v>-2064540.6662499979</v>
      </c>
      <c r="W1043" s="532">
        <f>+V1043-'ROR-Model'!G1062</f>
        <v>0</v>
      </c>
    </row>
    <row r="1044" spans="1:23">
      <c r="A1044" s="537"/>
      <c r="B1044" s="537"/>
      <c r="C1044" s="537"/>
      <c r="D1044" s="537"/>
      <c r="E1044" s="531"/>
      <c r="F1044" s="301"/>
      <c r="G1044" s="301"/>
      <c r="H1044" s="301"/>
      <c r="I1044" s="301"/>
      <c r="J1044" s="325"/>
      <c r="K1044" s="325"/>
      <c r="L1044" s="301"/>
      <c r="M1044" s="301"/>
      <c r="N1044" s="301"/>
      <c r="O1044" s="301"/>
      <c r="P1044" s="301"/>
      <c r="Q1044" s="325"/>
      <c r="R1044" s="325"/>
      <c r="S1044" s="325"/>
      <c r="T1044" s="532"/>
      <c r="U1044" s="301"/>
      <c r="V1044" s="532"/>
      <c r="W1044" s="532">
        <f>+V1044-'ROR-Model'!G1063</f>
        <v>0</v>
      </c>
    </row>
    <row r="1045" spans="1:23">
      <c r="A1045" s="537" t="s">
        <v>231</v>
      </c>
      <c r="B1045" s="537" t="s">
        <v>232</v>
      </c>
      <c r="C1045" s="537"/>
      <c r="D1045" s="537"/>
      <c r="E1045" s="531"/>
      <c r="F1045" s="301"/>
      <c r="G1045" s="301"/>
      <c r="H1045" s="301"/>
      <c r="I1045" s="301"/>
      <c r="J1045" s="325"/>
      <c r="K1045" s="325"/>
      <c r="L1045" s="301"/>
      <c r="M1045" s="301"/>
      <c r="N1045" s="301"/>
      <c r="O1045" s="301"/>
      <c r="P1045" s="301"/>
      <c r="Q1045" s="325"/>
      <c r="R1045" s="325"/>
      <c r="S1045" s="325"/>
      <c r="T1045" s="532"/>
      <c r="U1045" s="301"/>
      <c r="V1045" s="532"/>
      <c r="W1045" s="532">
        <f>+V1045-'ROR-Model'!G1064</f>
        <v>0</v>
      </c>
    </row>
    <row r="1046" spans="1:23">
      <c r="A1046" s="537"/>
      <c r="B1046" s="537"/>
      <c r="C1046" s="537" t="s">
        <v>542</v>
      </c>
      <c r="D1046" s="537"/>
      <c r="E1046" s="531"/>
      <c r="F1046" s="301">
        <f>'Rate Base'!$AD$104*$F$1</f>
        <v>-131883.18541666679</v>
      </c>
      <c r="G1046" s="301"/>
      <c r="H1046" s="301"/>
      <c r="I1046" s="301"/>
      <c r="J1046" s="325"/>
      <c r="K1046" s="325"/>
      <c r="L1046" s="301"/>
      <c r="M1046" s="301"/>
      <c r="N1046" s="301"/>
      <c r="O1046" s="301"/>
      <c r="P1046" s="301"/>
      <c r="Q1046" s="325"/>
      <c r="R1046" s="325"/>
      <c r="S1046" s="325"/>
      <c r="T1046" s="532">
        <f>SUM(F1046:S1046)</f>
        <v>-131883.18541666679</v>
      </c>
      <c r="U1046" s="301"/>
      <c r="V1046" s="532">
        <f>SUM(T1046:T1046)</f>
        <v>-131883.18541666679</v>
      </c>
      <c r="W1046" s="532">
        <f>+V1046-'ROR-Model'!G1065</f>
        <v>0</v>
      </c>
    </row>
    <row r="1047" spans="1:23">
      <c r="A1047" s="537"/>
      <c r="B1047" s="537"/>
      <c r="C1047" s="537" t="s">
        <v>543</v>
      </c>
      <c r="D1047" s="537"/>
      <c r="E1047" s="531"/>
      <c r="F1047" s="301">
        <f>'Rate Base'!$AD$105*$F$1</f>
        <v>-8090861.9895833284</v>
      </c>
      <c r="G1047" s="301"/>
      <c r="H1047" s="301"/>
      <c r="I1047" s="301"/>
      <c r="J1047" s="325"/>
      <c r="K1047" s="325"/>
      <c r="L1047" s="301"/>
      <c r="M1047" s="301"/>
      <c r="N1047" s="301"/>
      <c r="O1047" s="301"/>
      <c r="P1047" s="301"/>
      <c r="Q1047" s="325"/>
      <c r="R1047" s="325"/>
      <c r="S1047" s="325"/>
      <c r="T1047" s="532">
        <f>SUM(F1047:S1047)</f>
        <v>-8090861.9895833284</v>
      </c>
      <c r="U1047" s="301"/>
      <c r="V1047" s="532">
        <f>SUM(T1047:T1047)</f>
        <v>-8090861.9895833284</v>
      </c>
      <c r="W1047" s="532">
        <f>+V1047-'ROR-Model'!G1066</f>
        <v>0</v>
      </c>
    </row>
    <row r="1048" spans="1:23">
      <c r="A1048" s="537"/>
      <c r="B1048" s="537"/>
      <c r="C1048" s="537" t="s">
        <v>544</v>
      </c>
      <c r="D1048" s="537"/>
      <c r="E1048" s="531"/>
      <c r="F1048" s="301">
        <f>'Rate Base'!$AD$106*$F$1</f>
        <v>0</v>
      </c>
      <c r="G1048" s="301"/>
      <c r="H1048" s="301"/>
      <c r="I1048" s="301"/>
      <c r="J1048" s="325"/>
      <c r="K1048" s="325"/>
      <c r="L1048" s="301"/>
      <c r="M1048" s="301"/>
      <c r="N1048" s="301"/>
      <c r="O1048" s="301"/>
      <c r="P1048" s="301"/>
      <c r="Q1048" s="325"/>
      <c r="R1048" s="325"/>
      <c r="S1048" s="325"/>
      <c r="T1048" s="532">
        <f>SUM(F1048:S1048)</f>
        <v>0</v>
      </c>
      <c r="U1048" s="301"/>
      <c r="V1048" s="532">
        <f>SUM(T1048:T1048)</f>
        <v>0</v>
      </c>
      <c r="W1048" s="532">
        <f>+V1048-'ROR-Model'!G1067</f>
        <v>0</v>
      </c>
    </row>
    <row r="1049" spans="1:23">
      <c r="A1049" s="537"/>
      <c r="B1049" s="537"/>
      <c r="C1049" s="537" t="s">
        <v>145</v>
      </c>
      <c r="D1049" s="537"/>
      <c r="E1049" s="531"/>
      <c r="F1049" s="301">
        <f>'Rate Base'!$AD$107*$F$1</f>
        <v>-8222745.1750000119</v>
      </c>
      <c r="G1049" s="301"/>
      <c r="H1049" s="301"/>
      <c r="I1049" s="301"/>
      <c r="J1049" s="325"/>
      <c r="K1049" s="325"/>
      <c r="L1049" s="301"/>
      <c r="M1049" s="301"/>
      <c r="N1049" s="301"/>
      <c r="O1049" s="301"/>
      <c r="P1049" s="301"/>
      <c r="Q1049" s="325"/>
      <c r="R1049" s="325"/>
      <c r="S1049" s="325"/>
      <c r="T1049" s="532">
        <f>SUM(F1049:S1049)</f>
        <v>-8222745.1750000119</v>
      </c>
      <c r="U1049" s="301"/>
      <c r="V1049" s="532">
        <f>SUM(T1049:T1049)</f>
        <v>-8222745.1750000119</v>
      </c>
      <c r="W1049" s="532">
        <f>+V1049-'ROR-Model'!G1068</f>
        <v>0</v>
      </c>
    </row>
    <row r="1050" spans="1:23">
      <c r="A1050" s="537"/>
      <c r="B1050" s="537"/>
      <c r="C1050" s="537"/>
      <c r="D1050" s="537"/>
      <c r="E1050" s="531"/>
      <c r="F1050" s="301"/>
      <c r="G1050" s="301"/>
      <c r="H1050" s="301"/>
      <c r="I1050" s="301"/>
      <c r="J1050" s="325"/>
      <c r="K1050" s="325"/>
      <c r="L1050" s="301"/>
      <c r="M1050" s="301"/>
      <c r="N1050" s="301"/>
      <c r="O1050" s="301"/>
      <c r="P1050" s="301"/>
      <c r="Q1050" s="325"/>
      <c r="R1050" s="325"/>
      <c r="S1050" s="325"/>
      <c r="T1050" s="532"/>
      <c r="U1050" s="301"/>
      <c r="V1050" s="532"/>
      <c r="W1050" s="532">
        <f>+V1050-'ROR-Model'!G1069</f>
        <v>0</v>
      </c>
    </row>
    <row r="1051" spans="1:23">
      <c r="A1051" s="537" t="s">
        <v>233</v>
      </c>
      <c r="B1051" s="537" t="s">
        <v>234</v>
      </c>
      <c r="C1051" s="537"/>
      <c r="D1051" s="537"/>
      <c r="E1051" s="531"/>
      <c r="F1051" s="301"/>
      <c r="G1051" s="301"/>
      <c r="H1051" s="301"/>
      <c r="I1051" s="301"/>
      <c r="J1051" s="325"/>
      <c r="K1051" s="325"/>
      <c r="L1051" s="301"/>
      <c r="M1051" s="301"/>
      <c r="N1051" s="301"/>
      <c r="O1051" s="301"/>
      <c r="P1051" s="301"/>
      <c r="Q1051" s="325"/>
      <c r="R1051" s="325"/>
      <c r="S1051" s="325"/>
      <c r="T1051" s="532"/>
      <c r="U1051" s="301"/>
      <c r="V1051" s="532"/>
      <c r="W1051" s="532">
        <f>+V1051-'ROR-Model'!G1070</f>
        <v>0</v>
      </c>
    </row>
    <row r="1052" spans="1:23">
      <c r="A1052" s="537"/>
      <c r="B1052" s="537"/>
      <c r="C1052" s="537" t="s">
        <v>542</v>
      </c>
      <c r="D1052" s="537"/>
      <c r="E1052" s="531"/>
      <c r="F1052" s="301">
        <f>'Rate Base'!$AD$110*$F$1</f>
        <v>0</v>
      </c>
      <c r="G1052" s="301"/>
      <c r="H1052" s="301"/>
      <c r="I1052" s="301"/>
      <c r="J1052" s="325"/>
      <c r="K1052" s="325"/>
      <c r="L1052" s="301"/>
      <c r="M1052" s="301"/>
      <c r="N1052" s="301"/>
      <c r="O1052" s="301"/>
      <c r="P1052" s="301"/>
      <c r="Q1052" s="325"/>
      <c r="R1052" s="325"/>
      <c r="S1052" s="325"/>
      <c r="T1052" s="532">
        <f>SUM(F1052:S1052)</f>
        <v>0</v>
      </c>
      <c r="U1052" s="301"/>
      <c r="V1052" s="532">
        <f>SUM(T1052:T1052)</f>
        <v>0</v>
      </c>
      <c r="W1052" s="532">
        <f>+V1052-'ROR-Model'!G1071</f>
        <v>0</v>
      </c>
    </row>
    <row r="1053" spans="1:23">
      <c r="A1053" s="537"/>
      <c r="B1053" s="537"/>
      <c r="C1053" s="537" t="s">
        <v>543</v>
      </c>
      <c r="D1053" s="537"/>
      <c r="E1053" s="531"/>
      <c r="F1053" s="301">
        <f>'Rate Base'!$AD$111*$F$1</f>
        <v>0</v>
      </c>
      <c r="G1053" s="301"/>
      <c r="H1053" s="301"/>
      <c r="I1053" s="301"/>
      <c r="J1053" s="325"/>
      <c r="K1053" s="325"/>
      <c r="L1053" s="301"/>
      <c r="M1053" s="301"/>
      <c r="N1053" s="301"/>
      <c r="O1053" s="301"/>
      <c r="P1053" s="301"/>
      <c r="Q1053" s="325"/>
      <c r="R1053" s="325"/>
      <c r="S1053" s="325"/>
      <c r="T1053" s="532">
        <f>SUM(F1053:S1053)</f>
        <v>0</v>
      </c>
      <c r="U1053" s="301"/>
      <c r="V1053" s="532">
        <f>SUM(T1053:T1053)</f>
        <v>0</v>
      </c>
      <c r="W1053" s="532">
        <f>+V1053-'ROR-Model'!G1072</f>
        <v>0</v>
      </c>
    </row>
    <row r="1054" spans="1:23">
      <c r="A1054" s="537"/>
      <c r="B1054" s="537"/>
      <c r="C1054" s="537" t="s">
        <v>145</v>
      </c>
      <c r="D1054" s="537"/>
      <c r="E1054" s="531"/>
      <c r="F1054" s="301">
        <f>'Rate Base'!$AD$112*$F$1</f>
        <v>0</v>
      </c>
      <c r="G1054" s="301"/>
      <c r="H1054" s="301"/>
      <c r="I1054" s="301"/>
      <c r="J1054" s="325"/>
      <c r="K1054" s="325"/>
      <c r="L1054" s="301"/>
      <c r="M1054" s="301"/>
      <c r="N1054" s="301"/>
      <c r="O1054" s="301"/>
      <c r="P1054" s="301"/>
      <c r="Q1054" s="325"/>
      <c r="R1054" s="325"/>
      <c r="S1054" s="325"/>
      <c r="T1054" s="532">
        <f>SUM(F1054:S1054)</f>
        <v>0</v>
      </c>
      <c r="U1054" s="301"/>
      <c r="V1054" s="532">
        <f>SUM(T1054:T1054)</f>
        <v>0</v>
      </c>
      <c r="W1054" s="532">
        <f>+V1054-'ROR-Model'!G1073</f>
        <v>0</v>
      </c>
    </row>
    <row r="1055" spans="1:23">
      <c r="A1055" s="537"/>
      <c r="B1055" s="537"/>
      <c r="C1055" s="537"/>
      <c r="D1055" s="537"/>
      <c r="E1055" s="531"/>
      <c r="F1055" s="301"/>
      <c r="G1055" s="301"/>
      <c r="H1055" s="301"/>
      <c r="I1055" s="301"/>
      <c r="J1055" s="325"/>
      <c r="K1055" s="325"/>
      <c r="L1055" s="301"/>
      <c r="M1055" s="301"/>
      <c r="N1055" s="301"/>
      <c r="O1055" s="301"/>
      <c r="P1055" s="301"/>
      <c r="Q1055" s="325"/>
      <c r="R1055" s="325"/>
      <c r="S1055" s="325"/>
      <c r="T1055" s="532"/>
      <c r="U1055" s="301"/>
      <c r="V1055" s="532"/>
      <c r="W1055" s="532">
        <f>+V1055-'ROR-Model'!G1074</f>
        <v>0</v>
      </c>
    </row>
    <row r="1056" spans="1:23">
      <c r="A1056" s="537" t="s">
        <v>235</v>
      </c>
      <c r="B1056" s="537" t="s">
        <v>236</v>
      </c>
      <c r="C1056" s="537"/>
      <c r="D1056" s="537"/>
      <c r="E1056" s="531"/>
      <c r="F1056" s="301"/>
      <c r="G1056" s="301"/>
      <c r="H1056" s="301"/>
      <c r="I1056" s="301"/>
      <c r="J1056" s="325"/>
      <c r="K1056" s="325"/>
      <c r="L1056" s="301"/>
      <c r="M1056" s="301"/>
      <c r="N1056" s="301"/>
      <c r="O1056" s="301"/>
      <c r="P1056" s="301"/>
      <c r="Q1056" s="325"/>
      <c r="R1056" s="325"/>
      <c r="S1056" s="325"/>
      <c r="T1056" s="532"/>
      <c r="U1056" s="301"/>
      <c r="V1056" s="532"/>
      <c r="W1056" s="532">
        <f>+V1056-'ROR-Model'!G1075</f>
        <v>0</v>
      </c>
    </row>
    <row r="1057" spans="1:23">
      <c r="A1057" s="537"/>
      <c r="B1057" s="537"/>
      <c r="C1057" s="537" t="s">
        <v>542</v>
      </c>
      <c r="D1057" s="537"/>
      <c r="E1057" s="531"/>
      <c r="F1057" s="301">
        <f>'Rate Base'!$AD$115*$F$1</f>
        <v>-126091.07624999993</v>
      </c>
      <c r="G1057" s="301"/>
      <c r="H1057" s="301"/>
      <c r="I1057" s="301"/>
      <c r="J1057" s="325"/>
      <c r="K1057" s="325"/>
      <c r="L1057" s="301"/>
      <c r="M1057" s="301"/>
      <c r="N1057" s="301"/>
      <c r="O1057" s="301"/>
      <c r="P1057" s="301"/>
      <c r="Q1057" s="325"/>
      <c r="R1057" s="325"/>
      <c r="S1057" s="325"/>
      <c r="T1057" s="532">
        <f>SUM(F1057:S1057)</f>
        <v>-126091.07624999993</v>
      </c>
      <c r="U1057" s="301"/>
      <c r="V1057" s="532">
        <f>SUM(T1057:T1057)</f>
        <v>-126091.07624999993</v>
      </c>
      <c r="W1057" s="532">
        <f>+V1057-'ROR-Model'!G1076</f>
        <v>0</v>
      </c>
    </row>
    <row r="1058" spans="1:23">
      <c r="A1058" s="537"/>
      <c r="B1058" s="537"/>
      <c r="C1058" s="537" t="s">
        <v>543</v>
      </c>
      <c r="D1058" s="537"/>
      <c r="E1058" s="531"/>
      <c r="F1058" s="301">
        <f>'Rate Base'!$AD$116*$F$1</f>
        <v>-1690897.8345833346</v>
      </c>
      <c r="G1058" s="301"/>
      <c r="H1058" s="301"/>
      <c r="I1058" s="301"/>
      <c r="J1058" s="325"/>
      <c r="K1058" s="325"/>
      <c r="L1058" s="301"/>
      <c r="M1058" s="301"/>
      <c r="N1058" s="301"/>
      <c r="O1058" s="301"/>
      <c r="P1058" s="301"/>
      <c r="Q1058" s="325"/>
      <c r="R1058" s="325"/>
      <c r="S1058" s="325"/>
      <c r="T1058" s="532">
        <f>SUM(F1058:S1058)</f>
        <v>-1690897.8345833346</v>
      </c>
      <c r="U1058" s="301"/>
      <c r="V1058" s="532">
        <f>SUM(T1058:T1058)</f>
        <v>-1690897.8345833346</v>
      </c>
      <c r="W1058" s="532">
        <f>+V1058-'ROR-Model'!G1077</f>
        <v>0</v>
      </c>
    </row>
    <row r="1059" spans="1:23">
      <c r="A1059" s="537"/>
      <c r="B1059" s="537"/>
      <c r="C1059" s="537" t="s">
        <v>544</v>
      </c>
      <c r="D1059" s="537"/>
      <c r="E1059" s="531"/>
      <c r="F1059" s="301">
        <f>'Rate Base'!$AD$117*$F$1</f>
        <v>0</v>
      </c>
      <c r="G1059" s="301"/>
      <c r="H1059" s="301"/>
      <c r="I1059" s="301"/>
      <c r="J1059" s="325"/>
      <c r="K1059" s="325"/>
      <c r="L1059" s="301"/>
      <c r="M1059" s="301"/>
      <c r="N1059" s="301"/>
      <c r="O1059" s="301"/>
      <c r="P1059" s="301"/>
      <c r="Q1059" s="325"/>
      <c r="R1059" s="325"/>
      <c r="S1059" s="325"/>
      <c r="T1059" s="532">
        <f>SUM(F1059:S1059)</f>
        <v>0</v>
      </c>
      <c r="U1059" s="301"/>
      <c r="V1059" s="532">
        <f>SUM(T1059:T1059)</f>
        <v>0</v>
      </c>
      <c r="W1059" s="532">
        <f>+V1059-'ROR-Model'!G1078</f>
        <v>0</v>
      </c>
    </row>
    <row r="1060" spans="1:23">
      <c r="A1060" s="537"/>
      <c r="B1060" s="537"/>
      <c r="C1060" s="537" t="s">
        <v>145</v>
      </c>
      <c r="D1060" s="537"/>
      <c r="E1060" s="531"/>
      <c r="F1060" s="301">
        <f>'Rate Base'!$AD$118*$F$1</f>
        <v>-1816988.9108333327</v>
      </c>
      <c r="G1060" s="301"/>
      <c r="H1060" s="301"/>
      <c r="I1060" s="301"/>
      <c r="J1060" s="325"/>
      <c r="K1060" s="325"/>
      <c r="L1060" s="301"/>
      <c r="M1060" s="301"/>
      <c r="N1060" s="301"/>
      <c r="O1060" s="301"/>
      <c r="P1060" s="301"/>
      <c r="Q1060" s="325"/>
      <c r="R1060" s="325"/>
      <c r="S1060" s="325"/>
      <c r="T1060" s="532">
        <f>SUM(F1060:S1060)</f>
        <v>-1816988.9108333327</v>
      </c>
      <c r="U1060" s="301"/>
      <c r="V1060" s="532">
        <f>SUM(T1060:T1060)</f>
        <v>-1816988.9108333327</v>
      </c>
      <c r="W1060" s="532">
        <f>+V1060-'ROR-Model'!G1079</f>
        <v>0</v>
      </c>
    </row>
    <row r="1061" spans="1:23">
      <c r="A1061" s="537"/>
      <c r="B1061" s="537"/>
      <c r="C1061" s="537"/>
      <c r="D1061" s="537"/>
      <c r="E1061" s="531"/>
      <c r="F1061" s="301"/>
      <c r="G1061" s="301"/>
      <c r="H1061" s="301"/>
      <c r="I1061" s="301"/>
      <c r="J1061" s="325"/>
      <c r="K1061" s="325"/>
      <c r="L1061" s="301"/>
      <c r="M1061" s="301"/>
      <c r="N1061" s="301"/>
      <c r="O1061" s="301"/>
      <c r="P1061" s="301"/>
      <c r="Q1061" s="325"/>
      <c r="R1061" s="325"/>
      <c r="S1061" s="325"/>
      <c r="T1061" s="532"/>
      <c r="U1061" s="301"/>
      <c r="V1061" s="532"/>
      <c r="W1061" s="532">
        <f>+V1061-'ROR-Model'!G1080</f>
        <v>0</v>
      </c>
    </row>
    <row r="1062" spans="1:23">
      <c r="A1062" s="537" t="s">
        <v>237</v>
      </c>
      <c r="B1062" s="537" t="s">
        <v>238</v>
      </c>
      <c r="C1062" s="537"/>
      <c r="D1062" s="537"/>
      <c r="E1062" s="531"/>
      <c r="F1062" s="301"/>
      <c r="G1062" s="301"/>
      <c r="H1062" s="301"/>
      <c r="I1062" s="301"/>
      <c r="J1062" s="325"/>
      <c r="K1062" s="325"/>
      <c r="L1062" s="301"/>
      <c r="M1062" s="301"/>
      <c r="N1062" s="301"/>
      <c r="O1062" s="301"/>
      <c r="P1062" s="301"/>
      <c r="Q1062" s="325"/>
      <c r="R1062" s="325"/>
      <c r="S1062" s="325"/>
      <c r="T1062" s="532"/>
      <c r="U1062" s="301"/>
      <c r="V1062" s="532"/>
      <c r="W1062" s="532">
        <f>+V1062-'ROR-Model'!G1081</f>
        <v>0</v>
      </c>
    </row>
    <row r="1063" spans="1:23">
      <c r="A1063" s="537"/>
      <c r="B1063" s="537"/>
      <c r="C1063" s="537" t="s">
        <v>542</v>
      </c>
      <c r="D1063" s="537"/>
      <c r="E1063" s="531"/>
      <c r="F1063" s="301">
        <f>'Rate Base'!$AD$121*$F$1</f>
        <v>0</v>
      </c>
      <c r="G1063" s="301"/>
      <c r="H1063" s="301"/>
      <c r="I1063" s="301"/>
      <c r="J1063" s="325"/>
      <c r="K1063" s="325"/>
      <c r="L1063" s="301"/>
      <c r="M1063" s="301"/>
      <c r="N1063" s="301"/>
      <c r="O1063" s="301"/>
      <c r="P1063" s="301"/>
      <c r="Q1063" s="325"/>
      <c r="R1063" s="325"/>
      <c r="S1063" s="325"/>
      <c r="T1063" s="532">
        <f>SUM(F1063:S1063)</f>
        <v>0</v>
      </c>
      <c r="U1063" s="301"/>
      <c r="V1063" s="532">
        <f>SUM(T1063:T1063)</f>
        <v>0</v>
      </c>
      <c r="W1063" s="532">
        <f>+V1063-'ROR-Model'!G1082</f>
        <v>0</v>
      </c>
    </row>
    <row r="1064" spans="1:23">
      <c r="A1064" s="537"/>
      <c r="B1064" s="537"/>
      <c r="C1064" s="537" t="s">
        <v>543</v>
      </c>
      <c r="D1064" s="537"/>
      <c r="E1064" s="531"/>
      <c r="F1064" s="301">
        <f>'Rate Base'!$AD$122*$F$1</f>
        <v>0</v>
      </c>
      <c r="G1064" s="301"/>
      <c r="H1064" s="301"/>
      <c r="I1064" s="301"/>
      <c r="J1064" s="325"/>
      <c r="K1064" s="325"/>
      <c r="L1064" s="301"/>
      <c r="M1064" s="301"/>
      <c r="N1064" s="301"/>
      <c r="O1064" s="301"/>
      <c r="P1064" s="301"/>
      <c r="Q1064" s="325"/>
      <c r="R1064" s="325"/>
      <c r="S1064" s="325"/>
      <c r="T1064" s="532">
        <f>SUM(F1064:S1064)</f>
        <v>0</v>
      </c>
      <c r="U1064" s="301"/>
      <c r="V1064" s="532">
        <f>SUM(T1064:T1064)</f>
        <v>0</v>
      </c>
      <c r="W1064" s="532">
        <f>+V1064-'ROR-Model'!G1083</f>
        <v>0</v>
      </c>
    </row>
    <row r="1065" spans="1:23">
      <c r="A1065" s="537"/>
      <c r="B1065" s="537"/>
      <c r="C1065" s="537" t="s">
        <v>544</v>
      </c>
      <c r="D1065" s="537"/>
      <c r="E1065" s="531"/>
      <c r="F1065" s="301">
        <f>'Rate Base'!$AD$123*$F$1</f>
        <v>0</v>
      </c>
      <c r="G1065" s="301"/>
      <c r="H1065" s="301"/>
      <c r="I1065" s="301"/>
      <c r="J1065" s="325"/>
      <c r="K1065" s="325"/>
      <c r="L1065" s="301"/>
      <c r="M1065" s="301"/>
      <c r="N1065" s="301"/>
      <c r="O1065" s="301"/>
      <c r="P1065" s="301"/>
      <c r="Q1065" s="325"/>
      <c r="R1065" s="325"/>
      <c r="S1065" s="325"/>
      <c r="T1065" s="532">
        <f>SUM(F1065:S1065)</f>
        <v>0</v>
      </c>
      <c r="U1065" s="301"/>
      <c r="V1065" s="532">
        <f>SUM(T1065:T1065)</f>
        <v>0</v>
      </c>
      <c r="W1065" s="532">
        <f>+V1065-'ROR-Model'!G1084</f>
        <v>0</v>
      </c>
    </row>
    <row r="1066" spans="1:23">
      <c r="A1066" s="537"/>
      <c r="B1066" s="537"/>
      <c r="C1066" s="537" t="s">
        <v>145</v>
      </c>
      <c r="D1066" s="537"/>
      <c r="E1066" s="531"/>
      <c r="F1066" s="301">
        <f>'Rate Base'!$AD$124*$F$1</f>
        <v>0</v>
      </c>
      <c r="G1066" s="301"/>
      <c r="H1066" s="301"/>
      <c r="I1066" s="301"/>
      <c r="J1066" s="325"/>
      <c r="K1066" s="325"/>
      <c r="L1066" s="301"/>
      <c r="M1066" s="301"/>
      <c r="N1066" s="301"/>
      <c r="O1066" s="301"/>
      <c r="P1066" s="301"/>
      <c r="Q1066" s="325"/>
      <c r="R1066" s="325"/>
      <c r="S1066" s="325"/>
      <c r="T1066" s="532">
        <f>SUM(F1066:S1066)</f>
        <v>0</v>
      </c>
      <c r="U1066" s="301"/>
      <c r="V1066" s="532">
        <f>SUM(T1066:T1066)</f>
        <v>0</v>
      </c>
      <c r="W1066" s="532">
        <f>+V1066-'ROR-Model'!G1085</f>
        <v>0</v>
      </c>
    </row>
    <row r="1067" spans="1:23">
      <c r="A1067" s="537"/>
      <c r="B1067" s="537"/>
      <c r="C1067" s="537"/>
      <c r="D1067" s="537"/>
      <c r="E1067" s="531"/>
      <c r="F1067" s="301"/>
      <c r="G1067" s="301"/>
      <c r="H1067" s="301"/>
      <c r="I1067" s="301"/>
      <c r="J1067" s="325"/>
      <c r="K1067" s="325"/>
      <c r="L1067" s="301"/>
      <c r="M1067" s="301"/>
      <c r="N1067" s="301"/>
      <c r="O1067" s="301"/>
      <c r="P1067" s="301"/>
      <c r="Q1067" s="325"/>
      <c r="R1067" s="325"/>
      <c r="S1067" s="325"/>
      <c r="T1067" s="532"/>
      <c r="U1067" s="301"/>
      <c r="V1067" s="532"/>
      <c r="W1067" s="532">
        <f>+V1067-'ROR-Model'!G1086</f>
        <v>0</v>
      </c>
    </row>
    <row r="1068" spans="1:23">
      <c r="A1068" s="537" t="s">
        <v>239</v>
      </c>
      <c r="B1068" s="537" t="s">
        <v>240</v>
      </c>
      <c r="C1068" s="537"/>
      <c r="D1068" s="537"/>
      <c r="E1068" s="531"/>
      <c r="F1068" s="301"/>
      <c r="G1068" s="301"/>
      <c r="H1068" s="301"/>
      <c r="I1068" s="301"/>
      <c r="J1068" s="325"/>
      <c r="K1068" s="325"/>
      <c r="L1068" s="301"/>
      <c r="M1068" s="301"/>
      <c r="N1068" s="301"/>
      <c r="O1068" s="301"/>
      <c r="P1068" s="301"/>
      <c r="Q1068" s="325"/>
      <c r="R1068" s="325"/>
      <c r="S1068" s="325"/>
      <c r="T1068" s="532"/>
      <c r="U1068" s="301"/>
      <c r="V1068" s="532"/>
      <c r="W1068" s="532">
        <f>+V1068-'ROR-Model'!G1087</f>
        <v>0</v>
      </c>
    </row>
    <row r="1069" spans="1:23">
      <c r="A1069" s="537"/>
      <c r="B1069" s="537"/>
      <c r="C1069" s="537" t="s">
        <v>542</v>
      </c>
      <c r="D1069" s="537"/>
      <c r="E1069" s="531"/>
      <c r="F1069" s="301">
        <f>'Rate Base'!$AD$127*$F$1</f>
        <v>14263.354166666279</v>
      </c>
      <c r="G1069" s="301"/>
      <c r="H1069" s="301"/>
      <c r="I1069" s="301"/>
      <c r="J1069" s="325"/>
      <c r="K1069" s="325"/>
      <c r="L1069" s="301"/>
      <c r="M1069" s="301"/>
      <c r="N1069" s="301"/>
      <c r="O1069" s="301"/>
      <c r="P1069" s="301"/>
      <c r="Q1069" s="325"/>
      <c r="R1069" s="325"/>
      <c r="S1069" s="325"/>
      <c r="T1069" s="532">
        <f>SUM(F1069:S1069)</f>
        <v>14263.354166666279</v>
      </c>
      <c r="U1069" s="301"/>
      <c r="V1069" s="532">
        <f>SUM(T1069:T1069)</f>
        <v>14263.354166666279</v>
      </c>
      <c r="W1069" s="532">
        <f>+V1069-'ROR-Model'!G1088</f>
        <v>0</v>
      </c>
    </row>
    <row r="1070" spans="1:23">
      <c r="A1070" s="537"/>
      <c r="B1070" s="537"/>
      <c r="C1070" s="537" t="s">
        <v>543</v>
      </c>
      <c r="D1070" s="537"/>
      <c r="E1070" s="531"/>
      <c r="F1070" s="301">
        <f>'Rate Base'!$AD$128*$F$1</f>
        <v>-565556.20458333381</v>
      </c>
      <c r="G1070" s="301"/>
      <c r="H1070" s="301"/>
      <c r="I1070" s="301"/>
      <c r="J1070" s="325"/>
      <c r="K1070" s="325"/>
      <c r="L1070" s="301"/>
      <c r="M1070" s="301"/>
      <c r="N1070" s="301"/>
      <c r="O1070" s="301"/>
      <c r="P1070" s="301"/>
      <c r="Q1070" s="325"/>
      <c r="R1070" s="325"/>
      <c r="S1070" s="325"/>
      <c r="T1070" s="532">
        <f>SUM(F1070:S1070)</f>
        <v>-565556.20458333381</v>
      </c>
      <c r="U1070" s="301"/>
      <c r="V1070" s="532">
        <f>SUM(T1070:T1070)</f>
        <v>-565556.20458333381</v>
      </c>
      <c r="W1070" s="532">
        <f>+V1070-'ROR-Model'!G1089</f>
        <v>0</v>
      </c>
    </row>
    <row r="1071" spans="1:23">
      <c r="A1071" s="537"/>
      <c r="B1071" s="537"/>
      <c r="C1071" s="537" t="s">
        <v>544</v>
      </c>
      <c r="D1071" s="537"/>
      <c r="E1071" s="531"/>
      <c r="F1071" s="301">
        <f>'Rate Base'!$AD$129*$F$1</f>
        <v>0</v>
      </c>
      <c r="G1071" s="301"/>
      <c r="H1071" s="301"/>
      <c r="I1071" s="301"/>
      <c r="J1071" s="325"/>
      <c r="K1071" s="325"/>
      <c r="L1071" s="301"/>
      <c r="M1071" s="301"/>
      <c r="N1071" s="301"/>
      <c r="O1071" s="301"/>
      <c r="P1071" s="301"/>
      <c r="Q1071" s="325"/>
      <c r="R1071" s="325"/>
      <c r="S1071" s="325"/>
      <c r="T1071" s="532">
        <f>SUM(F1071:S1071)</f>
        <v>0</v>
      </c>
      <c r="U1071" s="301"/>
      <c r="V1071" s="532">
        <f>SUM(T1071:T1071)</f>
        <v>0</v>
      </c>
      <c r="W1071" s="532">
        <f>+V1071-'ROR-Model'!G1090</f>
        <v>0</v>
      </c>
    </row>
    <row r="1072" spans="1:23">
      <c r="A1072" s="537"/>
      <c r="B1072" s="537"/>
      <c r="C1072" s="537" t="s">
        <v>145</v>
      </c>
      <c r="D1072" s="537"/>
      <c r="E1072" s="531"/>
      <c r="F1072" s="301">
        <f>'Rate Base'!$AD$130*$F$1</f>
        <v>-551292.85041666776</v>
      </c>
      <c r="G1072" s="301"/>
      <c r="H1072" s="301"/>
      <c r="I1072" s="301"/>
      <c r="J1072" s="325"/>
      <c r="K1072" s="325"/>
      <c r="L1072" s="301"/>
      <c r="M1072" s="301"/>
      <c r="N1072" s="301"/>
      <c r="O1072" s="301"/>
      <c r="P1072" s="301"/>
      <c r="Q1072" s="325"/>
      <c r="R1072" s="325"/>
      <c r="S1072" s="325"/>
      <c r="T1072" s="532">
        <f>SUM(F1072:S1072)</f>
        <v>-551292.85041666776</v>
      </c>
      <c r="U1072" s="301"/>
      <c r="V1072" s="532">
        <f>SUM(T1072:T1072)</f>
        <v>-551292.85041666776</v>
      </c>
      <c r="W1072" s="532">
        <f>+V1072-'ROR-Model'!G1091</f>
        <v>0</v>
      </c>
    </row>
    <row r="1073" spans="1:23">
      <c r="A1073" s="537"/>
      <c r="B1073" s="537"/>
      <c r="C1073" s="537"/>
      <c r="D1073" s="537"/>
      <c r="E1073" s="531"/>
      <c r="F1073" s="301"/>
      <c r="G1073" s="301"/>
      <c r="H1073" s="301"/>
      <c r="I1073" s="301"/>
      <c r="J1073" s="325"/>
      <c r="K1073" s="325"/>
      <c r="L1073" s="301"/>
      <c r="M1073" s="301"/>
      <c r="N1073" s="301"/>
      <c r="O1073" s="301"/>
      <c r="P1073" s="301"/>
      <c r="Q1073" s="325"/>
      <c r="R1073" s="325"/>
      <c r="S1073" s="325"/>
      <c r="T1073" s="532"/>
      <c r="U1073" s="301"/>
      <c r="V1073" s="532"/>
      <c r="W1073" s="532">
        <f>+V1073-'ROR-Model'!G1092</f>
        <v>0</v>
      </c>
    </row>
    <row r="1074" spans="1:23">
      <c r="A1074" s="537" t="s">
        <v>241</v>
      </c>
      <c r="B1074" s="537" t="s">
        <v>242</v>
      </c>
      <c r="C1074" s="537"/>
      <c r="D1074" s="537"/>
      <c r="E1074" s="531"/>
      <c r="F1074" s="301"/>
      <c r="G1074" s="301"/>
      <c r="H1074" s="301"/>
      <c r="I1074" s="301"/>
      <c r="J1074" s="325"/>
      <c r="K1074" s="325"/>
      <c r="L1074" s="301"/>
      <c r="M1074" s="301"/>
      <c r="N1074" s="301"/>
      <c r="O1074" s="301"/>
      <c r="P1074" s="301"/>
      <c r="Q1074" s="325"/>
      <c r="R1074" s="325"/>
      <c r="S1074" s="325"/>
      <c r="T1074" s="532"/>
      <c r="U1074" s="301"/>
      <c r="V1074" s="532"/>
      <c r="W1074" s="532">
        <f>+V1074-'ROR-Model'!G1093</f>
        <v>0</v>
      </c>
    </row>
    <row r="1075" spans="1:23">
      <c r="A1075" s="537"/>
      <c r="B1075" s="537"/>
      <c r="C1075" s="537" t="s">
        <v>542</v>
      </c>
      <c r="D1075" s="537"/>
      <c r="E1075" s="531"/>
      <c r="F1075" s="301">
        <f>'Rate Base'!$AD$133*$F$1</f>
        <v>0</v>
      </c>
      <c r="G1075" s="301"/>
      <c r="H1075" s="301"/>
      <c r="I1075" s="301"/>
      <c r="J1075" s="325"/>
      <c r="K1075" s="325"/>
      <c r="L1075" s="301"/>
      <c r="M1075" s="301"/>
      <c r="N1075" s="301"/>
      <c r="O1075" s="301"/>
      <c r="P1075" s="301"/>
      <c r="Q1075" s="325"/>
      <c r="R1075" s="325"/>
      <c r="S1075" s="325"/>
      <c r="T1075" s="532">
        <f>SUM(F1075:S1075)</f>
        <v>0</v>
      </c>
      <c r="U1075" s="301"/>
      <c r="V1075" s="532">
        <f>SUM(T1075:T1075)</f>
        <v>0</v>
      </c>
      <c r="W1075" s="532">
        <f>+V1075-'ROR-Model'!G1094</f>
        <v>0</v>
      </c>
    </row>
    <row r="1076" spans="1:23">
      <c r="A1076" s="537"/>
      <c r="B1076" s="537"/>
      <c r="C1076" s="537" t="s">
        <v>543</v>
      </c>
      <c r="D1076" s="537"/>
      <c r="E1076" s="531"/>
      <c r="F1076" s="301">
        <f>'Rate Base'!$AD$134*$F$1</f>
        <v>-211518.19041666202</v>
      </c>
      <c r="G1076" s="301"/>
      <c r="H1076" s="301"/>
      <c r="I1076" s="301"/>
      <c r="J1076" s="325"/>
      <c r="K1076" s="325"/>
      <c r="L1076" s="301"/>
      <c r="M1076" s="301"/>
      <c r="N1076" s="301"/>
      <c r="O1076" s="301"/>
      <c r="P1076" s="301"/>
      <c r="Q1076" s="325"/>
      <c r="R1076" s="325"/>
      <c r="S1076" s="325"/>
      <c r="T1076" s="532">
        <f>SUM(F1076:S1076)</f>
        <v>-211518.19041666202</v>
      </c>
      <c r="U1076" s="301"/>
      <c r="V1076" s="532">
        <f>SUM(T1076:T1076)</f>
        <v>-211518.19041666202</v>
      </c>
      <c r="W1076" s="532">
        <f>+V1076-'ROR-Model'!G1095</f>
        <v>0</v>
      </c>
    </row>
    <row r="1077" spans="1:23">
      <c r="A1077" s="537"/>
      <c r="B1077" s="537"/>
      <c r="C1077" s="537" t="s">
        <v>145</v>
      </c>
      <c r="D1077" s="537"/>
      <c r="E1077" s="531"/>
      <c r="F1077" s="301">
        <f>'Rate Base'!$AD$135*$F$1</f>
        <v>-211518.19041666202</v>
      </c>
      <c r="G1077" s="301"/>
      <c r="H1077" s="301"/>
      <c r="I1077" s="301"/>
      <c r="J1077" s="325"/>
      <c r="K1077" s="325"/>
      <c r="L1077" s="301"/>
      <c r="M1077" s="301"/>
      <c r="N1077" s="301"/>
      <c r="O1077" s="301"/>
      <c r="P1077" s="301"/>
      <c r="Q1077" s="325"/>
      <c r="R1077" s="325"/>
      <c r="S1077" s="325"/>
      <c r="T1077" s="532">
        <f>SUM(F1077:S1077)</f>
        <v>-211518.19041666202</v>
      </c>
      <c r="U1077" s="301"/>
      <c r="V1077" s="532">
        <f>SUM(T1077:T1077)</f>
        <v>-211518.19041666202</v>
      </c>
      <c r="W1077" s="532">
        <f>+V1077-'ROR-Model'!G1096</f>
        <v>0</v>
      </c>
    </row>
    <row r="1078" spans="1:23">
      <c r="A1078" s="537"/>
      <c r="B1078" s="537"/>
      <c r="C1078" s="537"/>
      <c r="D1078" s="537"/>
      <c r="E1078" s="531"/>
      <c r="F1078" s="301"/>
      <c r="G1078" s="301"/>
      <c r="H1078" s="301"/>
      <c r="I1078" s="301"/>
      <c r="J1078" s="325"/>
      <c r="K1078" s="325"/>
      <c r="L1078" s="301"/>
      <c r="M1078" s="301"/>
      <c r="N1078" s="301"/>
      <c r="O1078" s="301"/>
      <c r="P1078" s="301"/>
      <c r="Q1078" s="325"/>
      <c r="R1078" s="325"/>
      <c r="S1078" s="325"/>
      <c r="T1078" s="532"/>
      <c r="U1078" s="301"/>
      <c r="V1078" s="532"/>
      <c r="W1078" s="532">
        <f>+V1078-'ROR-Model'!G1097</f>
        <v>0</v>
      </c>
    </row>
    <row r="1079" spans="1:23">
      <c r="A1079" s="537" t="s">
        <v>243</v>
      </c>
      <c r="B1079" s="537" t="s">
        <v>244</v>
      </c>
      <c r="C1079" s="537"/>
      <c r="D1079" s="537"/>
      <c r="E1079" s="531"/>
      <c r="F1079" s="301"/>
      <c r="G1079" s="301"/>
      <c r="H1079" s="301"/>
      <c r="I1079" s="301"/>
      <c r="J1079" s="325"/>
      <c r="K1079" s="325"/>
      <c r="L1079" s="301"/>
      <c r="M1079" s="301"/>
      <c r="N1079" s="301"/>
      <c r="O1079" s="301"/>
      <c r="P1079" s="301"/>
      <c r="Q1079" s="325"/>
      <c r="R1079" s="325"/>
      <c r="S1079" s="325"/>
      <c r="T1079" s="532"/>
      <c r="U1079" s="301"/>
      <c r="V1079" s="532"/>
      <c r="W1079" s="532">
        <f>+V1079-'ROR-Model'!G1098</f>
        <v>0</v>
      </c>
    </row>
    <row r="1080" spans="1:23">
      <c r="A1080" s="537"/>
      <c r="B1080" s="537"/>
      <c r="C1080" s="537" t="s">
        <v>542</v>
      </c>
      <c r="D1080" s="537"/>
      <c r="E1080" s="531"/>
      <c r="F1080" s="301">
        <f>'Rate Base'!$AD$138*$F$1</f>
        <v>-367749.53291666671</v>
      </c>
      <c r="G1080" s="301"/>
      <c r="H1080" s="301"/>
      <c r="I1080" s="301"/>
      <c r="J1080" s="325"/>
      <c r="K1080" s="325"/>
      <c r="L1080" s="301"/>
      <c r="M1080" s="301"/>
      <c r="N1080" s="301"/>
      <c r="O1080" s="301"/>
      <c r="P1080" s="301"/>
      <c r="Q1080" s="325"/>
      <c r="R1080" s="325"/>
      <c r="S1080" s="325"/>
      <c r="T1080" s="532">
        <f>SUM(F1080:S1080)</f>
        <v>-367749.53291666671</v>
      </c>
      <c r="U1080" s="301"/>
      <c r="V1080" s="532">
        <f>SUM(T1080:T1080)</f>
        <v>-367749.53291666671</v>
      </c>
      <c r="W1080" s="532">
        <f>+V1080-'ROR-Model'!G1099</f>
        <v>0</v>
      </c>
    </row>
    <row r="1081" spans="1:23">
      <c r="A1081" s="537"/>
      <c r="B1081" s="537"/>
      <c r="C1081" s="537" t="s">
        <v>543</v>
      </c>
      <c r="D1081" s="537"/>
      <c r="E1081" s="531"/>
      <c r="F1081" s="301">
        <f>'Rate Base'!$AD$139*$F$1</f>
        <v>-689064.40124999732</v>
      </c>
      <c r="G1081" s="301"/>
      <c r="H1081" s="301"/>
      <c r="I1081" s="301"/>
      <c r="J1081" s="325"/>
      <c r="K1081" s="325"/>
      <c r="L1081" s="301"/>
      <c r="M1081" s="301"/>
      <c r="N1081" s="301"/>
      <c r="O1081" s="301"/>
      <c r="P1081" s="301"/>
      <c r="Q1081" s="325"/>
      <c r="R1081" s="325"/>
      <c r="S1081" s="325"/>
      <c r="T1081" s="532">
        <f>SUM(F1081:S1081)</f>
        <v>-689064.40124999732</v>
      </c>
      <c r="U1081" s="301"/>
      <c r="V1081" s="532">
        <f>SUM(T1081:T1081)</f>
        <v>-689064.40124999732</v>
      </c>
      <c r="W1081" s="532">
        <f>+V1081-'ROR-Model'!G1100</f>
        <v>0</v>
      </c>
    </row>
    <row r="1082" spans="1:23">
      <c r="A1082" s="537"/>
      <c r="B1082" s="537"/>
      <c r="C1082" s="537" t="s">
        <v>544</v>
      </c>
      <c r="D1082" s="537"/>
      <c r="E1082" s="531"/>
      <c r="F1082" s="301">
        <f>'Rate Base'!$AD$140*$F$1</f>
        <v>0</v>
      </c>
      <c r="G1082" s="301"/>
      <c r="H1082" s="301"/>
      <c r="I1082" s="301"/>
      <c r="J1082" s="325"/>
      <c r="K1082" s="325"/>
      <c r="L1082" s="301"/>
      <c r="M1082" s="301"/>
      <c r="N1082" s="301"/>
      <c r="O1082" s="301"/>
      <c r="P1082" s="301"/>
      <c r="Q1082" s="325"/>
      <c r="R1082" s="325"/>
      <c r="S1082" s="325"/>
      <c r="T1082" s="532">
        <f>SUM(F1082:S1082)</f>
        <v>0</v>
      </c>
      <c r="U1082" s="301"/>
      <c r="V1082" s="532">
        <f>SUM(T1082:T1082)</f>
        <v>0</v>
      </c>
      <c r="W1082" s="532">
        <f>+V1082-'ROR-Model'!G1101</f>
        <v>0</v>
      </c>
    </row>
    <row r="1083" spans="1:23">
      <c r="A1083" s="537"/>
      <c r="B1083" s="537"/>
      <c r="C1083" s="537" t="s">
        <v>145</v>
      </c>
      <c r="D1083" s="537"/>
      <c r="E1083" s="531"/>
      <c r="F1083" s="301">
        <f>'Rate Base'!$AD$141*$F$1</f>
        <v>-1056813.9341666643</v>
      </c>
      <c r="G1083" s="301"/>
      <c r="H1083" s="301"/>
      <c r="I1083" s="301"/>
      <c r="J1083" s="325"/>
      <c r="K1083" s="325"/>
      <c r="L1083" s="301"/>
      <c r="M1083" s="301"/>
      <c r="N1083" s="301"/>
      <c r="O1083" s="301"/>
      <c r="P1083" s="301"/>
      <c r="Q1083" s="325"/>
      <c r="R1083" s="325"/>
      <c r="S1083" s="325"/>
      <c r="T1083" s="532">
        <f>SUM(F1083:S1083)</f>
        <v>-1056813.9341666643</v>
      </c>
      <c r="U1083" s="301"/>
      <c r="V1083" s="532">
        <f>SUM(T1083:T1083)</f>
        <v>-1056813.9341666643</v>
      </c>
      <c r="W1083" s="532">
        <f>+V1083-'ROR-Model'!G1102</f>
        <v>0</v>
      </c>
    </row>
    <row r="1084" spans="1:23">
      <c r="A1084" s="537"/>
      <c r="B1084" s="537"/>
      <c r="C1084" s="537"/>
      <c r="D1084" s="537"/>
      <c r="E1084" s="531"/>
      <c r="F1084" s="301"/>
      <c r="G1084" s="301"/>
      <c r="H1084" s="301"/>
      <c r="I1084" s="301"/>
      <c r="J1084" s="325"/>
      <c r="K1084" s="325"/>
      <c r="L1084" s="301"/>
      <c r="M1084" s="301"/>
      <c r="N1084" s="301"/>
      <c r="O1084" s="301"/>
      <c r="P1084" s="301"/>
      <c r="Q1084" s="325"/>
      <c r="R1084" s="325"/>
      <c r="S1084" s="325"/>
      <c r="T1084" s="532"/>
      <c r="U1084" s="301"/>
      <c r="V1084" s="532"/>
      <c r="W1084" s="532">
        <f>+V1084-'ROR-Model'!G1103</f>
        <v>0</v>
      </c>
    </row>
    <row r="1085" spans="1:23">
      <c r="A1085" s="537"/>
      <c r="B1085" s="537" t="s">
        <v>245</v>
      </c>
      <c r="C1085" s="537"/>
      <c r="D1085" s="537"/>
      <c r="E1085" s="531"/>
      <c r="F1085" s="301">
        <f>(F1083+F1077+F1072+F1066+F1060+F1054+F1049+F1043+F1037+F1031+F952)*F1</f>
        <v>-17747769.578333352</v>
      </c>
      <c r="G1085" s="301">
        <f t="shared" ref="G1085:S1085" si="211">(G1083+G1077+G1072+G1066+G1060+G1054+G1049+G1043+G1037+G1031)*G1</f>
        <v>0</v>
      </c>
      <c r="H1085" s="301">
        <f t="shared" si="211"/>
        <v>0</v>
      </c>
      <c r="I1085" s="301">
        <f t="shared" si="211"/>
        <v>0</v>
      </c>
      <c r="J1085" s="301">
        <f>(J1083+J1077+J1072+J1066+J1060+J1054+J1049+J1043+J1037+J1031)*J1</f>
        <v>0</v>
      </c>
      <c r="K1085" s="301">
        <f t="shared" ref="K1085" si="212">(K1083+K1077+K1072+K1066+K1060+K1054+K1049+K1043+K1037+K1031)*K1</f>
        <v>0</v>
      </c>
      <c r="L1085" s="301">
        <f t="shared" si="211"/>
        <v>0</v>
      </c>
      <c r="M1085" s="301">
        <f t="shared" si="211"/>
        <v>0</v>
      </c>
      <c r="N1085" s="301">
        <f t="shared" si="211"/>
        <v>0</v>
      </c>
      <c r="O1085" s="301">
        <f t="shared" si="211"/>
        <v>0</v>
      </c>
      <c r="P1085" s="301">
        <f t="shared" si="211"/>
        <v>0</v>
      </c>
      <c r="Q1085" s="301">
        <f t="shared" si="211"/>
        <v>0</v>
      </c>
      <c r="R1085" s="301">
        <f t="shared" ref="R1085" si="213">(R1083+R1077+R1072+R1066+R1060+R1054+R1049+R1043+R1037+R1031)*R1</f>
        <v>0</v>
      </c>
      <c r="S1085" s="301">
        <f t="shared" si="211"/>
        <v>0</v>
      </c>
      <c r="T1085" s="532">
        <f>SUM(F1085:S1085)</f>
        <v>-17747769.578333352</v>
      </c>
      <c r="U1085" s="301"/>
      <c r="V1085" s="532">
        <f>SUM(T1085:T1085)</f>
        <v>-17747769.578333352</v>
      </c>
      <c r="W1085" s="532">
        <f>+V1085-'ROR-Model'!G1104</f>
        <v>0</v>
      </c>
    </row>
    <row r="1086" spans="1:23">
      <c r="A1086" s="535"/>
      <c r="B1086" s="534"/>
      <c r="C1086" s="534"/>
      <c r="D1086" s="534"/>
      <c r="E1086" s="531"/>
      <c r="F1086" s="301"/>
      <c r="G1086" s="301"/>
      <c r="H1086" s="301"/>
      <c r="I1086" s="301"/>
      <c r="J1086" s="325"/>
      <c r="K1086" s="325"/>
      <c r="L1086" s="301"/>
      <c r="M1086" s="301"/>
      <c r="N1086" s="301"/>
      <c r="O1086" s="301"/>
      <c r="P1086" s="301"/>
      <c r="Q1086" s="325"/>
      <c r="R1086" s="325"/>
      <c r="S1086" s="325"/>
      <c r="T1086" s="532"/>
      <c r="U1086" s="301"/>
      <c r="V1086" s="532"/>
      <c r="W1086" s="532">
        <f>+V1086-'ROR-Model'!G1105</f>
        <v>0</v>
      </c>
    </row>
    <row r="1087" spans="1:23">
      <c r="A1087" s="543">
        <v>101</v>
      </c>
      <c r="B1087" s="277" t="s">
        <v>606</v>
      </c>
      <c r="C1087" s="534"/>
      <c r="D1087" s="534"/>
      <c r="E1087" s="531"/>
      <c r="F1087" s="301"/>
      <c r="G1087" s="301"/>
      <c r="H1087" s="301"/>
      <c r="I1087" s="301"/>
      <c r="J1087" s="325"/>
      <c r="K1087" s="325"/>
      <c r="L1087" s="301"/>
      <c r="M1087" s="301"/>
      <c r="N1087" s="301"/>
      <c r="O1087" s="301"/>
      <c r="P1087" s="301"/>
      <c r="Q1087" s="325"/>
      <c r="R1087" s="325"/>
      <c r="S1087" s="325"/>
      <c r="T1087" s="532"/>
      <c r="U1087" s="301"/>
      <c r="V1087" s="532"/>
      <c r="W1087" s="532">
        <f>+V1087-'ROR-Model'!G1106</f>
        <v>0</v>
      </c>
    </row>
    <row r="1088" spans="1:23">
      <c r="A1088" s="543"/>
      <c r="B1088" s="534"/>
      <c r="C1088" s="534" t="s">
        <v>399</v>
      </c>
      <c r="D1088" s="534"/>
      <c r="E1088" s="531"/>
      <c r="F1088" s="301">
        <f t="shared" ref="F1088:S1088" si="214">+F964*F1</f>
        <v>0</v>
      </c>
      <c r="G1088" s="301">
        <f t="shared" si="214"/>
        <v>0</v>
      </c>
      <c r="H1088" s="301">
        <f t="shared" si="214"/>
        <v>0</v>
      </c>
      <c r="I1088" s="301">
        <f t="shared" si="214"/>
        <v>-5037992.5680000009</v>
      </c>
      <c r="J1088" s="301">
        <f>+J964*J1</f>
        <v>0</v>
      </c>
      <c r="K1088" s="301">
        <f t="shared" ref="K1088" si="215">+K964*K1</f>
        <v>0</v>
      </c>
      <c r="L1088" s="301">
        <f t="shared" si="214"/>
        <v>0</v>
      </c>
      <c r="M1088" s="301">
        <f t="shared" si="214"/>
        <v>0</v>
      </c>
      <c r="N1088" s="301">
        <f t="shared" si="214"/>
        <v>0</v>
      </c>
      <c r="O1088" s="301">
        <f t="shared" si="214"/>
        <v>0</v>
      </c>
      <c r="P1088" s="301">
        <f t="shared" si="214"/>
        <v>0</v>
      </c>
      <c r="Q1088" s="301">
        <f t="shared" si="214"/>
        <v>0</v>
      </c>
      <c r="R1088" s="301">
        <f t="shared" ref="R1088" si="216">+R964*R1</f>
        <v>0</v>
      </c>
      <c r="S1088" s="301">
        <f t="shared" si="214"/>
        <v>0</v>
      </c>
      <c r="T1088" s="532">
        <f>SUM(F1088:S1088)</f>
        <v>-5037992.5680000009</v>
      </c>
      <c r="U1088" s="301"/>
      <c r="V1088" s="532">
        <f>SUM(T1088:T1088)</f>
        <v>-5037992.5680000009</v>
      </c>
      <c r="W1088" s="532">
        <f>+V1088-'ROR-Model'!G1108</f>
        <v>0</v>
      </c>
    </row>
    <row r="1089" spans="1:23">
      <c r="A1089" s="543"/>
      <c r="B1089" s="534"/>
      <c r="C1089" s="534" t="s">
        <v>542</v>
      </c>
      <c r="D1089" s="534"/>
      <c r="E1089" s="531"/>
      <c r="F1089" s="611">
        <f>(+F950+F978+F983+F991+F999+F1004+F1009+F1014+F1019+F1024)*F1</f>
        <v>-1565373.2104166583</v>
      </c>
      <c r="G1089" s="301">
        <f t="shared" ref="G1089:S1089" si="217">(+G950+G978+G983+G991+G999+G1004+G1009+G1014+G1019+G1024)*G1</f>
        <v>0</v>
      </c>
      <c r="H1089" s="301">
        <f t="shared" si="217"/>
        <v>0</v>
      </c>
      <c r="I1089" s="301">
        <f t="shared" si="217"/>
        <v>0</v>
      </c>
      <c r="J1089" s="301">
        <f>(+J950+J978+J983+J991+J999+J1004+J1009+J1014+J1019+J1024)*J1</f>
        <v>0</v>
      </c>
      <c r="K1089" s="301">
        <f t="shared" ref="K1089" si="218">(+K950+K978+K983+K991+K999+K1004+K1009+K1014+K1019+K1024)*K1</f>
        <v>0</v>
      </c>
      <c r="L1089" s="301">
        <f t="shared" si="217"/>
        <v>0</v>
      </c>
      <c r="M1089" s="301">
        <f t="shared" si="217"/>
        <v>0</v>
      </c>
      <c r="N1089" s="301">
        <f t="shared" si="217"/>
        <v>0</v>
      </c>
      <c r="O1089" s="301">
        <f t="shared" si="217"/>
        <v>0</v>
      </c>
      <c r="P1089" s="301">
        <f t="shared" si="217"/>
        <v>0</v>
      </c>
      <c r="Q1089" s="301">
        <f t="shared" si="217"/>
        <v>0</v>
      </c>
      <c r="R1089" s="301">
        <f t="shared" ref="R1089" si="219">(+R950+R978+R983+R991+R999+R1004+R1009+R1014+R1019+R1024)*R1</f>
        <v>0</v>
      </c>
      <c r="S1089" s="301">
        <f t="shared" si="217"/>
        <v>0</v>
      </c>
      <c r="T1089" s="532">
        <f>SUM(F1089:S1089)</f>
        <v>-1565373.2104166583</v>
      </c>
      <c r="U1089" s="301"/>
      <c r="V1089" s="532">
        <f>SUM(T1089:T1089)</f>
        <v>-1565373.2104166583</v>
      </c>
      <c r="W1089" s="532">
        <f>+V1089-'ROR-Model'!G1109</f>
        <v>0</v>
      </c>
    </row>
    <row r="1090" spans="1:23">
      <c r="A1090" s="543"/>
      <c r="B1090" s="534"/>
      <c r="C1090" s="534" t="s">
        <v>543</v>
      </c>
      <c r="D1090" s="534"/>
      <c r="E1090" s="531"/>
      <c r="F1090" s="301">
        <f t="shared" ref="F1090:S1090" si="220">(+F951+F979+F984+F995+F1000+F1005+F1010+F1015+F1020+F1025)*F1</f>
        <v>-87306299.6612501</v>
      </c>
      <c r="G1090" s="301">
        <f t="shared" si="220"/>
        <v>0</v>
      </c>
      <c r="H1090" s="301">
        <f t="shared" si="220"/>
        <v>0</v>
      </c>
      <c r="I1090" s="301">
        <f t="shared" si="220"/>
        <v>0</v>
      </c>
      <c r="J1090" s="301">
        <f>(+J951+J979+J984+J995+J1000+J1005+J1010+J1015+J1020+J1025)*J1</f>
        <v>0</v>
      </c>
      <c r="K1090" s="301">
        <f t="shared" ref="K1090" si="221">(+K951+K979+K984+K995+K1000+K1005+K1010+K1015+K1020+K1025)*K1</f>
        <v>0</v>
      </c>
      <c r="L1090" s="301">
        <f t="shared" si="220"/>
        <v>0</v>
      </c>
      <c r="M1090" s="301">
        <f t="shared" si="220"/>
        <v>0</v>
      </c>
      <c r="N1090" s="301">
        <f t="shared" si="220"/>
        <v>0</v>
      </c>
      <c r="O1090" s="301">
        <f t="shared" si="220"/>
        <v>0</v>
      </c>
      <c r="P1090" s="301">
        <f t="shared" si="220"/>
        <v>0</v>
      </c>
      <c r="Q1090" s="301">
        <f t="shared" si="220"/>
        <v>0</v>
      </c>
      <c r="R1090" s="301">
        <f t="shared" ref="R1090" si="222">(+R951+R979+R984+R995+R1000+R1005+R1010+R1015+R1020+R1025)*R1</f>
        <v>0</v>
      </c>
      <c r="S1090" s="301">
        <f t="shared" si="220"/>
        <v>0</v>
      </c>
      <c r="T1090" s="532">
        <f>SUM(F1090:S1090)</f>
        <v>-87306299.6612501</v>
      </c>
      <c r="U1090" s="301"/>
      <c r="V1090" s="532">
        <f>SUM(T1090:T1090)</f>
        <v>-87306299.6612501</v>
      </c>
      <c r="W1090" s="532">
        <f>+V1090-'ROR-Model'!G1110</f>
        <v>0</v>
      </c>
    </row>
    <row r="1091" spans="1:23">
      <c r="A1091" s="543"/>
      <c r="B1091" s="534"/>
      <c r="C1091" s="534" t="s">
        <v>544</v>
      </c>
      <c r="D1091" s="534"/>
      <c r="E1091" s="531"/>
      <c r="F1091" s="301">
        <f t="shared" ref="F1091:S1091" si="223">+F1085*F1</f>
        <v>-17747769.578333352</v>
      </c>
      <c r="G1091" s="301">
        <f t="shared" si="223"/>
        <v>0</v>
      </c>
      <c r="H1091" s="301">
        <f t="shared" si="223"/>
        <v>0</v>
      </c>
      <c r="I1091" s="301">
        <f t="shared" si="223"/>
        <v>0</v>
      </c>
      <c r="J1091" s="301">
        <f>+J1085*J1</f>
        <v>0</v>
      </c>
      <c r="K1091" s="301">
        <f t="shared" ref="K1091" si="224">+K1085*K1</f>
        <v>0</v>
      </c>
      <c r="L1091" s="301">
        <f t="shared" si="223"/>
        <v>0</v>
      </c>
      <c r="M1091" s="301">
        <f t="shared" si="223"/>
        <v>0</v>
      </c>
      <c r="N1091" s="301">
        <f t="shared" si="223"/>
        <v>0</v>
      </c>
      <c r="O1091" s="301">
        <f t="shared" si="223"/>
        <v>0</v>
      </c>
      <c r="P1091" s="301">
        <f t="shared" si="223"/>
        <v>0</v>
      </c>
      <c r="Q1091" s="301">
        <f t="shared" si="223"/>
        <v>0</v>
      </c>
      <c r="R1091" s="301">
        <f t="shared" ref="R1091" si="225">+R1085*R1</f>
        <v>0</v>
      </c>
      <c r="S1091" s="301">
        <f t="shared" si="223"/>
        <v>0</v>
      </c>
      <c r="T1091" s="532">
        <f>SUM(F1091:S1091)</f>
        <v>-17747769.578333352</v>
      </c>
      <c r="U1091" s="301"/>
      <c r="V1091" s="532">
        <f>SUM(T1091:T1091)</f>
        <v>-17747769.578333352</v>
      </c>
      <c r="W1091" s="532">
        <f>+V1091-'ROR-Model'!G1111</f>
        <v>0</v>
      </c>
    </row>
    <row r="1092" spans="1:23">
      <c r="A1092" s="543"/>
      <c r="B1092" s="534"/>
      <c r="C1092" s="277" t="s">
        <v>606</v>
      </c>
      <c r="D1092" s="534"/>
      <c r="E1092" s="531"/>
      <c r="F1092" s="323">
        <f>SUM(F1088:F1091)</f>
        <v>-106619442.45000011</v>
      </c>
      <c r="G1092" s="323">
        <f t="shared" ref="G1092:L1092" si="226">SUM(G1088:G1091)</f>
        <v>0</v>
      </c>
      <c r="H1092" s="323">
        <f>SUM(H1088:H1091)</f>
        <v>0</v>
      </c>
      <c r="I1092" s="323">
        <f t="shared" si="226"/>
        <v>-5037992.5680000009</v>
      </c>
      <c r="J1092" s="323">
        <f>SUM(J1088:J1091)</f>
        <v>0</v>
      </c>
      <c r="K1092" s="323">
        <f>SUM(K1088:K1091)</f>
        <v>0</v>
      </c>
      <c r="L1092" s="323">
        <f t="shared" si="226"/>
        <v>0</v>
      </c>
      <c r="M1092" s="323">
        <f t="shared" ref="M1092:Q1092" si="227">SUM(M1088:M1091)</f>
        <v>0</v>
      </c>
      <c r="N1092" s="323">
        <f t="shared" si="227"/>
        <v>0</v>
      </c>
      <c r="O1092" s="323">
        <f t="shared" si="227"/>
        <v>0</v>
      </c>
      <c r="P1092" s="323">
        <f t="shared" si="227"/>
        <v>0</v>
      </c>
      <c r="Q1092" s="323">
        <f t="shared" si="227"/>
        <v>0</v>
      </c>
      <c r="R1092" s="323">
        <f>SUM(R1088:R1091)</f>
        <v>0</v>
      </c>
      <c r="S1092" s="323">
        <f>SUM(S1088:S1091)</f>
        <v>0</v>
      </c>
      <c r="T1092" s="741">
        <f>SUM(T1088:T1091)</f>
        <v>-111657435.01800011</v>
      </c>
      <c r="U1092" s="323"/>
      <c r="V1092" s="536">
        <f>SUM(V1088:V1091)</f>
        <v>-111657435.01800011</v>
      </c>
      <c r="W1092" s="536">
        <f>+V1092-'ROR-Model'!G1112</f>
        <v>0</v>
      </c>
    </row>
    <row r="1093" spans="1:23">
      <c r="A1093" s="543"/>
      <c r="B1093" s="534"/>
      <c r="C1093" s="534"/>
      <c r="D1093" s="534"/>
      <c r="E1093" s="531"/>
      <c r="F1093" s="301"/>
      <c r="G1093" s="301"/>
      <c r="H1093" s="301"/>
      <c r="I1093" s="301"/>
      <c r="J1093" s="325"/>
      <c r="K1093" s="325"/>
      <c r="L1093" s="301"/>
      <c r="M1093" s="301"/>
      <c r="N1093" s="301"/>
      <c r="O1093" s="301"/>
      <c r="P1093" s="301"/>
      <c r="Q1093" s="325"/>
      <c r="R1093" s="325"/>
      <c r="S1093" s="325"/>
      <c r="T1093" s="532"/>
      <c r="U1093" s="301"/>
      <c r="V1093" s="532"/>
      <c r="W1093" s="532">
        <f>+V1093-'ROR-Model'!G1113</f>
        <v>0</v>
      </c>
    </row>
    <row r="1094" spans="1:23">
      <c r="A1094" s="543">
        <v>105</v>
      </c>
      <c r="B1094" s="534" t="s">
        <v>265</v>
      </c>
      <c r="C1094" s="534"/>
      <c r="D1094" s="534"/>
      <c r="F1094" s="301"/>
      <c r="G1094" s="301"/>
      <c r="H1094" s="301"/>
      <c r="I1094" s="301"/>
      <c r="J1094" s="325"/>
      <c r="K1094" s="325"/>
      <c r="L1094" s="301"/>
      <c r="M1094" s="301"/>
      <c r="N1094" s="301"/>
      <c r="O1094" s="301"/>
      <c r="P1094" s="301"/>
      <c r="Q1094" s="325"/>
      <c r="R1094" s="325"/>
      <c r="S1094" s="325"/>
      <c r="T1094" s="532"/>
      <c r="U1094" s="301"/>
      <c r="V1094" s="532"/>
      <c r="W1094" s="532">
        <f>+V1094-'ROR-Model'!G1114</f>
        <v>0</v>
      </c>
    </row>
    <row r="1095" spans="1:23">
      <c r="A1095" s="543"/>
      <c r="B1095" s="534"/>
      <c r="C1095" s="534" t="s">
        <v>543</v>
      </c>
      <c r="D1095" s="534"/>
      <c r="E1095" s="531"/>
      <c r="F1095" s="301">
        <f>'Rate Base'!$AD$153*F1</f>
        <v>0</v>
      </c>
      <c r="G1095" s="301"/>
      <c r="H1095" s="301"/>
      <c r="I1095" s="301"/>
      <c r="J1095" s="325"/>
      <c r="K1095" s="325"/>
      <c r="L1095" s="301"/>
      <c r="M1095" s="301"/>
      <c r="N1095" s="301"/>
      <c r="O1095" s="301"/>
      <c r="P1095" s="301"/>
      <c r="Q1095" s="325"/>
      <c r="R1095" s="325"/>
      <c r="S1095" s="325"/>
      <c r="T1095" s="532">
        <f>SUM(F1095:S1095)</f>
        <v>0</v>
      </c>
      <c r="U1095" s="301"/>
      <c r="V1095" s="532">
        <f>SUM(T1095:T1095)</f>
        <v>0</v>
      </c>
      <c r="W1095" s="532">
        <f>+V1095-'ROR-Model'!G1115</f>
        <v>0</v>
      </c>
    </row>
    <row r="1096" spans="1:23">
      <c r="A1096" s="543"/>
      <c r="B1096" s="534"/>
      <c r="C1096" s="534" t="s">
        <v>145</v>
      </c>
      <c r="D1096" s="534"/>
      <c r="E1096" s="531"/>
      <c r="F1096" s="323">
        <f>SUM(F1095)</f>
        <v>0</v>
      </c>
      <c r="G1096" s="323"/>
      <c r="H1096" s="323">
        <f>SUM(H1095)</f>
        <v>0</v>
      </c>
      <c r="I1096" s="323">
        <f t="shared" ref="I1096:Q1096" si="228">SUM(I1095)</f>
        <v>0</v>
      </c>
      <c r="J1096" s="476">
        <f>SUM(J1095)</f>
        <v>0</v>
      </c>
      <c r="K1096" s="476">
        <f>SUM(K1095)</f>
        <v>0</v>
      </c>
      <c r="L1096" s="323">
        <f t="shared" si="228"/>
        <v>0</v>
      </c>
      <c r="M1096" s="323">
        <f t="shared" si="228"/>
        <v>0</v>
      </c>
      <c r="N1096" s="323">
        <f t="shared" si="228"/>
        <v>0</v>
      </c>
      <c r="O1096" s="323">
        <f t="shared" si="228"/>
        <v>0</v>
      </c>
      <c r="P1096" s="323">
        <f t="shared" si="228"/>
        <v>0</v>
      </c>
      <c r="Q1096" s="476">
        <f t="shared" si="228"/>
        <v>0</v>
      </c>
      <c r="R1096" s="476">
        <f>SUM(R1095)</f>
        <v>0</v>
      </c>
      <c r="S1096" s="476">
        <f>SUM(S1095)</f>
        <v>0</v>
      </c>
      <c r="T1096" s="536">
        <f>SUM(T1095)</f>
        <v>0</v>
      </c>
      <c r="U1096" s="323"/>
      <c r="V1096" s="536">
        <f>SUM(V1095)</f>
        <v>0</v>
      </c>
      <c r="W1096" s="536">
        <f>+V1096-'ROR-Model'!G1116</f>
        <v>0</v>
      </c>
    </row>
    <row r="1097" spans="1:23">
      <c r="A1097" s="543"/>
      <c r="B1097" s="534"/>
      <c r="C1097" s="534"/>
      <c r="D1097" s="534"/>
      <c r="E1097" s="531"/>
      <c r="F1097" s="301"/>
      <c r="G1097" s="301"/>
      <c r="H1097" s="301"/>
      <c r="I1097" s="301"/>
      <c r="J1097" s="325"/>
      <c r="K1097" s="325"/>
      <c r="L1097" s="301"/>
      <c r="M1097" s="301"/>
      <c r="N1097" s="301"/>
      <c r="O1097" s="301"/>
      <c r="P1097" s="301"/>
      <c r="Q1097" s="325"/>
      <c r="R1097" s="325"/>
      <c r="S1097" s="325"/>
      <c r="T1097" s="532"/>
      <c r="U1097" s="301"/>
      <c r="V1097" s="532"/>
      <c r="W1097" s="532">
        <f>+V1097-'ROR-Model'!G1117</f>
        <v>0</v>
      </c>
    </row>
    <row r="1098" spans="1:23">
      <c r="A1098" s="543">
        <v>106</v>
      </c>
      <c r="B1098" s="534" t="s">
        <v>607</v>
      </c>
      <c r="C1098" s="534"/>
      <c r="D1098" s="534"/>
      <c r="E1098" s="531"/>
      <c r="F1098" s="301"/>
      <c r="G1098" s="301"/>
      <c r="H1098" s="301"/>
      <c r="I1098" s="301"/>
      <c r="J1098" s="325"/>
      <c r="K1098" s="325"/>
      <c r="L1098" s="301"/>
      <c r="M1098" s="301"/>
      <c r="N1098" s="301"/>
      <c r="O1098" s="301"/>
      <c r="P1098" s="301"/>
      <c r="Q1098" s="325"/>
      <c r="R1098" s="325"/>
      <c r="S1098" s="325"/>
      <c r="T1098" s="532"/>
      <c r="U1098" s="301"/>
      <c r="V1098" s="532"/>
      <c r="W1098" s="532">
        <f>+V1098-'ROR-Model'!G1118</f>
        <v>0</v>
      </c>
    </row>
    <row r="1099" spans="1:23">
      <c r="A1099" s="543"/>
      <c r="B1099" s="534"/>
      <c r="C1099" s="534" t="s">
        <v>399</v>
      </c>
      <c r="D1099" s="534"/>
      <c r="E1099" s="531"/>
      <c r="F1099" s="301">
        <f>'Rate Base'!$AD$157*F1</f>
        <v>0</v>
      </c>
      <c r="G1099" s="301"/>
      <c r="H1099" s="301"/>
      <c r="I1099" s="301"/>
      <c r="J1099" s="325"/>
      <c r="K1099" s="325"/>
      <c r="L1099" s="301"/>
      <c r="M1099" s="301"/>
      <c r="N1099" s="301"/>
      <c r="O1099" s="301"/>
      <c r="P1099" s="301"/>
      <c r="Q1099" s="325"/>
      <c r="R1099" s="325"/>
      <c r="S1099" s="325"/>
      <c r="T1099" s="532">
        <f>SUM(F1099:S1099)</f>
        <v>0</v>
      </c>
      <c r="U1099" s="301"/>
      <c r="V1099" s="532">
        <f>SUM(T1099:T1099)</f>
        <v>0</v>
      </c>
      <c r="W1099" s="532">
        <f>+V1099-'ROR-Model'!G1119</f>
        <v>0</v>
      </c>
    </row>
    <row r="1100" spans="1:23">
      <c r="A1100" s="543"/>
      <c r="B1100" s="534"/>
      <c r="C1100" s="534" t="s">
        <v>542</v>
      </c>
      <c r="D1100" s="534"/>
      <c r="E1100" s="531"/>
      <c r="F1100" s="301">
        <f>'Rate Base'!$AD$158*F1</f>
        <v>-119087.91708333325</v>
      </c>
      <c r="G1100" s="301"/>
      <c r="H1100" s="301"/>
      <c r="I1100" s="301"/>
      <c r="J1100" s="325"/>
      <c r="K1100" s="325"/>
      <c r="L1100" s="301"/>
      <c r="M1100" s="301"/>
      <c r="N1100" s="301"/>
      <c r="O1100" s="301"/>
      <c r="P1100" s="301"/>
      <c r="Q1100" s="325"/>
      <c r="R1100" s="325"/>
      <c r="S1100" s="325"/>
      <c r="T1100" s="532">
        <f>SUM(F1100:S1100)</f>
        <v>-119087.91708333325</v>
      </c>
      <c r="U1100" s="301"/>
      <c r="V1100" s="532">
        <f>SUM(T1100:T1100)</f>
        <v>-119087.91708333325</v>
      </c>
      <c r="W1100" s="532">
        <f>+V1100-'ROR-Model'!G1120</f>
        <v>0</v>
      </c>
    </row>
    <row r="1101" spans="1:23">
      <c r="A1101" s="543"/>
      <c r="B1101" s="534"/>
      <c r="C1101" s="534" t="s">
        <v>543</v>
      </c>
      <c r="D1101" s="534"/>
      <c r="E1101" s="531"/>
      <c r="F1101" s="301">
        <f>'Rate Base'!$AD$159*F1</f>
        <v>-149461609.18666661</v>
      </c>
      <c r="G1101" s="301"/>
      <c r="H1101" s="301"/>
      <c r="I1101" s="301"/>
      <c r="J1101" s="325"/>
      <c r="K1101" s="325"/>
      <c r="L1101" s="301"/>
      <c r="M1101" s="301"/>
      <c r="N1101" s="301"/>
      <c r="O1101" s="301"/>
      <c r="P1101" s="301"/>
      <c r="Q1101" s="325"/>
      <c r="R1101" s="325"/>
      <c r="S1101" s="325"/>
      <c r="T1101" s="532">
        <f>SUM(F1101:S1101)</f>
        <v>-149461609.18666661</v>
      </c>
      <c r="U1101" s="301"/>
      <c r="V1101" s="532">
        <f>SUM(T1101:T1101)</f>
        <v>-149461609.18666661</v>
      </c>
      <c r="W1101" s="532">
        <f>+V1101-'ROR-Model'!G1121</f>
        <v>0</v>
      </c>
    </row>
    <row r="1102" spans="1:23">
      <c r="A1102" s="543"/>
      <c r="B1102" s="534"/>
      <c r="C1102" s="534" t="s">
        <v>544</v>
      </c>
      <c r="D1102" s="534"/>
      <c r="E1102" s="531"/>
      <c r="F1102" s="301">
        <f>'Rate Base'!$AD$160*F1</f>
        <v>4735096.2866666652</v>
      </c>
      <c r="G1102" s="301"/>
      <c r="H1102" s="301"/>
      <c r="I1102" s="301"/>
      <c r="J1102" s="325"/>
      <c r="K1102" s="325"/>
      <c r="L1102" s="301"/>
      <c r="M1102" s="301">
        <f>Incentive!D22*M1</f>
        <v>-825341.03987660247</v>
      </c>
      <c r="N1102" s="301"/>
      <c r="O1102" s="301"/>
      <c r="P1102" s="301"/>
      <c r="Q1102" s="325"/>
      <c r="R1102" s="325"/>
      <c r="S1102" s="325"/>
      <c r="T1102" s="532">
        <f>SUM(F1102:S1102)</f>
        <v>3909755.2467900626</v>
      </c>
      <c r="U1102" s="301"/>
      <c r="V1102" s="532">
        <f>SUM(T1102:T1102)</f>
        <v>3909755.2467900626</v>
      </c>
      <c r="W1102" s="532">
        <f>+V1102-'ROR-Model'!G1122</f>
        <v>0</v>
      </c>
    </row>
    <row r="1103" spans="1:23">
      <c r="A1103" s="543"/>
      <c r="B1103" s="534"/>
      <c r="C1103" s="534" t="s">
        <v>145</v>
      </c>
      <c r="D1103" s="534"/>
      <c r="E1103" s="531"/>
      <c r="F1103" s="323">
        <f>SUM(F1099:F1102)</f>
        <v>-144845600.81708327</v>
      </c>
      <c r="G1103" s="323"/>
      <c r="H1103" s="323">
        <f>SUM(H1099:H1102)</f>
        <v>0</v>
      </c>
      <c r="I1103" s="323">
        <f t="shared" ref="I1103:Q1103" si="229">SUM(I1099:I1102)</f>
        <v>0</v>
      </c>
      <c r="J1103" s="476">
        <f>SUM(J1099:J1102)</f>
        <v>0</v>
      </c>
      <c r="K1103" s="476">
        <f>SUM(K1099:K1102)</f>
        <v>0</v>
      </c>
      <c r="L1103" s="323">
        <f t="shared" si="229"/>
        <v>0</v>
      </c>
      <c r="M1103" s="323">
        <f t="shared" si="229"/>
        <v>-825341.03987660247</v>
      </c>
      <c r="N1103" s="323">
        <f t="shared" si="229"/>
        <v>0</v>
      </c>
      <c r="O1103" s="323">
        <f t="shared" si="229"/>
        <v>0</v>
      </c>
      <c r="P1103" s="323">
        <f t="shared" si="229"/>
        <v>0</v>
      </c>
      <c r="Q1103" s="476">
        <f t="shared" si="229"/>
        <v>0</v>
      </c>
      <c r="R1103" s="476">
        <f>SUM(R1099:R1102)</f>
        <v>0</v>
      </c>
      <c r="S1103" s="476">
        <f>SUM(S1099:S1102)</f>
        <v>0</v>
      </c>
      <c r="T1103" s="536">
        <f>SUM(T1099:T1102)</f>
        <v>-145670941.85695988</v>
      </c>
      <c r="U1103" s="323"/>
      <c r="V1103" s="536">
        <f>SUM(V1099:V1102)</f>
        <v>-145670941.85695988</v>
      </c>
      <c r="W1103" s="536">
        <f>+V1103-'ROR-Model'!G1123</f>
        <v>0</v>
      </c>
    </row>
    <row r="1104" spans="1:23">
      <c r="A1104" s="543"/>
      <c r="B1104" s="534"/>
      <c r="C1104" s="534"/>
      <c r="D1104" s="534"/>
      <c r="E1104" s="531"/>
      <c r="F1104" s="301"/>
      <c r="G1104" s="301"/>
      <c r="H1104" s="301"/>
      <c r="I1104" s="301"/>
      <c r="J1104" s="325"/>
      <c r="K1104" s="325"/>
      <c r="L1104" s="301"/>
      <c r="M1104" s="301"/>
      <c r="N1104" s="301"/>
      <c r="O1104" s="301"/>
      <c r="P1104" s="301"/>
      <c r="Q1104" s="325"/>
      <c r="R1104" s="325"/>
      <c r="S1104" s="325"/>
      <c r="T1104" s="532"/>
      <c r="U1104" s="301"/>
      <c r="V1104" s="532"/>
      <c r="W1104" s="532">
        <f>+V1104-'ROR-Model'!G1124</f>
        <v>0</v>
      </c>
    </row>
    <row r="1105" spans="1:23">
      <c r="A1105" s="543">
        <v>108</v>
      </c>
      <c r="B1105" s="534" t="s">
        <v>608</v>
      </c>
      <c r="C1105" s="534"/>
      <c r="D1105" s="534"/>
      <c r="E1105" s="531"/>
      <c r="F1105" s="301"/>
      <c r="G1105" s="301"/>
      <c r="H1105" s="301"/>
      <c r="I1105" s="301"/>
      <c r="J1105" s="325"/>
      <c r="K1105" s="325"/>
      <c r="L1105" s="301"/>
      <c r="M1105" s="301"/>
      <c r="N1105" s="301"/>
      <c r="O1105" s="301"/>
      <c r="P1105" s="301"/>
      <c r="Q1105" s="325"/>
      <c r="R1105" s="325"/>
      <c r="S1105" s="325"/>
      <c r="T1105" s="532"/>
      <c r="U1105" s="301"/>
      <c r="V1105" s="532"/>
      <c r="W1105" s="532">
        <f>+V1105-'ROR-Model'!G1125</f>
        <v>0</v>
      </c>
    </row>
    <row r="1106" spans="1:23">
      <c r="A1106" s="543"/>
      <c r="B1106" s="534"/>
      <c r="C1106" s="534" t="s">
        <v>399</v>
      </c>
      <c r="D1106" s="534"/>
      <c r="E1106" s="531"/>
      <c r="F1106" s="301">
        <f>'Rate Base'!$AD$164*F1</f>
        <v>311061.41249999404</v>
      </c>
      <c r="G1106" s="301"/>
      <c r="H1106" s="301"/>
      <c r="I1106" s="301">
        <f>WEX_ADJ_108_PROD*I1</f>
        <v>4580238.5702325003</v>
      </c>
      <c r="J1106" s="325"/>
      <c r="K1106" s="325"/>
      <c r="L1106" s="301"/>
      <c r="M1106" s="301"/>
      <c r="N1106" s="301"/>
      <c r="O1106" s="301"/>
      <c r="P1106" s="301"/>
      <c r="Q1106" s="325"/>
      <c r="R1106" s="325"/>
      <c r="S1106" s="325"/>
      <c r="T1106" s="532">
        <f>SUM(F1106:S1106)</f>
        <v>4891299.9827324944</v>
      </c>
      <c r="U1106" s="301"/>
      <c r="V1106" s="532">
        <f>SUM(T1106:T1106)</f>
        <v>4891299.9827324944</v>
      </c>
      <c r="W1106" s="532">
        <f>+V1106-'ROR-Model'!G1126</f>
        <v>0</v>
      </c>
    </row>
    <row r="1107" spans="1:23">
      <c r="A1107" s="543"/>
      <c r="B1107" s="534"/>
      <c r="C1107" s="534" t="s">
        <v>542</v>
      </c>
      <c r="D1107" s="534"/>
      <c r="E1107" s="531"/>
      <c r="F1107" s="301">
        <f>'Rate Base'!$AD$165*F1</f>
        <v>875639.9041666612</v>
      </c>
      <c r="G1107" s="301"/>
      <c r="H1107" s="301"/>
      <c r="I1107" s="301"/>
      <c r="J1107" s="325"/>
      <c r="K1107" s="325"/>
      <c r="L1107" s="301"/>
      <c r="M1107" s="301"/>
      <c r="N1107" s="301"/>
      <c r="O1107" s="301"/>
      <c r="P1107" s="301"/>
      <c r="Q1107" s="325"/>
      <c r="R1107" s="325"/>
      <c r="S1107" s="325"/>
      <c r="T1107" s="532">
        <f>SUM(F1107:S1107)</f>
        <v>875639.9041666612</v>
      </c>
      <c r="U1107" s="301"/>
      <c r="V1107" s="532">
        <f>SUM(T1107:T1107)</f>
        <v>875639.9041666612</v>
      </c>
      <c r="W1107" s="532">
        <f>+V1107-'ROR-Model'!G1127</f>
        <v>0</v>
      </c>
    </row>
    <row r="1108" spans="1:23">
      <c r="A1108" s="543"/>
      <c r="B1108" s="534"/>
      <c r="C1108" s="534" t="s">
        <v>543</v>
      </c>
      <c r="D1108" s="534"/>
      <c r="E1108" s="531"/>
      <c r="F1108" s="301">
        <f>'Rate Base'!$AD$166*F1</f>
        <v>30823806.101249933</v>
      </c>
      <c r="G1108" s="301"/>
      <c r="H1108" s="301"/>
      <c r="I1108" s="301"/>
      <c r="J1108" s="325"/>
      <c r="K1108" s="325"/>
      <c r="L1108" s="301"/>
      <c r="M1108" s="301"/>
      <c r="N1108" s="301"/>
      <c r="O1108" s="301"/>
      <c r="P1108" s="301"/>
      <c r="Q1108" s="325"/>
      <c r="R1108" s="325"/>
      <c r="S1108" s="325"/>
      <c r="T1108" s="532">
        <f>SUM(F1108:S1108)</f>
        <v>30823806.101249933</v>
      </c>
      <c r="U1108" s="301"/>
      <c r="V1108" s="532">
        <f>SUM(T1108:T1108)</f>
        <v>30823806.101249933</v>
      </c>
      <c r="W1108" s="532">
        <f>+V1108-'ROR-Model'!G1128</f>
        <v>0</v>
      </c>
    </row>
    <row r="1109" spans="1:23">
      <c r="A1109" s="543"/>
      <c r="B1109" s="534"/>
      <c r="C1109" s="534" t="s">
        <v>544</v>
      </c>
      <c r="D1109" s="534"/>
      <c r="E1109" s="531"/>
      <c r="F1109" s="301">
        <f>'Rate Base'!$AD$167*F1</f>
        <v>6864743.7445833087</v>
      </c>
      <c r="G1109" s="301"/>
      <c r="H1109" s="301"/>
      <c r="I1109" s="301"/>
      <c r="J1109" s="325"/>
      <c r="K1109" s="325"/>
      <c r="L1109" s="301"/>
      <c r="M1109" s="301"/>
      <c r="N1109" s="301"/>
      <c r="O1109" s="301"/>
      <c r="P1109" s="301"/>
      <c r="Q1109" s="325"/>
      <c r="R1109" s="325"/>
      <c r="S1109" s="325"/>
      <c r="T1109" s="532">
        <f>SUM(F1109:S1109)</f>
        <v>6864743.7445833087</v>
      </c>
      <c r="U1109" s="301"/>
      <c r="V1109" s="532">
        <f>SUM(T1109:T1109)</f>
        <v>6864743.7445833087</v>
      </c>
      <c r="W1109" s="532">
        <f>+V1109-'ROR-Model'!G1129</f>
        <v>0</v>
      </c>
    </row>
    <row r="1110" spans="1:23">
      <c r="A1110" s="543"/>
      <c r="B1110" s="534"/>
      <c r="C1110" s="534" t="s">
        <v>145</v>
      </c>
      <c r="D1110" s="534"/>
      <c r="E1110" s="531"/>
      <c r="F1110" s="323">
        <f>SUM(F1106:F1109)</f>
        <v>38875251.162499897</v>
      </c>
      <c r="G1110" s="323">
        <f>G1*SUM(G1106:G1109)</f>
        <v>0</v>
      </c>
      <c r="H1110" s="323">
        <f>SUM(H1106:H1109)</f>
        <v>0</v>
      </c>
      <c r="I1110" s="323">
        <f t="shared" ref="I1110:P1110" si="230">SUM(I1106:I1109)</f>
        <v>4580238.5702325003</v>
      </c>
      <c r="J1110" s="476">
        <f>SUM(J1106:J1109)</f>
        <v>0</v>
      </c>
      <c r="K1110" s="476">
        <f>SUM(K1106:K1109)</f>
        <v>0</v>
      </c>
      <c r="L1110" s="323">
        <f t="shared" si="230"/>
        <v>0</v>
      </c>
      <c r="M1110" s="323">
        <f t="shared" si="230"/>
        <v>0</v>
      </c>
      <c r="N1110" s="323">
        <f t="shared" si="230"/>
        <v>0</v>
      </c>
      <c r="O1110" s="323">
        <f t="shared" si="230"/>
        <v>0</v>
      </c>
      <c r="P1110" s="323">
        <f t="shared" si="230"/>
        <v>0</v>
      </c>
      <c r="Q1110" s="476">
        <f>SUM(Q1106:Q1109)</f>
        <v>0</v>
      </c>
      <c r="R1110" s="476">
        <f>SUM(R1106:R1109)</f>
        <v>0</v>
      </c>
      <c r="S1110" s="476">
        <f>SUM(S1106:S1109)</f>
        <v>0</v>
      </c>
      <c r="T1110" s="536">
        <f>SUM(T1106:T1109)</f>
        <v>43455489.7327324</v>
      </c>
      <c r="U1110" s="323"/>
      <c r="V1110" s="536">
        <f>SUM(V1106:V1109)</f>
        <v>43455489.7327324</v>
      </c>
      <c r="W1110" s="536">
        <f>+V1110-'ROR-Model'!G1130</f>
        <v>0</v>
      </c>
    </row>
    <row r="1111" spans="1:23">
      <c r="A1111" s="543"/>
      <c r="B1111" s="534"/>
      <c r="C1111" s="534"/>
      <c r="D1111" s="534"/>
      <c r="E1111" s="531"/>
      <c r="F1111" s="301"/>
      <c r="G1111" s="301"/>
      <c r="H1111" s="301"/>
      <c r="I1111" s="301"/>
      <c r="J1111" s="325"/>
      <c r="K1111" s="325"/>
      <c r="L1111" s="301"/>
      <c r="M1111" s="301"/>
      <c r="N1111" s="301"/>
      <c r="O1111" s="301"/>
      <c r="P1111" s="301"/>
      <c r="Q1111" s="325"/>
      <c r="R1111" s="325"/>
      <c r="S1111" s="325"/>
      <c r="T1111" s="532"/>
      <c r="U1111" s="301"/>
      <c r="V1111" s="532"/>
      <c r="W1111" s="532">
        <f>+V1111-'ROR-Model'!G1131</f>
        <v>0</v>
      </c>
    </row>
    <row r="1112" spans="1:23">
      <c r="A1112" s="543">
        <v>111</v>
      </c>
      <c r="B1112" s="534" t="s">
        <v>266</v>
      </c>
      <c r="C1112" s="534"/>
      <c r="D1112" s="534"/>
      <c r="E1112" s="531"/>
      <c r="F1112" s="301"/>
      <c r="G1112" s="301"/>
      <c r="H1112" s="301"/>
      <c r="I1112" s="301"/>
      <c r="J1112" s="325"/>
      <c r="K1112" s="325"/>
      <c r="L1112" s="301"/>
      <c r="M1112" s="301"/>
      <c r="N1112" s="301"/>
      <c r="O1112" s="301"/>
      <c r="P1112" s="301"/>
      <c r="Q1112" s="325"/>
      <c r="R1112" s="325"/>
      <c r="S1112" s="325"/>
      <c r="T1112" s="532"/>
      <c r="U1112" s="301"/>
      <c r="V1112" s="532"/>
      <c r="W1112" s="532">
        <f>+V1112-'ROR-Model'!G1132</f>
        <v>0</v>
      </c>
    </row>
    <row r="1113" spans="1:23">
      <c r="A1113" s="535"/>
      <c r="B1113" s="534"/>
      <c r="C1113" s="534" t="s">
        <v>399</v>
      </c>
      <c r="D1113" s="534"/>
      <c r="E1113" s="531"/>
      <c r="F1113" s="301">
        <f>'Rate Base'!AD171*F1</f>
        <v>0</v>
      </c>
      <c r="G1113" s="301"/>
      <c r="H1113" s="301"/>
      <c r="I1113" s="301">
        <f>WEX_ADJ_111_PROD*I1</f>
        <v>387467.42957999994</v>
      </c>
      <c r="J1113" s="325"/>
      <c r="K1113" s="325"/>
      <c r="L1113" s="301"/>
      <c r="M1113" s="301"/>
      <c r="N1113" s="301"/>
      <c r="O1113" s="301"/>
      <c r="P1113" s="301"/>
      <c r="Q1113" s="325"/>
      <c r="R1113" s="325"/>
      <c r="S1113" s="325"/>
      <c r="T1113" s="532">
        <f>SUM(F1113:S1113)</f>
        <v>387467.42957999994</v>
      </c>
      <c r="U1113" s="301"/>
      <c r="V1113" s="532">
        <f>SUM(T1113:T1113)</f>
        <v>387467.42957999994</v>
      </c>
      <c r="W1113" s="532">
        <f>+V1113-'ROR-Model'!G1133</f>
        <v>0</v>
      </c>
    </row>
    <row r="1114" spans="1:23">
      <c r="A1114" s="535"/>
      <c r="B1114" s="534"/>
      <c r="C1114" s="534" t="s">
        <v>542</v>
      </c>
      <c r="D1114" s="534"/>
      <c r="E1114" s="531"/>
      <c r="F1114" s="301">
        <f>'Rate Base'!AD172*F1</f>
        <v>0</v>
      </c>
      <c r="G1114" s="301"/>
      <c r="H1114" s="301"/>
      <c r="I1114" s="301"/>
      <c r="J1114" s="325"/>
      <c r="K1114" s="325"/>
      <c r="L1114" s="301"/>
      <c r="M1114" s="301"/>
      <c r="N1114" s="301"/>
      <c r="O1114" s="301"/>
      <c r="P1114" s="301"/>
      <c r="Q1114" s="325"/>
      <c r="R1114" s="325"/>
      <c r="S1114" s="325"/>
      <c r="T1114" s="532">
        <f>SUM(F1114:S1114)</f>
        <v>0</v>
      </c>
      <c r="U1114" s="301"/>
      <c r="V1114" s="532">
        <f>SUM(T1114:T1114)</f>
        <v>0</v>
      </c>
      <c r="W1114" s="532">
        <f>+V1114-'ROR-Model'!G1134</f>
        <v>0</v>
      </c>
    </row>
    <row r="1115" spans="1:23">
      <c r="A1115" s="535"/>
      <c r="B1115" s="534"/>
      <c r="C1115" s="534" t="s">
        <v>543</v>
      </c>
      <c r="D1115" s="534"/>
      <c r="E1115" s="531"/>
      <c r="F1115" s="301">
        <f>'Rate Base'!AD173*F1</f>
        <v>0</v>
      </c>
      <c r="G1115" s="301"/>
      <c r="H1115" s="301"/>
      <c r="I1115" s="301"/>
      <c r="J1115" s="325"/>
      <c r="K1115" s="325"/>
      <c r="L1115" s="301"/>
      <c r="M1115" s="301"/>
      <c r="N1115" s="301"/>
      <c r="O1115" s="301"/>
      <c r="P1115" s="301"/>
      <c r="Q1115" s="325"/>
      <c r="R1115" s="325"/>
      <c r="S1115" s="325"/>
      <c r="T1115" s="532">
        <f>SUM(F1115:S1115)</f>
        <v>0</v>
      </c>
      <c r="U1115" s="301"/>
      <c r="V1115" s="532">
        <f>SUM(T1115:T1115)</f>
        <v>0</v>
      </c>
      <c r="W1115" s="532">
        <f>+V1115-'ROR-Model'!G1135</f>
        <v>0</v>
      </c>
    </row>
    <row r="1116" spans="1:23">
      <c r="A1116" s="535"/>
      <c r="B1116" s="534"/>
      <c r="C1116" s="534" t="s">
        <v>544</v>
      </c>
      <c r="D1116" s="534"/>
      <c r="E1116" s="531"/>
      <c r="F1116" s="301">
        <f>'Rate Base'!AD174*F1</f>
        <v>293044.56791666674</v>
      </c>
      <c r="G1116" s="301"/>
      <c r="H1116" s="301"/>
      <c r="I1116" s="301"/>
      <c r="J1116" s="325"/>
      <c r="K1116" s="325"/>
      <c r="L1116" s="301"/>
      <c r="M1116" s="301"/>
      <c r="N1116" s="301"/>
      <c r="O1116" s="301"/>
      <c r="P1116" s="301"/>
      <c r="Q1116" s="325"/>
      <c r="R1116" s="325"/>
      <c r="S1116" s="325"/>
      <c r="T1116" s="532">
        <f>SUM(F1116:S1116)</f>
        <v>293044.56791666674</v>
      </c>
      <c r="U1116" s="301"/>
      <c r="V1116" s="532">
        <f>SUM(T1116:T1116)</f>
        <v>293044.56791666674</v>
      </c>
      <c r="W1116" s="532">
        <f>+V1116-'ROR-Model'!G1136</f>
        <v>0</v>
      </c>
    </row>
    <row r="1117" spans="1:23">
      <c r="A1117" s="535"/>
      <c r="B1117" s="534"/>
      <c r="C1117" s="534" t="s">
        <v>145</v>
      </c>
      <c r="D1117" s="534"/>
      <c r="E1117" s="531"/>
      <c r="F1117" s="323">
        <f>'Rate Base'!AD175*F1</f>
        <v>293044.56791666616</v>
      </c>
      <c r="G1117" s="323">
        <f>G1*SUM(G1113:G1116)</f>
        <v>0</v>
      </c>
      <c r="H1117" s="323">
        <f>SUM(H1113:H1116)</f>
        <v>0</v>
      </c>
      <c r="I1117" s="323">
        <f t="shared" ref="I1117:P1117" si="231">SUM(I1113:I1116)</f>
        <v>387467.42957999994</v>
      </c>
      <c r="J1117" s="476">
        <f>SUM(J1113:J1116)</f>
        <v>0</v>
      </c>
      <c r="K1117" s="476">
        <f>SUM(K1113:K1116)</f>
        <v>0</v>
      </c>
      <c r="L1117" s="323">
        <f t="shared" si="231"/>
        <v>0</v>
      </c>
      <c r="M1117" s="323">
        <f t="shared" si="231"/>
        <v>0</v>
      </c>
      <c r="N1117" s="323">
        <f t="shared" si="231"/>
        <v>0</v>
      </c>
      <c r="O1117" s="323">
        <f t="shared" si="231"/>
        <v>0</v>
      </c>
      <c r="P1117" s="323">
        <f t="shared" si="231"/>
        <v>0</v>
      </c>
      <c r="Q1117" s="476">
        <f>SUM(Q1113:Q1116)</f>
        <v>0</v>
      </c>
      <c r="R1117" s="476">
        <f>SUM(R1113:R1116)</f>
        <v>0</v>
      </c>
      <c r="S1117" s="476">
        <f>SUM(S1113:S1116)</f>
        <v>0</v>
      </c>
      <c r="T1117" s="536">
        <f>SUM(T1113:T1116)</f>
        <v>680511.99749666662</v>
      </c>
      <c r="U1117" s="323"/>
      <c r="V1117" s="536">
        <f>SUM(V1113:V1116)</f>
        <v>680511.99749666662</v>
      </c>
      <c r="W1117" s="532">
        <f>+V1117-'ROR-Model'!G1137</f>
        <v>0</v>
      </c>
    </row>
    <row r="1118" spans="1:23" ht="13.5" thickBot="1">
      <c r="A1118" s="535"/>
      <c r="B1118" s="534"/>
      <c r="C1118" s="534"/>
      <c r="D1118" s="534"/>
      <c r="E1118" s="531"/>
      <c r="F1118" s="470"/>
      <c r="G1118" s="470"/>
      <c r="H1118" s="470"/>
      <c r="I1118" s="470"/>
      <c r="J1118" s="477"/>
      <c r="K1118" s="477"/>
      <c r="L1118" s="470"/>
      <c r="M1118" s="470"/>
      <c r="N1118" s="470"/>
      <c r="O1118" s="470"/>
      <c r="P1118" s="470"/>
      <c r="Q1118" s="477"/>
      <c r="R1118" s="477"/>
      <c r="S1118" s="477"/>
      <c r="T1118" s="538"/>
      <c r="U1118" s="470"/>
      <c r="V1118" s="538"/>
      <c r="W1118" s="532">
        <f>+V1118-'ROR-Model'!G1138</f>
        <v>0</v>
      </c>
    </row>
    <row r="1119" spans="1:23" ht="13.5" thickTop="1">
      <c r="A1119" s="326" t="s">
        <v>939</v>
      </c>
      <c r="B1119" s="277" t="s">
        <v>941</v>
      </c>
      <c r="C1119" s="534"/>
      <c r="D1119" s="534"/>
      <c r="E1119" s="531"/>
      <c r="F1119" s="301"/>
      <c r="G1119" s="301"/>
      <c r="H1119" s="301"/>
      <c r="I1119" s="301"/>
      <c r="J1119" s="325"/>
      <c r="K1119" s="325"/>
      <c r="L1119" s="301"/>
      <c r="M1119" s="301"/>
      <c r="N1119" s="301"/>
      <c r="O1119" s="301"/>
      <c r="P1119" s="301"/>
      <c r="Q1119" s="325"/>
      <c r="R1119" s="325"/>
      <c r="S1119" s="325"/>
      <c r="T1119" s="532"/>
      <c r="U1119" s="301"/>
      <c r="V1119" s="532"/>
      <c r="W1119" s="532">
        <f>+V1119-'ROR-Model'!G1139</f>
        <v>0</v>
      </c>
    </row>
    <row r="1120" spans="1:23">
      <c r="A1120" s="535"/>
      <c r="B1120" s="534"/>
      <c r="C1120" s="534" t="s">
        <v>399</v>
      </c>
      <c r="D1120" s="534"/>
      <c r="E1120" s="531"/>
      <c r="F1120" s="301">
        <f>'Rate Base'!AD178*$F$1</f>
        <v>-13148.777083333349</v>
      </c>
      <c r="G1120" s="301"/>
      <c r="H1120" s="301"/>
      <c r="I1120" s="301"/>
      <c r="J1120" s="325"/>
      <c r="K1120" s="325"/>
      <c r="L1120" s="301"/>
      <c r="M1120" s="301"/>
      <c r="N1120" s="301"/>
      <c r="O1120" s="301"/>
      <c r="P1120" s="301"/>
      <c r="Q1120" s="325"/>
      <c r="R1120" s="325"/>
      <c r="S1120" s="325"/>
      <c r="T1120" s="532">
        <f>SUM(F1120:S1120)</f>
        <v>-13148.777083333349</v>
      </c>
      <c r="U1120" s="301"/>
      <c r="V1120" s="532">
        <f>SUM(T1120:T1120)</f>
        <v>-13148.777083333349</v>
      </c>
      <c r="W1120" s="532">
        <f>+V1120-'ROR-Model'!G1140</f>
        <v>0</v>
      </c>
    </row>
    <row r="1121" spans="1:23">
      <c r="A1121" s="535"/>
      <c r="B1121" s="534"/>
      <c r="C1121" s="534" t="s">
        <v>542</v>
      </c>
      <c r="D1121" s="534"/>
      <c r="E1121" s="531"/>
      <c r="F1121" s="301">
        <f>'Rate Base'!AD179*$F$1</f>
        <v>302818.55624999944</v>
      </c>
      <c r="G1121" s="301"/>
      <c r="H1121" s="301"/>
      <c r="I1121" s="301"/>
      <c r="J1121" s="325"/>
      <c r="K1121" s="325"/>
      <c r="L1121" s="301"/>
      <c r="M1121" s="301"/>
      <c r="N1121" s="301"/>
      <c r="O1121" s="301"/>
      <c r="P1121" s="301"/>
      <c r="Q1121" s="325"/>
      <c r="R1121" s="325"/>
      <c r="S1121" s="325"/>
      <c r="T1121" s="532">
        <f>SUM(F1121:S1121)</f>
        <v>302818.55624999944</v>
      </c>
      <c r="U1121" s="301"/>
      <c r="V1121" s="532">
        <f>SUM(T1121:T1121)</f>
        <v>302818.55624999944</v>
      </c>
      <c r="W1121" s="532">
        <f>+V1121-'ROR-Model'!G1141</f>
        <v>0</v>
      </c>
    </row>
    <row r="1122" spans="1:23">
      <c r="A1122" s="535"/>
      <c r="B1122" s="534"/>
      <c r="C1122" s="534" t="s">
        <v>543</v>
      </c>
      <c r="D1122" s="534"/>
      <c r="E1122" s="531"/>
      <c r="F1122" s="301">
        <f>'Rate Base'!AD180*$F$1</f>
        <v>3492574.4925000072</v>
      </c>
      <c r="G1122" s="301"/>
      <c r="H1122" s="301"/>
      <c r="I1122" s="301"/>
      <c r="J1122" s="325"/>
      <c r="K1122" s="325"/>
      <c r="L1122" s="301"/>
      <c r="M1122" s="301"/>
      <c r="N1122" s="301"/>
      <c r="O1122" s="301"/>
      <c r="P1122" s="301"/>
      <c r="Q1122" s="325"/>
      <c r="R1122" s="325"/>
      <c r="S1122" s="325"/>
      <c r="T1122" s="532">
        <f>SUM(F1122:S1122)</f>
        <v>3492574.4925000072</v>
      </c>
      <c r="U1122" s="301"/>
      <c r="V1122" s="532">
        <f>SUM(T1122:T1122)</f>
        <v>3492574.4925000072</v>
      </c>
      <c r="W1122" s="532">
        <f>+V1122-'ROR-Model'!G1142</f>
        <v>0</v>
      </c>
    </row>
    <row r="1123" spans="1:23">
      <c r="A1123" s="535"/>
      <c r="B1123" s="534"/>
      <c r="C1123" s="534" t="s">
        <v>544</v>
      </c>
      <c r="D1123" s="534"/>
      <c r="E1123" s="531"/>
      <c r="F1123" s="301">
        <f>'Rate Base'!AD181*$F$1</f>
        <v>-1572420.2833333015</v>
      </c>
      <c r="G1123" s="301"/>
      <c r="H1123" s="301"/>
      <c r="I1123" s="301"/>
      <c r="J1123" s="325"/>
      <c r="K1123" s="325"/>
      <c r="L1123" s="301"/>
      <c r="M1123" s="301"/>
      <c r="N1123" s="301"/>
      <c r="O1123" s="301"/>
      <c r="P1123" s="301"/>
      <c r="Q1123" s="325"/>
      <c r="R1123" s="325"/>
      <c r="S1123" s="325"/>
      <c r="T1123" s="532">
        <f>SUM(F1123:S1123)</f>
        <v>-1572420.2833333015</v>
      </c>
      <c r="U1123" s="301"/>
      <c r="V1123" s="532">
        <f>SUM(T1123:T1123)</f>
        <v>-1572420.2833333015</v>
      </c>
      <c r="W1123" s="532">
        <f>+V1123-'ROR-Model'!G1143</f>
        <v>0</v>
      </c>
    </row>
    <row r="1124" spans="1:23">
      <c r="A1124" s="535"/>
      <c r="B1124" s="534"/>
      <c r="C1124" s="534" t="s">
        <v>145</v>
      </c>
      <c r="D1124" s="534"/>
      <c r="E1124" s="531"/>
      <c r="F1124" s="323">
        <f>'Rate Base'!AD182*$F$1</f>
        <v>2209823.9883334041</v>
      </c>
      <c r="G1124" s="323">
        <f>G1*SUM(G1120:G1123)</f>
        <v>0</v>
      </c>
      <c r="H1124" s="323">
        <f>SUM(H1120:H1123)</f>
        <v>0</v>
      </c>
      <c r="I1124" s="323">
        <f t="shared" ref="I1124:P1124" si="232">SUM(I1120:I1123)</f>
        <v>0</v>
      </c>
      <c r="J1124" s="476">
        <f>SUM(J1120:J1123)</f>
        <v>0</v>
      </c>
      <c r="K1124" s="476">
        <f>SUM(K1120:K1123)</f>
        <v>0</v>
      </c>
      <c r="L1124" s="323">
        <f t="shared" si="232"/>
        <v>0</v>
      </c>
      <c r="M1124" s="323">
        <f t="shared" si="232"/>
        <v>0</v>
      </c>
      <c r="N1124" s="323">
        <f t="shared" si="232"/>
        <v>0</v>
      </c>
      <c r="O1124" s="323">
        <f t="shared" si="232"/>
        <v>0</v>
      </c>
      <c r="P1124" s="323">
        <f t="shared" si="232"/>
        <v>0</v>
      </c>
      <c r="Q1124" s="476">
        <f>SUM(Q1120:Q1123)</f>
        <v>0</v>
      </c>
      <c r="R1124" s="476">
        <f>SUM(R1120:R1123)</f>
        <v>0</v>
      </c>
      <c r="S1124" s="476">
        <f>SUM(S1120:S1123)</f>
        <v>0</v>
      </c>
      <c r="T1124" s="536">
        <f>SUM(T1120:T1123)</f>
        <v>2209823.9883333715</v>
      </c>
      <c r="U1124" s="323"/>
      <c r="V1124" s="536">
        <f>SUM(V1120:V1123)</f>
        <v>2209823.9883333715</v>
      </c>
      <c r="W1124" s="532">
        <f>+V1124-'ROR-Model'!G1144</f>
        <v>0</v>
      </c>
    </row>
    <row r="1125" spans="1:23" ht="13.5" thickBot="1">
      <c r="A1125" s="535"/>
      <c r="B1125" s="534"/>
      <c r="C1125" s="534"/>
      <c r="D1125" s="534"/>
      <c r="E1125" s="531"/>
      <c r="F1125" s="470"/>
      <c r="G1125" s="470"/>
      <c r="H1125" s="470"/>
      <c r="I1125" s="470"/>
      <c r="J1125" s="477"/>
      <c r="K1125" s="477"/>
      <c r="L1125" s="470"/>
      <c r="M1125" s="470"/>
      <c r="N1125" s="470"/>
      <c r="O1125" s="470"/>
      <c r="P1125" s="470"/>
      <c r="Q1125" s="477"/>
      <c r="R1125" s="477"/>
      <c r="S1125" s="477"/>
      <c r="T1125" s="538"/>
      <c r="U1125" s="470"/>
      <c r="V1125" s="538"/>
      <c r="W1125" s="532">
        <f>+V1125-'ROR-Model'!G1145</f>
        <v>0</v>
      </c>
    </row>
    <row r="1126" spans="1:23" ht="13.5" thickTop="1">
      <c r="A1126" s="535"/>
      <c r="B1126" s="534"/>
      <c r="C1126" s="534"/>
      <c r="D1126" s="534"/>
      <c r="E1126" s="531"/>
      <c r="F1126" s="301"/>
      <c r="G1126" s="301"/>
      <c r="H1126" s="301"/>
      <c r="I1126" s="301"/>
      <c r="J1126" s="325"/>
      <c r="K1126" s="325"/>
      <c r="L1126" s="301"/>
      <c r="M1126" s="301"/>
      <c r="N1126" s="301"/>
      <c r="O1126" s="301"/>
      <c r="P1126" s="301"/>
      <c r="Q1126" s="325"/>
      <c r="R1126" s="325"/>
      <c r="S1126" s="325"/>
      <c r="T1126" s="532"/>
      <c r="U1126" s="301"/>
      <c r="V1126" s="532"/>
      <c r="W1126" s="532">
        <f>+V1126-'ROR-Model'!G1146</f>
        <v>0</v>
      </c>
    </row>
    <row r="1127" spans="1:23">
      <c r="A1127" s="167" t="s">
        <v>609</v>
      </c>
      <c r="B1127" s="534"/>
      <c r="C1127" s="534"/>
      <c r="D1127" s="534"/>
      <c r="E1127" s="531"/>
      <c r="F1127" s="301"/>
      <c r="G1127" s="301"/>
      <c r="H1127" s="301"/>
      <c r="I1127" s="301"/>
      <c r="J1127" s="325"/>
      <c r="K1127" s="325"/>
      <c r="L1127" s="301"/>
      <c r="M1127" s="301"/>
      <c r="N1127" s="301"/>
      <c r="O1127" s="301"/>
      <c r="P1127" s="301"/>
      <c r="Q1127" s="325"/>
      <c r="R1127" s="325"/>
      <c r="S1127" s="325"/>
      <c r="T1127" s="532"/>
      <c r="U1127" s="301"/>
      <c r="V1127" s="532"/>
      <c r="W1127" s="532">
        <f>+V1127-'ROR-Model'!G1147</f>
        <v>0</v>
      </c>
    </row>
    <row r="1128" spans="1:23">
      <c r="A1128" s="535"/>
      <c r="B1128" s="534" t="s">
        <v>399</v>
      </c>
      <c r="C1128" s="534"/>
      <c r="D1128" s="534"/>
      <c r="E1128" s="531"/>
      <c r="F1128" s="301">
        <f>F1088+F1099+F1106+F1113+F1120</f>
        <v>297912.63541666069</v>
      </c>
      <c r="G1128" s="301">
        <f t="shared" ref="G1128:N1128" si="233">G1088+G1099+G1106+G1113+G1120</f>
        <v>0</v>
      </c>
      <c r="H1128" s="301">
        <f t="shared" si="233"/>
        <v>0</v>
      </c>
      <c r="I1128" s="301">
        <f t="shared" si="233"/>
        <v>-70286.568187500641</v>
      </c>
      <c r="J1128" s="301">
        <f>J1088+J1099+J1106+J1113+J1120</f>
        <v>0</v>
      </c>
      <c r="K1128" s="301">
        <f t="shared" ref="K1128" si="234">K1088+K1099+K1106+K1113+K1120</f>
        <v>0</v>
      </c>
      <c r="L1128" s="301">
        <f t="shared" si="233"/>
        <v>0</v>
      </c>
      <c r="M1128" s="301">
        <f t="shared" si="233"/>
        <v>0</v>
      </c>
      <c r="N1128" s="301">
        <f t="shared" si="233"/>
        <v>0</v>
      </c>
      <c r="O1128" s="301">
        <f>O1088+O1099+O1106+O1113+O1120</f>
        <v>0</v>
      </c>
      <c r="P1128" s="301">
        <f t="shared" ref="P1128:S1128" si="235">P1088+P1099+P1106+P1113+P1120</f>
        <v>0</v>
      </c>
      <c r="Q1128" s="301">
        <f t="shared" si="235"/>
        <v>0</v>
      </c>
      <c r="R1128" s="301">
        <f t="shared" ref="R1128" si="236">R1088+R1099+R1106+R1113+R1120</f>
        <v>0</v>
      </c>
      <c r="S1128" s="301">
        <f t="shared" si="235"/>
        <v>0</v>
      </c>
      <c r="T1128" s="532">
        <f>T1088+T1099+T1106+T1113+T1120</f>
        <v>227626.06722916005</v>
      </c>
      <c r="U1128" s="301"/>
      <c r="V1128" s="532">
        <f>V1088+V1099+V1106+V1113+V1120</f>
        <v>227626.06722916005</v>
      </c>
      <c r="W1128" s="532">
        <f>+V1128-'ROR-Model'!G1148</f>
        <v>0</v>
      </c>
    </row>
    <row r="1129" spans="1:23">
      <c r="A1129" s="535"/>
      <c r="B1129" s="534" t="s">
        <v>542</v>
      </c>
      <c r="C1129" s="534"/>
      <c r="D1129" s="534"/>
      <c r="E1129" s="531"/>
      <c r="F1129" s="301">
        <f>F1089+F1100+F1107+F1114+F1121</f>
        <v>-506002.66708333092</v>
      </c>
      <c r="G1129" s="301">
        <f t="shared" ref="G1129:N1129" si="237">G1089+G1100+G1107+G1114+G1121</f>
        <v>0</v>
      </c>
      <c r="H1129" s="301">
        <f t="shared" si="237"/>
        <v>0</v>
      </c>
      <c r="I1129" s="301">
        <f t="shared" si="237"/>
        <v>0</v>
      </c>
      <c r="J1129" s="301">
        <f>J1089+J1100+J1107+J1114+J1121</f>
        <v>0</v>
      </c>
      <c r="K1129" s="301">
        <f t="shared" ref="K1129" si="238">K1089+K1100+K1107+K1114+K1121</f>
        <v>0</v>
      </c>
      <c r="L1129" s="301">
        <f t="shared" si="237"/>
        <v>0</v>
      </c>
      <c r="M1129" s="301">
        <f t="shared" si="237"/>
        <v>0</v>
      </c>
      <c r="N1129" s="301">
        <f t="shared" si="237"/>
        <v>0</v>
      </c>
      <c r="O1129" s="301">
        <f>O1089+O1100+O1107+O1114+O1121</f>
        <v>0</v>
      </c>
      <c r="P1129" s="301">
        <f t="shared" ref="P1129:S1129" si="239">P1089+P1100+P1107+P1114+P1121</f>
        <v>0</v>
      </c>
      <c r="Q1129" s="301">
        <f t="shared" si="239"/>
        <v>0</v>
      </c>
      <c r="R1129" s="301">
        <f t="shared" ref="R1129" si="240">R1089+R1100+R1107+R1114+R1121</f>
        <v>0</v>
      </c>
      <c r="S1129" s="301">
        <f t="shared" si="239"/>
        <v>0</v>
      </c>
      <c r="T1129" s="532">
        <f>T1089+T1100+T1107+T1114+T1121</f>
        <v>-506002.66708333092</v>
      </c>
      <c r="U1129" s="301"/>
      <c r="V1129" s="532">
        <f>V1089+V1100+V1107+V1114+V1121</f>
        <v>-506002.66708333092</v>
      </c>
      <c r="W1129" s="532">
        <f>+V1129-'ROR-Model'!G1149</f>
        <v>0</v>
      </c>
    </row>
    <row r="1130" spans="1:23">
      <c r="A1130" s="535"/>
      <c r="B1130" s="534" t="s">
        <v>543</v>
      </c>
      <c r="C1130" s="534"/>
      <c r="D1130" s="534"/>
      <c r="E1130" s="531"/>
      <c r="F1130" s="301">
        <f>F1090+F1095+F1101+F1108+F1115+F1122</f>
        <v>-202451528.25416678</v>
      </c>
      <c r="G1130" s="301">
        <f t="shared" ref="G1130:N1130" si="241">G1090+G1095+G1101+G1108+G1115+G1122</f>
        <v>0</v>
      </c>
      <c r="H1130" s="301">
        <f t="shared" si="241"/>
        <v>0</v>
      </c>
      <c r="I1130" s="301">
        <f t="shared" si="241"/>
        <v>0</v>
      </c>
      <c r="J1130" s="301">
        <f>J1090+J1095+J1101+J1108+J1115+J1122</f>
        <v>0</v>
      </c>
      <c r="K1130" s="301">
        <f t="shared" ref="K1130" si="242">K1090+K1095+K1101+K1108+K1115+K1122</f>
        <v>0</v>
      </c>
      <c r="L1130" s="301">
        <f t="shared" si="241"/>
        <v>0</v>
      </c>
      <c r="M1130" s="301">
        <f t="shared" si="241"/>
        <v>0</v>
      </c>
      <c r="N1130" s="301">
        <f t="shared" si="241"/>
        <v>0</v>
      </c>
      <c r="O1130" s="301">
        <f>O1090+O1095+O1101+O1108+O1115+O1122</f>
        <v>0</v>
      </c>
      <c r="P1130" s="301">
        <f t="shared" ref="P1130:S1130" si="243">P1090+P1095+P1101+P1108+P1115+P1122</f>
        <v>0</v>
      </c>
      <c r="Q1130" s="301">
        <f t="shared" si="243"/>
        <v>0</v>
      </c>
      <c r="R1130" s="301">
        <f t="shared" ref="R1130" si="244">R1090+R1095+R1101+R1108+R1115+R1122</f>
        <v>0</v>
      </c>
      <c r="S1130" s="301">
        <f t="shared" si="243"/>
        <v>0</v>
      </c>
      <c r="T1130" s="532">
        <f>T1090+T1095+T1101+T1108+T1115+T1122</f>
        <v>-202451528.25416678</v>
      </c>
      <c r="U1130" s="301"/>
      <c r="V1130" s="532">
        <f>V1090+V1095+V1101+V1108+V1115+V1122</f>
        <v>-202451528.25416678</v>
      </c>
      <c r="W1130" s="532">
        <f>+V1130-'ROR-Model'!G1150</f>
        <v>0</v>
      </c>
    </row>
    <row r="1131" spans="1:23">
      <c r="A1131" s="535"/>
      <c r="B1131" s="534" t="s">
        <v>544</v>
      </c>
      <c r="C1131" s="534"/>
      <c r="D1131" s="534"/>
      <c r="E1131" s="531"/>
      <c r="F1131" s="301">
        <f>F1091+F1102+F1109+F1116+F1123</f>
        <v>-7427305.2625000123</v>
      </c>
      <c r="G1131" s="301">
        <f t="shared" ref="G1131:N1131" si="245">G1091+G1102+G1109+G1116+G1123</f>
        <v>0</v>
      </c>
      <c r="H1131" s="301">
        <f t="shared" si="245"/>
        <v>0</v>
      </c>
      <c r="I1131" s="301">
        <f t="shared" si="245"/>
        <v>0</v>
      </c>
      <c r="J1131" s="301">
        <f>J1091+J1102+J1109+J1116+J1123</f>
        <v>0</v>
      </c>
      <c r="K1131" s="301">
        <f t="shared" ref="K1131" si="246">K1091+K1102+K1109+K1116+K1123</f>
        <v>0</v>
      </c>
      <c r="L1131" s="301">
        <f t="shared" si="245"/>
        <v>0</v>
      </c>
      <c r="M1131" s="301">
        <f t="shared" si="245"/>
        <v>-825341.03987660247</v>
      </c>
      <c r="N1131" s="301">
        <f t="shared" si="245"/>
        <v>0</v>
      </c>
      <c r="O1131" s="301">
        <f>O1091+O1102+O1109+O1116+O1123</f>
        <v>0</v>
      </c>
      <c r="P1131" s="301">
        <f t="shared" ref="P1131:S1131" si="247">P1091+P1102+P1109+P1116+P1123</f>
        <v>0</v>
      </c>
      <c r="Q1131" s="301">
        <f t="shared" si="247"/>
        <v>0</v>
      </c>
      <c r="R1131" s="301">
        <f t="shared" ref="R1131" si="248">R1091+R1102+R1109+R1116+R1123</f>
        <v>0</v>
      </c>
      <c r="S1131" s="301">
        <f t="shared" si="247"/>
        <v>0</v>
      </c>
      <c r="T1131" s="532">
        <f>T1091+T1102+T1109+T1116+T1123</f>
        <v>-8252646.3023766149</v>
      </c>
      <c r="U1131" s="301"/>
      <c r="V1131" s="532">
        <f>V1091+V1102+V1109+V1116+V1123</f>
        <v>-8252646.3023766149</v>
      </c>
      <c r="W1131" s="532">
        <f>+V1131-'ROR-Model'!G1151</f>
        <v>0</v>
      </c>
    </row>
    <row r="1132" spans="1:23" ht="13.5" thickBot="1">
      <c r="A1132" s="535"/>
      <c r="B1132" s="534"/>
      <c r="C1132" s="534"/>
      <c r="D1132" s="534"/>
      <c r="E1132" s="531"/>
      <c r="F1132" s="470"/>
      <c r="G1132" s="470"/>
      <c r="H1132" s="470"/>
      <c r="I1132" s="470"/>
      <c r="J1132" s="470"/>
      <c r="K1132" s="470"/>
      <c r="L1132" s="470"/>
      <c r="M1132" s="470"/>
      <c r="N1132" s="470"/>
      <c r="O1132" s="470"/>
      <c r="P1132" s="470"/>
      <c r="Q1132" s="470"/>
      <c r="R1132" s="470"/>
      <c r="S1132" s="470"/>
      <c r="T1132" s="538"/>
      <c r="U1132" s="470"/>
      <c r="V1132" s="538"/>
      <c r="W1132" s="538">
        <f>+V1132-'ROR-Model'!G1152</f>
        <v>0</v>
      </c>
    </row>
    <row r="1133" spans="1:23" ht="13.5" thickTop="1">
      <c r="A1133" s="535"/>
      <c r="B1133" s="534"/>
      <c r="C1133" s="534"/>
      <c r="D1133" s="534"/>
      <c r="E1133" s="531"/>
      <c r="F1133" s="301"/>
      <c r="G1133" s="301"/>
      <c r="H1133" s="301"/>
      <c r="I1133" s="301"/>
      <c r="J1133" s="301"/>
      <c r="K1133" s="301"/>
      <c r="L1133" s="301"/>
      <c r="M1133" s="301"/>
      <c r="N1133" s="301"/>
      <c r="O1133" s="301"/>
      <c r="P1133" s="301"/>
      <c r="Q1133" s="301"/>
      <c r="R1133" s="301"/>
      <c r="S1133" s="301"/>
      <c r="T1133" s="532"/>
      <c r="U1133" s="301"/>
      <c r="V1133" s="532"/>
      <c r="W1133" s="532">
        <f>+V1133-'ROR-Model'!G1153</f>
        <v>0</v>
      </c>
    </row>
    <row r="1134" spans="1:23">
      <c r="A1134" s="535"/>
      <c r="B1134" s="175" t="s">
        <v>609</v>
      </c>
      <c r="C1134" s="534"/>
      <c r="D1134" s="534"/>
      <c r="E1134" s="531"/>
      <c r="F1134" s="301">
        <f>F1092+F1096+F1103+F1110+F1117+F1124</f>
        <v>-210086923.54833341</v>
      </c>
      <c r="G1134" s="301">
        <f t="shared" ref="G1134:N1134" si="249">G1092+G1096+G1103+G1110+G1117+G1124</f>
        <v>0</v>
      </c>
      <c r="H1134" s="301">
        <f t="shared" si="249"/>
        <v>0</v>
      </c>
      <c r="I1134" s="301">
        <f t="shared" si="249"/>
        <v>-70286.568187500641</v>
      </c>
      <c r="J1134" s="301">
        <f>J1092+J1096+J1103+J1110+J1117+J1124</f>
        <v>0</v>
      </c>
      <c r="K1134" s="301">
        <f t="shared" ref="K1134" si="250">K1092+K1096+K1103+K1110+K1117+K1124</f>
        <v>0</v>
      </c>
      <c r="L1134" s="301">
        <f t="shared" si="249"/>
        <v>0</v>
      </c>
      <c r="M1134" s="301">
        <f t="shared" si="249"/>
        <v>-825341.03987660247</v>
      </c>
      <c r="N1134" s="301">
        <f t="shared" si="249"/>
        <v>0</v>
      </c>
      <c r="O1134" s="301">
        <f>O1092+O1096+O1103+O1110+O1117+O1124</f>
        <v>0</v>
      </c>
      <c r="P1134" s="301">
        <f t="shared" ref="P1134:S1134" si="251">P1092+P1096+P1103+P1110+P1117+P1124</f>
        <v>0</v>
      </c>
      <c r="Q1134" s="301">
        <f t="shared" si="251"/>
        <v>0</v>
      </c>
      <c r="R1134" s="301">
        <f t="shared" ref="R1134" si="252">R1092+R1096+R1103+R1110+R1117+R1124</f>
        <v>0</v>
      </c>
      <c r="S1134" s="301">
        <f t="shared" si="251"/>
        <v>0</v>
      </c>
      <c r="T1134" s="616">
        <f>T1092+T1096+T1103+T1110+T1117+T1124</f>
        <v>-210982551.15639755</v>
      </c>
      <c r="U1134" s="301"/>
      <c r="V1134" s="532">
        <f>V1092+V1096+V1103+V1110+V1117+V1124</f>
        <v>-210982551.15639755</v>
      </c>
      <c r="W1134" s="532">
        <f>+V1134-'ROR-Model'!G1154</f>
        <v>0</v>
      </c>
    </row>
    <row r="1135" spans="1:23">
      <c r="A1135" s="535"/>
      <c r="B1135" s="534"/>
      <c r="C1135" s="534"/>
      <c r="D1135" s="534"/>
      <c r="E1135" s="531"/>
      <c r="F1135" s="301"/>
      <c r="G1135" s="301"/>
      <c r="H1135" s="301"/>
      <c r="I1135" s="301"/>
      <c r="J1135" s="325"/>
      <c r="K1135" s="325"/>
      <c r="L1135" s="301"/>
      <c r="M1135" s="301"/>
      <c r="N1135" s="301"/>
      <c r="O1135" s="301"/>
      <c r="P1135" s="301"/>
      <c r="Q1135" s="325"/>
      <c r="R1135" s="325"/>
      <c r="S1135" s="325"/>
      <c r="T1135" s="532"/>
      <c r="U1135" s="301"/>
      <c r="V1135" s="532"/>
      <c r="W1135" s="532">
        <f>+V1135-'ROR-Model'!G1155</f>
        <v>0</v>
      </c>
    </row>
    <row r="1136" spans="1:23">
      <c r="A1136" s="535"/>
      <c r="B1136" s="534"/>
      <c r="C1136" s="534"/>
      <c r="D1136" s="534"/>
      <c r="E1136" s="531"/>
      <c r="F1136" s="301"/>
      <c r="G1136" s="301"/>
      <c r="H1136" s="301"/>
      <c r="I1136" s="301"/>
      <c r="J1136" s="325"/>
      <c r="K1136" s="325"/>
      <c r="L1136" s="301"/>
      <c r="M1136" s="301"/>
      <c r="N1136" s="301"/>
      <c r="O1136" s="301"/>
      <c r="P1136" s="301"/>
      <c r="Q1136" s="325"/>
      <c r="R1136" s="325"/>
      <c r="S1136" s="325"/>
      <c r="T1136" s="532"/>
      <c r="U1136" s="301"/>
      <c r="V1136" s="532"/>
      <c r="W1136" s="532">
        <f>+V1136-'ROR-Model'!G1156</f>
        <v>0</v>
      </c>
    </row>
    <row r="1137" spans="1:23">
      <c r="A1137" s="167" t="s">
        <v>272</v>
      </c>
      <c r="B1137" s="534"/>
      <c r="C1137" s="534"/>
      <c r="D1137" s="534"/>
      <c r="E1137" s="531"/>
      <c r="F1137" s="301"/>
      <c r="G1137" s="301"/>
      <c r="H1137" s="301"/>
      <c r="I1137" s="301"/>
      <c r="J1137" s="325"/>
      <c r="K1137" s="325"/>
      <c r="L1137" s="301"/>
      <c r="M1137" s="301"/>
      <c r="N1137" s="301"/>
      <c r="O1137" s="301"/>
      <c r="P1137" s="301"/>
      <c r="Q1137" s="325"/>
      <c r="R1137" s="325"/>
      <c r="S1137" s="325"/>
      <c r="T1137" s="532"/>
      <c r="U1137" s="301"/>
      <c r="V1137" s="532"/>
      <c r="W1137" s="532">
        <f>+V1137-'ROR-Model'!G1157</f>
        <v>0</v>
      </c>
    </row>
    <row r="1138" spans="1:23">
      <c r="A1138" s="535"/>
      <c r="B1138" s="534"/>
      <c r="C1138" s="534"/>
      <c r="D1138" s="534"/>
      <c r="F1138" s="301"/>
      <c r="G1138" s="301"/>
      <c r="H1138" s="301"/>
      <c r="I1138" s="301"/>
      <c r="J1138" s="325"/>
      <c r="K1138" s="325"/>
      <c r="L1138" s="301"/>
      <c r="M1138" s="301"/>
      <c r="N1138" s="301"/>
      <c r="O1138" s="301"/>
      <c r="P1138" s="301"/>
      <c r="Q1138" s="325"/>
      <c r="R1138" s="325"/>
      <c r="S1138" s="325"/>
      <c r="T1138" s="532"/>
      <c r="U1138" s="301"/>
      <c r="V1138" s="532"/>
      <c r="W1138" s="532">
        <f>+V1138-'ROR-Model'!G1158</f>
        <v>0</v>
      </c>
    </row>
    <row r="1139" spans="1:23">
      <c r="A1139" s="326">
        <v>154</v>
      </c>
      <c r="B1139" s="277" t="s">
        <v>273</v>
      </c>
      <c r="C1139" s="277"/>
      <c r="D1139" s="534"/>
      <c r="F1139" s="301"/>
      <c r="G1139" s="301"/>
      <c r="H1139" s="301"/>
      <c r="I1139" s="301"/>
      <c r="J1139" s="325"/>
      <c r="K1139" s="325"/>
      <c r="L1139" s="301"/>
      <c r="M1139" s="301"/>
      <c r="N1139" s="301"/>
      <c r="O1139" s="301"/>
      <c r="P1139" s="301"/>
      <c r="Q1139" s="325"/>
      <c r="R1139" s="325"/>
      <c r="S1139" s="325"/>
      <c r="T1139" s="532"/>
      <c r="U1139" s="301"/>
      <c r="V1139" s="532"/>
      <c r="W1139" s="532">
        <f>+V1139-'ROR-Model'!G1159</f>
        <v>0</v>
      </c>
    </row>
    <row r="1140" spans="1:23">
      <c r="A1140" s="326"/>
      <c r="B1140" s="277"/>
      <c r="C1140" s="277" t="s">
        <v>542</v>
      </c>
      <c r="D1140" s="534"/>
      <c r="F1140" s="301">
        <f>'Rate Base'!$AD$198*F1</f>
        <v>-276423.93917611276</v>
      </c>
      <c r="G1140" s="301"/>
      <c r="H1140" s="301"/>
      <c r="I1140" s="301"/>
      <c r="J1140" s="325"/>
      <c r="K1140" s="325"/>
      <c r="L1140" s="301"/>
      <c r="M1140" s="301"/>
      <c r="N1140" s="301"/>
      <c r="O1140" s="301"/>
      <c r="P1140" s="301"/>
      <c r="Q1140" s="325"/>
      <c r="R1140" s="325"/>
      <c r="S1140" s="325"/>
      <c r="T1140" s="532">
        <f>SUM(F1140:S1140)</f>
        <v>-276423.93917611276</v>
      </c>
      <c r="U1140" s="301"/>
      <c r="V1140" s="532">
        <f>SUM(T1140:T1140)</f>
        <v>-276423.93917611276</v>
      </c>
      <c r="W1140" s="532">
        <f>+V1140-'ROR-Model'!G1160</f>
        <v>0</v>
      </c>
    </row>
    <row r="1141" spans="1:23">
      <c r="A1141" s="326"/>
      <c r="B1141" s="277"/>
      <c r="C1141" s="277" t="s">
        <v>543</v>
      </c>
      <c r="D1141" s="534"/>
      <c r="F1141" s="301">
        <f>'Rate Base'!$AD$199*F1</f>
        <v>-9595295.5045738854</v>
      </c>
      <c r="G1141" s="301"/>
      <c r="H1141" s="301"/>
      <c r="I1141" s="301"/>
      <c r="J1141" s="325"/>
      <c r="K1141" s="325"/>
      <c r="L1141" s="301"/>
      <c r="M1141" s="301"/>
      <c r="N1141" s="301"/>
      <c r="O1141" s="301"/>
      <c r="P1141" s="301"/>
      <c r="Q1141" s="325"/>
      <c r="R1141" s="325"/>
      <c r="S1141" s="325"/>
      <c r="T1141" s="532">
        <f>SUM(F1141:S1141)</f>
        <v>-9595295.5045738854</v>
      </c>
      <c r="U1141" s="301"/>
      <c r="V1141" s="532">
        <f>SUM(T1141:T1141)</f>
        <v>-9595295.5045738854</v>
      </c>
      <c r="W1141" s="532">
        <f>+V1141-'ROR-Model'!G1161</f>
        <v>0</v>
      </c>
    </row>
    <row r="1142" spans="1:23">
      <c r="A1142" s="326"/>
      <c r="B1142" s="277"/>
      <c r="C1142" s="277" t="s">
        <v>145</v>
      </c>
      <c r="D1142" s="534"/>
      <c r="F1142" s="323">
        <f>SUM(F1140:F1141)</f>
        <v>-9871719.4437499978</v>
      </c>
      <c r="G1142" s="323">
        <f>G1*SUM(G1140:G1141)</f>
        <v>0</v>
      </c>
      <c r="H1142" s="323">
        <f>SUM(H1140:H1141)</f>
        <v>0</v>
      </c>
      <c r="I1142" s="323">
        <f t="shared" ref="I1142:P1142" si="253">SUM(I1140:I1141)</f>
        <v>0</v>
      </c>
      <c r="J1142" s="476">
        <f>SUM(J1140:J1141)</f>
        <v>0</v>
      </c>
      <c r="K1142" s="476">
        <f>SUM(K1140:K1141)</f>
        <v>0</v>
      </c>
      <c r="L1142" s="323">
        <f t="shared" si="253"/>
        <v>0</v>
      </c>
      <c r="M1142" s="323">
        <f t="shared" si="253"/>
        <v>0</v>
      </c>
      <c r="N1142" s="323">
        <f t="shared" si="253"/>
        <v>0</v>
      </c>
      <c r="O1142" s="323">
        <f t="shared" si="253"/>
        <v>0</v>
      </c>
      <c r="P1142" s="323">
        <f t="shared" si="253"/>
        <v>0</v>
      </c>
      <c r="Q1142" s="476">
        <f>SUM(Q1140:Q1141)</f>
        <v>0</v>
      </c>
      <c r="R1142" s="476">
        <f>SUM(R1140:R1141)</f>
        <v>0</v>
      </c>
      <c r="S1142" s="476">
        <f>SUM(S1140:S1141)</f>
        <v>0</v>
      </c>
      <c r="T1142" s="536">
        <f>SUM(T1140:T1141)</f>
        <v>-9871719.4437499978</v>
      </c>
      <c r="U1142" s="323"/>
      <c r="V1142" s="536">
        <f>SUM(V1140:V1141)</f>
        <v>-9871719.4437499978</v>
      </c>
      <c r="W1142" s="536">
        <f>+V1142-'ROR-Model'!G1162</f>
        <v>0</v>
      </c>
    </row>
    <row r="1143" spans="1:23">
      <c r="A1143" s="543"/>
      <c r="B1143" s="534"/>
      <c r="C1143" s="534"/>
      <c r="D1143" s="534"/>
      <c r="F1143" s="301"/>
      <c r="G1143" s="301"/>
      <c r="H1143" s="301"/>
      <c r="I1143" s="301"/>
      <c r="J1143" s="325"/>
      <c r="K1143" s="325"/>
      <c r="L1143" s="301"/>
      <c r="M1143" s="301"/>
      <c r="N1143" s="301"/>
      <c r="O1143" s="301"/>
      <c r="P1143" s="301"/>
      <c r="Q1143" s="325"/>
      <c r="R1143" s="325"/>
      <c r="S1143" s="325"/>
      <c r="T1143" s="532"/>
      <c r="U1143" s="301"/>
      <c r="V1143" s="532"/>
      <c r="W1143" s="532">
        <f>+V1143-'ROR-Model'!G1163</f>
        <v>0</v>
      </c>
    </row>
    <row r="1144" spans="1:23">
      <c r="A1144" s="543">
        <v>1641</v>
      </c>
      <c r="B1144" s="534" t="s">
        <v>274</v>
      </c>
      <c r="C1144" s="534"/>
      <c r="D1144" s="534"/>
      <c r="F1144" s="301"/>
      <c r="G1144" s="301"/>
      <c r="H1144" s="301"/>
      <c r="I1144" s="301"/>
      <c r="J1144" s="325"/>
      <c r="K1144" s="325"/>
      <c r="L1144" s="301"/>
      <c r="M1144" s="301"/>
      <c r="N1144" s="301"/>
      <c r="O1144" s="301"/>
      <c r="P1144" s="301"/>
      <c r="Q1144" s="325"/>
      <c r="R1144" s="325"/>
      <c r="S1144" s="325"/>
      <c r="T1144" s="532"/>
      <c r="U1144" s="301"/>
      <c r="V1144" s="532"/>
      <c r="W1144" s="532">
        <f>+V1144-'ROR-Model'!G1164</f>
        <v>0</v>
      </c>
    </row>
    <row r="1145" spans="1:23">
      <c r="A1145" s="543"/>
      <c r="B1145" s="534"/>
      <c r="C1145" s="534" t="s">
        <v>399</v>
      </c>
      <c r="D1145" s="534"/>
      <c r="F1145" s="301">
        <f>'Rate Base'!$AD$203*F1</f>
        <v>0</v>
      </c>
      <c r="G1145" s="301"/>
      <c r="H1145" s="301">
        <f>'Und Stor'!D27*Adjustments!H1</f>
        <v>-19959087.870000001</v>
      </c>
      <c r="I1145" s="301"/>
      <c r="J1145" s="325"/>
      <c r="K1145" s="325"/>
      <c r="L1145" s="301"/>
      <c r="M1145" s="301"/>
      <c r="N1145" s="301"/>
      <c r="O1145" s="301"/>
      <c r="P1145" s="301"/>
      <c r="Q1145" s="325"/>
      <c r="R1145" s="325"/>
      <c r="S1145" s="325"/>
      <c r="T1145" s="532">
        <f>SUM(F1145:S1145)</f>
        <v>-19959087.870000001</v>
      </c>
      <c r="U1145" s="301"/>
      <c r="V1145" s="532">
        <f>SUM(T1145:T1145)</f>
        <v>-19959087.870000001</v>
      </c>
      <c r="W1145" s="532">
        <f>+V1145-'ROR-Model'!G1165</f>
        <v>0</v>
      </c>
    </row>
    <row r="1146" spans="1:23">
      <c r="A1146" s="543"/>
      <c r="B1146" s="534"/>
      <c r="C1146" s="534" t="s">
        <v>145</v>
      </c>
      <c r="D1146" s="534"/>
      <c r="F1146" s="323">
        <f>SUM(F1145)</f>
        <v>0</v>
      </c>
      <c r="G1146" s="323">
        <f>G1*SUM(G1145)</f>
        <v>0</v>
      </c>
      <c r="H1146" s="323">
        <f>SUM(H1145)</f>
        <v>-19959087.870000001</v>
      </c>
      <c r="I1146" s="323">
        <f t="shared" ref="I1146:Q1146" si="254">SUM(I1145)</f>
        <v>0</v>
      </c>
      <c r="J1146" s="476">
        <f>SUM(J1145)</f>
        <v>0</v>
      </c>
      <c r="K1146" s="476">
        <f>SUM(K1145)</f>
        <v>0</v>
      </c>
      <c r="L1146" s="323">
        <f t="shared" si="254"/>
        <v>0</v>
      </c>
      <c r="M1146" s="323">
        <f t="shared" si="254"/>
        <v>0</v>
      </c>
      <c r="N1146" s="323">
        <f t="shared" si="254"/>
        <v>0</v>
      </c>
      <c r="O1146" s="323">
        <f t="shared" si="254"/>
        <v>0</v>
      </c>
      <c r="P1146" s="323">
        <f t="shared" si="254"/>
        <v>0</v>
      </c>
      <c r="Q1146" s="476">
        <f t="shared" si="254"/>
        <v>0</v>
      </c>
      <c r="R1146" s="476">
        <f>SUM(R1145)</f>
        <v>0</v>
      </c>
      <c r="S1146" s="476">
        <f>SUM(S1145)</f>
        <v>0</v>
      </c>
      <c r="T1146" s="536">
        <f>SUM(T1145)</f>
        <v>-19959087.870000001</v>
      </c>
      <c r="U1146" s="323"/>
      <c r="V1146" s="536">
        <f>SUM(V1145)</f>
        <v>-19959087.870000001</v>
      </c>
      <c r="W1146" s="536">
        <f>+V1146-'ROR-Model'!G1166</f>
        <v>0</v>
      </c>
    </row>
    <row r="1147" spans="1:23">
      <c r="A1147" s="543"/>
      <c r="B1147" s="534"/>
      <c r="C1147" s="534"/>
      <c r="D1147" s="534"/>
      <c r="F1147" s="301"/>
      <c r="G1147" s="301"/>
      <c r="H1147" s="301"/>
      <c r="I1147" s="301"/>
      <c r="J1147" s="325"/>
      <c r="K1147" s="325"/>
      <c r="L1147" s="301"/>
      <c r="M1147" s="301"/>
      <c r="N1147" s="301"/>
      <c r="O1147" s="301"/>
      <c r="P1147" s="301"/>
      <c r="Q1147" s="325"/>
      <c r="R1147" s="325"/>
      <c r="S1147" s="325"/>
      <c r="T1147" s="532"/>
      <c r="U1147" s="301"/>
      <c r="V1147" s="532"/>
      <c r="W1147" s="532">
        <f>+V1147-'ROR-Model'!G1167</f>
        <v>0</v>
      </c>
    </row>
    <row r="1148" spans="1:23">
      <c r="A1148" s="326">
        <v>165</v>
      </c>
      <c r="B1148" s="277" t="s">
        <v>275</v>
      </c>
      <c r="C1148" s="277"/>
      <c r="D1148" s="534"/>
      <c r="F1148" s="301"/>
      <c r="G1148" s="301"/>
      <c r="H1148" s="301"/>
      <c r="I1148" s="301"/>
      <c r="J1148" s="325"/>
      <c r="K1148" s="325"/>
      <c r="L1148" s="301"/>
      <c r="M1148" s="301"/>
      <c r="N1148" s="301"/>
      <c r="O1148" s="301"/>
      <c r="P1148" s="301"/>
      <c r="Q1148" s="325"/>
      <c r="R1148" s="325"/>
      <c r="S1148" s="325"/>
      <c r="T1148" s="532"/>
      <c r="U1148" s="301"/>
      <c r="V1148" s="532"/>
      <c r="W1148" s="532">
        <f>+V1148-'ROR-Model'!G1168</f>
        <v>0</v>
      </c>
    </row>
    <row r="1149" spans="1:23">
      <c r="A1149" s="326"/>
      <c r="B1149" s="277"/>
      <c r="C1149" s="277" t="s">
        <v>544</v>
      </c>
      <c r="D1149" s="534"/>
      <c r="F1149" s="301">
        <f>'Rate Base'!$AD$207*F1</f>
        <v>1849404.65625</v>
      </c>
      <c r="G1149" s="301"/>
      <c r="H1149" s="301"/>
      <c r="I1149" s="301"/>
      <c r="J1149" s="325"/>
      <c r="K1149" s="325"/>
      <c r="L1149" s="301"/>
      <c r="M1149" s="301"/>
      <c r="N1149" s="301"/>
      <c r="O1149" s="301"/>
      <c r="P1149" s="301"/>
      <c r="Q1149" s="325"/>
      <c r="R1149" s="325"/>
      <c r="S1149" s="325"/>
      <c r="T1149" s="532">
        <f>SUM(F1149:S1149)</f>
        <v>1849404.65625</v>
      </c>
      <c r="U1149" s="301"/>
      <c r="V1149" s="532">
        <f>SUM(T1149:T1149)</f>
        <v>1849404.65625</v>
      </c>
      <c r="W1149" s="532">
        <f>+V1149-'ROR-Model'!G1169</f>
        <v>0</v>
      </c>
    </row>
    <row r="1150" spans="1:23">
      <c r="A1150" s="326"/>
      <c r="B1150" s="277"/>
      <c r="C1150" s="277" t="s">
        <v>145</v>
      </c>
      <c r="D1150" s="534"/>
      <c r="F1150" s="323">
        <f>SUM(F1149)</f>
        <v>1849404.65625</v>
      </c>
      <c r="G1150" s="323">
        <f>G1*SUM(G1149)</f>
        <v>0</v>
      </c>
      <c r="H1150" s="323">
        <f>SUM(H1149)</f>
        <v>0</v>
      </c>
      <c r="I1150" s="323">
        <f t="shared" ref="I1150:Q1150" si="255">SUM(I1149)</f>
        <v>0</v>
      </c>
      <c r="J1150" s="476">
        <f>SUM(J1149)</f>
        <v>0</v>
      </c>
      <c r="K1150" s="476">
        <f>SUM(K1149)</f>
        <v>0</v>
      </c>
      <c r="L1150" s="323">
        <f t="shared" si="255"/>
        <v>0</v>
      </c>
      <c r="M1150" s="323">
        <f t="shared" si="255"/>
        <v>0</v>
      </c>
      <c r="N1150" s="323">
        <f t="shared" si="255"/>
        <v>0</v>
      </c>
      <c r="O1150" s="323">
        <f t="shared" si="255"/>
        <v>0</v>
      </c>
      <c r="P1150" s="323">
        <f t="shared" si="255"/>
        <v>0</v>
      </c>
      <c r="Q1150" s="476">
        <f t="shared" si="255"/>
        <v>0</v>
      </c>
      <c r="R1150" s="476">
        <f>SUM(R1149)</f>
        <v>0</v>
      </c>
      <c r="S1150" s="476">
        <f>SUM(S1149)</f>
        <v>0</v>
      </c>
      <c r="T1150" s="536">
        <f>SUM(T1149)</f>
        <v>1849404.65625</v>
      </c>
      <c r="U1150" s="323"/>
      <c r="V1150" s="536">
        <f>SUM(V1149)</f>
        <v>1849404.65625</v>
      </c>
      <c r="W1150" s="536">
        <f>+V1150-'ROR-Model'!G1170</f>
        <v>0</v>
      </c>
    </row>
    <row r="1151" spans="1:23">
      <c r="A1151" s="543"/>
      <c r="B1151" s="534"/>
      <c r="C1151" s="534"/>
      <c r="D1151" s="534"/>
      <c r="F1151" s="301"/>
      <c r="G1151" s="301"/>
      <c r="H1151" s="301"/>
      <c r="I1151" s="301"/>
      <c r="J1151" s="325"/>
      <c r="K1151" s="325"/>
      <c r="L1151" s="301"/>
      <c r="M1151" s="301"/>
      <c r="N1151" s="301"/>
      <c r="O1151" s="301"/>
      <c r="P1151" s="301"/>
      <c r="Q1151" s="325"/>
      <c r="R1151" s="325"/>
      <c r="S1151" s="325"/>
      <c r="T1151" s="532"/>
      <c r="U1151" s="301"/>
      <c r="V1151" s="532"/>
      <c r="W1151" s="532">
        <f>+V1151-'ROR-Model'!G1171</f>
        <v>0</v>
      </c>
    </row>
    <row r="1152" spans="1:23">
      <c r="A1152" s="552" t="s">
        <v>268</v>
      </c>
      <c r="B1152" s="546" t="s">
        <v>270</v>
      </c>
      <c r="C1152" s="537"/>
      <c r="D1152" s="537"/>
      <c r="F1152" s="301"/>
      <c r="G1152" s="301"/>
      <c r="H1152" s="301"/>
      <c r="I1152" s="301"/>
      <c r="J1152" s="325"/>
      <c r="K1152" s="325"/>
      <c r="L1152" s="301"/>
      <c r="M1152" s="301"/>
      <c r="N1152" s="301"/>
      <c r="O1152" s="301"/>
      <c r="P1152" s="301"/>
      <c r="Q1152" s="325"/>
      <c r="R1152" s="325"/>
      <c r="S1152" s="325"/>
      <c r="T1152" s="532"/>
      <c r="U1152" s="301"/>
      <c r="V1152" s="532"/>
      <c r="W1152" s="532">
        <f>+V1152-'ROR-Model'!G1172</f>
        <v>0</v>
      </c>
    </row>
    <row r="1153" spans="1:23">
      <c r="A1153" s="553"/>
      <c r="B1153" s="537"/>
      <c r="C1153" s="537" t="s">
        <v>399</v>
      </c>
      <c r="D1153" s="537"/>
      <c r="F1153" s="301">
        <f>'Rate Base'!$AD$211*$F$1</f>
        <v>0</v>
      </c>
      <c r="G1153" s="301"/>
      <c r="H1153" s="301"/>
      <c r="I1153" s="301"/>
      <c r="J1153" s="325"/>
      <c r="K1153" s="325"/>
      <c r="L1153" s="301"/>
      <c r="M1153" s="301"/>
      <c r="N1153" s="301"/>
      <c r="O1153" s="301"/>
      <c r="P1153" s="301"/>
      <c r="Q1153" s="325"/>
      <c r="R1153" s="325"/>
      <c r="S1153" s="325"/>
      <c r="T1153" s="532">
        <f>SUM(F1153:S1153)</f>
        <v>0</v>
      </c>
      <c r="U1153" s="301"/>
      <c r="V1153" s="532">
        <f>SUM(T1153:T1153)</f>
        <v>0</v>
      </c>
      <c r="W1153" s="532">
        <f>+V1153-'ROR-Model'!G1173</f>
        <v>0</v>
      </c>
    </row>
    <row r="1154" spans="1:23">
      <c r="A1154" s="553"/>
      <c r="B1154" s="537"/>
      <c r="C1154" s="537" t="s">
        <v>542</v>
      </c>
      <c r="D1154" s="537"/>
      <c r="F1154" s="301">
        <f>'Rate Base'!$AD$212*$F$1</f>
        <v>0</v>
      </c>
      <c r="G1154" s="301"/>
      <c r="H1154" s="301"/>
      <c r="I1154" s="301"/>
      <c r="J1154" s="325"/>
      <c r="K1154" s="325"/>
      <c r="L1154" s="301"/>
      <c r="M1154" s="301"/>
      <c r="N1154" s="301"/>
      <c r="O1154" s="301"/>
      <c r="P1154" s="301"/>
      <c r="Q1154" s="325"/>
      <c r="R1154" s="325"/>
      <c r="S1154" s="325"/>
      <c r="T1154" s="532">
        <f>SUM(F1154:S1154)</f>
        <v>0</v>
      </c>
      <c r="U1154" s="301"/>
      <c r="V1154" s="532">
        <f>SUM(T1154:T1154)</f>
        <v>0</v>
      </c>
      <c r="W1154" s="532">
        <f>+V1154-'ROR-Model'!G1174</f>
        <v>0</v>
      </c>
    </row>
    <row r="1155" spans="1:23">
      <c r="A1155" s="553"/>
      <c r="B1155" s="537"/>
      <c r="C1155" s="537" t="s">
        <v>543</v>
      </c>
      <c r="D1155" s="537"/>
      <c r="F1155" s="301">
        <f>'Rate Base'!$AD$213*$F$1</f>
        <v>0</v>
      </c>
      <c r="G1155" s="301"/>
      <c r="H1155" s="301"/>
      <c r="I1155" s="301"/>
      <c r="J1155" s="325"/>
      <c r="K1155" s="325"/>
      <c r="L1155" s="301"/>
      <c r="M1155" s="301"/>
      <c r="N1155" s="301"/>
      <c r="O1155" s="301"/>
      <c r="P1155" s="301"/>
      <c r="Q1155" s="325"/>
      <c r="R1155" s="325"/>
      <c r="S1155" s="325"/>
      <c r="T1155" s="532">
        <f>SUM(F1155:S1155)</f>
        <v>0</v>
      </c>
      <c r="U1155" s="301"/>
      <c r="V1155" s="532">
        <f>SUM(T1155:T1155)</f>
        <v>0</v>
      </c>
      <c r="W1155" s="532">
        <f>+V1155-'ROR-Model'!G1175</f>
        <v>0</v>
      </c>
    </row>
    <row r="1156" spans="1:23">
      <c r="A1156" s="553"/>
      <c r="B1156" s="537"/>
      <c r="C1156" s="537" t="s">
        <v>544</v>
      </c>
      <c r="D1156" s="537"/>
      <c r="F1156" s="301">
        <f>'Rate Base'!$AD$214*$F$1</f>
        <v>14703197.269166661</v>
      </c>
      <c r="G1156" s="301"/>
      <c r="H1156" s="301"/>
      <c r="I1156" s="301"/>
      <c r="J1156" s="325"/>
      <c r="K1156" s="325"/>
      <c r="L1156" s="301"/>
      <c r="M1156" s="301"/>
      <c r="N1156" s="301"/>
      <c r="O1156" s="301"/>
      <c r="P1156" s="301"/>
      <c r="Q1156" s="325"/>
      <c r="R1156" s="325"/>
      <c r="S1156" s="325"/>
      <c r="T1156" s="532">
        <f>SUM(F1156:S1156)</f>
        <v>14703197.269166661</v>
      </c>
      <c r="U1156" s="301"/>
      <c r="V1156" s="532">
        <f>SUM(T1156:T1156)</f>
        <v>14703197.269166661</v>
      </c>
      <c r="W1156" s="532">
        <f>+V1156-'ROR-Model'!G1176</f>
        <v>0</v>
      </c>
    </row>
    <row r="1157" spans="1:23">
      <c r="A1157" s="553"/>
      <c r="B1157" s="537"/>
      <c r="C1157" s="537" t="s">
        <v>145</v>
      </c>
      <c r="D1157" s="537"/>
      <c r="F1157" s="323">
        <f>SUM(F1153:F1156)</f>
        <v>14703197.269166661</v>
      </c>
      <c r="G1157" s="323">
        <f>G1*SUM(G1153:G1156)</f>
        <v>0</v>
      </c>
      <c r="H1157" s="323">
        <f>SUM(H1153:H1156)</f>
        <v>0</v>
      </c>
      <c r="I1157" s="323">
        <f t="shared" ref="I1157:P1157" si="256">SUM(I1153:I1156)</f>
        <v>0</v>
      </c>
      <c r="J1157" s="476">
        <f>SUM(J1153:J1156)</f>
        <v>0</v>
      </c>
      <c r="K1157" s="476">
        <f>SUM(K1153:K1156)</f>
        <v>0</v>
      </c>
      <c r="L1157" s="323">
        <f t="shared" si="256"/>
        <v>0</v>
      </c>
      <c r="M1157" s="323">
        <f t="shared" si="256"/>
        <v>0</v>
      </c>
      <c r="N1157" s="323">
        <f t="shared" si="256"/>
        <v>0</v>
      </c>
      <c r="O1157" s="323">
        <f t="shared" si="256"/>
        <v>0</v>
      </c>
      <c r="P1157" s="323">
        <f t="shared" si="256"/>
        <v>0</v>
      </c>
      <c r="Q1157" s="476">
        <f>SUM(Q1153:Q1156)</f>
        <v>0</v>
      </c>
      <c r="R1157" s="476">
        <f>SUM(R1153:R1156)</f>
        <v>0</v>
      </c>
      <c r="S1157" s="476">
        <f>SUM(S1153:S1156)</f>
        <v>0</v>
      </c>
      <c r="T1157" s="536">
        <f>SUM(T1153:T1156)</f>
        <v>14703197.269166661</v>
      </c>
      <c r="U1157" s="323"/>
      <c r="V1157" s="536">
        <f>SUM(V1153:V1156)</f>
        <v>14703197.269166661</v>
      </c>
      <c r="W1157" s="536">
        <f>+V1157-'ROR-Model'!G1177</f>
        <v>0</v>
      </c>
    </row>
    <row r="1158" spans="1:23">
      <c r="A1158" s="553"/>
      <c r="B1158" s="537"/>
      <c r="C1158" s="537"/>
      <c r="D1158" s="537"/>
      <c r="F1158" s="301"/>
      <c r="G1158" s="301"/>
      <c r="H1158" s="301"/>
      <c r="I1158" s="301"/>
      <c r="J1158" s="325"/>
      <c r="K1158" s="325"/>
      <c r="L1158" s="301"/>
      <c r="M1158" s="301"/>
      <c r="N1158" s="301"/>
      <c r="O1158" s="301"/>
      <c r="P1158" s="301"/>
      <c r="Q1158" s="325"/>
      <c r="R1158" s="325"/>
      <c r="S1158" s="325"/>
      <c r="T1158" s="532"/>
      <c r="U1158" s="301"/>
      <c r="V1158" s="532"/>
      <c r="W1158" s="532">
        <f>+V1158-'ROR-Model'!G1178</f>
        <v>0</v>
      </c>
    </row>
    <row r="1159" spans="1:23">
      <c r="A1159" s="552" t="s">
        <v>269</v>
      </c>
      <c r="B1159" s="546" t="s">
        <v>271</v>
      </c>
      <c r="C1159" s="537"/>
      <c r="D1159" s="537"/>
      <c r="F1159" s="301"/>
      <c r="G1159" s="301"/>
      <c r="H1159" s="301"/>
      <c r="I1159" s="301"/>
      <c r="J1159" s="325"/>
      <c r="K1159" s="325"/>
      <c r="L1159" s="301"/>
      <c r="M1159" s="301"/>
      <c r="N1159" s="301"/>
      <c r="O1159" s="301"/>
      <c r="P1159" s="301"/>
      <c r="Q1159" s="325"/>
      <c r="R1159" s="325"/>
      <c r="S1159" s="325"/>
      <c r="T1159" s="532"/>
      <c r="U1159" s="301"/>
      <c r="V1159" s="532"/>
      <c r="W1159" s="532">
        <f>+V1159-'ROR-Model'!G1179</f>
        <v>0</v>
      </c>
    </row>
    <row r="1160" spans="1:23">
      <c r="A1160" s="553"/>
      <c r="B1160" s="537"/>
      <c r="C1160" s="537" t="s">
        <v>399</v>
      </c>
      <c r="D1160" s="537"/>
      <c r="F1160" s="301">
        <f>'Rate Base'!$AD$218*$F$1</f>
        <v>0</v>
      </c>
      <c r="G1160" s="301"/>
      <c r="H1160" s="301"/>
      <c r="I1160" s="301"/>
      <c r="J1160" s="325"/>
      <c r="K1160" s="325"/>
      <c r="L1160" s="301"/>
      <c r="M1160" s="301"/>
      <c r="N1160" s="301"/>
      <c r="O1160" s="301"/>
      <c r="P1160" s="301"/>
      <c r="Q1160" s="325"/>
      <c r="R1160" s="325"/>
      <c r="S1160" s="325"/>
      <c r="T1160" s="532">
        <f>SUM(F1160:S1160)</f>
        <v>0</v>
      </c>
      <c r="U1160" s="301"/>
      <c r="V1160" s="532">
        <f>SUM(T1160:T1160)</f>
        <v>0</v>
      </c>
      <c r="W1160" s="532">
        <f>+V1160-'ROR-Model'!G1180</f>
        <v>0</v>
      </c>
    </row>
    <row r="1161" spans="1:23">
      <c r="A1161" s="553"/>
      <c r="B1161" s="537"/>
      <c r="C1161" s="537" t="s">
        <v>542</v>
      </c>
      <c r="D1161" s="537"/>
      <c r="F1161" s="301">
        <f>'Rate Base'!$AD$219*$F$1</f>
        <v>0</v>
      </c>
      <c r="G1161" s="301"/>
      <c r="H1161" s="301"/>
      <c r="I1161" s="301"/>
      <c r="J1161" s="325"/>
      <c r="K1161" s="325"/>
      <c r="L1161" s="301"/>
      <c r="M1161" s="301"/>
      <c r="N1161" s="301"/>
      <c r="O1161" s="301"/>
      <c r="P1161" s="301"/>
      <c r="Q1161" s="325"/>
      <c r="R1161" s="325"/>
      <c r="S1161" s="325"/>
      <c r="T1161" s="532">
        <f>SUM(F1161:S1161)</f>
        <v>0</v>
      </c>
      <c r="U1161" s="301"/>
      <c r="V1161" s="532">
        <f>SUM(T1161:T1161)</f>
        <v>0</v>
      </c>
      <c r="W1161" s="532">
        <f>+V1161-'ROR-Model'!G1181</f>
        <v>0</v>
      </c>
    </row>
    <row r="1162" spans="1:23">
      <c r="A1162" s="553"/>
      <c r="B1162" s="537"/>
      <c r="C1162" s="537" t="s">
        <v>543</v>
      </c>
      <c r="D1162" s="537"/>
      <c r="F1162" s="301">
        <f>'Rate Base'!$AD$220*$F$1</f>
        <v>0</v>
      </c>
      <c r="G1162" s="301"/>
      <c r="H1162" s="301"/>
      <c r="I1162" s="301"/>
      <c r="J1162" s="325"/>
      <c r="K1162" s="325"/>
      <c r="L1162" s="301"/>
      <c r="M1162" s="301"/>
      <c r="N1162" s="301"/>
      <c r="O1162" s="301"/>
      <c r="P1162" s="301"/>
      <c r="Q1162" s="325"/>
      <c r="R1162" s="325"/>
      <c r="S1162" s="325"/>
      <c r="T1162" s="532">
        <f>SUM(F1162:S1162)</f>
        <v>0</v>
      </c>
      <c r="U1162" s="301"/>
      <c r="V1162" s="532">
        <f>SUM(T1162:T1162)</f>
        <v>0</v>
      </c>
      <c r="W1162" s="532">
        <f>+V1162-'ROR-Model'!G1182</f>
        <v>0</v>
      </c>
    </row>
    <row r="1163" spans="1:23">
      <c r="A1163" s="553"/>
      <c r="B1163" s="537"/>
      <c r="C1163" s="537" t="s">
        <v>544</v>
      </c>
      <c r="D1163" s="537"/>
      <c r="F1163" s="301">
        <f>'Rate Base'!$AD$221*$F$1</f>
        <v>3499284.8333333335</v>
      </c>
      <c r="G1163" s="301"/>
      <c r="H1163" s="301"/>
      <c r="I1163" s="301"/>
      <c r="J1163" s="325"/>
      <c r="K1163" s="325"/>
      <c r="L1163" s="301"/>
      <c r="M1163" s="301"/>
      <c r="N1163" s="301"/>
      <c r="O1163" s="301"/>
      <c r="P1163" s="301"/>
      <c r="Q1163" s="325"/>
      <c r="R1163" s="325"/>
      <c r="S1163" s="325"/>
      <c r="T1163" s="532">
        <f>SUM(F1163:S1163)</f>
        <v>3499284.8333333335</v>
      </c>
      <c r="U1163" s="301"/>
      <c r="V1163" s="532">
        <f>SUM(T1163:T1163)</f>
        <v>3499284.8333333335</v>
      </c>
      <c r="W1163" s="532">
        <f>+V1163-'ROR-Model'!G1183</f>
        <v>0</v>
      </c>
    </row>
    <row r="1164" spans="1:23">
      <c r="A1164" s="553"/>
      <c r="B1164" s="537"/>
      <c r="C1164" s="537" t="s">
        <v>145</v>
      </c>
      <c r="D1164" s="537"/>
      <c r="F1164" s="323">
        <f>SUM(F1160:F1163)</f>
        <v>3499284.8333333335</v>
      </c>
      <c r="G1164" s="323">
        <f>G1*SUM(G1160:G1163)</f>
        <v>0</v>
      </c>
      <c r="H1164" s="323">
        <f>SUM(H1160:H1163)</f>
        <v>0</v>
      </c>
      <c r="I1164" s="323">
        <f t="shared" ref="I1164:P1164" si="257">SUM(I1160:I1163)</f>
        <v>0</v>
      </c>
      <c r="J1164" s="476">
        <f>SUM(J1160:J1163)</f>
        <v>0</v>
      </c>
      <c r="K1164" s="476">
        <f>SUM(K1160:K1163)</f>
        <v>0</v>
      </c>
      <c r="L1164" s="323">
        <f t="shared" si="257"/>
        <v>0</v>
      </c>
      <c r="M1164" s="323">
        <f t="shared" si="257"/>
        <v>0</v>
      </c>
      <c r="N1164" s="323">
        <f t="shared" si="257"/>
        <v>0</v>
      </c>
      <c r="O1164" s="323">
        <f t="shared" si="257"/>
        <v>0</v>
      </c>
      <c r="P1164" s="323">
        <f t="shared" si="257"/>
        <v>0</v>
      </c>
      <c r="Q1164" s="476">
        <f>SUM(Q1160:Q1163)</f>
        <v>0</v>
      </c>
      <c r="R1164" s="476">
        <f>SUM(R1160:R1163)</f>
        <v>0</v>
      </c>
      <c r="S1164" s="476">
        <f>SUM(S1160:S1163)</f>
        <v>0</v>
      </c>
      <c r="T1164" s="536">
        <f>SUM(T1160:T1163)</f>
        <v>3499284.8333333335</v>
      </c>
      <c r="U1164" s="323"/>
      <c r="V1164" s="536">
        <f>SUM(V1160:V1163)</f>
        <v>3499284.8333333335</v>
      </c>
      <c r="W1164" s="536">
        <f>+V1164-'ROR-Model'!G1184</f>
        <v>0</v>
      </c>
    </row>
    <row r="1165" spans="1:23">
      <c r="A1165" s="543"/>
      <c r="B1165" s="534"/>
      <c r="C1165" s="534"/>
      <c r="D1165" s="534"/>
      <c r="F1165" s="301"/>
      <c r="G1165" s="301"/>
      <c r="H1165" s="301"/>
      <c r="I1165" s="301"/>
      <c r="J1165" s="325"/>
      <c r="K1165" s="325"/>
      <c r="L1165" s="301"/>
      <c r="M1165" s="301"/>
      <c r="N1165" s="301"/>
      <c r="O1165" s="301"/>
      <c r="P1165" s="301"/>
      <c r="Q1165" s="325"/>
      <c r="R1165" s="325"/>
      <c r="S1165" s="325"/>
      <c r="T1165" s="532"/>
      <c r="U1165" s="301"/>
      <c r="V1165" s="532"/>
      <c r="W1165" s="532">
        <f>+V1165-'ROR-Model'!G1185</f>
        <v>0</v>
      </c>
    </row>
    <row r="1166" spans="1:23">
      <c r="A1166" s="326">
        <v>2351</v>
      </c>
      <c r="B1166" s="300" t="s">
        <v>276</v>
      </c>
      <c r="C1166" s="277"/>
      <c r="D1166" s="534"/>
      <c r="F1166" s="301"/>
      <c r="G1166" s="301"/>
      <c r="H1166" s="301"/>
      <c r="I1166" s="301"/>
      <c r="J1166" s="325"/>
      <c r="K1166" s="325"/>
      <c r="L1166" s="301"/>
      <c r="M1166" s="301"/>
      <c r="N1166" s="301"/>
      <c r="O1166" s="301"/>
      <c r="P1166" s="301"/>
      <c r="Q1166" s="325"/>
      <c r="R1166" s="325"/>
      <c r="S1166" s="325"/>
      <c r="T1166" s="532"/>
      <c r="U1166" s="301"/>
      <c r="V1166" s="532"/>
      <c r="W1166" s="532">
        <f>+V1166-'ROR-Model'!G1186</f>
        <v>0</v>
      </c>
    </row>
    <row r="1167" spans="1:23">
      <c r="A1167" s="326"/>
      <c r="B1167" s="277"/>
      <c r="C1167" s="277" t="s">
        <v>542</v>
      </c>
      <c r="D1167" s="534"/>
      <c r="F1167" s="301">
        <f>'Rate Base'!$AD$225*F1</f>
        <v>-14506.210416666669</v>
      </c>
      <c r="G1167" s="301"/>
      <c r="H1167" s="301"/>
      <c r="I1167" s="301"/>
      <c r="J1167" s="325"/>
      <c r="K1167" s="325"/>
      <c r="L1167" s="301"/>
      <c r="M1167" s="301"/>
      <c r="N1167" s="301"/>
      <c r="O1167" s="301"/>
      <c r="P1167" s="301"/>
      <c r="Q1167" s="325"/>
      <c r="R1167" s="325"/>
      <c r="S1167" s="325"/>
      <c r="T1167" s="532">
        <f>SUM(F1167:S1167)</f>
        <v>-14506.210416666669</v>
      </c>
      <c r="U1167" s="301"/>
      <c r="V1167" s="532">
        <f>SUM(T1167:T1167)</f>
        <v>-14506.210416666669</v>
      </c>
      <c r="W1167" s="532">
        <f>+V1167-'ROR-Model'!G1187</f>
        <v>0</v>
      </c>
    </row>
    <row r="1168" spans="1:23">
      <c r="A1168" s="326"/>
      <c r="B1168" s="277"/>
      <c r="C1168" s="277" t="s">
        <v>543</v>
      </c>
      <c r="D1168" s="534"/>
      <c r="F1168" s="301">
        <f>'Rate Base'!$AD$226*F1</f>
        <v>241839.8508333331</v>
      </c>
      <c r="G1168" s="301"/>
      <c r="H1168" s="301"/>
      <c r="I1168" s="301"/>
      <c r="J1168" s="325"/>
      <c r="K1168" s="325"/>
      <c r="L1168" s="301"/>
      <c r="M1168" s="301"/>
      <c r="N1168" s="301"/>
      <c r="O1168" s="301"/>
      <c r="P1168" s="301"/>
      <c r="Q1168" s="325"/>
      <c r="R1168" s="325"/>
      <c r="S1168" s="325"/>
      <c r="T1168" s="532">
        <f>SUM(F1168:S1168)</f>
        <v>241839.8508333331</v>
      </c>
      <c r="U1168" s="301"/>
      <c r="V1168" s="532">
        <f>SUM(T1168:T1168)</f>
        <v>241839.8508333331</v>
      </c>
      <c r="W1168" s="532">
        <f>+V1168-'ROR-Model'!G1188</f>
        <v>0</v>
      </c>
    </row>
    <row r="1169" spans="1:23">
      <c r="A1169" s="326"/>
      <c r="B1169" s="277"/>
      <c r="C1169" s="277" t="s">
        <v>145</v>
      </c>
      <c r="D1169" s="534"/>
      <c r="F1169" s="323">
        <f>SUM(F1167:F1168)</f>
        <v>227333.64041666643</v>
      </c>
      <c r="G1169" s="323">
        <f>G1*SUM(G1167:G1168)</f>
        <v>0</v>
      </c>
      <c r="H1169" s="323">
        <f>SUM(H1167:H1168)</f>
        <v>0</v>
      </c>
      <c r="I1169" s="323">
        <f t="shared" ref="I1169:P1169" si="258">SUM(I1167:I1168)</f>
        <v>0</v>
      </c>
      <c r="J1169" s="476">
        <f>SUM(J1167:J1168)</f>
        <v>0</v>
      </c>
      <c r="K1169" s="476">
        <f>SUM(K1167:K1168)</f>
        <v>0</v>
      </c>
      <c r="L1169" s="323">
        <f t="shared" si="258"/>
        <v>0</v>
      </c>
      <c r="M1169" s="323">
        <f t="shared" si="258"/>
        <v>0</v>
      </c>
      <c r="N1169" s="323">
        <f t="shared" si="258"/>
        <v>0</v>
      </c>
      <c r="O1169" s="323">
        <f t="shared" si="258"/>
        <v>0</v>
      </c>
      <c r="P1169" s="323">
        <f t="shared" si="258"/>
        <v>0</v>
      </c>
      <c r="Q1169" s="476">
        <f>SUM(Q1167:Q1168)</f>
        <v>0</v>
      </c>
      <c r="R1169" s="476">
        <f>SUM(R1167:R1168)</f>
        <v>0</v>
      </c>
      <c r="S1169" s="476">
        <f>SUM(S1167:S1168)</f>
        <v>0</v>
      </c>
      <c r="T1169" s="536">
        <f>SUM(T1167:T1168)</f>
        <v>227333.64041666643</v>
      </c>
      <c r="U1169" s="323"/>
      <c r="V1169" s="536">
        <f>SUM(V1167:V1168)</f>
        <v>227333.64041666643</v>
      </c>
      <c r="W1169" s="536">
        <f>+V1169-'ROR-Model'!G1189</f>
        <v>0</v>
      </c>
    </row>
    <row r="1170" spans="1:23">
      <c r="A1170" s="543"/>
      <c r="B1170" s="534"/>
      <c r="C1170" s="534"/>
      <c r="D1170" s="534"/>
      <c r="F1170" s="301"/>
      <c r="G1170" s="301"/>
      <c r="H1170" s="301"/>
      <c r="I1170" s="301"/>
      <c r="J1170" s="325"/>
      <c r="K1170" s="325"/>
      <c r="L1170" s="301"/>
      <c r="M1170" s="301"/>
      <c r="N1170" s="301"/>
      <c r="O1170" s="301"/>
      <c r="P1170" s="301"/>
      <c r="Q1170" s="325"/>
      <c r="R1170" s="325"/>
      <c r="S1170" s="325"/>
      <c r="T1170" s="532"/>
      <c r="U1170" s="301"/>
      <c r="V1170" s="532"/>
      <c r="W1170" s="532">
        <f>+V1170-'ROR-Model'!G1190</f>
        <v>0</v>
      </c>
    </row>
    <row r="1171" spans="1:23">
      <c r="A1171" s="554">
        <v>252</v>
      </c>
      <c r="B1171" s="541" t="s">
        <v>449</v>
      </c>
      <c r="C1171" s="537"/>
      <c r="D1171" s="537"/>
      <c r="F1171" s="301"/>
      <c r="G1171" s="301"/>
      <c r="H1171" s="301"/>
      <c r="I1171" s="301"/>
      <c r="J1171" s="325"/>
      <c r="K1171" s="325"/>
      <c r="L1171" s="301"/>
      <c r="M1171" s="301"/>
      <c r="N1171" s="301"/>
      <c r="O1171" s="301"/>
      <c r="P1171" s="301"/>
      <c r="Q1171" s="325"/>
      <c r="R1171" s="325"/>
      <c r="S1171" s="325"/>
      <c r="T1171" s="532"/>
      <c r="U1171" s="301"/>
      <c r="V1171" s="532"/>
      <c r="W1171" s="532">
        <f>+V1171-'ROR-Model'!G1191</f>
        <v>0</v>
      </c>
    </row>
    <row r="1172" spans="1:23">
      <c r="A1172" s="425"/>
      <c r="B1172" s="300"/>
      <c r="C1172" s="277" t="s">
        <v>542</v>
      </c>
      <c r="D1172" s="265"/>
      <c r="F1172" s="301">
        <f>+'Rate Base'!AD230*F1</f>
        <v>0</v>
      </c>
      <c r="G1172" s="301"/>
      <c r="H1172" s="301"/>
      <c r="I1172" s="301"/>
      <c r="J1172" s="325"/>
      <c r="K1172" s="325"/>
      <c r="L1172" s="301"/>
      <c r="M1172" s="301"/>
      <c r="N1172" s="301"/>
      <c r="O1172" s="301"/>
      <c r="P1172" s="301"/>
      <c r="Q1172" s="325"/>
      <c r="R1172" s="325"/>
      <c r="S1172" s="325"/>
      <c r="T1172" s="325">
        <f>SUM(F1172:S1172)</f>
        <v>0</v>
      </c>
      <c r="U1172" s="301"/>
      <c r="V1172" s="325">
        <f>SUM(T1172:T1172)</f>
        <v>0</v>
      </c>
      <c r="W1172" s="325">
        <f>+V1172-'ROR-Model'!G1192</f>
        <v>0</v>
      </c>
    </row>
    <row r="1173" spans="1:23">
      <c r="A1173" s="425"/>
      <c r="B1173" s="265"/>
      <c r="C1173" s="277" t="s">
        <v>543</v>
      </c>
      <c r="D1173" s="265"/>
      <c r="F1173" s="301">
        <f>+'Rate Base'!AD231*F1</f>
        <v>0</v>
      </c>
      <c r="G1173" s="301"/>
      <c r="H1173" s="301"/>
      <c r="I1173" s="301"/>
      <c r="J1173" s="325"/>
      <c r="K1173" s="325"/>
      <c r="L1173" s="301"/>
      <c r="M1173" s="301"/>
      <c r="N1173" s="301"/>
      <c r="O1173" s="301"/>
      <c r="P1173" s="301"/>
      <c r="Q1173" s="325"/>
      <c r="R1173" s="325"/>
      <c r="S1173" s="325"/>
      <c r="T1173" s="325">
        <f>SUM(F1173:S1173)</f>
        <v>0</v>
      </c>
      <c r="U1173" s="301"/>
      <c r="V1173" s="325">
        <f>SUM(T1173:T1173)</f>
        <v>0</v>
      </c>
      <c r="W1173" s="325">
        <f>+V1173-'ROR-Model'!G1193</f>
        <v>0</v>
      </c>
    </row>
    <row r="1174" spans="1:23">
      <c r="A1174" s="425"/>
      <c r="B1174" s="265"/>
      <c r="C1174" s="265" t="s">
        <v>145</v>
      </c>
      <c r="D1174" s="265"/>
      <c r="F1174" s="301">
        <f>SUM(F1172:F1173)</f>
        <v>0</v>
      </c>
      <c r="G1174" s="301"/>
      <c r="H1174" s="301"/>
      <c r="I1174" s="301"/>
      <c r="J1174" s="325"/>
      <c r="K1174" s="325"/>
      <c r="L1174" s="301"/>
      <c r="M1174" s="301"/>
      <c r="N1174" s="301"/>
      <c r="O1174" s="301"/>
      <c r="P1174" s="301"/>
      <c r="Q1174" s="325"/>
      <c r="R1174" s="325"/>
      <c r="S1174" s="325"/>
      <c r="T1174" s="325">
        <f>SUM(T1172:T1173)</f>
        <v>0</v>
      </c>
      <c r="U1174" s="301"/>
      <c r="V1174" s="325">
        <f>SUM(V1172:V1173)</f>
        <v>0</v>
      </c>
      <c r="W1174" s="325">
        <f>+V1174-'ROR-Model'!G1194</f>
        <v>0</v>
      </c>
    </row>
    <row r="1175" spans="1:23">
      <c r="A1175" s="554"/>
      <c r="B1175" s="537"/>
      <c r="C1175" s="537"/>
      <c r="D1175" s="537"/>
      <c r="F1175" s="301"/>
      <c r="G1175" s="301"/>
      <c r="H1175" s="301"/>
      <c r="I1175" s="301"/>
      <c r="J1175" s="325"/>
      <c r="K1175" s="325"/>
      <c r="L1175" s="301"/>
      <c r="M1175" s="301"/>
      <c r="N1175" s="301"/>
      <c r="O1175" s="301"/>
      <c r="P1175" s="301"/>
      <c r="Q1175" s="325"/>
      <c r="R1175" s="325"/>
      <c r="S1175" s="325"/>
      <c r="T1175" s="532"/>
      <c r="U1175" s="301"/>
      <c r="V1175" s="532"/>
      <c r="W1175" s="532">
        <f>+V1175-'ROR-Model'!G1195</f>
        <v>0</v>
      </c>
    </row>
    <row r="1176" spans="1:23">
      <c r="A1176" s="326">
        <v>2531</v>
      </c>
      <c r="B1176" s="277" t="s">
        <v>277</v>
      </c>
      <c r="C1176" s="277"/>
      <c r="D1176" s="534"/>
      <c r="F1176" s="301"/>
      <c r="G1176" s="301"/>
      <c r="H1176" s="301"/>
      <c r="I1176" s="301"/>
      <c r="J1176" s="325"/>
      <c r="K1176" s="325"/>
      <c r="L1176" s="301"/>
      <c r="M1176" s="301"/>
      <c r="N1176" s="301"/>
      <c r="O1176" s="301"/>
      <c r="P1176" s="301"/>
      <c r="Q1176" s="325"/>
      <c r="R1176" s="325"/>
      <c r="S1176" s="325"/>
      <c r="T1176" s="532"/>
      <c r="U1176" s="301"/>
      <c r="V1176" s="532"/>
      <c r="W1176" s="532">
        <f>+V1176-'ROR-Model'!G1196</f>
        <v>0</v>
      </c>
    </row>
    <row r="1177" spans="1:23">
      <c r="A1177" s="326"/>
      <c r="B1177" s="277"/>
      <c r="C1177" s="277" t="s">
        <v>544</v>
      </c>
      <c r="D1177" s="534"/>
      <c r="F1177" s="301">
        <f>'Rate Base'!$AD$235*F1</f>
        <v>14083.890416666662</v>
      </c>
      <c r="G1177" s="301"/>
      <c r="H1177" s="301"/>
      <c r="I1177" s="301"/>
      <c r="J1177" s="325"/>
      <c r="K1177" s="325"/>
      <c r="L1177" s="301"/>
      <c r="M1177" s="301"/>
      <c r="N1177" s="301"/>
      <c r="O1177" s="301"/>
      <c r="P1177" s="301"/>
      <c r="Q1177" s="325"/>
      <c r="R1177" s="325"/>
      <c r="S1177" s="325"/>
      <c r="T1177" s="532">
        <f>SUM(F1177:S1177)</f>
        <v>14083.890416666662</v>
      </c>
      <c r="U1177" s="301"/>
      <c r="V1177" s="532">
        <f>SUM(T1177:T1177)</f>
        <v>14083.890416666662</v>
      </c>
      <c r="W1177" s="532">
        <f>+V1177-'ROR-Model'!G1197</f>
        <v>0</v>
      </c>
    </row>
    <row r="1178" spans="1:23">
      <c r="A1178" s="326"/>
      <c r="B1178" s="277"/>
      <c r="C1178" s="277" t="s">
        <v>145</v>
      </c>
      <c r="D1178" s="534"/>
      <c r="F1178" s="323">
        <f>SUM(F1177)</f>
        <v>14083.890416666662</v>
      </c>
      <c r="G1178" s="323">
        <f>G1*SUM(G1177)</f>
        <v>0</v>
      </c>
      <c r="H1178" s="323">
        <f>SUM(H1177)</f>
        <v>0</v>
      </c>
      <c r="I1178" s="323">
        <f t="shared" ref="I1178:Q1178" si="259">SUM(I1177)</f>
        <v>0</v>
      </c>
      <c r="J1178" s="476">
        <f>SUM(J1177)</f>
        <v>0</v>
      </c>
      <c r="K1178" s="476">
        <f>SUM(K1177)</f>
        <v>0</v>
      </c>
      <c r="L1178" s="323">
        <f t="shared" si="259"/>
        <v>0</v>
      </c>
      <c r="M1178" s="323">
        <f t="shared" si="259"/>
        <v>0</v>
      </c>
      <c r="N1178" s="323">
        <f t="shared" si="259"/>
        <v>0</v>
      </c>
      <c r="O1178" s="323">
        <f t="shared" si="259"/>
        <v>0</v>
      </c>
      <c r="P1178" s="323">
        <f t="shared" si="259"/>
        <v>0</v>
      </c>
      <c r="Q1178" s="476">
        <f t="shared" si="259"/>
        <v>0</v>
      </c>
      <c r="R1178" s="476">
        <f>SUM(R1177)</f>
        <v>0</v>
      </c>
      <c r="S1178" s="476">
        <f>SUM(S1177)</f>
        <v>0</v>
      </c>
      <c r="T1178" s="536">
        <f>SUM(T1177)</f>
        <v>14083.890416666662</v>
      </c>
      <c r="U1178" s="323"/>
      <c r="V1178" s="536">
        <f>SUM(V1177)</f>
        <v>14083.890416666662</v>
      </c>
      <c r="W1178" s="536">
        <f>+V1178-'ROR-Model'!G1198</f>
        <v>0</v>
      </c>
    </row>
    <row r="1179" spans="1:23">
      <c r="A1179" s="543"/>
      <c r="B1179" s="534"/>
      <c r="C1179" s="534"/>
      <c r="D1179" s="534"/>
      <c r="F1179" s="301"/>
      <c r="G1179" s="301"/>
      <c r="H1179" s="301"/>
      <c r="I1179" s="301"/>
      <c r="J1179" s="325"/>
      <c r="K1179" s="325"/>
      <c r="L1179" s="301"/>
      <c r="M1179" s="301"/>
      <c r="N1179" s="301"/>
      <c r="O1179" s="301"/>
      <c r="P1179" s="301"/>
      <c r="Q1179" s="325"/>
      <c r="R1179" s="325"/>
      <c r="S1179" s="325"/>
      <c r="T1179" s="532"/>
      <c r="U1179" s="301"/>
      <c r="V1179" s="532"/>
      <c r="W1179" s="532">
        <f>+V1179-'ROR-Model'!G1199</f>
        <v>0</v>
      </c>
    </row>
    <row r="1180" spans="1:23">
      <c r="A1180" s="543">
        <v>255</v>
      </c>
      <c r="B1180" s="534" t="s">
        <v>278</v>
      </c>
      <c r="C1180" s="534"/>
      <c r="D1180" s="534"/>
      <c r="F1180" s="301"/>
      <c r="G1180" s="301"/>
      <c r="H1180" s="301"/>
      <c r="I1180" s="301"/>
      <c r="J1180" s="325"/>
      <c r="K1180" s="325"/>
      <c r="L1180" s="301"/>
      <c r="M1180" s="301"/>
      <c r="N1180" s="301"/>
      <c r="O1180" s="301"/>
      <c r="P1180" s="301"/>
      <c r="Q1180" s="325"/>
      <c r="R1180" s="325"/>
      <c r="S1180" s="325"/>
      <c r="T1180" s="532"/>
      <c r="U1180" s="301"/>
      <c r="V1180" s="532"/>
      <c r="W1180" s="532">
        <f>+V1180-'ROR-Model'!G1200</f>
        <v>0</v>
      </c>
    </row>
    <row r="1181" spans="1:23">
      <c r="A1181" s="543"/>
      <c r="B1181" s="534"/>
      <c r="C1181" s="534" t="s">
        <v>399</v>
      </c>
      <c r="D1181" s="534"/>
      <c r="F1181" s="301">
        <f>'Rate Base'!$AD$239*F1</f>
        <v>0</v>
      </c>
      <c r="G1181" s="301"/>
      <c r="H1181" s="301"/>
      <c r="I1181" s="301"/>
      <c r="J1181" s="325"/>
      <c r="K1181" s="325"/>
      <c r="L1181" s="301"/>
      <c r="M1181" s="301"/>
      <c r="N1181" s="301"/>
      <c r="O1181" s="301"/>
      <c r="P1181" s="301"/>
      <c r="Q1181" s="325"/>
      <c r="R1181" s="325"/>
      <c r="S1181" s="325"/>
      <c r="T1181" s="532">
        <f>SUM(F1181:S1181)</f>
        <v>0</v>
      </c>
      <c r="U1181" s="301"/>
      <c r="V1181" s="532">
        <f>SUM(T1181:T1181)</f>
        <v>0</v>
      </c>
      <c r="W1181" s="532">
        <f>+V1181-'ROR-Model'!G1201</f>
        <v>0</v>
      </c>
    </row>
    <row r="1182" spans="1:23">
      <c r="A1182" s="543"/>
      <c r="B1182" s="534"/>
      <c r="C1182" s="534" t="s">
        <v>542</v>
      </c>
      <c r="D1182" s="534"/>
      <c r="F1182" s="301">
        <f>'Rate Base'!$AD$240*F1</f>
        <v>0</v>
      </c>
      <c r="G1182" s="301"/>
      <c r="H1182" s="301"/>
      <c r="I1182" s="301"/>
      <c r="J1182" s="325"/>
      <c r="K1182" s="325"/>
      <c r="L1182" s="301"/>
      <c r="M1182" s="301"/>
      <c r="N1182" s="301"/>
      <c r="O1182" s="301"/>
      <c r="P1182" s="301"/>
      <c r="Q1182" s="325"/>
      <c r="R1182" s="325"/>
      <c r="S1182" s="325"/>
      <c r="T1182" s="532">
        <f>SUM(F1182:S1182)</f>
        <v>0</v>
      </c>
      <c r="U1182" s="301"/>
      <c r="V1182" s="532">
        <f>SUM(T1182:T1182)</f>
        <v>0</v>
      </c>
      <c r="W1182" s="532">
        <f>+V1182-'ROR-Model'!G1202</f>
        <v>0</v>
      </c>
    </row>
    <row r="1183" spans="1:23">
      <c r="A1183" s="543"/>
      <c r="B1183" s="534"/>
      <c r="C1183" s="534" t="s">
        <v>543</v>
      </c>
      <c r="D1183" s="534"/>
      <c r="F1183" s="301">
        <f>'Rate Base'!$AD$241*F1</f>
        <v>0</v>
      </c>
      <c r="G1183" s="301"/>
      <c r="H1183" s="301"/>
      <c r="I1183" s="301"/>
      <c r="J1183" s="325"/>
      <c r="K1183" s="325"/>
      <c r="L1183" s="301"/>
      <c r="M1183" s="301"/>
      <c r="N1183" s="301"/>
      <c r="O1183" s="301"/>
      <c r="P1183" s="301"/>
      <c r="Q1183" s="325"/>
      <c r="R1183" s="325"/>
      <c r="S1183" s="325"/>
      <c r="T1183" s="532">
        <f>SUM(F1183:S1183)</f>
        <v>0</v>
      </c>
      <c r="U1183" s="301"/>
      <c r="V1183" s="532">
        <f>SUM(T1183:T1183)</f>
        <v>0</v>
      </c>
      <c r="W1183" s="532">
        <f>+V1183-'ROR-Model'!G1203</f>
        <v>0</v>
      </c>
    </row>
    <row r="1184" spans="1:23">
      <c r="A1184" s="543"/>
      <c r="B1184" s="534"/>
      <c r="C1184" s="534" t="s">
        <v>544</v>
      </c>
      <c r="D1184" s="534"/>
      <c r="F1184" s="301">
        <f>'Rate Base'!$AD$242*F1</f>
        <v>0</v>
      </c>
      <c r="G1184" s="301"/>
      <c r="H1184" s="301"/>
      <c r="I1184" s="301"/>
      <c r="J1184" s="325"/>
      <c r="K1184" s="325"/>
      <c r="L1184" s="301"/>
      <c r="M1184" s="301"/>
      <c r="N1184" s="301"/>
      <c r="O1184" s="301"/>
      <c r="P1184" s="301"/>
      <c r="Q1184" s="325"/>
      <c r="R1184" s="325"/>
      <c r="S1184" s="325"/>
      <c r="T1184" s="532">
        <f>SUM(F1184:S1184)</f>
        <v>0</v>
      </c>
      <c r="U1184" s="301"/>
      <c r="V1184" s="532">
        <f>SUM(T1184:T1184)</f>
        <v>0</v>
      </c>
      <c r="W1184" s="532">
        <f>+V1184-'ROR-Model'!G1204</f>
        <v>0</v>
      </c>
    </row>
    <row r="1185" spans="1:23">
      <c r="A1185" s="543"/>
      <c r="B1185" s="534"/>
      <c r="C1185" s="534" t="s">
        <v>145</v>
      </c>
      <c r="D1185" s="534"/>
      <c r="F1185" s="323">
        <f>SUM(F1181:F1184)</f>
        <v>0</v>
      </c>
      <c r="G1185" s="323">
        <f>G1*SUM(G1181:G1184)</f>
        <v>0</v>
      </c>
      <c r="H1185" s="323">
        <f>SUM(H1181:H1184)</f>
        <v>0</v>
      </c>
      <c r="I1185" s="323">
        <f t="shared" ref="I1185:P1185" si="260">SUM(I1181:I1184)</f>
        <v>0</v>
      </c>
      <c r="J1185" s="476">
        <f>SUM(J1181:J1184)</f>
        <v>0</v>
      </c>
      <c r="K1185" s="476">
        <f>SUM(K1181:K1184)</f>
        <v>0</v>
      </c>
      <c r="L1185" s="323">
        <f t="shared" si="260"/>
        <v>0</v>
      </c>
      <c r="M1185" s="323">
        <f t="shared" si="260"/>
        <v>0</v>
      </c>
      <c r="N1185" s="323">
        <f t="shared" si="260"/>
        <v>0</v>
      </c>
      <c r="O1185" s="323">
        <f t="shared" si="260"/>
        <v>0</v>
      </c>
      <c r="P1185" s="323">
        <f t="shared" si="260"/>
        <v>0</v>
      </c>
      <c r="Q1185" s="476">
        <f>SUM(Q1181:Q1184)</f>
        <v>0</v>
      </c>
      <c r="R1185" s="476">
        <f>SUM(R1181:R1184)</f>
        <v>0</v>
      </c>
      <c r="S1185" s="476">
        <f>SUM(S1181:S1184)</f>
        <v>0</v>
      </c>
      <c r="T1185" s="536">
        <f>SUM(T1181:T1184)</f>
        <v>0</v>
      </c>
      <c r="U1185" s="323"/>
      <c r="V1185" s="536">
        <f>SUM(V1181:V1184)</f>
        <v>0</v>
      </c>
      <c r="W1185" s="536">
        <f>+V1185-'ROR-Model'!G1205</f>
        <v>0</v>
      </c>
    </row>
    <row r="1186" spans="1:23">
      <c r="A1186" s="543"/>
      <c r="B1186" s="534"/>
      <c r="C1186" s="534"/>
      <c r="D1186" s="534"/>
      <c r="F1186" s="301"/>
      <c r="G1186" s="301"/>
      <c r="H1186" s="301"/>
      <c r="I1186" s="301"/>
      <c r="J1186" s="325"/>
      <c r="K1186" s="325"/>
      <c r="L1186" s="301"/>
      <c r="M1186" s="301"/>
      <c r="N1186" s="301"/>
      <c r="O1186" s="301"/>
      <c r="P1186" s="301"/>
      <c r="Q1186" s="325"/>
      <c r="R1186" s="325"/>
      <c r="S1186" s="325"/>
      <c r="T1186" s="532"/>
      <c r="U1186" s="301"/>
      <c r="V1186" s="532"/>
      <c r="W1186" s="532">
        <f>+V1186-'ROR-Model'!G1206</f>
        <v>0</v>
      </c>
    </row>
    <row r="1187" spans="1:23">
      <c r="A1187" s="543">
        <v>2820</v>
      </c>
      <c r="B1187" s="534" t="s">
        <v>434</v>
      </c>
      <c r="C1187" s="534"/>
      <c r="D1187" s="534"/>
      <c r="F1187" s="301"/>
      <c r="G1187" s="301"/>
      <c r="H1187" s="301"/>
      <c r="I1187" s="301"/>
      <c r="J1187" s="325"/>
      <c r="K1187" s="325"/>
      <c r="L1187" s="301"/>
      <c r="M1187" s="301"/>
      <c r="N1187" s="301"/>
      <c r="O1187" s="301"/>
      <c r="P1187" s="301"/>
      <c r="Q1187" s="325"/>
      <c r="R1187" s="325"/>
      <c r="S1187" s="325"/>
      <c r="T1187" s="532"/>
      <c r="U1187" s="301"/>
      <c r="V1187" s="532"/>
      <c r="W1187" s="532">
        <f>+V1187-'ROR-Model'!G1207</f>
        <v>0</v>
      </c>
    </row>
    <row r="1188" spans="1:23">
      <c r="A1188" s="543"/>
      <c r="B1188" s="534"/>
      <c r="C1188" s="534" t="s">
        <v>399</v>
      </c>
      <c r="D1188" s="534"/>
      <c r="F1188" s="301">
        <f>'Rate Base'!$AD$246*F1</f>
        <v>5372089.8737500012</v>
      </c>
      <c r="G1188" s="301"/>
      <c r="H1188" s="301"/>
      <c r="I1188" s="301"/>
      <c r="J1188" s="325"/>
      <c r="K1188" s="325"/>
      <c r="L1188" s="301"/>
      <c r="M1188" s="301"/>
      <c r="N1188" s="301"/>
      <c r="O1188" s="301"/>
      <c r="P1188" s="301"/>
      <c r="Q1188" s="325"/>
      <c r="R1188" s="325"/>
      <c r="S1188" s="325">
        <f>[15]Adjustments!$U$1202*$S$1</f>
        <v>4164014.3251535925</v>
      </c>
      <c r="T1188" s="532">
        <f>SUM(F1188:S1188)</f>
        <v>9536104.1989035942</v>
      </c>
      <c r="U1188" s="301"/>
      <c r="V1188" s="532">
        <f>SUM(T1188:T1188)</f>
        <v>9536104.1989035942</v>
      </c>
      <c r="W1188" s="532">
        <f>+V1188-'ROR-Model'!G1208</f>
        <v>0</v>
      </c>
    </row>
    <row r="1189" spans="1:23">
      <c r="A1189" s="543"/>
      <c r="B1189" s="534"/>
      <c r="C1189" s="534" t="s">
        <v>542</v>
      </c>
      <c r="D1189" s="534"/>
      <c r="F1189" s="301">
        <f>'Rate Base'!$AD$247*F1</f>
        <v>0</v>
      </c>
      <c r="G1189" s="301"/>
      <c r="H1189" s="301"/>
      <c r="I1189" s="301"/>
      <c r="J1189" s="325"/>
      <c r="K1189" s="325"/>
      <c r="L1189" s="301"/>
      <c r="M1189" s="301"/>
      <c r="N1189" s="301"/>
      <c r="O1189" s="301"/>
      <c r="P1189" s="301"/>
      <c r="Q1189" s="325"/>
      <c r="R1189" s="325"/>
      <c r="S1189" s="325">
        <f>[15]Adjustments!$U$1203*S1</f>
        <v>1041530.7380358962</v>
      </c>
      <c r="T1189" s="532">
        <f>SUM(F1189:S1189)</f>
        <v>1041530.7380358962</v>
      </c>
      <c r="U1189" s="301"/>
      <c r="V1189" s="532">
        <f>SUM(T1189:T1189)</f>
        <v>1041530.7380358962</v>
      </c>
      <c r="W1189" s="532">
        <f>+V1189-'ROR-Model'!G1209</f>
        <v>0</v>
      </c>
    </row>
    <row r="1190" spans="1:23">
      <c r="A1190" s="543"/>
      <c r="B1190" s="534"/>
      <c r="C1190" s="534" t="s">
        <v>543</v>
      </c>
      <c r="D1190" s="534"/>
      <c r="F1190" s="301">
        <f>'Rate Base'!$AD$248*F1</f>
        <v>0</v>
      </c>
      <c r="G1190" s="301"/>
      <c r="H1190" s="301"/>
      <c r="I1190" s="301"/>
      <c r="J1190" s="325"/>
      <c r="K1190" s="325"/>
      <c r="L1190" s="301"/>
      <c r="M1190" s="301"/>
      <c r="N1190" s="301"/>
      <c r="O1190" s="301"/>
      <c r="P1190" s="301"/>
      <c r="Q1190" s="325"/>
      <c r="R1190" s="325"/>
      <c r="S1190" s="325">
        <f>[15]Adjustments!$U$1204*$S$1</f>
        <v>31608335.660470445</v>
      </c>
      <c r="T1190" s="532">
        <f>SUM(F1190:S1190)</f>
        <v>31608335.660470445</v>
      </c>
      <c r="U1190" s="301"/>
      <c r="V1190" s="532">
        <f>SUM(T1190:T1190)</f>
        <v>31608335.660470445</v>
      </c>
      <c r="W1190" s="532">
        <f>+V1190-'ROR-Model'!G1210</f>
        <v>0</v>
      </c>
    </row>
    <row r="1191" spans="1:23">
      <c r="A1191" s="543"/>
      <c r="B1191" s="534"/>
      <c r="C1191" s="534" t="s">
        <v>544</v>
      </c>
      <c r="D1191" s="534"/>
      <c r="F1191" s="301">
        <f>'Rate Base'!$AD$249*F1</f>
        <v>704568.74291666597</v>
      </c>
      <c r="G1191" s="301"/>
      <c r="H1191" s="301"/>
      <c r="I1191" s="301"/>
      <c r="J1191" s="325"/>
      <c r="K1191" s="325"/>
      <c r="L1191" s="301"/>
      <c r="M1191" s="301"/>
      <c r="N1191" s="301"/>
      <c r="O1191" s="301"/>
      <c r="P1191" s="301"/>
      <c r="Q1191" s="325"/>
      <c r="R1191" s="325"/>
      <c r="S1191" s="325">
        <f>[15]Adjustments!$U$1205*$S$1</f>
        <v>-2360976.6786542088</v>
      </c>
      <c r="T1191" s="532">
        <f>SUM(F1191:S1191)</f>
        <v>-1656407.9357375428</v>
      </c>
      <c r="U1191" s="301"/>
      <c r="V1191" s="532">
        <f>SUM(T1191:T1191)</f>
        <v>-1656407.9357375428</v>
      </c>
      <c r="W1191" s="532">
        <f>+V1191-'ROR-Model'!G1211</f>
        <v>0</v>
      </c>
    </row>
    <row r="1192" spans="1:23">
      <c r="A1192" s="543"/>
      <c r="B1192" s="534"/>
      <c r="C1192" s="534" t="s">
        <v>145</v>
      </c>
      <c r="D1192" s="534"/>
      <c r="F1192" s="323">
        <f>SUM(F1188:F1191)</f>
        <v>6076658.6166666672</v>
      </c>
      <c r="G1192" s="323">
        <f>G1*SUM(G1188:G1191)</f>
        <v>0</v>
      </c>
      <c r="H1192" s="323">
        <f>SUM(H1188:H1191)</f>
        <v>0</v>
      </c>
      <c r="I1192" s="323">
        <f t="shared" ref="I1192:P1192" si="261">SUM(I1188:I1191)</f>
        <v>0</v>
      </c>
      <c r="J1192" s="476">
        <f>SUM(J1188:J1191)</f>
        <v>0</v>
      </c>
      <c r="K1192" s="476">
        <f>SUM(K1188:K1191)</f>
        <v>0</v>
      </c>
      <c r="L1192" s="323">
        <f t="shared" si="261"/>
        <v>0</v>
      </c>
      <c r="M1192" s="323">
        <f t="shared" si="261"/>
        <v>0</v>
      </c>
      <c r="N1192" s="323">
        <f t="shared" si="261"/>
        <v>0</v>
      </c>
      <c r="O1192" s="323">
        <f t="shared" si="261"/>
        <v>0</v>
      </c>
      <c r="P1192" s="323">
        <f t="shared" si="261"/>
        <v>0</v>
      </c>
      <c r="Q1192" s="476">
        <f>SUM(Q1188:Q1191)</f>
        <v>0</v>
      </c>
      <c r="R1192" s="476">
        <f>SUM(R1188:R1191)</f>
        <v>0</v>
      </c>
      <c r="S1192" s="476">
        <f>SUM(S1188:S1191)</f>
        <v>34452904.045005724</v>
      </c>
      <c r="T1192" s="536">
        <f>SUM(T1188:T1191)</f>
        <v>40529562.661672391</v>
      </c>
      <c r="U1192" s="323"/>
      <c r="V1192" s="536">
        <f>SUM(V1188:V1191)</f>
        <v>40529562.661672391</v>
      </c>
      <c r="W1192" s="536">
        <f>+V1192-'ROR-Model'!G1212</f>
        <v>0</v>
      </c>
    </row>
    <row r="1193" spans="1:23">
      <c r="A1193" s="543"/>
      <c r="B1193" s="534"/>
      <c r="C1193" s="534"/>
      <c r="D1193" s="534"/>
      <c r="F1193" s="301"/>
      <c r="G1193" s="301"/>
      <c r="H1193" s="301"/>
      <c r="I1193" s="301"/>
      <c r="J1193" s="325"/>
      <c r="K1193" s="325"/>
      <c r="L1193" s="301"/>
      <c r="M1193" s="301"/>
      <c r="N1193" s="301"/>
      <c r="O1193" s="301"/>
      <c r="P1193" s="301"/>
      <c r="Q1193" s="325"/>
      <c r="R1193" s="325"/>
      <c r="S1193" s="325"/>
      <c r="T1193" s="532"/>
      <c r="U1193" s="301"/>
      <c r="V1193" s="532"/>
      <c r="W1193" s="532">
        <f>+V1193-'ROR-Model'!G1213</f>
        <v>0</v>
      </c>
    </row>
    <row r="1194" spans="1:23">
      <c r="A1194" s="543">
        <v>2821</v>
      </c>
      <c r="B1194" s="534" t="s">
        <v>435</v>
      </c>
      <c r="C1194" s="534"/>
      <c r="D1194" s="534"/>
      <c r="F1194" s="301"/>
      <c r="G1194" s="301"/>
      <c r="H1194" s="301"/>
      <c r="I1194" s="301"/>
      <c r="J1194" s="325"/>
      <c r="K1194" s="325"/>
      <c r="L1194" s="301"/>
      <c r="M1194" s="301"/>
      <c r="N1194" s="301"/>
      <c r="O1194" s="301"/>
      <c r="P1194" s="301"/>
      <c r="Q1194" s="325"/>
      <c r="R1194" s="325"/>
      <c r="S1194" s="325"/>
      <c r="T1194" s="532"/>
      <c r="U1194" s="301"/>
      <c r="V1194" s="532"/>
      <c r="W1194" s="532">
        <f>+V1194-'ROR-Model'!G1214</f>
        <v>0</v>
      </c>
    </row>
    <row r="1195" spans="1:23">
      <c r="A1195" s="543"/>
      <c r="B1195" s="534"/>
      <c r="C1195" s="534" t="s">
        <v>399</v>
      </c>
      <c r="D1195" s="534"/>
      <c r="F1195" s="301">
        <f>'Rate Base'!$AD$253*F1</f>
        <v>0</v>
      </c>
      <c r="H1195" s="301"/>
      <c r="I1195" s="301"/>
      <c r="J1195" s="325"/>
      <c r="K1195" s="325"/>
      <c r="L1195" s="301"/>
      <c r="M1195" s="301"/>
      <c r="N1195" s="301"/>
      <c r="O1195" s="301"/>
      <c r="P1195" s="301"/>
      <c r="Q1195" s="325"/>
      <c r="R1195" s="325"/>
      <c r="S1195" s="325">
        <f>[15]Adjustments!$U$1209*$S$1</f>
        <v>85998.309871679303</v>
      </c>
      <c r="T1195" s="532">
        <f>SUM(F1195:S1195)</f>
        <v>85998.309871679303</v>
      </c>
      <c r="U1195" s="301"/>
      <c r="V1195" s="532">
        <f>SUM(T1195:T1195)</f>
        <v>85998.309871679303</v>
      </c>
      <c r="W1195" s="532">
        <f>+V1195-'ROR-Model'!G1215</f>
        <v>0</v>
      </c>
    </row>
    <row r="1196" spans="1:23">
      <c r="A1196" s="543"/>
      <c r="B1196" s="534"/>
      <c r="C1196" s="534" t="s">
        <v>542</v>
      </c>
      <c r="D1196" s="534"/>
      <c r="F1196" s="301">
        <f>'Rate Base'!$AD$254*F1</f>
        <v>0</v>
      </c>
      <c r="H1196" s="301"/>
      <c r="I1196" s="301"/>
      <c r="J1196" s="325"/>
      <c r="K1196" s="325"/>
      <c r="L1196" s="301"/>
      <c r="M1196" s="301"/>
      <c r="N1196" s="301"/>
      <c r="O1196" s="301"/>
      <c r="P1196" s="301"/>
      <c r="Q1196" s="325"/>
      <c r="R1196" s="325"/>
      <c r="S1196" s="325">
        <f>[15]Adjustments!$U$1210*$S$1</f>
        <v>0</v>
      </c>
      <c r="T1196" s="532">
        <f>SUM(F1196:S1196)</f>
        <v>0</v>
      </c>
      <c r="U1196" s="301"/>
      <c r="V1196" s="532">
        <f>SUM(T1196:T1196)</f>
        <v>0</v>
      </c>
      <c r="W1196" s="532">
        <f>+V1196-'ROR-Model'!G1216</f>
        <v>0</v>
      </c>
    </row>
    <row r="1197" spans="1:23">
      <c r="A1197" s="543"/>
      <c r="B1197" s="534"/>
      <c r="C1197" s="534" t="s">
        <v>543</v>
      </c>
      <c r="D1197" s="534"/>
      <c r="F1197" s="301">
        <f>'Rate Base'!$AD$255*F1</f>
        <v>0</v>
      </c>
      <c r="H1197" s="301"/>
      <c r="I1197" s="301"/>
      <c r="J1197" s="325"/>
      <c r="K1197" s="325"/>
      <c r="L1197" s="301"/>
      <c r="M1197" s="301"/>
      <c r="N1197" s="301"/>
      <c r="O1197" s="301"/>
      <c r="P1197" s="301"/>
      <c r="Q1197" s="325"/>
      <c r="R1197" s="325"/>
      <c r="S1197" s="325">
        <f>[15]Adjustments!$U$1211*$S$1</f>
        <v>7862964.6812141677</v>
      </c>
      <c r="T1197" s="532">
        <f>SUM(F1197:S1197)</f>
        <v>7862964.6812141677</v>
      </c>
      <c r="U1197" s="301"/>
      <c r="V1197" s="532">
        <f>SUM(T1197:T1197)</f>
        <v>7862964.6812141677</v>
      </c>
      <c r="W1197" s="532">
        <f>+V1197-'ROR-Model'!G1217</f>
        <v>0</v>
      </c>
    </row>
    <row r="1198" spans="1:23">
      <c r="A1198" s="543"/>
      <c r="B1198" s="534"/>
      <c r="C1198" s="534" t="s">
        <v>544</v>
      </c>
      <c r="D1198" s="534"/>
      <c r="F1198" s="301">
        <f>'Rate Base'!$AD$256*F1</f>
        <v>-704572.37625000009</v>
      </c>
      <c r="H1198" s="301"/>
      <c r="I1198" s="301"/>
      <c r="J1198" s="325"/>
      <c r="K1198" s="325"/>
      <c r="L1198" s="301"/>
      <c r="M1198" s="301"/>
      <c r="N1198" s="301"/>
      <c r="O1198" s="301"/>
      <c r="P1198" s="301"/>
      <c r="Q1198" s="325"/>
      <c r="R1198" s="325"/>
      <c r="S1198" s="325">
        <f>[15]Adjustments!$U$1212*$S$1</f>
        <v>174939.25282042645</v>
      </c>
      <c r="T1198" s="532">
        <f>SUM(F1198:S1198)</f>
        <v>-529633.12342957361</v>
      </c>
      <c r="U1198" s="301"/>
      <c r="V1198" s="532">
        <f>SUM(T1198:T1198)</f>
        <v>-529633.12342957361</v>
      </c>
      <c r="W1198" s="532">
        <f>+V1198-'ROR-Model'!G1218</f>
        <v>0</v>
      </c>
    </row>
    <row r="1199" spans="1:23">
      <c r="A1199" s="543"/>
      <c r="B1199" s="534"/>
      <c r="C1199" s="534" t="s">
        <v>145</v>
      </c>
      <c r="D1199" s="534"/>
      <c r="F1199" s="323">
        <f>SUM(F1195:F1198)</f>
        <v>-704572.37625000009</v>
      </c>
      <c r="G1199" s="323">
        <f>G1*SUM(G1195:G1198)</f>
        <v>0</v>
      </c>
      <c r="H1199" s="323">
        <f>SUM(H1195:H1198)</f>
        <v>0</v>
      </c>
      <c r="I1199" s="323">
        <f t="shared" ref="I1199:P1199" si="262">SUM(I1195:I1198)</f>
        <v>0</v>
      </c>
      <c r="J1199" s="476">
        <f>SUM(J1195:J1198)</f>
        <v>0</v>
      </c>
      <c r="K1199" s="476">
        <f>SUM(K1195:K1198)</f>
        <v>0</v>
      </c>
      <c r="L1199" s="323">
        <f t="shared" si="262"/>
        <v>0</v>
      </c>
      <c r="M1199" s="323">
        <f t="shared" si="262"/>
        <v>0</v>
      </c>
      <c r="N1199" s="323">
        <f t="shared" si="262"/>
        <v>0</v>
      </c>
      <c r="O1199" s="323">
        <f t="shared" si="262"/>
        <v>0</v>
      </c>
      <c r="P1199" s="323">
        <f t="shared" si="262"/>
        <v>0</v>
      </c>
      <c r="Q1199" s="476">
        <f>SUM(Q1195:Q1198)</f>
        <v>0</v>
      </c>
      <c r="R1199" s="476">
        <f>SUM(R1195:R1198)</f>
        <v>0</v>
      </c>
      <c r="S1199" s="476">
        <f>SUM(S1195:S1198)</f>
        <v>8123902.2439062735</v>
      </c>
      <c r="T1199" s="536">
        <f>SUM(T1195:T1198)</f>
        <v>7419329.8676562738</v>
      </c>
      <c r="U1199" s="323"/>
      <c r="V1199" s="536">
        <f>SUM(V1195:V1198)</f>
        <v>7419329.8676562738</v>
      </c>
      <c r="W1199" s="536">
        <f>+V1199-'ROR-Model'!G1219</f>
        <v>0</v>
      </c>
    </row>
    <row r="1200" spans="1:23">
      <c r="A1200" s="543"/>
      <c r="B1200" s="534"/>
      <c r="C1200" s="534"/>
      <c r="D1200" s="534"/>
      <c r="F1200" s="301"/>
      <c r="G1200" s="301"/>
      <c r="H1200" s="301"/>
      <c r="I1200" s="301"/>
      <c r="J1200" s="325"/>
      <c r="K1200" s="325"/>
      <c r="L1200" s="301"/>
      <c r="M1200" s="301"/>
      <c r="N1200" s="301"/>
      <c r="O1200" s="301"/>
      <c r="P1200" s="301"/>
      <c r="Q1200" s="325"/>
      <c r="R1200" s="325"/>
      <c r="S1200" s="325"/>
      <c r="T1200" s="532"/>
      <c r="U1200" s="301"/>
      <c r="V1200" s="532"/>
      <c r="W1200" s="532">
        <f>+V1200-'ROR-Model'!G1220</f>
        <v>0</v>
      </c>
    </row>
    <row r="1201" spans="1:23">
      <c r="A1201" s="14" t="s">
        <v>1201</v>
      </c>
      <c r="B1201" s="15" t="s">
        <v>1191</v>
      </c>
      <c r="C1201" s="534"/>
      <c r="D1201" s="534"/>
      <c r="F1201" s="301"/>
      <c r="G1201" s="301"/>
      <c r="H1201" s="301"/>
      <c r="I1201" s="301"/>
      <c r="J1201" s="325"/>
      <c r="K1201" s="325"/>
      <c r="L1201" s="301"/>
      <c r="M1201" s="301"/>
      <c r="N1201" s="301"/>
      <c r="O1201" s="301"/>
      <c r="P1201" s="301"/>
      <c r="Q1201" s="325"/>
      <c r="R1201" s="325"/>
      <c r="S1201" s="325"/>
      <c r="T1201" s="532"/>
      <c r="U1201" s="301"/>
      <c r="V1201" s="532"/>
      <c r="W1201" s="532">
        <f>+V1201-'ROR-Model'!G1221</f>
        <v>0</v>
      </c>
    </row>
    <row r="1202" spans="1:23">
      <c r="A1202" s="136"/>
      <c r="B1202" s="47" t="s">
        <v>544</v>
      </c>
      <c r="C1202" s="534"/>
      <c r="D1202" s="534"/>
      <c r="F1202" s="301">
        <f>'Rate Base'!$AD$260*F1</f>
        <v>-14433792.457916677</v>
      </c>
      <c r="G1202" s="301"/>
      <c r="H1202" s="301"/>
      <c r="I1202" s="301"/>
      <c r="J1202" s="325"/>
      <c r="K1202" s="325"/>
      <c r="L1202" s="301"/>
      <c r="M1202" s="301"/>
      <c r="N1202" s="301"/>
      <c r="O1202" s="301"/>
      <c r="P1202" s="301"/>
      <c r="Q1202" s="325"/>
      <c r="R1202" s="325"/>
      <c r="S1202" s="325">
        <f>'Pension Adjustment'!C16*Adjustments!S1</f>
        <v>-157260994.34208333</v>
      </c>
      <c r="T1202" s="532">
        <f>SUM(F1202:S1202)</f>
        <v>-171694786.80000001</v>
      </c>
      <c r="U1202" s="301"/>
      <c r="V1202" s="532">
        <f>SUM(T1202:T1202)</f>
        <v>-171694786.80000001</v>
      </c>
      <c r="W1202" s="532">
        <f>+V1202-'ROR-Model'!G1222</f>
        <v>0</v>
      </c>
    </row>
    <row r="1203" spans="1:23">
      <c r="A1203" s="535"/>
      <c r="B1203" s="534" t="s">
        <v>145</v>
      </c>
      <c r="C1203" s="534"/>
      <c r="D1203" s="534"/>
      <c r="F1203" s="323">
        <f>SUM(F1202)</f>
        <v>-14433792.457916677</v>
      </c>
      <c r="G1203" s="323">
        <f>G1*SUM(G1202)</f>
        <v>0</v>
      </c>
      <c r="H1203" s="323">
        <f>SUM(H1202)</f>
        <v>0</v>
      </c>
      <c r="I1203" s="323">
        <f t="shared" ref="I1203:Q1203" si="263">SUM(I1202)</f>
        <v>0</v>
      </c>
      <c r="J1203" s="476">
        <f>SUM(J1202)</f>
        <v>0</v>
      </c>
      <c r="K1203" s="476">
        <f>SUM(K1202)</f>
        <v>0</v>
      </c>
      <c r="L1203" s="323">
        <f t="shared" si="263"/>
        <v>0</v>
      </c>
      <c r="M1203" s="323">
        <f t="shared" si="263"/>
        <v>0</v>
      </c>
      <c r="N1203" s="323">
        <f t="shared" si="263"/>
        <v>0</v>
      </c>
      <c r="O1203" s="323">
        <f t="shared" si="263"/>
        <v>0</v>
      </c>
      <c r="P1203" s="323">
        <f t="shared" si="263"/>
        <v>0</v>
      </c>
      <c r="Q1203" s="476">
        <f t="shared" si="263"/>
        <v>0</v>
      </c>
      <c r="R1203" s="476">
        <f>SUM(R1202)</f>
        <v>0</v>
      </c>
      <c r="S1203" s="476">
        <f>SUM(S1202)</f>
        <v>-157260994.34208333</v>
      </c>
      <c r="T1203" s="536">
        <f>SUM(T1202)</f>
        <v>-171694786.80000001</v>
      </c>
      <c r="U1203" s="323"/>
      <c r="V1203" s="536">
        <f>SUM(V1202)</f>
        <v>-171694786.80000001</v>
      </c>
      <c r="W1203" s="536">
        <f>+V1203-'ROR-Model'!G1223</f>
        <v>0</v>
      </c>
    </row>
    <row r="1204" spans="1:23" ht="13.5" thickBot="1">
      <c r="A1204" s="535"/>
      <c r="B1204" s="534"/>
      <c r="C1204" s="534"/>
      <c r="D1204" s="534"/>
      <c r="F1204" s="470"/>
      <c r="G1204" s="470"/>
      <c r="H1204" s="470"/>
      <c r="I1204" s="470"/>
      <c r="J1204" s="477"/>
      <c r="K1204" s="477"/>
      <c r="L1204" s="470"/>
      <c r="M1204" s="470"/>
      <c r="N1204" s="470"/>
      <c r="O1204" s="470"/>
      <c r="P1204" s="470"/>
      <c r="Q1204" s="477"/>
      <c r="R1204" s="477"/>
      <c r="S1204" s="477"/>
      <c r="T1204" s="538"/>
      <c r="U1204" s="470"/>
      <c r="V1204" s="538"/>
      <c r="W1204" s="538">
        <f>+V1204-'ROR-Model'!G1224</f>
        <v>0</v>
      </c>
    </row>
    <row r="1205" spans="1:23" ht="13.5" thickTop="1">
      <c r="A1205" s="167" t="s">
        <v>610</v>
      </c>
      <c r="B1205" s="534"/>
      <c r="C1205" s="534"/>
      <c r="D1205" s="534"/>
      <c r="F1205" s="301"/>
      <c r="G1205" s="301"/>
      <c r="H1205" s="301"/>
      <c r="I1205" s="301"/>
      <c r="J1205" s="325"/>
      <c r="K1205" s="325"/>
      <c r="L1205" s="301"/>
      <c r="M1205" s="301"/>
      <c r="N1205" s="301"/>
      <c r="O1205" s="301"/>
      <c r="P1205" s="301"/>
      <c r="Q1205" s="325"/>
      <c r="R1205" s="325"/>
      <c r="S1205" s="325"/>
      <c r="T1205" s="532"/>
      <c r="U1205" s="301"/>
      <c r="V1205" s="532"/>
      <c r="W1205" s="532">
        <f>+V1205-'ROR-Model'!G1225</f>
        <v>0</v>
      </c>
    </row>
    <row r="1206" spans="1:23">
      <c r="A1206" s="535"/>
      <c r="B1206" s="534" t="s">
        <v>399</v>
      </c>
      <c r="C1206" s="534"/>
      <c r="D1206" s="534"/>
      <c r="F1206" s="277">
        <f>F1145+F1153+F1160+F1181+F1188+F1195</f>
        <v>5372089.8737500012</v>
      </c>
      <c r="G1206" s="277">
        <f t="shared" ref="G1206:Q1206" si="264">G1145+G1153+G1160+G1181+G1188+G1195</f>
        <v>0</v>
      </c>
      <c r="H1206" s="277">
        <f>H1145+H1153+H1160+H1181+H1188+H1195</f>
        <v>-19959087.870000001</v>
      </c>
      <c r="I1206" s="277">
        <f t="shared" si="264"/>
        <v>0</v>
      </c>
      <c r="J1206" s="277">
        <f>J1145+J1153+J1160+J1181+J1188+J1195</f>
        <v>0</v>
      </c>
      <c r="K1206" s="277">
        <f>K1145+K1153+K1160+K1181+K1188+K1195</f>
        <v>0</v>
      </c>
      <c r="L1206" s="277">
        <f t="shared" si="264"/>
        <v>0</v>
      </c>
      <c r="M1206" s="277">
        <f t="shared" si="264"/>
        <v>0</v>
      </c>
      <c r="N1206" s="277">
        <f t="shared" si="264"/>
        <v>0</v>
      </c>
      <c r="O1206" s="277">
        <f t="shared" si="264"/>
        <v>0</v>
      </c>
      <c r="P1206" s="277">
        <f t="shared" si="264"/>
        <v>0</v>
      </c>
      <c r="Q1206" s="277">
        <f t="shared" si="264"/>
        <v>0</v>
      </c>
      <c r="R1206" s="277">
        <f>R1145+R1153+R1160+R1181+R1188+R1195</f>
        <v>0</v>
      </c>
      <c r="S1206" s="277">
        <f>S1145+S1153+S1160+S1181+S1188+S1195</f>
        <v>4250012.6350252721</v>
      </c>
      <c r="T1206" s="277">
        <f>T1145+T1153+T1160+T1181+T1188+T1195</f>
        <v>-10336985.361224728</v>
      </c>
      <c r="U1206" s="277"/>
      <c r="V1206" s="277">
        <f>V1145+V1153+V1160+V1181+V1188+V1195</f>
        <v>-10336985.361224728</v>
      </c>
      <c r="W1206" s="277">
        <f>+V1206-'ROR-Model'!G1226</f>
        <v>0</v>
      </c>
    </row>
    <row r="1207" spans="1:23">
      <c r="A1207" s="535"/>
      <c r="B1207" s="534" t="s">
        <v>542</v>
      </c>
      <c r="C1207" s="534"/>
      <c r="D1207" s="534"/>
      <c r="F1207" s="277">
        <f>F1140+F1154+F1161+F1167+F1182+F1189+F1196+F1172</f>
        <v>-290930.14959277946</v>
      </c>
      <c r="G1207" s="277">
        <f t="shared" ref="G1207:R1208" si="265">G1140+G1154+G1161+G1167+G1182+G1189+G1196+G1172</f>
        <v>0</v>
      </c>
      <c r="H1207" s="277">
        <f>H1140+H1154+H1161+H1167+H1182+H1189+H1196+H1172</f>
        <v>0</v>
      </c>
      <c r="I1207" s="277">
        <f t="shared" si="265"/>
        <v>0</v>
      </c>
      <c r="J1207" s="277">
        <f>J1140+J1154+J1161+J1167+J1182+J1189+J1196+J1172</f>
        <v>0</v>
      </c>
      <c r="K1207" s="277">
        <f>K1140+K1154+K1161+K1167+K1182+K1189+K1196+K1172</f>
        <v>0</v>
      </c>
      <c r="L1207" s="277">
        <f t="shared" si="265"/>
        <v>0</v>
      </c>
      <c r="M1207" s="277">
        <f t="shared" si="265"/>
        <v>0</v>
      </c>
      <c r="N1207" s="277">
        <f t="shared" si="265"/>
        <v>0</v>
      </c>
      <c r="O1207" s="277">
        <f t="shared" si="265"/>
        <v>0</v>
      </c>
      <c r="P1207" s="277">
        <f t="shared" si="265"/>
        <v>0</v>
      </c>
      <c r="Q1207" s="277">
        <f t="shared" si="265"/>
        <v>0</v>
      </c>
      <c r="R1207" s="277">
        <f t="shared" si="265"/>
        <v>0</v>
      </c>
      <c r="S1207" s="277">
        <f t="shared" ref="S1207:T1208" si="266">S1140+S1154+S1161+S1167+S1182+S1189+S1196+S1172</f>
        <v>1041530.7380358962</v>
      </c>
      <c r="T1207" s="277">
        <f t="shared" si="266"/>
        <v>750600.58844311675</v>
      </c>
      <c r="U1207" s="277"/>
      <c r="V1207" s="277">
        <f>V1140+V1154+V1161+V1167+V1182+V1189+V1196+V1172</f>
        <v>750600.58844311675</v>
      </c>
      <c r="W1207" s="277">
        <f>+V1207-'ROR-Model'!G1227</f>
        <v>0</v>
      </c>
    </row>
    <row r="1208" spans="1:23">
      <c r="A1208" s="535"/>
      <c r="B1208" s="534" t="s">
        <v>543</v>
      </c>
      <c r="C1208" s="534"/>
      <c r="D1208" s="534"/>
      <c r="F1208" s="277">
        <f>F1141+F1155+F1162+F1168+F1183+F1190+F1197+F1173</f>
        <v>-9353455.6537405513</v>
      </c>
      <c r="G1208" s="277">
        <f t="shared" si="265"/>
        <v>0</v>
      </c>
      <c r="H1208" s="277">
        <f>H1141+H1155+H1162+H1168+H1183+H1190+H1197+H1173</f>
        <v>0</v>
      </c>
      <c r="I1208" s="277">
        <f t="shared" si="265"/>
        <v>0</v>
      </c>
      <c r="J1208" s="277">
        <f>J1141+J1155+J1162+J1168+J1183+J1190+J1197+J1173</f>
        <v>0</v>
      </c>
      <c r="K1208" s="277">
        <f>K1141+K1155+K1162+K1168+K1183+K1190+K1197+K1173</f>
        <v>0</v>
      </c>
      <c r="L1208" s="277">
        <f t="shared" si="265"/>
        <v>0</v>
      </c>
      <c r="M1208" s="277">
        <f t="shared" si="265"/>
        <v>0</v>
      </c>
      <c r="N1208" s="277">
        <f t="shared" si="265"/>
        <v>0</v>
      </c>
      <c r="O1208" s="277">
        <f t="shared" si="265"/>
        <v>0</v>
      </c>
      <c r="P1208" s="277">
        <f t="shared" si="265"/>
        <v>0</v>
      </c>
      <c r="Q1208" s="277">
        <f t="shared" si="265"/>
        <v>0</v>
      </c>
      <c r="R1208" s="277">
        <f t="shared" si="265"/>
        <v>0</v>
      </c>
      <c r="S1208" s="277">
        <f t="shared" si="266"/>
        <v>39471300.34168461</v>
      </c>
      <c r="T1208" s="277">
        <f t="shared" si="266"/>
        <v>30117844.687944062</v>
      </c>
      <c r="U1208" s="277"/>
      <c r="V1208" s="277">
        <f>V1141+V1155+V1162+V1168+V1183+V1190+V1197+V1173</f>
        <v>30117844.687944062</v>
      </c>
      <c r="W1208" s="277">
        <f>+V1208-'ROR-Model'!G1228</f>
        <v>0</v>
      </c>
    </row>
    <row r="1209" spans="1:23">
      <c r="A1209" s="535"/>
      <c r="B1209" s="534" t="s">
        <v>544</v>
      </c>
      <c r="C1209" s="534"/>
      <c r="D1209" s="534"/>
      <c r="F1209" s="277">
        <f>F1149+F1156+F1163+F1177+F1184+F1191+F1198+F1202</f>
        <v>5632174.5579166524</v>
      </c>
      <c r="G1209" s="277">
        <f t="shared" ref="G1209:Q1209" si="267">G1149+G1156+G1163+G1177+G1184+G1191+G1198+G1202</f>
        <v>0</v>
      </c>
      <c r="H1209" s="277">
        <f>H1149+H1156+H1163+H1177+H1184+H1191+H1198+H1202</f>
        <v>0</v>
      </c>
      <c r="I1209" s="277">
        <f t="shared" si="267"/>
        <v>0</v>
      </c>
      <c r="J1209" s="277">
        <f>J1149+J1156+J1163+J1177+J1184+J1191+J1198+J1202</f>
        <v>0</v>
      </c>
      <c r="K1209" s="277">
        <f>K1149+K1156+K1163+K1177+K1184+K1191+K1198+K1202</f>
        <v>0</v>
      </c>
      <c r="L1209" s="277">
        <f t="shared" si="267"/>
        <v>0</v>
      </c>
      <c r="M1209" s="277">
        <f t="shared" si="267"/>
        <v>0</v>
      </c>
      <c r="N1209" s="277">
        <f t="shared" si="267"/>
        <v>0</v>
      </c>
      <c r="O1209" s="277">
        <f t="shared" si="267"/>
        <v>0</v>
      </c>
      <c r="P1209" s="277">
        <f t="shared" si="267"/>
        <v>0</v>
      </c>
      <c r="Q1209" s="277">
        <f t="shared" si="267"/>
        <v>0</v>
      </c>
      <c r="R1209" s="277">
        <f>R1149+R1156+R1163+R1177+R1184+R1191+R1198+R1202</f>
        <v>0</v>
      </c>
      <c r="S1209" s="277">
        <f>S1149+S1156+S1163+S1177+S1184+S1191+S1198+S1202</f>
        <v>-159447031.76791713</v>
      </c>
      <c r="T1209" s="277">
        <f>T1149+T1156+T1163+T1177+T1184+T1191+T1198+T1202</f>
        <v>-153814857.21000046</v>
      </c>
      <c r="U1209" s="277"/>
      <c r="V1209" s="277">
        <f>V1149+V1156+V1163+V1177+V1184+V1191+V1198+V1202</f>
        <v>-153814857.21000046</v>
      </c>
      <c r="W1209" s="277">
        <f>+V1209-'ROR-Model'!G1229</f>
        <v>0</v>
      </c>
    </row>
    <row r="1210" spans="1:23" ht="13.5" thickBot="1">
      <c r="A1210" s="535"/>
      <c r="B1210" s="534"/>
      <c r="C1210" s="534"/>
      <c r="D1210" s="534"/>
      <c r="F1210" s="424"/>
      <c r="G1210" s="424"/>
      <c r="H1210" s="424"/>
      <c r="I1210" s="424"/>
      <c r="J1210" s="555"/>
      <c r="K1210" s="555"/>
      <c r="L1210" s="424"/>
      <c r="M1210" s="424"/>
      <c r="N1210" s="424"/>
      <c r="O1210" s="424"/>
      <c r="P1210" s="424"/>
      <c r="Q1210" s="555"/>
      <c r="R1210" s="555"/>
      <c r="S1210" s="555"/>
      <c r="T1210" s="556"/>
      <c r="U1210" s="424"/>
      <c r="V1210" s="556"/>
      <c r="W1210" s="556">
        <f>+V1210-'ROR-Model'!G1230</f>
        <v>0</v>
      </c>
    </row>
    <row r="1211" spans="1:23" ht="13.5" thickTop="1">
      <c r="A1211" s="535"/>
      <c r="B1211" s="534"/>
      <c r="C1211" s="534"/>
      <c r="D1211" s="534"/>
      <c r="F1211" s="277"/>
      <c r="G1211" s="277"/>
      <c r="H1211" s="277"/>
      <c r="I1211" s="277"/>
      <c r="J1211" s="478"/>
      <c r="K1211" s="478"/>
      <c r="L1211" s="277"/>
      <c r="M1211" s="277"/>
      <c r="N1211" s="277"/>
      <c r="O1211" s="277"/>
      <c r="P1211" s="277"/>
      <c r="Q1211" s="478"/>
      <c r="R1211" s="478"/>
      <c r="S1211" s="478"/>
      <c r="T1211" s="542"/>
      <c r="U1211" s="277"/>
      <c r="V1211" s="542"/>
      <c r="W1211" s="542">
        <f>+V1211-'ROR-Model'!G1231</f>
        <v>0</v>
      </c>
    </row>
    <row r="1212" spans="1:23">
      <c r="A1212" s="535"/>
      <c r="B1212" s="175" t="s">
        <v>610</v>
      </c>
      <c r="C1212" s="534"/>
      <c r="D1212" s="534"/>
      <c r="F1212" s="277">
        <f t="shared" ref="F1212:Q1212" si="268">+F1142+F1146+F1150+F1157+F1164+F1169+F1174+F1178+F1185+F1192+F1199+F1203</f>
        <v>1359878.6283333208</v>
      </c>
      <c r="G1212" s="277">
        <f t="shared" si="268"/>
        <v>0</v>
      </c>
      <c r="H1212" s="277">
        <f>+H1142+H1146+H1150+H1157+H1164+H1169+H1174+H1178+H1185+H1192+H1199+H1203</f>
        <v>-19959087.870000001</v>
      </c>
      <c r="I1212" s="277">
        <f t="shared" si="268"/>
        <v>0</v>
      </c>
      <c r="J1212" s="478">
        <f>+J1142+J1146+J1150+J1157+J1164+J1169+J1174+J1178+J1185+J1192+J1199+J1203</f>
        <v>0</v>
      </c>
      <c r="K1212" s="478">
        <f>+K1142+K1146+K1150+K1157+K1164+K1169+K1174+K1178+K1185+K1192+K1199+K1203</f>
        <v>0</v>
      </c>
      <c r="L1212" s="277">
        <f t="shared" si="268"/>
        <v>0</v>
      </c>
      <c r="M1212" s="277">
        <f t="shared" si="268"/>
        <v>0</v>
      </c>
      <c r="N1212" s="277">
        <f t="shared" si="268"/>
        <v>0</v>
      </c>
      <c r="O1212" s="277">
        <f t="shared" si="268"/>
        <v>0</v>
      </c>
      <c r="P1212" s="277">
        <f t="shared" si="268"/>
        <v>0</v>
      </c>
      <c r="Q1212" s="478">
        <f t="shared" si="268"/>
        <v>0</v>
      </c>
      <c r="R1212" s="478">
        <f>+R1142+R1146+R1150+R1157+R1164+R1169+R1174+R1178+R1185+R1192+R1199+R1203</f>
        <v>0</v>
      </c>
      <c r="S1212" s="478">
        <f>+S1142+S1146+S1150+S1157+S1164+S1169+S1174+S1178+S1185+S1192+S1199+S1203</f>
        <v>-114684188.05317134</v>
      </c>
      <c r="T1212" s="542">
        <f>+T1142+T1146+T1150+T1157+T1164+T1169+T1174+T1178+T1185+T1192+T1199+T1203</f>
        <v>-133283397.29483801</v>
      </c>
      <c r="U1212" s="277"/>
      <c r="V1212" s="542">
        <f>+V1142+V1146+V1150+V1157+V1164+V1169+V1174+V1178+V1185+V1192+V1199+V1203</f>
        <v>-133283397.29483801</v>
      </c>
      <c r="W1212" s="542">
        <f>+V1212-'ROR-Model'!G1232</f>
        <v>0</v>
      </c>
    </row>
    <row r="1213" spans="1:23">
      <c r="A1213" s="535"/>
      <c r="B1213" s="534"/>
      <c r="C1213" s="534"/>
      <c r="D1213" s="534"/>
      <c r="F1213" s="301"/>
      <c r="G1213" s="301"/>
      <c r="H1213" s="301"/>
      <c r="I1213" s="301"/>
      <c r="J1213" s="325"/>
      <c r="K1213" s="325"/>
      <c r="L1213" s="301"/>
      <c r="M1213" s="301"/>
      <c r="N1213" s="301"/>
      <c r="O1213" s="301"/>
      <c r="P1213" s="301"/>
      <c r="Q1213" s="325"/>
      <c r="R1213" s="325"/>
      <c r="S1213" s="325"/>
      <c r="T1213" s="532"/>
      <c r="U1213" s="301"/>
      <c r="V1213" s="532"/>
      <c r="W1213" s="532">
        <f>+V1213-'ROR-Model'!G1233</f>
        <v>0</v>
      </c>
    </row>
    <row r="1214" spans="1:23">
      <c r="A1214" s="175" t="s">
        <v>631</v>
      </c>
      <c r="B1214" s="534"/>
      <c r="C1214" s="534"/>
      <c r="D1214" s="534"/>
      <c r="F1214" s="277"/>
      <c r="G1214" s="277"/>
      <c r="H1214" s="277"/>
      <c r="I1214" s="277"/>
      <c r="J1214" s="478"/>
      <c r="K1214" s="478"/>
      <c r="L1214" s="277"/>
      <c r="M1214" s="277"/>
      <c r="N1214" s="277"/>
      <c r="O1214" s="277"/>
      <c r="P1214" s="277"/>
      <c r="Q1214" s="478"/>
      <c r="R1214" s="478"/>
      <c r="S1214" s="478"/>
      <c r="T1214" s="542"/>
      <c r="U1214" s="277"/>
      <c r="V1214" s="542"/>
      <c r="W1214" s="542">
        <f>+V1214-'ROR-Model'!G1234</f>
        <v>0</v>
      </c>
    </row>
    <row r="1215" spans="1:23">
      <c r="A1215" s="175"/>
      <c r="B1215" s="534" t="s">
        <v>399</v>
      </c>
      <c r="C1215" s="534"/>
      <c r="D1215" s="534"/>
      <c r="F1215" s="301">
        <f t="shared" ref="F1215:F1218" si="269">F1128+F1206</f>
        <v>5670002.5091666616</v>
      </c>
      <c r="G1215" s="301">
        <f>G1*G1128+G1206</f>
        <v>0</v>
      </c>
      <c r="H1215" s="301">
        <f>H1128+H1206</f>
        <v>-19959087.870000001</v>
      </c>
      <c r="I1215" s="301">
        <f t="shared" ref="I1215:Q1218" si="270">I1128+I1206</f>
        <v>-70286.568187500641</v>
      </c>
      <c r="J1215" s="325">
        <f t="shared" ref="J1215:K1218" si="271">J1128+J1206</f>
        <v>0</v>
      </c>
      <c r="K1215" s="325">
        <f t="shared" si="271"/>
        <v>0</v>
      </c>
      <c r="L1215" s="301">
        <f t="shared" si="270"/>
        <v>0</v>
      </c>
      <c r="M1215" s="301">
        <f t="shared" si="270"/>
        <v>0</v>
      </c>
      <c r="N1215" s="301">
        <f t="shared" si="270"/>
        <v>0</v>
      </c>
      <c r="O1215" s="301">
        <f t="shared" si="270"/>
        <v>0</v>
      </c>
      <c r="P1215" s="301">
        <f t="shared" si="270"/>
        <v>0</v>
      </c>
      <c r="Q1215" s="325">
        <f t="shared" si="270"/>
        <v>0</v>
      </c>
      <c r="R1215" s="325">
        <f t="shared" ref="R1215:S1218" si="272">R1128+R1206</f>
        <v>0</v>
      </c>
      <c r="S1215" s="325">
        <f t="shared" si="272"/>
        <v>4250012.6350252721</v>
      </c>
      <c r="T1215" s="532">
        <f>T1128+T1206</f>
        <v>-10109359.293995569</v>
      </c>
      <c r="U1215" s="301"/>
      <c r="V1215" s="532">
        <f>V1128+V1206</f>
        <v>-10109359.293995569</v>
      </c>
      <c r="W1215" s="532">
        <f>+V1215-'ROR-Model'!G1235</f>
        <v>0</v>
      </c>
    </row>
    <row r="1216" spans="1:23">
      <c r="A1216" s="175"/>
      <c r="B1216" s="534" t="s">
        <v>542</v>
      </c>
      <c r="C1216" s="534"/>
      <c r="D1216" s="534"/>
      <c r="F1216" s="301">
        <f t="shared" si="269"/>
        <v>-796932.81667611038</v>
      </c>
      <c r="G1216" s="301">
        <f>G1*G1129+G1207</f>
        <v>0</v>
      </c>
      <c r="H1216" s="301">
        <f>H1129+H1207</f>
        <v>0</v>
      </c>
      <c r="I1216" s="301">
        <f t="shared" si="270"/>
        <v>0</v>
      </c>
      <c r="J1216" s="325">
        <f t="shared" si="271"/>
        <v>0</v>
      </c>
      <c r="K1216" s="325">
        <f t="shared" si="271"/>
        <v>0</v>
      </c>
      <c r="L1216" s="301">
        <f t="shared" si="270"/>
        <v>0</v>
      </c>
      <c r="M1216" s="301">
        <f t="shared" si="270"/>
        <v>0</v>
      </c>
      <c r="N1216" s="301">
        <f t="shared" si="270"/>
        <v>0</v>
      </c>
      <c r="O1216" s="301">
        <f t="shared" si="270"/>
        <v>0</v>
      </c>
      <c r="P1216" s="301">
        <f t="shared" si="270"/>
        <v>0</v>
      </c>
      <c r="Q1216" s="325">
        <f>Q1129+Q1207</f>
        <v>0</v>
      </c>
      <c r="R1216" s="325">
        <f t="shared" si="272"/>
        <v>0</v>
      </c>
      <c r="S1216" s="325">
        <f t="shared" si="272"/>
        <v>1041530.7380358962</v>
      </c>
      <c r="T1216" s="532">
        <f>T1129+T1207</f>
        <v>244597.92135978583</v>
      </c>
      <c r="U1216" s="301"/>
      <c r="V1216" s="532">
        <f>V1129+V1207</f>
        <v>244597.92135978583</v>
      </c>
      <c r="W1216" s="532">
        <f>+V1216-'ROR-Model'!G1236</f>
        <v>0</v>
      </c>
    </row>
    <row r="1217" spans="1:23">
      <c r="A1217" s="175"/>
      <c r="B1217" s="534" t="s">
        <v>543</v>
      </c>
      <c r="C1217" s="534"/>
      <c r="D1217" s="534"/>
      <c r="F1217" s="301">
        <f t="shared" si="269"/>
        <v>-211804983.90790734</v>
      </c>
      <c r="G1217" s="301">
        <f>G1*G1130+G1208</f>
        <v>0</v>
      </c>
      <c r="H1217" s="301">
        <f>H1130+H1208</f>
        <v>0</v>
      </c>
      <c r="I1217" s="301">
        <f t="shared" si="270"/>
        <v>0</v>
      </c>
      <c r="J1217" s="325">
        <f t="shared" si="271"/>
        <v>0</v>
      </c>
      <c r="K1217" s="325">
        <f t="shared" si="271"/>
        <v>0</v>
      </c>
      <c r="L1217" s="301">
        <f t="shared" si="270"/>
        <v>0</v>
      </c>
      <c r="M1217" s="301">
        <f t="shared" si="270"/>
        <v>0</v>
      </c>
      <c r="N1217" s="301">
        <f t="shared" si="270"/>
        <v>0</v>
      </c>
      <c r="O1217" s="301">
        <f t="shared" si="270"/>
        <v>0</v>
      </c>
      <c r="P1217" s="301">
        <f t="shared" si="270"/>
        <v>0</v>
      </c>
      <c r="Q1217" s="325">
        <f>Q1130+Q1208</f>
        <v>0</v>
      </c>
      <c r="R1217" s="325">
        <f t="shared" si="272"/>
        <v>0</v>
      </c>
      <c r="S1217" s="325">
        <f t="shared" si="272"/>
        <v>39471300.34168461</v>
      </c>
      <c r="T1217" s="532">
        <f>T1130+T1208</f>
        <v>-172333683.56622273</v>
      </c>
      <c r="U1217" s="301"/>
      <c r="V1217" s="532">
        <f>V1130+V1208</f>
        <v>-172333683.56622273</v>
      </c>
      <c r="W1217" s="532">
        <f>+V1217-'ROR-Model'!G1237</f>
        <v>0</v>
      </c>
    </row>
    <row r="1218" spans="1:23">
      <c r="A1218" s="175"/>
      <c r="B1218" s="534" t="s">
        <v>544</v>
      </c>
      <c r="C1218" s="534"/>
      <c r="D1218" s="534"/>
      <c r="F1218" s="301">
        <f t="shared" si="269"/>
        <v>-1795130.7045833599</v>
      </c>
      <c r="G1218" s="301">
        <f>G1*G1131+G1209</f>
        <v>0</v>
      </c>
      <c r="H1218" s="301">
        <f>H1131+H1209</f>
        <v>0</v>
      </c>
      <c r="I1218" s="301">
        <f t="shared" si="270"/>
        <v>0</v>
      </c>
      <c r="J1218" s="325">
        <f t="shared" si="271"/>
        <v>0</v>
      </c>
      <c r="K1218" s="325">
        <f t="shared" si="271"/>
        <v>0</v>
      </c>
      <c r="L1218" s="301">
        <f t="shared" si="270"/>
        <v>0</v>
      </c>
      <c r="M1218" s="301">
        <f t="shared" si="270"/>
        <v>-825341.03987660247</v>
      </c>
      <c r="N1218" s="301">
        <f t="shared" si="270"/>
        <v>0</v>
      </c>
      <c r="O1218" s="301">
        <f t="shared" si="270"/>
        <v>0</v>
      </c>
      <c r="P1218" s="301">
        <f t="shared" si="270"/>
        <v>0</v>
      </c>
      <c r="Q1218" s="325">
        <f>Q1131+Q1209</f>
        <v>0</v>
      </c>
      <c r="R1218" s="325">
        <f t="shared" si="272"/>
        <v>0</v>
      </c>
      <c r="S1218" s="325">
        <f t="shared" si="272"/>
        <v>-159447031.76791713</v>
      </c>
      <c r="T1218" s="532">
        <f>T1131+T1209</f>
        <v>-162067503.51237708</v>
      </c>
      <c r="U1218" s="301"/>
      <c r="V1218" s="532">
        <f>V1131+V1209</f>
        <v>-162067503.51237708</v>
      </c>
      <c r="W1218" s="532">
        <f>+V1218-'ROR-Model'!G1238</f>
        <v>0</v>
      </c>
    </row>
    <row r="1219" spans="1:23" ht="13.5" thickBot="1">
      <c r="A1219" s="175"/>
      <c r="B1219" s="534"/>
      <c r="C1219" s="534"/>
      <c r="D1219" s="534"/>
      <c r="F1219" s="470"/>
      <c r="G1219" s="470"/>
      <c r="H1219" s="470"/>
      <c r="I1219" s="470"/>
      <c r="J1219" s="477"/>
      <c r="K1219" s="477"/>
      <c r="L1219" s="470"/>
      <c r="M1219" s="470"/>
      <c r="N1219" s="470"/>
      <c r="O1219" s="470"/>
      <c r="P1219" s="470"/>
      <c r="Q1219" s="477"/>
      <c r="R1219" s="477"/>
      <c r="S1219" s="477"/>
      <c r="T1219" s="538"/>
      <c r="U1219" s="470"/>
      <c r="V1219" s="538"/>
      <c r="W1219" s="538">
        <f>+V1219-'ROR-Model'!G1239</f>
        <v>0</v>
      </c>
    </row>
    <row r="1220" spans="1:23" ht="13.5" thickTop="1">
      <c r="A1220" s="175"/>
      <c r="B1220" s="534"/>
      <c r="C1220" s="534"/>
      <c r="D1220" s="534"/>
      <c r="F1220" s="301"/>
      <c r="G1220" s="301"/>
      <c r="H1220" s="301"/>
      <c r="I1220" s="301"/>
      <c r="J1220" s="325"/>
      <c r="K1220" s="325"/>
      <c r="L1220" s="301"/>
      <c r="M1220" s="301"/>
      <c r="N1220" s="301"/>
      <c r="O1220" s="301"/>
      <c r="P1220" s="301"/>
      <c r="Q1220" s="325"/>
      <c r="R1220" s="325"/>
      <c r="S1220" s="325"/>
      <c r="T1220" s="532"/>
      <c r="U1220" s="301"/>
      <c r="V1220" s="532"/>
      <c r="W1220" s="532">
        <f>+V1220-'ROR-Model'!G1240</f>
        <v>0</v>
      </c>
    </row>
    <row r="1221" spans="1:23">
      <c r="A1221" s="557"/>
      <c r="B1221" s="175" t="s">
        <v>631</v>
      </c>
      <c r="C1221" s="534"/>
      <c r="D1221" s="534"/>
      <c r="F1221" s="301">
        <f>F1134+F1212</f>
        <v>-208727044.92000008</v>
      </c>
      <c r="G1221" s="301">
        <f>G1*G1134+G1212</f>
        <v>0</v>
      </c>
      <c r="H1221" s="301">
        <f>H1134+H1212</f>
        <v>-19959087.870000001</v>
      </c>
      <c r="I1221" s="301">
        <f>I1134+I1212</f>
        <v>-70286.568187500641</v>
      </c>
      <c r="J1221" s="325">
        <f>J1134+J1212</f>
        <v>0</v>
      </c>
      <c r="K1221" s="325">
        <f>K1134+K1212</f>
        <v>0</v>
      </c>
      <c r="L1221" s="301">
        <f t="shared" ref="L1221:Q1221" si="273">L1134+L1212</f>
        <v>0</v>
      </c>
      <c r="M1221" s="301">
        <f t="shared" si="273"/>
        <v>-825341.03987660247</v>
      </c>
      <c r="N1221" s="301">
        <f t="shared" si="273"/>
        <v>0</v>
      </c>
      <c r="O1221" s="301">
        <f t="shared" si="273"/>
        <v>0</v>
      </c>
      <c r="P1221" s="301">
        <f t="shared" si="273"/>
        <v>0</v>
      </c>
      <c r="Q1221" s="325">
        <f t="shared" si="273"/>
        <v>0</v>
      </c>
      <c r="R1221" s="325">
        <f>R1134+R1212</f>
        <v>0</v>
      </c>
      <c r="S1221" s="325">
        <f>S1134+S1212</f>
        <v>-114684188.05317134</v>
      </c>
      <c r="T1221" s="532">
        <f>T1134+T1212</f>
        <v>-344265948.45123553</v>
      </c>
      <c r="U1221" s="301"/>
      <c r="V1221" s="532">
        <f>V1134+V1212</f>
        <v>-344265948.45123553</v>
      </c>
      <c r="W1221" s="532">
        <f>+V1221-'ROR-Model'!G1241</f>
        <v>0</v>
      </c>
    </row>
    <row r="1222" spans="1:23">
      <c r="J1222" s="77"/>
      <c r="K1222" s="77"/>
      <c r="Q1222" s="77"/>
      <c r="R1222" s="77"/>
      <c r="S1222" s="77"/>
      <c r="T1222" s="77"/>
      <c r="V1222" s="77"/>
      <c r="W1222" s="77">
        <f>+V1222-'ROR-Model'!G1242</f>
        <v>0</v>
      </c>
    </row>
    <row r="1223" spans="1:23">
      <c r="A1223" s="175" t="s">
        <v>635</v>
      </c>
      <c r="B1223" s="534"/>
      <c r="C1223" s="534"/>
      <c r="D1223" s="534"/>
      <c r="F1223" s="301"/>
      <c r="G1223" s="301"/>
      <c r="H1223" s="301"/>
      <c r="I1223" s="301"/>
      <c r="J1223" s="325"/>
      <c r="K1223" s="325"/>
      <c r="L1223" s="301"/>
      <c r="M1223" s="301"/>
      <c r="N1223" s="301"/>
      <c r="O1223" s="301"/>
      <c r="P1223" s="301"/>
      <c r="Q1223" s="325"/>
      <c r="R1223" s="325"/>
      <c r="S1223" s="325"/>
      <c r="T1223" s="532"/>
      <c r="U1223" s="301"/>
      <c r="V1223" s="532"/>
      <c r="W1223" s="532">
        <f>+V1223-'ROR-Model'!G1243</f>
        <v>0</v>
      </c>
    </row>
    <row r="1224" spans="1:23">
      <c r="A1224" s="557"/>
      <c r="B1224" s="534"/>
      <c r="C1224" s="534"/>
      <c r="D1224" s="534"/>
      <c r="F1224" s="301"/>
      <c r="G1224" s="301"/>
      <c r="H1224" s="301"/>
      <c r="I1224" s="301"/>
      <c r="J1224" s="325"/>
      <c r="K1224" s="325"/>
      <c r="L1224" s="301"/>
      <c r="M1224" s="301"/>
      <c r="N1224" s="301"/>
      <c r="O1224" s="301"/>
      <c r="P1224" s="301"/>
      <c r="Q1224" s="325"/>
      <c r="R1224" s="325"/>
      <c r="S1224" s="325"/>
      <c r="T1224" s="532"/>
      <c r="U1224" s="301"/>
      <c r="V1224" s="532"/>
      <c r="W1224" s="532">
        <f>+V1224-'ROR-Model'!G1244</f>
        <v>0</v>
      </c>
    </row>
    <row r="1225" spans="1:23">
      <c r="A1225" s="557"/>
      <c r="B1225" s="106" t="s">
        <v>436</v>
      </c>
      <c r="C1225" s="534"/>
      <c r="D1225" s="534"/>
      <c r="F1225" s="301"/>
      <c r="G1225" s="301"/>
      <c r="H1225" s="301"/>
      <c r="I1225" s="301"/>
      <c r="J1225" s="325"/>
      <c r="K1225" s="325"/>
      <c r="L1225" s="301"/>
      <c r="M1225" s="301"/>
      <c r="N1225" s="301"/>
      <c r="O1225" s="301"/>
      <c r="P1225" s="301"/>
      <c r="Q1225" s="325"/>
      <c r="R1225" s="325"/>
      <c r="S1225" s="325"/>
      <c r="T1225" s="532"/>
      <c r="U1225" s="301"/>
      <c r="V1225" s="532"/>
      <c r="W1225" s="532">
        <f>+V1225-'ROR-Model'!G1245</f>
        <v>0</v>
      </c>
    </row>
    <row r="1226" spans="1:23">
      <c r="A1226" s="557"/>
      <c r="B1226" s="534"/>
      <c r="C1226" s="534" t="s">
        <v>437</v>
      </c>
      <c r="D1226" s="534"/>
      <c r="F1226" s="301">
        <f>F639</f>
        <v>0</v>
      </c>
      <c r="G1226" s="301">
        <f>G1*G639</f>
        <v>0</v>
      </c>
      <c r="H1226" s="301">
        <f t="shared" ref="H1226:S1226" si="274">H639</f>
        <v>0</v>
      </c>
      <c r="I1226" s="301">
        <f t="shared" si="274"/>
        <v>0</v>
      </c>
      <c r="J1226" s="325">
        <f>J639</f>
        <v>0</v>
      </c>
      <c r="K1226" s="325">
        <f t="shared" ref="K1226" si="275">K639</f>
        <v>0</v>
      </c>
      <c r="L1226" s="301">
        <f t="shared" si="274"/>
        <v>0</v>
      </c>
      <c r="M1226" s="301">
        <f t="shared" si="274"/>
        <v>0</v>
      </c>
      <c r="N1226" s="301">
        <f t="shared" si="274"/>
        <v>0</v>
      </c>
      <c r="O1226" s="301">
        <f t="shared" si="274"/>
        <v>0</v>
      </c>
      <c r="P1226" s="301">
        <f t="shared" si="274"/>
        <v>0</v>
      </c>
      <c r="Q1226" s="325">
        <f t="shared" si="274"/>
        <v>0</v>
      </c>
      <c r="R1226" s="325">
        <f t="shared" ref="R1226" si="276">R639</f>
        <v>0</v>
      </c>
      <c r="S1226" s="325">
        <f t="shared" si="274"/>
        <v>0</v>
      </c>
      <c r="T1226" s="532">
        <f t="shared" ref="T1226:T1234" si="277">SUM(F1226:S1226)</f>
        <v>0</v>
      </c>
      <c r="U1226" s="301"/>
      <c r="V1226" s="532">
        <f t="shared" ref="V1226:V1234" si="278">SUM(T1226:T1226)</f>
        <v>0</v>
      </c>
      <c r="W1226" s="532">
        <f>+V1226-'ROR-Model'!G1246</f>
        <v>0</v>
      </c>
    </row>
    <row r="1227" spans="1:23">
      <c r="A1227" s="557"/>
      <c r="B1227" s="534"/>
      <c r="C1227" s="534" t="s">
        <v>438</v>
      </c>
      <c r="D1227" s="534"/>
      <c r="F1227" s="301">
        <f>F892</f>
        <v>0</v>
      </c>
      <c r="G1227" s="301">
        <f>G1*G892</f>
        <v>-26843858.529999997</v>
      </c>
      <c r="H1227" s="301">
        <f t="shared" ref="H1227:S1227" si="279">H892</f>
        <v>0</v>
      </c>
      <c r="I1227" s="301">
        <f t="shared" si="279"/>
        <v>0</v>
      </c>
      <c r="J1227" s="325">
        <f>J892</f>
        <v>0</v>
      </c>
      <c r="K1227" s="325">
        <f t="shared" ref="K1227" si="280">K892</f>
        <v>0</v>
      </c>
      <c r="L1227" s="301">
        <f t="shared" si="279"/>
        <v>-1906404.0902244116</v>
      </c>
      <c r="M1227" s="301">
        <f t="shared" si="279"/>
        <v>-2185440.9665000001</v>
      </c>
      <c r="N1227" s="301">
        <f t="shared" si="279"/>
        <v>0</v>
      </c>
      <c r="O1227" s="301">
        <f t="shared" si="279"/>
        <v>0</v>
      </c>
      <c r="P1227" s="301">
        <f t="shared" si="279"/>
        <v>-181866.60539999991</v>
      </c>
      <c r="Q1227" s="325">
        <f t="shared" si="279"/>
        <v>496440.12400000001</v>
      </c>
      <c r="R1227" s="325">
        <f t="shared" ref="R1227" si="281">R892</f>
        <v>3196310.6610036939</v>
      </c>
      <c r="S1227" s="325">
        <f t="shared" si="279"/>
        <v>8454518.1099999994</v>
      </c>
      <c r="T1227" s="532">
        <f t="shared" si="277"/>
        <v>-18970301.297120713</v>
      </c>
      <c r="U1227" s="301"/>
      <c r="V1227" s="532">
        <f t="shared" si="278"/>
        <v>-18970301.297120713</v>
      </c>
      <c r="W1227" s="532">
        <f>+V1227-'ROR-Model'!G1247</f>
        <v>0</v>
      </c>
    </row>
    <row r="1228" spans="1:23">
      <c r="A1228" s="557"/>
      <c r="B1228" s="534"/>
      <c r="C1228" s="534" t="s">
        <v>611</v>
      </c>
      <c r="D1228" s="534"/>
      <c r="F1228" s="301">
        <v>0</v>
      </c>
      <c r="G1228" s="301">
        <v>0</v>
      </c>
      <c r="H1228" s="301">
        <v>0</v>
      </c>
      <c r="I1228" s="301">
        <v>0</v>
      </c>
      <c r="J1228" s="325">
        <v>0</v>
      </c>
      <c r="K1228" s="325">
        <v>0</v>
      </c>
      <c r="L1228" s="301">
        <v>0</v>
      </c>
      <c r="M1228" s="301">
        <v>0</v>
      </c>
      <c r="N1228" s="301">
        <v>0</v>
      </c>
      <c r="O1228" s="301">
        <v>0</v>
      </c>
      <c r="P1228" s="301">
        <v>0</v>
      </c>
      <c r="Q1228" s="325">
        <v>0</v>
      </c>
      <c r="R1228" s="325">
        <v>0</v>
      </c>
      <c r="S1228" s="325">
        <v>0</v>
      </c>
      <c r="T1228" s="532">
        <f t="shared" si="277"/>
        <v>0</v>
      </c>
      <c r="U1228" s="301"/>
      <c r="V1228" s="532">
        <f t="shared" si="278"/>
        <v>0</v>
      </c>
      <c r="W1228" s="532">
        <f>+V1228-'ROR-Model'!G1248</f>
        <v>0</v>
      </c>
    </row>
    <row r="1229" spans="1:23">
      <c r="A1229" s="557"/>
      <c r="B1229" s="534"/>
      <c r="C1229" s="534" t="s">
        <v>439</v>
      </c>
      <c r="D1229" s="534"/>
      <c r="F1229" s="301">
        <f>F921</f>
        <v>0</v>
      </c>
      <c r="G1229" s="301">
        <f>G1*G921</f>
        <v>0</v>
      </c>
      <c r="H1229" s="301">
        <f t="shared" ref="H1229:S1229" si="282">H921</f>
        <v>0</v>
      </c>
      <c r="I1229" s="301">
        <f t="shared" si="282"/>
        <v>0</v>
      </c>
      <c r="J1229" s="325">
        <f>J921</f>
        <v>0</v>
      </c>
      <c r="K1229" s="325">
        <f t="shared" ref="K1229" si="283">K921</f>
        <v>0</v>
      </c>
      <c r="L1229" s="301">
        <f t="shared" si="282"/>
        <v>0</v>
      </c>
      <c r="M1229" s="301">
        <f t="shared" si="282"/>
        <v>0</v>
      </c>
      <c r="N1229" s="301">
        <f t="shared" si="282"/>
        <v>0</v>
      </c>
      <c r="O1229" s="301">
        <f t="shared" si="282"/>
        <v>0</v>
      </c>
      <c r="P1229" s="301">
        <f t="shared" si="282"/>
        <v>0</v>
      </c>
      <c r="Q1229" s="325">
        <f t="shared" si="282"/>
        <v>0</v>
      </c>
      <c r="R1229" s="325">
        <f t="shared" ref="R1229" si="284">R921</f>
        <v>0</v>
      </c>
      <c r="S1229" s="325">
        <f t="shared" si="282"/>
        <v>0</v>
      </c>
      <c r="T1229" s="532">
        <f t="shared" si="277"/>
        <v>0</v>
      </c>
      <c r="U1229" s="301"/>
      <c r="V1229" s="532">
        <f t="shared" si="278"/>
        <v>0</v>
      </c>
      <c r="W1229" s="532">
        <f>+V1229-'ROR-Model'!G1249</f>
        <v>0</v>
      </c>
    </row>
    <row r="1230" spans="1:23">
      <c r="A1230" s="557"/>
      <c r="B1230" s="534"/>
      <c r="C1230" s="534" t="s">
        <v>441</v>
      </c>
      <c r="D1230" s="534"/>
      <c r="F1230" s="301">
        <f>F923+F925+F927</f>
        <v>0</v>
      </c>
      <c r="G1230" s="301">
        <f>G1*G923+G925+G927</f>
        <v>150900.48175547289</v>
      </c>
      <c r="H1230" s="301">
        <f t="shared" ref="H1230:S1230" si="285">H923+H925+H927</f>
        <v>0</v>
      </c>
      <c r="I1230" s="301">
        <f t="shared" si="285"/>
        <v>0</v>
      </c>
      <c r="J1230" s="325">
        <f>J923+J925+J927</f>
        <v>0</v>
      </c>
      <c r="K1230" s="325">
        <f t="shared" ref="K1230" si="286">K923+K925+K927</f>
        <v>0</v>
      </c>
      <c r="L1230" s="301">
        <f t="shared" si="285"/>
        <v>469997.45252625248</v>
      </c>
      <c r="M1230" s="301">
        <f t="shared" si="285"/>
        <v>538790.11914027121</v>
      </c>
      <c r="N1230" s="301">
        <f t="shared" si="285"/>
        <v>0</v>
      </c>
      <c r="O1230" s="301">
        <f t="shared" si="285"/>
        <v>0</v>
      </c>
      <c r="P1230" s="301">
        <f t="shared" si="285"/>
        <v>44836.685819077989</v>
      </c>
      <c r="Q1230" s="325">
        <f t="shared" si="285"/>
        <v>-122390.41806941942</v>
      </c>
      <c r="R1230" s="325">
        <f t="shared" ref="R1230" si="287">R923+R925+R927</f>
        <v>-788006.00347925222</v>
      </c>
      <c r="S1230" s="325">
        <f t="shared" si="285"/>
        <v>-2084344.0246549805</v>
      </c>
      <c r="T1230" s="532">
        <f t="shared" si="277"/>
        <v>-1790215.7069625775</v>
      </c>
      <c r="U1230" s="301"/>
      <c r="V1230" s="532">
        <f t="shared" si="278"/>
        <v>-1790215.7069625775</v>
      </c>
      <c r="W1230" s="532">
        <f>+V1230-'ROR-Model'!G1250</f>
        <v>0</v>
      </c>
    </row>
    <row r="1231" spans="1:23">
      <c r="A1231" s="557"/>
      <c r="B1231" s="534"/>
      <c r="C1231" s="534" t="s">
        <v>554</v>
      </c>
      <c r="D1231" s="534"/>
      <c r="F1231" s="301">
        <v>0</v>
      </c>
      <c r="G1231" s="301">
        <v>0</v>
      </c>
      <c r="H1231" s="301">
        <v>0</v>
      </c>
      <c r="I1231" s="301">
        <v>0</v>
      </c>
      <c r="J1231" s="325">
        <v>0</v>
      </c>
      <c r="K1231" s="325">
        <v>0</v>
      </c>
      <c r="L1231" s="301">
        <v>0</v>
      </c>
      <c r="M1231" s="301">
        <v>0</v>
      </c>
      <c r="N1231" s="301">
        <v>0</v>
      </c>
      <c r="O1231" s="301">
        <v>0</v>
      </c>
      <c r="P1231" s="301">
        <v>0</v>
      </c>
      <c r="Q1231" s="325">
        <v>0</v>
      </c>
      <c r="R1231" s="325">
        <v>0</v>
      </c>
      <c r="S1231" s="325">
        <v>0</v>
      </c>
      <c r="T1231" s="532">
        <f t="shared" si="277"/>
        <v>0</v>
      </c>
      <c r="U1231" s="301"/>
      <c r="V1231" s="532">
        <f t="shared" si="278"/>
        <v>0</v>
      </c>
      <c r="W1231" s="532">
        <f>+V1231-'ROR-Model'!G1251</f>
        <v>0</v>
      </c>
    </row>
    <row r="1232" spans="1:23">
      <c r="A1232" s="557"/>
      <c r="B1232" s="534"/>
      <c r="C1232" s="534" t="s">
        <v>555</v>
      </c>
      <c r="D1232" s="534"/>
      <c r="F1232" s="301">
        <v>0</v>
      </c>
      <c r="G1232" s="301">
        <v>0</v>
      </c>
      <c r="H1232" s="301">
        <v>0</v>
      </c>
      <c r="I1232" s="301">
        <v>0</v>
      </c>
      <c r="J1232" s="325">
        <v>0</v>
      </c>
      <c r="K1232" s="325">
        <v>0</v>
      </c>
      <c r="L1232" s="301">
        <v>0</v>
      </c>
      <c r="M1232" s="301">
        <v>0</v>
      </c>
      <c r="N1232" s="301">
        <v>0</v>
      </c>
      <c r="O1232" s="301">
        <v>0</v>
      </c>
      <c r="P1232" s="301">
        <v>0</v>
      </c>
      <c r="Q1232" s="325">
        <v>0</v>
      </c>
      <c r="R1232" s="325">
        <v>0</v>
      </c>
      <c r="S1232" s="325">
        <v>0</v>
      </c>
      <c r="T1232" s="532">
        <f t="shared" si="277"/>
        <v>0</v>
      </c>
      <c r="U1232" s="301"/>
      <c r="V1232" s="532">
        <f t="shared" si="278"/>
        <v>0</v>
      </c>
      <c r="W1232" s="532">
        <f>+V1232-'ROR-Model'!G1252</f>
        <v>0</v>
      </c>
    </row>
    <row r="1233" spans="1:23" ht="13.5" thickBot="1">
      <c r="A1233" s="557"/>
      <c r="B1233" s="534"/>
      <c r="C1233" s="534"/>
      <c r="D1233" s="534"/>
      <c r="F1233" s="471"/>
      <c r="G1233" s="471"/>
      <c r="H1233" s="471"/>
      <c r="I1233" s="471"/>
      <c r="J1233" s="548"/>
      <c r="K1233" s="548"/>
      <c r="L1233" s="471"/>
      <c r="M1233" s="471"/>
      <c r="N1233" s="471"/>
      <c r="O1233" s="471"/>
      <c r="P1233" s="471"/>
      <c r="Q1233" s="548"/>
      <c r="R1233" s="548"/>
      <c r="S1233" s="548"/>
      <c r="T1233" s="549">
        <f t="shared" si="277"/>
        <v>0</v>
      </c>
      <c r="U1233" s="471"/>
      <c r="V1233" s="549">
        <f t="shared" si="278"/>
        <v>0</v>
      </c>
      <c r="W1233" s="549">
        <f>+V1233-'ROR-Model'!G1253</f>
        <v>0</v>
      </c>
    </row>
    <row r="1234" spans="1:23">
      <c r="A1234" s="557"/>
      <c r="B1234" s="534"/>
      <c r="C1234" s="106" t="s">
        <v>436</v>
      </c>
      <c r="D1234" s="534"/>
      <c r="F1234" s="301">
        <f>SUM(F1226:F1232)</f>
        <v>0</v>
      </c>
      <c r="G1234" s="301">
        <f>G1*SUM(G1226:G1232)</f>
        <v>-26692958.048244525</v>
      </c>
      <c r="H1234" s="301">
        <f>SUM(H1226:H1232)</f>
        <v>0</v>
      </c>
      <c r="I1234" s="301">
        <f t="shared" ref="I1234:Q1234" si="288">SUM(I1226:I1232)</f>
        <v>0</v>
      </c>
      <c r="J1234" s="325">
        <f>SUM(J1226:J1232)</f>
        <v>0</v>
      </c>
      <c r="K1234" s="325">
        <f>SUM(K1226:K1232)</f>
        <v>0</v>
      </c>
      <c r="L1234" s="301">
        <f t="shared" si="288"/>
        <v>-1436406.6376981591</v>
      </c>
      <c r="M1234" s="301">
        <f t="shared" si="288"/>
        <v>-1646650.847359729</v>
      </c>
      <c r="N1234" s="301">
        <f t="shared" si="288"/>
        <v>0</v>
      </c>
      <c r="O1234" s="301">
        <f t="shared" si="288"/>
        <v>0</v>
      </c>
      <c r="P1234" s="301">
        <f t="shared" si="288"/>
        <v>-137029.91958092194</v>
      </c>
      <c r="Q1234" s="325">
        <f t="shared" si="288"/>
        <v>374049.70593058062</v>
      </c>
      <c r="R1234" s="325">
        <f>SUM(R1226:R1232)</f>
        <v>2408304.6575244418</v>
      </c>
      <c r="S1234" s="325">
        <f>SUM(S1226:S1232)</f>
        <v>6370174.0853450187</v>
      </c>
      <c r="T1234" s="532">
        <f t="shared" si="277"/>
        <v>-20760517.004083294</v>
      </c>
      <c r="U1234" s="301"/>
      <c r="V1234" s="532">
        <f t="shared" si="278"/>
        <v>-20760517.004083294</v>
      </c>
      <c r="W1234" s="532">
        <f>+V1234-'ROR-Model'!G1256</f>
        <v>0</v>
      </c>
    </row>
    <row r="1235" spans="1:23">
      <c r="A1235" s="557"/>
      <c r="B1235" s="534"/>
      <c r="C1235" s="106"/>
      <c r="D1235" s="534"/>
      <c r="F1235" s="301"/>
      <c r="G1235" s="301"/>
      <c r="H1235" s="301"/>
      <c r="I1235" s="301"/>
      <c r="J1235" s="325"/>
      <c r="K1235" s="325"/>
      <c r="L1235" s="301"/>
      <c r="M1235" s="301"/>
      <c r="N1235" s="301"/>
      <c r="O1235" s="301"/>
      <c r="P1235" s="301"/>
      <c r="Q1235" s="325"/>
      <c r="R1235" s="325"/>
      <c r="S1235" s="325"/>
      <c r="T1235" s="532"/>
      <c r="U1235" s="301"/>
      <c r="V1235" s="532"/>
      <c r="W1235" s="532">
        <f>+V1235-'ROR-Model'!G1257</f>
        <v>0</v>
      </c>
    </row>
    <row r="1236" spans="1:23">
      <c r="A1236" s="557"/>
      <c r="B1236" s="534"/>
      <c r="C1236" s="106" t="s">
        <v>616</v>
      </c>
      <c r="D1236" s="534"/>
      <c r="F1236" s="301">
        <f>+F1234/365</f>
        <v>0</v>
      </c>
      <c r="G1236" s="301">
        <f t="shared" ref="G1236:Q1236" si="289">+G1234/365</f>
        <v>-73131.391912998704</v>
      </c>
      <c r="H1236" s="301">
        <f>+H1234/365</f>
        <v>0</v>
      </c>
      <c r="I1236" s="301">
        <f t="shared" si="289"/>
        <v>0</v>
      </c>
      <c r="J1236" s="301">
        <f>+J1234/365</f>
        <v>0</v>
      </c>
      <c r="K1236" s="301">
        <f>+K1234/365</f>
        <v>0</v>
      </c>
      <c r="L1236" s="301">
        <f t="shared" si="289"/>
        <v>-3935.3606512278329</v>
      </c>
      <c r="M1236" s="301">
        <f t="shared" si="289"/>
        <v>-4511.3721845472028</v>
      </c>
      <c r="N1236" s="301">
        <f t="shared" si="289"/>
        <v>0</v>
      </c>
      <c r="O1236" s="301">
        <f t="shared" si="289"/>
        <v>0</v>
      </c>
      <c r="P1236" s="301">
        <f t="shared" si="289"/>
        <v>-375.42443720800532</v>
      </c>
      <c r="Q1236" s="301">
        <f t="shared" si="289"/>
        <v>1024.793714878303</v>
      </c>
      <c r="R1236" s="301">
        <f>+R1234/365</f>
        <v>6598.0949521217581</v>
      </c>
      <c r="S1236" s="301">
        <f>+S1234/365</f>
        <v>17452.531740671286</v>
      </c>
      <c r="T1236" s="532">
        <f>SUM(F1236:S1236)</f>
        <v>-56878.128778310391</v>
      </c>
      <c r="U1236" s="301"/>
      <c r="V1236" s="532">
        <f>SUM(T1236:T1236)</f>
        <v>-56878.128778310391</v>
      </c>
      <c r="W1236" s="532">
        <f>+V1236-'ROR-Model'!G1258</f>
        <v>0</v>
      </c>
    </row>
    <row r="1237" spans="1:23">
      <c r="A1237" s="557"/>
      <c r="B1237" s="534"/>
      <c r="C1237" s="534"/>
      <c r="D1237" s="534"/>
      <c r="E1237" s="531"/>
      <c r="F1237" s="301"/>
      <c r="G1237" s="301"/>
      <c r="H1237" s="301"/>
      <c r="I1237" s="301"/>
      <c r="J1237" s="325"/>
      <c r="K1237" s="325"/>
      <c r="L1237" s="301"/>
      <c r="M1237" s="301"/>
      <c r="N1237" s="301"/>
      <c r="O1237" s="301"/>
      <c r="P1237" s="301"/>
      <c r="Q1237" s="325"/>
      <c r="R1237" s="325"/>
      <c r="S1237" s="325"/>
      <c r="T1237" s="532"/>
      <c r="U1237" s="301"/>
      <c r="V1237" s="532"/>
      <c r="W1237" s="532">
        <f>+V1237-'ROR-Model'!G1259</f>
        <v>0</v>
      </c>
    </row>
    <row r="1238" spans="1:23">
      <c r="A1238" s="557"/>
      <c r="B1238" s="106" t="s">
        <v>442</v>
      </c>
      <c r="C1238" s="534"/>
      <c r="D1238" s="534"/>
      <c r="E1238" s="531"/>
      <c r="F1238" s="479">
        <f>'Control Panel'!$F$21</f>
        <v>8.35</v>
      </c>
      <c r="G1238" s="479">
        <f>'Control Panel'!$F$21</f>
        <v>8.35</v>
      </c>
      <c r="H1238" s="479">
        <f>'Control Panel'!$F$21</f>
        <v>8.35</v>
      </c>
      <c r="I1238" s="479">
        <f>'Control Panel'!$F$21</f>
        <v>8.35</v>
      </c>
      <c r="J1238" s="479">
        <f>'Control Panel'!$F$21</f>
        <v>8.35</v>
      </c>
      <c r="K1238" s="479">
        <f>'Control Panel'!$F$21</f>
        <v>8.35</v>
      </c>
      <c r="L1238" s="479">
        <f>'Control Panel'!$F$21</f>
        <v>8.35</v>
      </c>
      <c r="M1238" s="479">
        <f>'Control Panel'!$F$21</f>
        <v>8.35</v>
      </c>
      <c r="N1238" s="479">
        <f>'Control Panel'!$F$21</f>
        <v>8.35</v>
      </c>
      <c r="O1238" s="479">
        <f>'Control Panel'!$F$21</f>
        <v>8.35</v>
      </c>
      <c r="P1238" s="479">
        <f>'Control Panel'!$F$21</f>
        <v>8.35</v>
      </c>
      <c r="Q1238" s="479">
        <f>'Control Panel'!$F$21</f>
        <v>8.35</v>
      </c>
      <c r="R1238" s="479">
        <f>'Control Panel'!$F$21</f>
        <v>8.35</v>
      </c>
      <c r="S1238" s="479">
        <f>'Control Panel'!$F$21</f>
        <v>8.35</v>
      </c>
      <c r="T1238" s="479">
        <f>'Control Panel'!$F$21</f>
        <v>8.35</v>
      </c>
      <c r="U1238" s="479"/>
      <c r="V1238" s="479">
        <f>'Control Panel'!$F$21</f>
        <v>8.35</v>
      </c>
      <c r="W1238" s="479">
        <f>'Control Panel'!$F$21</f>
        <v>8.35</v>
      </c>
    </row>
    <row r="1239" spans="1:23" ht="13.5" thickBot="1">
      <c r="A1239" s="557"/>
      <c r="B1239" s="534"/>
      <c r="C1239" s="534"/>
      <c r="D1239" s="534"/>
      <c r="E1239" s="531"/>
      <c r="F1239" s="470"/>
      <c r="G1239" s="470"/>
      <c r="H1239" s="470"/>
      <c r="I1239" s="470"/>
      <c r="J1239" s="477"/>
      <c r="K1239" s="477"/>
      <c r="L1239" s="470"/>
      <c r="M1239" s="470"/>
      <c r="N1239" s="470"/>
      <c r="O1239" s="470"/>
      <c r="P1239" s="470"/>
      <c r="Q1239" s="477"/>
      <c r="R1239" s="477"/>
      <c r="S1239" s="477"/>
      <c r="T1239" s="538"/>
      <c r="U1239" s="470"/>
      <c r="V1239" s="538"/>
      <c r="W1239" s="538"/>
    </row>
    <row r="1240" spans="1:23" ht="13.5" thickTop="1">
      <c r="A1240" s="557"/>
      <c r="B1240" s="534"/>
      <c r="C1240" s="534"/>
      <c r="D1240" s="534"/>
      <c r="E1240" s="151"/>
      <c r="F1240" s="301"/>
      <c r="G1240" s="301"/>
      <c r="H1240" s="301"/>
      <c r="I1240" s="301"/>
      <c r="J1240" s="325"/>
      <c r="K1240" s="325"/>
      <c r="L1240" s="301"/>
      <c r="M1240" s="301"/>
      <c r="N1240" s="301"/>
      <c r="O1240" s="301"/>
      <c r="P1240" s="301"/>
      <c r="Q1240" s="325"/>
      <c r="R1240" s="325"/>
      <c r="S1240" s="325"/>
      <c r="T1240" s="532"/>
      <c r="U1240" s="301"/>
      <c r="V1240" s="532"/>
      <c r="W1240" s="532">
        <f>+V1240-'ROR-Model'!G1262</f>
        <v>0</v>
      </c>
    </row>
    <row r="1241" spans="1:23">
      <c r="A1241" s="557"/>
      <c r="B1241" s="175" t="s">
        <v>635</v>
      </c>
      <c r="C1241" s="534"/>
      <c r="D1241" s="534"/>
      <c r="E1241" s="151"/>
      <c r="F1241" s="301">
        <f>F1236*F1238</f>
        <v>0</v>
      </c>
      <c r="G1241" s="301">
        <f>G1*G1236*G1238</f>
        <v>-610647.1224735392</v>
      </c>
      <c r="H1241" s="301">
        <f>H1236*H1238</f>
        <v>0</v>
      </c>
      <c r="I1241" s="301">
        <f>I1236*I1238</f>
        <v>0</v>
      </c>
      <c r="J1241" s="325">
        <f>J1236*J1238</f>
        <v>0</v>
      </c>
      <c r="K1241" s="325">
        <f>K1236*K1238</f>
        <v>0</v>
      </c>
      <c r="L1241" s="301">
        <f t="shared" ref="L1241:Q1241" si="290">L1236*L1238</f>
        <v>-32860.261437752401</v>
      </c>
      <c r="M1241" s="301">
        <f t="shared" si="290"/>
        <v>-37669.957740969141</v>
      </c>
      <c r="N1241" s="301">
        <f t="shared" si="290"/>
        <v>0</v>
      </c>
      <c r="O1241" s="301">
        <f t="shared" si="290"/>
        <v>0</v>
      </c>
      <c r="P1241" s="301">
        <f t="shared" si="290"/>
        <v>-3134.7940506868445</v>
      </c>
      <c r="Q1241" s="325">
        <f t="shared" si="290"/>
        <v>8557.0275192338304</v>
      </c>
      <c r="R1241" s="325">
        <f>R1236*R1238</f>
        <v>55094.092850216679</v>
      </c>
      <c r="S1241" s="325">
        <f>S1236*S1238</f>
        <v>145728.64003460523</v>
      </c>
      <c r="T1241" s="532">
        <f>SUM(F1241:S1241)</f>
        <v>-474932.37529889186</v>
      </c>
      <c r="U1241" s="301"/>
      <c r="V1241" s="532">
        <f>SUM(T1241:T1241)</f>
        <v>-474932.37529889186</v>
      </c>
      <c r="W1241" s="532">
        <f>+V1241-'ROR-Model'!G1263</f>
        <v>0</v>
      </c>
    </row>
    <row r="1242" spans="1:23" ht="13.5" thickBot="1">
      <c r="A1242" s="557"/>
      <c r="B1242" s="534"/>
      <c r="C1242" s="534"/>
      <c r="D1242" s="534"/>
      <c r="E1242" s="151"/>
      <c r="F1242" s="470"/>
      <c r="G1242" s="470"/>
      <c r="H1242" s="470"/>
      <c r="I1242" s="470"/>
      <c r="J1242" s="477"/>
      <c r="K1242" s="477"/>
      <c r="L1242" s="470"/>
      <c r="M1242" s="470"/>
      <c r="N1242" s="470"/>
      <c r="O1242" s="470"/>
      <c r="P1242" s="470"/>
      <c r="Q1242" s="477"/>
      <c r="R1242" s="477"/>
      <c r="S1242" s="477"/>
      <c r="T1242" s="538">
        <f>T1238*T1236</f>
        <v>-474932.37529889174</v>
      </c>
      <c r="U1242" s="538"/>
      <c r="V1242" s="538">
        <f t="shared" ref="V1242" si="291">V1238*V1236</f>
        <v>-474932.37529889174</v>
      </c>
      <c r="W1242" s="538">
        <f>+V1242-'ROR-Model'!G1264</f>
        <v>0</v>
      </c>
    </row>
    <row r="1243" spans="1:23" ht="13.5" thickTop="1">
      <c r="A1243" s="557"/>
      <c r="B1243" s="534"/>
      <c r="C1243" s="534"/>
      <c r="D1243" s="534"/>
      <c r="E1243" s="151"/>
      <c r="F1243" s="301"/>
      <c r="G1243" s="301"/>
      <c r="H1243" s="301"/>
      <c r="I1243" s="301"/>
      <c r="J1243" s="325"/>
      <c r="K1243" s="325"/>
      <c r="L1243" s="301"/>
      <c r="M1243" s="301"/>
      <c r="N1243" s="301"/>
      <c r="O1243" s="301"/>
      <c r="P1243" s="301"/>
      <c r="Q1243" s="325"/>
      <c r="R1243" s="325"/>
      <c r="S1243" s="325"/>
      <c r="T1243" s="532"/>
      <c r="U1243" s="301"/>
      <c r="V1243" s="532"/>
      <c r="W1243" s="532">
        <f>+V1243-'ROR-Model'!G1265</f>
        <v>0</v>
      </c>
    </row>
    <row r="1244" spans="1:23">
      <c r="A1244" s="175" t="s">
        <v>249</v>
      </c>
      <c r="B1244" s="534"/>
      <c r="C1244" s="534"/>
      <c r="D1244" s="534"/>
      <c r="E1244" s="151"/>
      <c r="F1244" s="301"/>
      <c r="G1244" s="301"/>
      <c r="H1244" s="301"/>
      <c r="I1244" s="301"/>
      <c r="J1244" s="325"/>
      <c r="K1244" s="325"/>
      <c r="L1244" s="301"/>
      <c r="M1244" s="301"/>
      <c r="N1244" s="301"/>
      <c r="O1244" s="301"/>
      <c r="P1244" s="301"/>
      <c r="Q1244" s="325"/>
      <c r="R1244" s="325"/>
      <c r="S1244" s="325"/>
      <c r="T1244" s="532"/>
      <c r="U1244" s="301"/>
      <c r="V1244" s="532"/>
      <c r="W1244" s="532">
        <f>+V1244-'ROR-Model'!G1266</f>
        <v>0</v>
      </c>
    </row>
    <row r="1245" spans="1:23">
      <c r="A1245" s="175"/>
      <c r="B1245" s="534" t="s">
        <v>399</v>
      </c>
      <c r="C1245" s="534"/>
      <c r="D1245" s="534"/>
      <c r="E1245" s="151"/>
      <c r="F1245" s="301">
        <f t="shared" ref="F1245:F1247" si="292">F1215</f>
        <v>5670002.5091666616</v>
      </c>
      <c r="G1245" s="301">
        <f>G1*G1215</f>
        <v>0</v>
      </c>
      <c r="H1245" s="301">
        <f>H1215</f>
        <v>-19959087.870000001</v>
      </c>
      <c r="I1245" s="301">
        <f t="shared" ref="I1245:Q1247" si="293">I1215</f>
        <v>-70286.568187500641</v>
      </c>
      <c r="J1245" s="325">
        <f t="shared" ref="J1245:K1247" si="294">J1215</f>
        <v>0</v>
      </c>
      <c r="K1245" s="325">
        <f t="shared" si="294"/>
        <v>0</v>
      </c>
      <c r="L1245" s="301">
        <f t="shared" si="293"/>
        <v>0</v>
      </c>
      <c r="M1245" s="301">
        <f t="shared" si="293"/>
        <v>0</v>
      </c>
      <c r="N1245" s="301">
        <f t="shared" si="293"/>
        <v>0</v>
      </c>
      <c r="O1245" s="301">
        <f t="shared" si="293"/>
        <v>0</v>
      </c>
      <c r="P1245" s="301">
        <f t="shared" si="293"/>
        <v>0</v>
      </c>
      <c r="Q1245" s="325">
        <f t="shared" si="293"/>
        <v>0</v>
      </c>
      <c r="R1245" s="325">
        <f t="shared" ref="R1245:S1247" si="295">R1215</f>
        <v>0</v>
      </c>
      <c r="S1245" s="325">
        <f t="shared" si="295"/>
        <v>4250012.6350252721</v>
      </c>
      <c r="T1245" s="532">
        <f>SUM(F1245:S1245)</f>
        <v>-10109359.293995569</v>
      </c>
      <c r="U1245" s="301"/>
      <c r="V1245" s="532">
        <f>SUM(T1245:T1245)</f>
        <v>-10109359.293995569</v>
      </c>
      <c r="W1245" s="532">
        <f>+V1245-'ROR-Model'!G1267</f>
        <v>0</v>
      </c>
    </row>
    <row r="1246" spans="1:23">
      <c r="A1246" s="175"/>
      <c r="B1246" s="534" t="s">
        <v>542</v>
      </c>
      <c r="C1246" s="534"/>
      <c r="D1246" s="534"/>
      <c r="E1246" s="151"/>
      <c r="F1246" s="301">
        <f t="shared" si="292"/>
        <v>-796932.81667611038</v>
      </c>
      <c r="G1246" s="301">
        <f>G1*G1216</f>
        <v>0</v>
      </c>
      <c r="H1246" s="301">
        <f>H1216</f>
        <v>0</v>
      </c>
      <c r="I1246" s="301">
        <f t="shared" si="293"/>
        <v>0</v>
      </c>
      <c r="J1246" s="325">
        <f t="shared" si="294"/>
        <v>0</v>
      </c>
      <c r="K1246" s="325">
        <f t="shared" si="294"/>
        <v>0</v>
      </c>
      <c r="L1246" s="301">
        <f t="shared" si="293"/>
        <v>0</v>
      </c>
      <c r="M1246" s="301">
        <f t="shared" si="293"/>
        <v>0</v>
      </c>
      <c r="N1246" s="301">
        <f t="shared" si="293"/>
        <v>0</v>
      </c>
      <c r="O1246" s="301">
        <f t="shared" si="293"/>
        <v>0</v>
      </c>
      <c r="P1246" s="301">
        <f t="shared" si="293"/>
        <v>0</v>
      </c>
      <c r="Q1246" s="325">
        <f t="shared" si="293"/>
        <v>0</v>
      </c>
      <c r="R1246" s="325">
        <f t="shared" si="295"/>
        <v>0</v>
      </c>
      <c r="S1246" s="325">
        <f t="shared" si="295"/>
        <v>1041530.7380358962</v>
      </c>
      <c r="T1246" s="532">
        <f>SUM(F1246:S1246)</f>
        <v>244597.92135978583</v>
      </c>
      <c r="U1246" s="301"/>
      <c r="V1246" s="532">
        <f>SUM(T1246:T1246)</f>
        <v>244597.92135978583</v>
      </c>
      <c r="W1246" s="532">
        <f>+V1246-'ROR-Model'!G1268</f>
        <v>0</v>
      </c>
    </row>
    <row r="1247" spans="1:23">
      <c r="A1247" s="175"/>
      <c r="B1247" s="534" t="s">
        <v>543</v>
      </c>
      <c r="C1247" s="534"/>
      <c r="D1247" s="534"/>
      <c r="E1247" s="151"/>
      <c r="F1247" s="301">
        <f t="shared" si="292"/>
        <v>-211804983.90790734</v>
      </c>
      <c r="G1247" s="301">
        <f>G1*G1217</f>
        <v>0</v>
      </c>
      <c r="H1247" s="301">
        <f>H1217</f>
        <v>0</v>
      </c>
      <c r="I1247" s="301">
        <f t="shared" si="293"/>
        <v>0</v>
      </c>
      <c r="J1247" s="325">
        <f t="shared" si="294"/>
        <v>0</v>
      </c>
      <c r="K1247" s="325">
        <f t="shared" si="294"/>
        <v>0</v>
      </c>
      <c r="L1247" s="301">
        <f t="shared" si="293"/>
        <v>0</v>
      </c>
      <c r="M1247" s="301">
        <f t="shared" si="293"/>
        <v>0</v>
      </c>
      <c r="N1247" s="301">
        <f t="shared" si="293"/>
        <v>0</v>
      </c>
      <c r="O1247" s="301">
        <f t="shared" si="293"/>
        <v>0</v>
      </c>
      <c r="P1247" s="301">
        <f t="shared" si="293"/>
        <v>0</v>
      </c>
      <c r="Q1247" s="325">
        <f t="shared" si="293"/>
        <v>0</v>
      </c>
      <c r="R1247" s="325">
        <f t="shared" si="295"/>
        <v>0</v>
      </c>
      <c r="S1247" s="325">
        <f t="shared" si="295"/>
        <v>39471300.34168461</v>
      </c>
      <c r="T1247" s="532">
        <f>SUM(F1247:S1247)</f>
        <v>-172333683.56622273</v>
      </c>
      <c r="U1247" s="301"/>
      <c r="V1247" s="532">
        <f>SUM(T1247:T1247)</f>
        <v>-172333683.56622273</v>
      </c>
      <c r="W1247" s="532">
        <f>+V1247-'ROR-Model'!G1269</f>
        <v>0</v>
      </c>
    </row>
    <row r="1248" spans="1:23">
      <c r="A1248" s="175"/>
      <c r="B1248" s="534" t="s">
        <v>544</v>
      </c>
      <c r="C1248" s="534"/>
      <c r="D1248" s="534"/>
      <c r="E1248" s="151"/>
      <c r="F1248" s="301">
        <f>F1218+F1241</f>
        <v>-1795130.7045833599</v>
      </c>
      <c r="G1248" s="301">
        <f>G1*G1218+G1241</f>
        <v>-610647.1224735392</v>
      </c>
      <c r="H1248" s="301">
        <f>H1218+H1241</f>
        <v>0</v>
      </c>
      <c r="I1248" s="301">
        <f t="shared" ref="I1248:Q1248" si="296">I1218+I1241</f>
        <v>0</v>
      </c>
      <c r="J1248" s="325">
        <f>J1218+J1241</f>
        <v>0</v>
      </c>
      <c r="K1248" s="325">
        <f>K1218+K1241</f>
        <v>0</v>
      </c>
      <c r="L1248" s="301">
        <f t="shared" si="296"/>
        <v>-32860.261437752401</v>
      </c>
      <c r="M1248" s="301">
        <f t="shared" si="296"/>
        <v>-863010.99761757161</v>
      </c>
      <c r="N1248" s="301">
        <f t="shared" si="296"/>
        <v>0</v>
      </c>
      <c r="O1248" s="301">
        <f t="shared" si="296"/>
        <v>0</v>
      </c>
      <c r="P1248" s="301">
        <f t="shared" si="296"/>
        <v>-3134.7940506868445</v>
      </c>
      <c r="Q1248" s="325">
        <f t="shared" si="296"/>
        <v>8557.0275192338304</v>
      </c>
      <c r="R1248" s="325">
        <f>R1218+R1241</f>
        <v>55094.092850216679</v>
      </c>
      <c r="S1248" s="325">
        <f>S1218+S1241</f>
        <v>-159301303.12788251</v>
      </c>
      <c r="T1248" s="532">
        <f>T1218+T1241</f>
        <v>-162542435.88767597</v>
      </c>
      <c r="U1248" s="301"/>
      <c r="V1248" s="532">
        <f>V1218+V1241</f>
        <v>-162542435.88767597</v>
      </c>
      <c r="W1248" s="532">
        <f>+V1248-'ROR-Model'!G1270</f>
        <v>0</v>
      </c>
    </row>
    <row r="1249" spans="1:23" ht="13.5" thickBot="1">
      <c r="A1249" s="175"/>
      <c r="B1249" s="534"/>
      <c r="C1249" s="534"/>
      <c r="D1249" s="534"/>
      <c r="E1249" s="151"/>
      <c r="F1249" s="470"/>
      <c r="G1249" s="470"/>
      <c r="H1249" s="470"/>
      <c r="I1249" s="470"/>
      <c r="J1249" s="477"/>
      <c r="K1249" s="477"/>
      <c r="L1249" s="470"/>
      <c r="M1249" s="470"/>
      <c r="N1249" s="470"/>
      <c r="O1249" s="470"/>
      <c r="P1249" s="470"/>
      <c r="Q1249" s="477"/>
      <c r="R1249" s="477"/>
      <c r="S1249" s="477"/>
      <c r="T1249" s="538">
        <f>SUM(F1249:S1249)</f>
        <v>0</v>
      </c>
      <c r="U1249" s="470"/>
      <c r="V1249" s="538">
        <f>SUM(T1249:T1249)</f>
        <v>0</v>
      </c>
      <c r="W1249" s="538">
        <f>+V1249-'ROR-Model'!G1271</f>
        <v>0</v>
      </c>
    </row>
    <row r="1250" spans="1:23" ht="13.5" thickTop="1">
      <c r="A1250" s="175"/>
      <c r="B1250" s="534"/>
      <c r="C1250" s="534"/>
      <c r="D1250" s="534"/>
      <c r="E1250" s="151"/>
      <c r="F1250" s="301"/>
      <c r="G1250" s="301"/>
      <c r="H1250" s="301"/>
      <c r="I1250" s="301"/>
      <c r="J1250" s="325"/>
      <c r="K1250" s="325"/>
      <c r="L1250" s="301"/>
      <c r="M1250" s="301"/>
      <c r="N1250" s="301"/>
      <c r="O1250" s="301"/>
      <c r="P1250" s="301"/>
      <c r="Q1250" s="325"/>
      <c r="R1250" s="325"/>
      <c r="S1250" s="325"/>
      <c r="T1250" s="532">
        <f>SUM(F1250:S1250)</f>
        <v>0</v>
      </c>
      <c r="U1250" s="301"/>
      <c r="V1250" s="532">
        <f>SUM(T1250:T1250)</f>
        <v>0</v>
      </c>
      <c r="W1250" s="532">
        <f>+V1250-'ROR-Model'!G1272</f>
        <v>0</v>
      </c>
    </row>
    <row r="1251" spans="1:23">
      <c r="A1251" s="557"/>
      <c r="B1251" s="175" t="s">
        <v>249</v>
      </c>
      <c r="C1251" s="534"/>
      <c r="D1251" s="534"/>
      <c r="E1251" s="151"/>
      <c r="F1251" s="301">
        <f>F1221+F1241</f>
        <v>-208727044.92000008</v>
      </c>
      <c r="G1251" s="301">
        <f>G1*G1221+G1241</f>
        <v>-610647.1224735392</v>
      </c>
      <c r="H1251" s="301">
        <f>H1221+H1241</f>
        <v>-19959087.870000001</v>
      </c>
      <c r="I1251" s="301">
        <f t="shared" ref="I1251:Q1251" si="297">I1221+I1241</f>
        <v>-70286.568187500641</v>
      </c>
      <c r="J1251" s="325">
        <f>J1221+J1241</f>
        <v>0</v>
      </c>
      <c r="K1251" s="325">
        <f>K1221+K1241</f>
        <v>0</v>
      </c>
      <c r="L1251" s="301">
        <f t="shared" si="297"/>
        <v>-32860.261437752401</v>
      </c>
      <c r="M1251" s="301">
        <f t="shared" si="297"/>
        <v>-863010.99761757161</v>
      </c>
      <c r="N1251" s="301">
        <f t="shared" si="297"/>
        <v>0</v>
      </c>
      <c r="O1251" s="301">
        <f t="shared" si="297"/>
        <v>0</v>
      </c>
      <c r="P1251" s="301">
        <f t="shared" si="297"/>
        <v>-3134.7940506868445</v>
      </c>
      <c r="Q1251" s="325">
        <f t="shared" si="297"/>
        <v>8557.0275192338304</v>
      </c>
      <c r="R1251" s="325">
        <f>R1221+R1241</f>
        <v>55094.092850216679</v>
      </c>
      <c r="S1251" s="325">
        <f>S1221+S1241</f>
        <v>-114538459.41313674</v>
      </c>
      <c r="T1251" s="532">
        <f>SUM(F1251:S1251)</f>
        <v>-344740880.82653445</v>
      </c>
      <c r="U1251" s="301"/>
      <c r="V1251" s="532">
        <f>SUM(T1251:T1251)</f>
        <v>-344740880.82653445</v>
      </c>
      <c r="W1251" s="532">
        <f>+V1251-'ROR-Model'!G1273</f>
        <v>0</v>
      </c>
    </row>
    <row r="1773" ht="12.75" customHeight="1"/>
  </sheetData>
  <mergeCells count="3">
    <mergeCell ref="A515:E515"/>
    <mergeCell ref="C943:D943"/>
    <mergeCell ref="A945:E945"/>
  </mergeCells>
  <phoneticPr fontId="0" type="noConversion"/>
  <pageMargins left="0.2" right="0" top="0" bottom="0.22" header="0" footer="0.19"/>
  <pageSetup paperSize="5" scale="42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4434" r:id="rId4" name="Button 162">
              <controlPr defaultSize="0" print="0" autoFill="0" autoPict="0" macro="[0]!Macro5">
                <anchor moveWithCells="1" sizeWithCells="1">
                  <from>
                    <xdr:col>1</xdr:col>
                    <xdr:colOff>0</xdr:colOff>
                    <xdr:row>6</xdr:row>
                    <xdr:rowOff>0</xdr:rowOff>
                  </from>
                  <to>
                    <xdr:col>2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37" r:id="rId5" name="Button 9273">
              <controlPr defaultSize="0" print="0" autoFill="0" autoPict="0" macro="[0]!Macro5">
                <anchor moveWithCells="1" sizeWithCells="1">
                  <from>
                    <xdr:col>1</xdr:col>
                    <xdr:colOff>0</xdr:colOff>
                    <xdr:row>1771</xdr:row>
                    <xdr:rowOff>0</xdr:rowOff>
                  </from>
                  <to>
                    <xdr:col>2</xdr:col>
                    <xdr:colOff>0</xdr:colOff>
                    <xdr:row>1772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2508" r:id="rId6" name="Button 10284">
              <controlPr defaultSize="0" print="0" autoFill="0" autoPict="0" macro="[0]!Macro5">
                <anchor moveWithCells="1" sizeWithCells="1">
                  <from>
                    <xdr:col>1</xdr:col>
                    <xdr:colOff>0</xdr:colOff>
                    <xdr:row>1771</xdr:row>
                    <xdr:rowOff>0</xdr:rowOff>
                  </from>
                  <to>
                    <xdr:col>2</xdr:col>
                    <xdr:colOff>0</xdr:colOff>
                    <xdr:row>1772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tabColor rgb="FF92D050"/>
    <pageSetUpPr fitToPage="1"/>
  </sheetPr>
  <dimension ref="A1:AJ1273"/>
  <sheetViews>
    <sheetView topLeftCell="H1087" zoomScale="80" zoomScaleNormal="80" workbookViewId="0">
      <selection activeCell="W1105" sqref="W1104:W1105"/>
    </sheetView>
  </sheetViews>
  <sheetFormatPr defaultColWidth="9.140625" defaultRowHeight="12.75"/>
  <cols>
    <col min="1" max="1" width="7.28515625" customWidth="1"/>
    <col min="2" max="2" width="11.28515625" customWidth="1"/>
    <col min="3" max="3" width="10.28515625" customWidth="1"/>
    <col min="4" max="4" width="25.7109375" customWidth="1"/>
    <col min="5" max="5" width="15" hidden="1" customWidth="1"/>
    <col min="6" max="6" width="31.28515625" bestFit="1" customWidth="1"/>
    <col min="7" max="8" width="13.7109375" customWidth="1"/>
    <col min="9" max="9" width="19.28515625" bestFit="1" customWidth="1"/>
    <col min="10" max="10" width="17.5703125" customWidth="1"/>
    <col min="11" max="11" width="4.5703125" bestFit="1" customWidth="1"/>
    <col min="12" max="12" width="13.7109375" customWidth="1"/>
    <col min="13" max="13" width="14.42578125" bestFit="1" customWidth="1"/>
    <col min="14" max="14" width="13.7109375" customWidth="1"/>
    <col min="15" max="15" width="23.7109375" customWidth="1"/>
    <col min="16" max="16" width="4.7109375" customWidth="1"/>
    <col min="17" max="17" width="14.42578125" bestFit="1" customWidth="1"/>
    <col min="18" max="18" width="13.7109375" customWidth="1"/>
    <col min="19" max="19" width="4.7109375" customWidth="1"/>
    <col min="20" max="21" width="13.7109375" customWidth="1"/>
    <col min="22" max="22" width="1.7109375" customWidth="1"/>
    <col min="23" max="23" width="14.85546875" bestFit="1" customWidth="1"/>
    <col min="24" max="24" width="6.42578125" customWidth="1"/>
    <col min="25" max="25" width="5.140625" bestFit="1" customWidth="1"/>
    <col min="27" max="27" width="16.5703125" bestFit="1" customWidth="1"/>
    <col min="28" max="28" width="3.42578125" customWidth="1"/>
    <col min="29" max="29" width="15.85546875" style="80" customWidth="1"/>
    <col min="30" max="30" width="2.5703125" bestFit="1" customWidth="1"/>
    <col min="32" max="32" width="3.28515625" bestFit="1" customWidth="1"/>
    <col min="33" max="33" width="10.7109375" bestFit="1" customWidth="1"/>
    <col min="34" max="34" width="11.7109375" bestFit="1" customWidth="1"/>
    <col min="35" max="35" width="3.28515625" bestFit="1" customWidth="1"/>
    <col min="36" max="37" width="2.5703125" bestFit="1" customWidth="1"/>
    <col min="39" max="39" width="2.5703125" bestFit="1" customWidth="1"/>
  </cols>
  <sheetData>
    <row r="1" spans="1:36">
      <c r="A1" s="12" t="str">
        <f>'Control Panel'!$B$1</f>
        <v>Dominion Energy</v>
      </c>
      <c r="E1" s="106"/>
      <c r="F1" s="106"/>
      <c r="G1" s="193"/>
      <c r="H1" s="193"/>
      <c r="I1" s="106" t="s">
        <v>772</v>
      </c>
      <c r="J1" s="106"/>
      <c r="K1" s="191"/>
      <c r="L1" s="191" t="s">
        <v>687</v>
      </c>
      <c r="M1" s="191"/>
      <c r="N1" s="191"/>
      <c r="O1" s="119"/>
      <c r="P1" s="106"/>
      <c r="Q1" s="106"/>
      <c r="R1" s="106"/>
      <c r="T1" s="106"/>
      <c r="U1" s="106"/>
      <c r="V1" s="53"/>
      <c r="W1" s="106"/>
      <c r="X1" s="127"/>
      <c r="AA1" s="10"/>
    </row>
    <row r="2" spans="1:36">
      <c r="A2" s="12" t="str">
        <f>'Control Panel'!$B$2</f>
        <v>Utah - June 2023 Adjusted Avg Results</v>
      </c>
      <c r="E2" s="7"/>
      <c r="F2" s="7"/>
      <c r="K2" s="192" t="s">
        <v>688</v>
      </c>
      <c r="L2" s="171" t="s">
        <v>429</v>
      </c>
      <c r="M2" s="269">
        <f>'Utah Allocation'!D18</f>
        <v>0.96976936420144477</v>
      </c>
      <c r="N2" s="269">
        <f>'Utah Allocation'!E18</f>
        <v>3.0230635798555217E-2</v>
      </c>
      <c r="O2" s="120"/>
      <c r="P2" s="1114"/>
      <c r="Q2" s="1114"/>
      <c r="R2" s="1114"/>
      <c r="S2" s="1114"/>
      <c r="T2" s="1114"/>
      <c r="U2" s="1114"/>
      <c r="V2" s="124"/>
      <c r="W2" s="106"/>
      <c r="X2" s="139"/>
      <c r="AA2" s="10"/>
    </row>
    <row r="3" spans="1:36">
      <c r="A3" s="12" t="str">
        <f>'Control Panel'!$B$3</f>
        <v>12 Months Ended : Jun-2023</v>
      </c>
      <c r="E3" s="7"/>
      <c r="F3" s="7"/>
      <c r="K3" s="192" t="s">
        <v>689</v>
      </c>
      <c r="L3" s="171" t="s">
        <v>686</v>
      </c>
      <c r="M3" s="269">
        <f>'Utah Allocation'!D35</f>
        <v>0.97083202649895617</v>
      </c>
      <c r="N3" s="269">
        <f>'Utah Allocation'!E35</f>
        <v>2.9167973501043713E-2</v>
      </c>
      <c r="O3" s="121"/>
      <c r="P3" s="1115"/>
      <c r="Q3" s="1114"/>
      <c r="R3" s="1114"/>
      <c r="S3" s="1114"/>
      <c r="T3" s="1114"/>
      <c r="U3" s="1114"/>
      <c r="V3" s="124"/>
      <c r="W3" s="106"/>
      <c r="X3" s="194"/>
      <c r="AA3" s="10"/>
    </row>
    <row r="4" spans="1:36">
      <c r="A4" s="228"/>
      <c r="B4" s="182"/>
      <c r="C4" s="182"/>
      <c r="D4" s="182"/>
      <c r="E4" s="464"/>
      <c r="F4" s="464"/>
      <c r="K4" s="192" t="s">
        <v>690</v>
      </c>
      <c r="L4" s="171" t="s">
        <v>637</v>
      </c>
      <c r="M4" s="269">
        <f>'Utah Allocation'!D46</f>
        <v>0.96786704566807136</v>
      </c>
      <c r="N4" s="269">
        <f>'Utah Allocation'!E46</f>
        <v>3.2132954331928601E-2</v>
      </c>
      <c r="O4" s="121"/>
      <c r="P4" s="1115"/>
      <c r="Q4" s="1114"/>
      <c r="R4" s="1114"/>
      <c r="S4" s="1114"/>
      <c r="T4" s="1114"/>
      <c r="U4" s="1114"/>
      <c r="V4" s="195"/>
      <c r="W4" s="4"/>
      <c r="X4" s="139"/>
      <c r="AA4" s="1"/>
    </row>
    <row r="5" spans="1:36" ht="12.75" customHeight="1">
      <c r="A5" s="275"/>
      <c r="B5" s="15"/>
      <c r="C5" s="15"/>
      <c r="D5" s="15"/>
      <c r="E5" s="464"/>
      <c r="F5" s="464"/>
      <c r="K5" s="192" t="s">
        <v>691</v>
      </c>
      <c r="L5" s="171" t="s">
        <v>12</v>
      </c>
      <c r="M5" s="193">
        <v>1</v>
      </c>
      <c r="N5" s="193">
        <v>0</v>
      </c>
      <c r="O5" s="121"/>
      <c r="P5" s="1116" t="s">
        <v>693</v>
      </c>
      <c r="Q5" s="1116"/>
      <c r="R5" s="1116"/>
      <c r="S5" s="1116"/>
      <c r="T5" s="1116"/>
      <c r="U5" s="1116"/>
      <c r="V5" s="124"/>
      <c r="W5" s="7"/>
      <c r="X5" s="139"/>
      <c r="AA5" s="1"/>
    </row>
    <row r="6" spans="1:36" ht="13.5" customHeight="1" thickBot="1">
      <c r="A6" s="15"/>
      <c r="B6" s="15"/>
      <c r="C6" s="15"/>
      <c r="D6" s="15"/>
      <c r="K6" s="196" t="s">
        <v>692</v>
      </c>
      <c r="L6" s="197" t="s">
        <v>23</v>
      </c>
      <c r="M6" s="198">
        <v>0</v>
      </c>
      <c r="N6" s="198">
        <v>1</v>
      </c>
      <c r="O6" s="120"/>
      <c r="P6" s="1114"/>
      <c r="Q6" s="1114"/>
      <c r="R6" s="1114"/>
      <c r="S6" s="49"/>
      <c r="T6" s="49"/>
      <c r="U6" s="49"/>
      <c r="V6" s="124"/>
      <c r="W6" s="49"/>
      <c r="X6" s="139"/>
      <c r="AA6" s="1038" t="s">
        <v>1176</v>
      </c>
    </row>
    <row r="7" spans="1:36" ht="11.25" customHeight="1">
      <c r="A7" s="116"/>
      <c r="B7" s="53"/>
      <c r="C7" s="53"/>
      <c r="D7" s="53"/>
      <c r="E7" s="6"/>
      <c r="F7" s="6" t="s">
        <v>773</v>
      </c>
      <c r="G7" s="4" t="s">
        <v>87</v>
      </c>
      <c r="H7" s="6" t="s">
        <v>38</v>
      </c>
      <c r="I7" s="6" t="s">
        <v>41</v>
      </c>
      <c r="M7" s="156"/>
      <c r="N7" s="156"/>
      <c r="O7" s="122"/>
      <c r="P7" s="49"/>
      <c r="Q7" s="1114" t="s">
        <v>12</v>
      </c>
      <c r="R7" s="1114"/>
      <c r="S7" s="49"/>
      <c r="T7" s="1114" t="s">
        <v>23</v>
      </c>
      <c r="U7" s="1114"/>
      <c r="V7" s="124"/>
      <c r="W7" s="51" t="s">
        <v>712</v>
      </c>
      <c r="X7" s="139"/>
      <c r="AA7" s="10" t="s">
        <v>712</v>
      </c>
    </row>
    <row r="8" spans="1:36">
      <c r="A8" s="1112" t="s">
        <v>660</v>
      </c>
      <c r="B8" s="1112"/>
      <c r="C8" s="53"/>
      <c r="D8" s="53"/>
      <c r="E8" s="2"/>
      <c r="F8" s="2" t="s">
        <v>774</v>
      </c>
      <c r="G8" s="2" t="s">
        <v>37</v>
      </c>
      <c r="H8" s="2" t="s">
        <v>39</v>
      </c>
      <c r="I8" s="2" t="s">
        <v>42</v>
      </c>
      <c r="M8" s="156"/>
      <c r="N8" s="156"/>
      <c r="O8" s="123"/>
      <c r="P8" s="1115" t="s">
        <v>697</v>
      </c>
      <c r="Q8" s="1114"/>
      <c r="R8" s="1114"/>
      <c r="S8" s="1114" t="s">
        <v>694</v>
      </c>
      <c r="T8" s="1114"/>
      <c r="U8" s="1114"/>
      <c r="V8" s="124"/>
      <c r="W8" s="4" t="s">
        <v>247</v>
      </c>
      <c r="X8" s="139"/>
      <c r="AA8" s="1" t="s">
        <v>247</v>
      </c>
    </row>
    <row r="9" spans="1:36" ht="13.5" thickBot="1">
      <c r="A9" s="1113" t="s">
        <v>6</v>
      </c>
      <c r="B9" s="1113"/>
      <c r="C9" s="1111" t="s">
        <v>776</v>
      </c>
      <c r="D9" s="1111"/>
      <c r="E9" s="199"/>
      <c r="F9" s="199">
        <f>+'Control Panel'!F12</f>
        <v>45107</v>
      </c>
      <c r="G9" s="19" t="s">
        <v>145</v>
      </c>
      <c r="H9" s="19" t="s">
        <v>40</v>
      </c>
      <c r="I9" s="19" t="s">
        <v>145</v>
      </c>
      <c r="J9" s="19"/>
      <c r="K9" s="105"/>
      <c r="L9" s="105" t="s">
        <v>704</v>
      </c>
      <c r="M9" s="105" t="s">
        <v>12</v>
      </c>
      <c r="N9" s="105" t="s">
        <v>23</v>
      </c>
      <c r="O9" s="123"/>
      <c r="P9" s="105"/>
      <c r="Q9" s="105" t="s">
        <v>544</v>
      </c>
      <c r="R9" s="105" t="s">
        <v>509</v>
      </c>
      <c r="S9" s="105"/>
      <c r="T9" s="105" t="s">
        <v>544</v>
      </c>
      <c r="U9" s="105" t="s">
        <v>509</v>
      </c>
      <c r="V9" s="465"/>
      <c r="W9" s="105" t="str">
        <f>+'Control Panel'!F11</f>
        <v>Utah</v>
      </c>
      <c r="X9" s="139"/>
      <c r="Y9" s="77"/>
      <c r="AA9" s="733" t="s">
        <v>12</v>
      </c>
    </row>
    <row r="10" spans="1:36">
      <c r="A10" s="136"/>
      <c r="B10" s="47"/>
      <c r="C10" s="47"/>
      <c r="D10" s="47"/>
      <c r="E10" s="7"/>
      <c r="F10" s="7"/>
      <c r="G10" s="7"/>
      <c r="H10" s="7"/>
      <c r="I10" s="7"/>
      <c r="J10" s="7"/>
      <c r="K10" s="7"/>
      <c r="L10" s="47"/>
      <c r="M10" s="47"/>
      <c r="N10" s="47"/>
      <c r="O10" s="120"/>
      <c r="P10" s="49"/>
      <c r="Q10" s="192" t="s">
        <v>12</v>
      </c>
      <c r="R10" s="49"/>
      <c r="S10" s="192"/>
      <c r="T10" s="421" t="s">
        <v>23</v>
      </c>
      <c r="U10" s="49"/>
      <c r="V10" s="124"/>
      <c r="W10" s="49"/>
      <c r="X10" s="139"/>
      <c r="Y10" s="3">
        <v>1</v>
      </c>
      <c r="AA10" s="10"/>
    </row>
    <row r="11" spans="1:36">
      <c r="A11" s="1112" t="s">
        <v>777</v>
      </c>
      <c r="B11" s="1112"/>
      <c r="C11" s="1112"/>
      <c r="D11" s="1112"/>
      <c r="K11" s="7"/>
      <c r="L11" s="7"/>
      <c r="M11" s="7"/>
      <c r="N11" s="7"/>
      <c r="O11" s="120"/>
      <c r="P11" s="126"/>
      <c r="Q11" s="7"/>
      <c r="R11" s="7"/>
      <c r="S11" s="126"/>
      <c r="T11" s="7"/>
      <c r="U11" s="7"/>
      <c r="V11" s="124"/>
      <c r="W11" s="7"/>
      <c r="X11" s="139"/>
      <c r="Y11" s="3">
        <f>Y10+1</f>
        <v>2</v>
      </c>
      <c r="AA11" s="1"/>
      <c r="AG11" s="162" t="s">
        <v>777</v>
      </c>
      <c r="AH11" s="162"/>
      <c r="AI11" s="162"/>
      <c r="AJ11" s="162"/>
    </row>
    <row r="12" spans="1:36">
      <c r="K12" s="7"/>
      <c r="L12" s="7"/>
      <c r="M12" s="7"/>
      <c r="N12" s="7"/>
      <c r="O12" s="120"/>
      <c r="P12" s="126"/>
      <c r="Q12" s="7"/>
      <c r="R12" s="7"/>
      <c r="S12" s="126"/>
      <c r="T12" s="7"/>
      <c r="U12" s="7"/>
      <c r="V12" s="124"/>
      <c r="W12" s="7"/>
      <c r="X12" s="139"/>
      <c r="Y12" s="3">
        <f t="shared" ref="Y12:Y75" si="0">Y11+1</f>
        <v>3</v>
      </c>
      <c r="AA12" s="1"/>
    </row>
    <row r="13" spans="1:36">
      <c r="A13" s="200" t="s">
        <v>11</v>
      </c>
      <c r="B13" s="200"/>
      <c r="C13" s="200"/>
      <c r="D13" s="200"/>
      <c r="G13" s="7"/>
      <c r="H13" s="7"/>
      <c r="I13" s="7"/>
      <c r="J13" s="7"/>
      <c r="K13" s="7"/>
      <c r="L13" s="7"/>
      <c r="M13" s="7"/>
      <c r="N13" s="7"/>
      <c r="O13" s="120"/>
      <c r="P13" s="126"/>
      <c r="Q13" s="7"/>
      <c r="R13" s="7"/>
      <c r="S13" s="126"/>
      <c r="T13" s="7"/>
      <c r="U13" s="7"/>
      <c r="V13" s="124"/>
      <c r="W13" s="7"/>
      <c r="X13" s="139"/>
      <c r="Y13" s="3">
        <f t="shared" si="0"/>
        <v>4</v>
      </c>
      <c r="AA13" s="1"/>
      <c r="AG13" s="162" t="s">
        <v>11</v>
      </c>
      <c r="AH13" s="162"/>
      <c r="AI13" s="162"/>
      <c r="AJ13" s="162"/>
    </row>
    <row r="14" spans="1:36">
      <c r="A14" s="200"/>
      <c r="B14" s="200"/>
      <c r="C14" s="200"/>
      <c r="D14" s="200"/>
      <c r="G14" s="7"/>
      <c r="H14" s="7"/>
      <c r="I14" s="7"/>
      <c r="J14" s="7"/>
      <c r="K14" s="7"/>
      <c r="L14" s="7"/>
      <c r="M14" s="7"/>
      <c r="N14" s="7"/>
      <c r="O14" s="120"/>
      <c r="P14" s="126"/>
      <c r="Q14" s="7"/>
      <c r="R14" s="7"/>
      <c r="S14" s="126"/>
      <c r="T14" s="7"/>
      <c r="U14" s="7"/>
      <c r="V14" s="124"/>
      <c r="W14" s="7"/>
      <c r="X14" s="139"/>
      <c r="Y14" s="3">
        <f t="shared" si="0"/>
        <v>5</v>
      </c>
      <c r="AA14" s="1"/>
      <c r="AG14" s="162"/>
      <c r="AH14" s="162"/>
      <c r="AI14" s="162"/>
      <c r="AJ14" s="162"/>
    </row>
    <row r="15" spans="1:36">
      <c r="A15" s="116" t="s">
        <v>12</v>
      </c>
      <c r="B15" s="14"/>
      <c r="C15" s="15"/>
      <c r="D15" s="47"/>
      <c r="E15" s="7"/>
      <c r="F15" s="7"/>
      <c r="G15" s="7"/>
      <c r="H15" s="7"/>
      <c r="I15" s="7"/>
      <c r="J15" s="7"/>
      <c r="K15" s="7"/>
      <c r="L15" s="7"/>
      <c r="M15" s="7"/>
      <c r="N15" s="7"/>
      <c r="O15" s="120"/>
      <c r="P15" s="126"/>
      <c r="Q15" s="7"/>
      <c r="R15" s="7"/>
      <c r="S15" s="126"/>
      <c r="T15" s="7"/>
      <c r="U15" s="7"/>
      <c r="V15" s="124"/>
      <c r="W15" s="7"/>
      <c r="X15" s="139"/>
      <c r="Y15" s="3">
        <f t="shared" si="0"/>
        <v>6</v>
      </c>
      <c r="AA15" s="1"/>
      <c r="AG15" s="162" t="s">
        <v>12</v>
      </c>
      <c r="AH15" s="1"/>
      <c r="AI15" s="1"/>
      <c r="AJ15" s="10"/>
    </row>
    <row r="16" spans="1:36">
      <c r="A16" s="136"/>
      <c r="B16" s="32" t="s">
        <v>84</v>
      </c>
      <c r="C16" s="32" t="s">
        <v>14</v>
      </c>
      <c r="D16" s="47"/>
      <c r="E16" s="7">
        <f>+G16-Adjustments!G16</f>
        <v>0</v>
      </c>
      <c r="F16" s="7">
        <f>Revenue!$F$15</f>
        <v>417385871.17000008</v>
      </c>
      <c r="G16" s="7">
        <f>+Adjustments!V16</f>
        <v>0</v>
      </c>
      <c r="H16" s="7"/>
      <c r="I16" s="7">
        <f>SUM($F$16:$H$16)</f>
        <v>417385871.17000008</v>
      </c>
      <c r="J16" s="7">
        <f>+I16-'ROR-Model'!I16</f>
        <v>0</v>
      </c>
      <c r="K16" s="7"/>
      <c r="L16" s="7" t="s">
        <v>12</v>
      </c>
      <c r="M16" s="7">
        <f>VLOOKUP($L16,$L$2:$N$7,2,FALSE)*I16</f>
        <v>417385871.17000008</v>
      </c>
      <c r="N16" s="7">
        <f>VLOOKUP($L16,$L$2:$N$7,3,FALSE)*I16</f>
        <v>0</v>
      </c>
      <c r="O16" s="120">
        <f>SUM(M16:N16)-I16</f>
        <v>0</v>
      </c>
      <c r="P16" s="126" t="s">
        <v>510</v>
      </c>
      <c r="Q16" s="7">
        <f>IF(P16="G",M16,IF(P16="PT",0,ERR))</f>
        <v>417385871.17000008</v>
      </c>
      <c r="R16" s="7">
        <f>IF(P16="PT",M16,IF(P16="G",0,ERR))</f>
        <v>0</v>
      </c>
      <c r="S16" s="126" t="s">
        <v>510</v>
      </c>
      <c r="T16" s="7">
        <f>IF(S16="G",N16,IF(S16="PT",0,ERR))</f>
        <v>0</v>
      </c>
      <c r="U16" s="7">
        <f>IF(S16="PT",N16,IF(S16="G",0,ERR))</f>
        <v>0</v>
      </c>
      <c r="V16" s="124"/>
      <c r="W16" s="7">
        <f>HLOOKUP($W$9,'ROR-Model'!$Q$10:$U$1273,Y16)</f>
        <v>417385871.17000008</v>
      </c>
      <c r="X16" s="139"/>
      <c r="Y16" s="3">
        <f t="shared" si="0"/>
        <v>7</v>
      </c>
      <c r="AA16" s="7">
        <v>311300848.26528829</v>
      </c>
      <c r="AC16" s="7">
        <f>IF(ABS(AA16)&gt;0,W16-AA16,"")</f>
        <v>106085022.90471178</v>
      </c>
      <c r="AE16" s="42">
        <f>IF(ABS(AA16)&gt;0,AC16/AA16,"")</f>
        <v>0.34077974247698456</v>
      </c>
      <c r="AG16" s="162"/>
      <c r="AH16" t="s">
        <v>84</v>
      </c>
      <c r="AI16" t="s">
        <v>14</v>
      </c>
      <c r="AJ16" s="10"/>
    </row>
    <row r="17" spans="1:36">
      <c r="A17" s="136"/>
      <c r="B17" s="32"/>
      <c r="C17" s="32"/>
      <c r="D17" s="47"/>
      <c r="E17" s="7">
        <f>+G17-Adjustments!G17</f>
        <v>0</v>
      </c>
      <c r="F17" s="7"/>
      <c r="G17" s="7"/>
      <c r="H17" s="7"/>
      <c r="I17" s="7"/>
      <c r="J17" s="7">
        <f>+I17-'ROR-Model'!I17</f>
        <v>0</v>
      </c>
      <c r="K17" s="7"/>
      <c r="L17" s="7"/>
      <c r="M17" s="7"/>
      <c r="N17" s="7"/>
      <c r="O17" s="120"/>
      <c r="P17" s="126"/>
      <c r="Q17" s="7"/>
      <c r="R17" s="7"/>
      <c r="S17" s="126"/>
      <c r="T17" s="7"/>
      <c r="U17" s="7"/>
      <c r="V17" s="124"/>
      <c r="W17" s="7"/>
      <c r="X17" s="139"/>
      <c r="Y17" s="3">
        <f t="shared" si="0"/>
        <v>8</v>
      </c>
      <c r="AA17" s="7"/>
      <c r="AC17" s="7" t="str">
        <f t="shared" ref="AC17:AC80" si="1">IF(ABS(AA17)&gt;0,W17-AA17,"")</f>
        <v/>
      </c>
      <c r="AE17" s="42" t="str">
        <f>IF(ABS(AA17)&gt;0,AC17/AA17,"")</f>
        <v/>
      </c>
      <c r="AG17" s="162"/>
      <c r="AJ17" s="10"/>
    </row>
    <row r="18" spans="1:36">
      <c r="A18" s="136"/>
      <c r="B18" s="32"/>
      <c r="C18" s="32" t="s">
        <v>15</v>
      </c>
      <c r="D18" s="47"/>
      <c r="E18" s="7">
        <f>+G18-Adjustments!G18</f>
        <v>0</v>
      </c>
      <c r="F18" s="7">
        <f>Revenue!$F$17</f>
        <v>97822065.770000011</v>
      </c>
      <c r="G18" s="7">
        <f>+Adjustments!V18</f>
        <v>0</v>
      </c>
      <c r="H18" s="7"/>
      <c r="I18" s="7">
        <f>SUM($F$18:$H$18)</f>
        <v>97822065.770000011</v>
      </c>
      <c r="J18" s="7">
        <f>+I18-'ROR-Model'!I18</f>
        <v>0</v>
      </c>
      <c r="K18" s="7"/>
      <c r="L18" s="7" t="s">
        <v>12</v>
      </c>
      <c r="M18" s="7">
        <f>VLOOKUP($L18,$L$2:$N$7,2,FALSE)*I18</f>
        <v>97822065.770000011</v>
      </c>
      <c r="N18" s="7">
        <f>VLOOKUP($L18,$L$2:$N$7,3,FALSE)*I18</f>
        <v>0</v>
      </c>
      <c r="O18" s="120"/>
      <c r="P18" s="126" t="s">
        <v>509</v>
      </c>
      <c r="Q18" s="7">
        <f>IF(P18="G",M18,IF(P18="PT",0,ERR))</f>
        <v>0</v>
      </c>
      <c r="R18" s="7">
        <f>IF(P18="PT",M18,IF(P18="G",0,ERR))</f>
        <v>97822065.770000011</v>
      </c>
      <c r="S18" s="126" t="s">
        <v>509</v>
      </c>
      <c r="T18" s="7">
        <f>IF(S18="G",N18,IF(S18="PT",0,ERR))</f>
        <v>0</v>
      </c>
      <c r="U18" s="7">
        <f>IF(S18="PT",N18,IF(S18="G",0,ERR))</f>
        <v>0</v>
      </c>
      <c r="V18" s="124"/>
      <c r="W18" s="7">
        <f>HLOOKUP($W$9,'ROR-Model'!$Q$10:$U$1273,Y18)</f>
        <v>0</v>
      </c>
      <c r="X18" s="139"/>
      <c r="Y18" s="3">
        <f t="shared" si="0"/>
        <v>9</v>
      </c>
      <c r="AA18" s="7">
        <v>0</v>
      </c>
      <c r="AC18" s="7" t="str">
        <f t="shared" si="1"/>
        <v/>
      </c>
      <c r="AE18" s="42" t="str">
        <f t="shared" ref="AE18:AE81" si="2">IF(ABS(AA18)&gt;0,AC18/AA18,"")</f>
        <v/>
      </c>
      <c r="AG18" s="162"/>
      <c r="AI18" t="s">
        <v>15</v>
      </c>
      <c r="AJ18" s="10"/>
    </row>
    <row r="19" spans="1:36">
      <c r="A19" s="136"/>
      <c r="B19" s="32"/>
      <c r="C19" s="32"/>
      <c r="D19" s="47"/>
      <c r="E19" s="7">
        <f>+G19-Adjustments!G19</f>
        <v>0</v>
      </c>
      <c r="F19" s="7"/>
      <c r="G19" s="7"/>
      <c r="H19" s="7"/>
      <c r="I19" s="7"/>
      <c r="J19" s="7">
        <f>+I19-'ROR-Model'!I19</f>
        <v>0</v>
      </c>
      <c r="K19" s="7"/>
      <c r="L19" s="7"/>
      <c r="M19" s="7"/>
      <c r="N19" s="7"/>
      <c r="O19" s="120"/>
      <c r="P19" s="126"/>
      <c r="Q19" s="7"/>
      <c r="R19" s="7"/>
      <c r="S19" s="126"/>
      <c r="T19" s="7"/>
      <c r="U19" s="7"/>
      <c r="V19" s="124"/>
      <c r="W19" s="7"/>
      <c r="X19" s="139"/>
      <c r="Y19" s="3">
        <f t="shared" si="0"/>
        <v>10</v>
      </c>
      <c r="AA19" s="7"/>
      <c r="AC19" s="7" t="str">
        <f t="shared" si="1"/>
        <v/>
      </c>
      <c r="AE19" s="42" t="str">
        <f t="shared" si="2"/>
        <v/>
      </c>
      <c r="AG19" s="162"/>
      <c r="AJ19" s="10"/>
    </row>
    <row r="20" spans="1:36">
      <c r="A20" s="136"/>
      <c r="B20" s="32"/>
      <c r="C20" s="32" t="s">
        <v>16</v>
      </c>
      <c r="D20" s="47"/>
      <c r="E20" s="7">
        <f>+G20-Adjustments!G20</f>
        <v>0</v>
      </c>
      <c r="F20" s="7">
        <f>Revenue!$F$19</f>
        <v>896100630.36999989</v>
      </c>
      <c r="G20" s="7">
        <f>+Adjustments!V20</f>
        <v>0</v>
      </c>
      <c r="H20" s="7"/>
      <c r="I20" s="7">
        <f>SUM($F$20:$H$20)</f>
        <v>896100630.36999989</v>
      </c>
      <c r="J20" s="7">
        <f>+I20-'ROR-Model'!I20</f>
        <v>0</v>
      </c>
      <c r="K20" s="7"/>
      <c r="L20" s="7" t="s">
        <v>12</v>
      </c>
      <c r="M20" s="7">
        <f>VLOOKUP($L20,$L$2:$N$7,2,FALSE)*I20</f>
        <v>896100630.36999989</v>
      </c>
      <c r="N20" s="7">
        <f>VLOOKUP($L20,$L$2:$N$7,3,FALSE)*I20</f>
        <v>0</v>
      </c>
      <c r="O20" s="120"/>
      <c r="P20" s="126" t="s">
        <v>509</v>
      </c>
      <c r="Q20" s="7">
        <f>IF(P20="G",M20,IF(P20="PT",0,ERR))</f>
        <v>0</v>
      </c>
      <c r="R20" s="7">
        <f>IF(P20="PT",M20,IF(P20="G",0,ERR))</f>
        <v>896100630.36999989</v>
      </c>
      <c r="S20" s="126" t="s">
        <v>509</v>
      </c>
      <c r="T20" s="7">
        <f>IF(S20="G",N20,IF(S20="PT",0,ERR))</f>
        <v>0</v>
      </c>
      <c r="U20" s="7">
        <f>IF(S20="PT",N20,IF(S20="G",0,ERR))</f>
        <v>0</v>
      </c>
      <c r="V20" s="124"/>
      <c r="W20" s="7">
        <f>HLOOKUP($W$9,'ROR-Model'!$Q$10:$U$1273,Y20)</f>
        <v>0</v>
      </c>
      <c r="X20" s="139"/>
      <c r="Y20" s="3">
        <f t="shared" si="0"/>
        <v>11</v>
      </c>
      <c r="AA20" s="7">
        <v>0</v>
      </c>
      <c r="AC20" s="7" t="str">
        <f t="shared" si="1"/>
        <v/>
      </c>
      <c r="AE20" s="42" t="str">
        <f t="shared" si="2"/>
        <v/>
      </c>
      <c r="AG20" s="162"/>
      <c r="AI20" t="s">
        <v>16</v>
      </c>
      <c r="AJ20" s="10"/>
    </row>
    <row r="21" spans="1:36">
      <c r="A21" s="136"/>
      <c r="B21" s="32"/>
      <c r="C21" s="32" t="s">
        <v>17</v>
      </c>
      <c r="D21" s="47"/>
      <c r="E21" s="140">
        <f>+G21-Adjustments!G21</f>
        <v>0</v>
      </c>
      <c r="F21" s="140">
        <f>SUM(F16:F20)</f>
        <v>1411308567.3099999</v>
      </c>
      <c r="G21" s="140">
        <f>SUM(G16:G20)</f>
        <v>0</v>
      </c>
      <c r="H21" s="140">
        <f>SUM(H16:H20)</f>
        <v>0</v>
      </c>
      <c r="I21" s="140">
        <f>SUM(I16:I20)</f>
        <v>1411308567.3099999</v>
      </c>
      <c r="J21" s="7">
        <f>+I21-'ROR-Model'!I21</f>
        <v>0</v>
      </c>
      <c r="K21" s="7"/>
      <c r="L21" s="140"/>
      <c r="M21" s="140">
        <f>SUM(M16:M20)</f>
        <v>1411308567.3099999</v>
      </c>
      <c r="N21" s="140">
        <f>SUM(N16:N20)</f>
        <v>0</v>
      </c>
      <c r="O21" s="120"/>
      <c r="P21" s="201"/>
      <c r="Q21" s="140">
        <f>SUM(Q16:Q20)</f>
        <v>417385871.17000008</v>
      </c>
      <c r="R21" s="140">
        <f>SUM(R16:R20)</f>
        <v>993922696.13999987</v>
      </c>
      <c r="S21" s="201"/>
      <c r="T21" s="140">
        <f>SUM(T16:T20)</f>
        <v>0</v>
      </c>
      <c r="U21" s="140">
        <f>SUM(U16:U20)</f>
        <v>0</v>
      </c>
      <c r="V21" s="124"/>
      <c r="W21" s="140">
        <f>HLOOKUP($W$9,'ROR-Model'!$Q$10:$U$1273,Y21)</f>
        <v>417385871.17000008</v>
      </c>
      <c r="X21" s="139"/>
      <c r="Y21" s="3">
        <f t="shared" si="0"/>
        <v>12</v>
      </c>
      <c r="AA21" s="140">
        <v>311300848.26528829</v>
      </c>
      <c r="AC21" s="140">
        <f t="shared" si="1"/>
        <v>106085022.90471178</v>
      </c>
      <c r="AE21" s="42">
        <f t="shared" si="2"/>
        <v>0.34077974247698456</v>
      </c>
      <c r="AG21" s="162"/>
      <c r="AI21" t="s">
        <v>17</v>
      </c>
      <c r="AJ21" s="10"/>
    </row>
    <row r="22" spans="1:36">
      <c r="A22" s="136"/>
      <c r="B22" s="32"/>
      <c r="C22" s="32"/>
      <c r="D22" s="47"/>
      <c r="E22" s="7">
        <f>+G22-Adjustments!G22</f>
        <v>0</v>
      </c>
      <c r="F22" s="7"/>
      <c r="G22" s="7"/>
      <c r="H22" s="7"/>
      <c r="I22" s="7"/>
      <c r="J22" s="7">
        <f>+I22-'ROR-Model'!I22</f>
        <v>0</v>
      </c>
      <c r="K22" s="7"/>
      <c r="L22" s="7"/>
      <c r="M22" s="7"/>
      <c r="N22" s="7"/>
      <c r="O22" s="120"/>
      <c r="P22" s="126"/>
      <c r="Q22" s="7"/>
      <c r="R22" s="7"/>
      <c r="S22" s="126"/>
      <c r="T22" s="7"/>
      <c r="U22" s="7"/>
      <c r="V22" s="124"/>
      <c r="W22" s="7"/>
      <c r="X22" s="139"/>
      <c r="Y22" s="3">
        <f t="shared" si="0"/>
        <v>13</v>
      </c>
      <c r="AA22" s="7"/>
      <c r="AC22" s="7" t="str">
        <f t="shared" si="1"/>
        <v/>
      </c>
      <c r="AE22" s="42" t="str">
        <f t="shared" si="2"/>
        <v/>
      </c>
      <c r="AG22" s="162"/>
      <c r="AJ22" s="10"/>
    </row>
    <row r="23" spans="1:36">
      <c r="A23" s="136"/>
      <c r="B23" s="32"/>
      <c r="C23" s="32" t="s">
        <v>18</v>
      </c>
      <c r="D23" s="47"/>
      <c r="E23" s="7">
        <f>+G23-Adjustments!G23</f>
        <v>0</v>
      </c>
      <c r="F23" s="7">
        <f>Revenue!$F$22</f>
        <v>121459397.234</v>
      </c>
      <c r="G23" s="7">
        <f>+Adjustments!V23</f>
        <v>0</v>
      </c>
      <c r="H23" s="7"/>
      <c r="I23" s="520">
        <f>SUM($F$23:$H$23)</f>
        <v>121459397.234</v>
      </c>
      <c r="J23" s="7">
        <f>+I23-'ROR-Model'!I23</f>
        <v>0</v>
      </c>
      <c r="K23" s="7"/>
      <c r="L23" s="7" t="s">
        <v>12</v>
      </c>
      <c r="M23" s="7">
        <f>VLOOKUP($L23,$L$2:$N$7,2,FALSE)*I23</f>
        <v>121459397.234</v>
      </c>
      <c r="N23" s="7">
        <f>VLOOKUP($L23,$L$2:$N$7,3,FALSE)*I23</f>
        <v>0</v>
      </c>
      <c r="O23" s="120"/>
      <c r="P23" s="126" t="s">
        <v>510</v>
      </c>
      <c r="Q23" s="7">
        <f>IF(P23="G",M23,IF(P23="PT",0,ERR))</f>
        <v>121459397.234</v>
      </c>
      <c r="R23" s="7">
        <f>IF(P23="PT",M23,IF(P23="G",0,ERR))</f>
        <v>0</v>
      </c>
      <c r="S23" s="126" t="s">
        <v>510</v>
      </c>
      <c r="T23" s="7">
        <f>IF(S23="G",N23,IF(S23="PT",0,ERR))</f>
        <v>0</v>
      </c>
      <c r="U23" s="7">
        <f>IF(S23="PT",N23,IF(S23="G",0,ERR))</f>
        <v>0</v>
      </c>
      <c r="V23" s="124"/>
      <c r="W23" s="7">
        <f>HLOOKUP($W$9,'ROR-Model'!$Q$10:$U$1273,Y23)</f>
        <v>121459397.234</v>
      </c>
      <c r="X23" s="139"/>
      <c r="Y23" s="3">
        <f t="shared" si="0"/>
        <v>14</v>
      </c>
      <c r="AA23" s="7">
        <v>97853908.929999977</v>
      </c>
      <c r="AC23" s="7">
        <f t="shared" si="1"/>
        <v>23605488.30400002</v>
      </c>
      <c r="AE23" s="42">
        <f t="shared" si="2"/>
        <v>0.24123194016588811</v>
      </c>
      <c r="AG23" s="162"/>
      <c r="AI23" t="s">
        <v>18</v>
      </c>
      <c r="AJ23" s="10"/>
    </row>
    <row r="24" spans="1:36">
      <c r="A24" s="136"/>
      <c r="B24" s="32"/>
      <c r="C24" s="32"/>
      <c r="D24" s="47"/>
      <c r="E24" s="7">
        <f>+G24-Adjustments!G24</f>
        <v>0</v>
      </c>
      <c r="F24" s="7"/>
      <c r="G24" s="7"/>
      <c r="H24" s="7"/>
      <c r="I24" s="7"/>
      <c r="J24" s="7">
        <f>+I24-'ROR-Model'!I24</f>
        <v>0</v>
      </c>
      <c r="K24" s="7"/>
      <c r="L24" s="7"/>
      <c r="M24" s="7"/>
      <c r="N24" s="7"/>
      <c r="O24" s="120"/>
      <c r="P24" s="126"/>
      <c r="Q24" s="7"/>
      <c r="R24" s="7"/>
      <c r="S24" s="126"/>
      <c r="T24" s="7"/>
      <c r="U24" s="7"/>
      <c r="V24" s="124"/>
      <c r="W24" s="7"/>
      <c r="X24" s="139"/>
      <c r="Y24" s="3">
        <f t="shared" si="0"/>
        <v>15</v>
      </c>
      <c r="AA24" s="7"/>
      <c r="AC24" s="7" t="str">
        <f t="shared" si="1"/>
        <v/>
      </c>
      <c r="AE24" s="42" t="str">
        <f t="shared" si="2"/>
        <v/>
      </c>
      <c r="AG24" s="162"/>
      <c r="AJ24" s="10"/>
    </row>
    <row r="25" spans="1:36">
      <c r="A25" s="136"/>
      <c r="B25" s="32" t="s">
        <v>85</v>
      </c>
      <c r="C25" s="32" t="s">
        <v>14</v>
      </c>
      <c r="D25" s="47"/>
      <c r="E25" s="7">
        <f>+G25-Adjustments!G25</f>
        <v>0</v>
      </c>
      <c r="F25" s="7">
        <f>Revenue!$F$24</f>
        <v>0</v>
      </c>
      <c r="G25" s="7">
        <f>+Adjustments!V25</f>
        <v>0</v>
      </c>
      <c r="H25" s="7"/>
      <c r="I25" s="7">
        <f>SUM($F$25:$H$25)</f>
        <v>0</v>
      </c>
      <c r="J25" s="7">
        <f>+I25-'ROR-Model'!I25</f>
        <v>0</v>
      </c>
      <c r="K25" s="7"/>
      <c r="L25" s="7" t="s">
        <v>12</v>
      </c>
      <c r="M25" s="7">
        <f>VLOOKUP($L25,$L$2:$N$7,2,FALSE)*I25</f>
        <v>0</v>
      </c>
      <c r="N25" s="7">
        <f>VLOOKUP($L25,$L$2:$N$7,3,FALSE)*I25</f>
        <v>0</v>
      </c>
      <c r="O25" s="120"/>
      <c r="P25" s="126" t="s">
        <v>510</v>
      </c>
      <c r="Q25" s="7">
        <f>IF(P25="G",M25,IF(P25="PT",0,ERR))</f>
        <v>0</v>
      </c>
      <c r="R25" s="7">
        <f>IF(P25="PT",M25,IF(P25="G",0,ERR))</f>
        <v>0</v>
      </c>
      <c r="S25" s="126" t="s">
        <v>510</v>
      </c>
      <c r="T25" s="7">
        <f>IF(S25="G",N25,IF(S25="PT",0,ERR))</f>
        <v>0</v>
      </c>
      <c r="U25" s="7">
        <f>IF(S25="PT",N25,IF(S25="G",0,ERR))</f>
        <v>0</v>
      </c>
      <c r="V25" s="124"/>
      <c r="W25" s="7">
        <f>HLOOKUP($W$9,'ROR-Model'!$Q$10:$U$1273,Y25)</f>
        <v>0</v>
      </c>
      <c r="X25" s="139"/>
      <c r="Y25" s="3">
        <f t="shared" si="0"/>
        <v>16</v>
      </c>
      <c r="AA25" s="7">
        <v>0</v>
      </c>
      <c r="AC25" s="7" t="str">
        <f t="shared" si="1"/>
        <v/>
      </c>
      <c r="AE25" s="42" t="str">
        <f t="shared" si="2"/>
        <v/>
      </c>
      <c r="AG25" s="162"/>
      <c r="AH25" t="s">
        <v>85</v>
      </c>
      <c r="AI25" t="s">
        <v>14</v>
      </c>
      <c r="AJ25" s="10"/>
    </row>
    <row r="26" spans="1:36">
      <c r="A26" s="136"/>
      <c r="B26" s="32"/>
      <c r="C26" s="32"/>
      <c r="D26" s="47"/>
      <c r="E26" s="7">
        <f>+G26-Adjustments!G26</f>
        <v>0</v>
      </c>
      <c r="F26" s="7"/>
      <c r="G26" s="7"/>
      <c r="H26" s="7"/>
      <c r="I26" s="7"/>
      <c r="J26" s="7">
        <f>+I26-'ROR-Model'!I26</f>
        <v>0</v>
      </c>
      <c r="K26" s="7"/>
      <c r="L26" s="7"/>
      <c r="M26" s="7"/>
      <c r="N26" s="7"/>
      <c r="O26" s="120"/>
      <c r="P26" s="126"/>
      <c r="Q26" s="7"/>
      <c r="R26" s="7"/>
      <c r="S26" s="126"/>
      <c r="T26" s="7"/>
      <c r="U26" s="7"/>
      <c r="V26" s="124"/>
      <c r="W26" s="7"/>
      <c r="X26" s="139"/>
      <c r="Y26" s="3">
        <f t="shared" si="0"/>
        <v>17</v>
      </c>
      <c r="AA26" s="7"/>
      <c r="AC26" s="7" t="str">
        <f t="shared" si="1"/>
        <v/>
      </c>
      <c r="AE26" s="42" t="str">
        <f t="shared" si="2"/>
        <v/>
      </c>
      <c r="AG26" s="162"/>
      <c r="AJ26" s="10"/>
    </row>
    <row r="27" spans="1:36">
      <c r="A27" s="136"/>
      <c r="B27" s="32"/>
      <c r="C27" s="32" t="s">
        <v>15</v>
      </c>
      <c r="D27" s="47"/>
      <c r="E27" s="7">
        <f>+G27-Adjustments!G27</f>
        <v>0</v>
      </c>
      <c r="F27" s="7">
        <f>Revenue!$F$26</f>
        <v>0</v>
      </c>
      <c r="G27" s="7">
        <f>+Adjustments!V27</f>
        <v>0</v>
      </c>
      <c r="H27" s="7"/>
      <c r="I27" s="7">
        <f>SUM($F$27:$H$27)</f>
        <v>0</v>
      </c>
      <c r="J27" s="7">
        <f>+I27-'ROR-Model'!I27</f>
        <v>0</v>
      </c>
      <c r="K27" s="7"/>
      <c r="L27" s="7" t="s">
        <v>12</v>
      </c>
      <c r="M27" s="7">
        <f>VLOOKUP($L27,$L$2:$N$7,2,FALSE)*I27</f>
        <v>0</v>
      </c>
      <c r="N27" s="7">
        <f>VLOOKUP($L27,$L$2:$N$7,3,FALSE)*I27</f>
        <v>0</v>
      </c>
      <c r="O27" s="120"/>
      <c r="P27" s="126" t="s">
        <v>509</v>
      </c>
      <c r="Q27" s="7">
        <f>IF(P27="G",M27,IF(P27="PT",0,ERR))</f>
        <v>0</v>
      </c>
      <c r="R27" s="7">
        <f>IF(P27="PT",M27,IF(P27="G",0,ERR))</f>
        <v>0</v>
      </c>
      <c r="S27" s="126" t="s">
        <v>509</v>
      </c>
      <c r="T27" s="7">
        <f>IF(S27="G",N27,IF(S27="PT",0,ERR))</f>
        <v>0</v>
      </c>
      <c r="U27" s="7">
        <f>IF(S27="PT",N27,IF(S27="G",0,ERR))</f>
        <v>0</v>
      </c>
      <c r="V27" s="124"/>
      <c r="W27" s="7">
        <f>HLOOKUP($W$9,'ROR-Model'!$Q$10:$U$1273,Y27)</f>
        <v>0</v>
      </c>
      <c r="X27" s="139"/>
      <c r="Y27" s="3">
        <f t="shared" si="0"/>
        <v>18</v>
      </c>
      <c r="AA27" s="7">
        <v>0</v>
      </c>
      <c r="AC27" s="7" t="str">
        <f t="shared" si="1"/>
        <v/>
      </c>
      <c r="AE27" s="42" t="str">
        <f t="shared" si="2"/>
        <v/>
      </c>
      <c r="AG27" s="162"/>
      <c r="AI27" t="s">
        <v>15</v>
      </c>
      <c r="AJ27" s="10"/>
    </row>
    <row r="28" spans="1:36">
      <c r="A28" s="136"/>
      <c r="B28" s="32"/>
      <c r="C28" s="32"/>
      <c r="D28" s="47"/>
      <c r="E28" s="7">
        <f>+G28-Adjustments!G28</f>
        <v>0</v>
      </c>
      <c r="F28" s="7"/>
      <c r="G28" s="7"/>
      <c r="H28" s="7"/>
      <c r="I28" s="7"/>
      <c r="J28" s="7">
        <f>+I28-'ROR-Model'!I28</f>
        <v>0</v>
      </c>
      <c r="K28" s="7"/>
      <c r="L28" s="7"/>
      <c r="M28" s="7"/>
      <c r="N28" s="7"/>
      <c r="O28" s="120"/>
      <c r="P28" s="126"/>
      <c r="Q28" s="7"/>
      <c r="R28" s="7"/>
      <c r="S28" s="126"/>
      <c r="T28" s="7"/>
      <c r="U28" s="7"/>
      <c r="V28" s="124"/>
      <c r="W28" s="7"/>
      <c r="X28" s="139"/>
      <c r="Y28" s="3">
        <f t="shared" si="0"/>
        <v>19</v>
      </c>
      <c r="AA28" s="7"/>
      <c r="AC28" s="7" t="str">
        <f t="shared" si="1"/>
        <v/>
      </c>
      <c r="AE28" s="42" t="str">
        <f t="shared" si="2"/>
        <v/>
      </c>
      <c r="AG28" s="162"/>
      <c r="AJ28" s="10"/>
    </row>
    <row r="29" spans="1:36">
      <c r="A29" s="136"/>
      <c r="B29" s="32"/>
      <c r="C29" s="32" t="s">
        <v>16</v>
      </c>
      <c r="D29" s="47"/>
      <c r="E29" s="7">
        <f>+G29-Adjustments!G29</f>
        <v>0</v>
      </c>
      <c r="F29" s="7">
        <f>Revenue!$F$28</f>
        <v>0</v>
      </c>
      <c r="G29" s="7">
        <f>+Adjustments!V29</f>
        <v>0</v>
      </c>
      <c r="H29" s="7"/>
      <c r="I29" s="7">
        <f>SUM($F$29:$H$29)</f>
        <v>0</v>
      </c>
      <c r="J29" s="7">
        <f>+I29-'ROR-Model'!I29</f>
        <v>0</v>
      </c>
      <c r="K29" s="7"/>
      <c r="L29" s="7" t="s">
        <v>12</v>
      </c>
      <c r="M29" s="7">
        <f>VLOOKUP($L29,$L$2:$N$7,2,FALSE)*I29</f>
        <v>0</v>
      </c>
      <c r="N29" s="7">
        <f>VLOOKUP($L29,$L$2:$N$7,3,FALSE)*I29</f>
        <v>0</v>
      </c>
      <c r="O29" s="120"/>
      <c r="P29" s="126" t="s">
        <v>509</v>
      </c>
      <c r="Q29" s="7">
        <f>IF(P29="G",M29,IF(P29="PT",0,ERR))</f>
        <v>0</v>
      </c>
      <c r="R29" s="7">
        <f>IF(P29="PT",M29,IF(P29="G",0,ERR))</f>
        <v>0</v>
      </c>
      <c r="S29" s="126" t="s">
        <v>509</v>
      </c>
      <c r="T29" s="7">
        <f>IF(S29="G",N29,IF(S29="PT",0,ERR))</f>
        <v>0</v>
      </c>
      <c r="U29" s="7">
        <f>IF(S29="PT",N29,IF(S29="G",0,ERR))</f>
        <v>0</v>
      </c>
      <c r="V29" s="124"/>
      <c r="W29" s="7">
        <f>HLOOKUP($W$9,'ROR-Model'!$Q$10:$U$1273,Y29)</f>
        <v>0</v>
      </c>
      <c r="X29" s="139"/>
      <c r="Y29" s="3">
        <f t="shared" si="0"/>
        <v>20</v>
      </c>
      <c r="AA29" s="7">
        <v>0</v>
      </c>
      <c r="AC29" s="7" t="str">
        <f t="shared" si="1"/>
        <v/>
      </c>
      <c r="AE29" s="42" t="str">
        <f t="shared" si="2"/>
        <v/>
      </c>
      <c r="AG29" s="162"/>
      <c r="AI29" t="s">
        <v>16</v>
      </c>
      <c r="AJ29" s="10"/>
    </row>
    <row r="30" spans="1:36">
      <c r="A30" s="136"/>
      <c r="B30" s="32"/>
      <c r="C30" s="32" t="s">
        <v>17</v>
      </c>
      <c r="D30" s="47"/>
      <c r="E30" s="140">
        <f>+G30-Adjustments!G30</f>
        <v>0</v>
      </c>
      <c r="F30" s="140">
        <f>SUM(F25:F29)</f>
        <v>0</v>
      </c>
      <c r="G30" s="140">
        <f>SUM(G25:G29)</f>
        <v>0</v>
      </c>
      <c r="H30" s="140">
        <f>SUM(H25:H29)</f>
        <v>0</v>
      </c>
      <c r="I30" s="140">
        <f>SUM(I25:I29)</f>
        <v>0</v>
      </c>
      <c r="J30" s="7">
        <f>+I30-'ROR-Model'!I30</f>
        <v>0</v>
      </c>
      <c r="K30" s="7"/>
      <c r="L30" s="140"/>
      <c r="M30" s="140">
        <f>SUM(M25:M29)</f>
        <v>0</v>
      </c>
      <c r="N30" s="140">
        <f>SUM(N25:N29)</f>
        <v>0</v>
      </c>
      <c r="O30" s="120"/>
      <c r="P30" s="201"/>
      <c r="Q30" s="140">
        <f>SUM(Q25:Q29)</f>
        <v>0</v>
      </c>
      <c r="R30" s="140">
        <f>SUM(R25:R29)</f>
        <v>0</v>
      </c>
      <c r="S30" s="201"/>
      <c r="T30" s="140">
        <f>SUM(T25:T29)</f>
        <v>0</v>
      </c>
      <c r="U30" s="140">
        <f>SUM(U25:U29)</f>
        <v>0</v>
      </c>
      <c r="V30" s="124"/>
      <c r="W30" s="140">
        <f>HLOOKUP($W$9,'ROR-Model'!$Q$10:$U$1273,Y30)</f>
        <v>0</v>
      </c>
      <c r="X30" s="139"/>
      <c r="Y30" s="3">
        <f t="shared" si="0"/>
        <v>21</v>
      </c>
      <c r="AA30" s="140">
        <v>0</v>
      </c>
      <c r="AC30" s="140" t="str">
        <f t="shared" si="1"/>
        <v/>
      </c>
      <c r="AE30" s="42" t="str">
        <f t="shared" si="2"/>
        <v/>
      </c>
      <c r="AG30" s="162"/>
      <c r="AI30" t="s">
        <v>17</v>
      </c>
      <c r="AJ30" s="10"/>
    </row>
    <row r="31" spans="1:36">
      <c r="A31" s="136"/>
      <c r="B31" s="32"/>
      <c r="C31" s="32"/>
      <c r="D31" s="47"/>
      <c r="E31" s="7">
        <f>+G31-Adjustments!G31</f>
        <v>0</v>
      </c>
      <c r="F31" s="7"/>
      <c r="G31" s="7"/>
      <c r="H31" s="7"/>
      <c r="I31" s="7"/>
      <c r="J31" s="7">
        <f>+I31-'ROR-Model'!I31</f>
        <v>0</v>
      </c>
      <c r="K31" s="7"/>
      <c r="L31" s="7"/>
      <c r="M31" s="7"/>
      <c r="N31" s="7"/>
      <c r="O31" s="120"/>
      <c r="P31" s="126"/>
      <c r="Q31" s="7"/>
      <c r="R31" s="7"/>
      <c r="S31" s="126"/>
      <c r="T31" s="7"/>
      <c r="U31" s="7"/>
      <c r="V31" s="124"/>
      <c r="W31" s="7"/>
      <c r="X31" s="139"/>
      <c r="Y31" s="3">
        <f t="shared" si="0"/>
        <v>22</v>
      </c>
      <c r="AA31" s="7"/>
      <c r="AC31" s="7" t="str">
        <f t="shared" si="1"/>
        <v/>
      </c>
      <c r="AE31" s="42" t="str">
        <f t="shared" si="2"/>
        <v/>
      </c>
      <c r="AG31" s="162"/>
      <c r="AJ31" s="10"/>
    </row>
    <row r="32" spans="1:36">
      <c r="A32" s="136"/>
      <c r="B32" s="32"/>
      <c r="C32" s="32" t="s">
        <v>18</v>
      </c>
      <c r="D32" s="47"/>
      <c r="E32" s="7">
        <f>+G32-Adjustments!G32</f>
        <v>0</v>
      </c>
      <c r="F32" s="7">
        <f>Revenue!$F$31</f>
        <v>0</v>
      </c>
      <c r="G32" s="7">
        <f>+Adjustments!V32</f>
        <v>0</v>
      </c>
      <c r="H32" s="7"/>
      <c r="I32" s="520">
        <f>SUM(F32:H32)</f>
        <v>0</v>
      </c>
      <c r="J32" s="7">
        <f>+I32-'ROR-Model'!I32</f>
        <v>0</v>
      </c>
      <c r="K32" s="7"/>
      <c r="L32" s="7" t="s">
        <v>12</v>
      </c>
      <c r="M32" s="7">
        <f>VLOOKUP($L32,$L$2:$N$7,2,FALSE)*I32</f>
        <v>0</v>
      </c>
      <c r="N32" s="7">
        <f>VLOOKUP($L32,$L$2:$N$7,3,FALSE)*I32</f>
        <v>0</v>
      </c>
      <c r="O32" s="120"/>
      <c r="P32" s="126" t="s">
        <v>510</v>
      </c>
      <c r="Q32" s="7">
        <f>IF(P32="G",M32,IF(P32="PT",0,ERR))</f>
        <v>0</v>
      </c>
      <c r="R32" s="7">
        <f>IF(P32="PT",M32,IF(P32="G",0,ERR))</f>
        <v>0</v>
      </c>
      <c r="S32" s="126" t="s">
        <v>510</v>
      </c>
      <c r="T32" s="7">
        <f>IF(S32="G",N32,IF(S32="PT",0,ERR))</f>
        <v>0</v>
      </c>
      <c r="U32" s="7">
        <f>IF(S32="PT",N32,IF(S32="G",0,ERR))</f>
        <v>0</v>
      </c>
      <c r="V32" s="124"/>
      <c r="W32" s="7">
        <f>HLOOKUP($W$9,'ROR-Model'!$Q$10:$U$1273,Y32)</f>
        <v>0</v>
      </c>
      <c r="X32" s="139"/>
      <c r="Y32" s="3">
        <f t="shared" si="0"/>
        <v>23</v>
      </c>
      <c r="AA32" s="7">
        <v>0</v>
      </c>
      <c r="AC32" s="7" t="str">
        <f t="shared" si="1"/>
        <v/>
      </c>
      <c r="AE32" s="42" t="str">
        <f t="shared" si="2"/>
        <v/>
      </c>
      <c r="AG32" s="162"/>
      <c r="AI32" t="s">
        <v>18</v>
      </c>
      <c r="AJ32" s="10"/>
    </row>
    <row r="33" spans="1:36">
      <c r="A33" s="136"/>
      <c r="B33" s="58"/>
      <c r="C33" s="32"/>
      <c r="E33">
        <f>+G33-Adjustments!G33</f>
        <v>0</v>
      </c>
      <c r="J33" s="7">
        <f>+I33-'ROR-Model'!I33</f>
        <v>0</v>
      </c>
      <c r="K33" s="7"/>
      <c r="N33" s="7"/>
      <c r="O33" s="120"/>
      <c r="P33" s="126"/>
      <c r="U33" s="7"/>
      <c r="V33" s="124"/>
      <c r="W33" s="7"/>
      <c r="X33" s="139"/>
      <c r="Y33" s="3">
        <f t="shared" si="0"/>
        <v>24</v>
      </c>
      <c r="AA33" s="7"/>
      <c r="AC33" s="7" t="str">
        <f t="shared" si="1"/>
        <v/>
      </c>
      <c r="AE33" s="42" t="str">
        <f t="shared" si="2"/>
        <v/>
      </c>
      <c r="AG33" s="162"/>
      <c r="AH33" s="1"/>
    </row>
    <row r="34" spans="1:36">
      <c r="A34" s="136"/>
      <c r="B34" s="32" t="s">
        <v>744</v>
      </c>
      <c r="C34" s="32" t="s">
        <v>14</v>
      </c>
      <c r="D34" s="47"/>
      <c r="E34" s="7">
        <f>+G34-Adjustments!G34</f>
        <v>0</v>
      </c>
      <c r="F34" s="7">
        <f>Revenue!$F$33</f>
        <v>0</v>
      </c>
      <c r="G34" s="7">
        <f>+Adjustments!V34</f>
        <v>0</v>
      </c>
      <c r="H34" s="7"/>
      <c r="I34" s="7">
        <f>SUM(F34:H34)</f>
        <v>0</v>
      </c>
      <c r="J34" s="7">
        <f>+I34-'ROR-Model'!I34</f>
        <v>0</v>
      </c>
      <c r="K34" s="7"/>
      <c r="L34" s="7" t="s">
        <v>12</v>
      </c>
      <c r="M34" s="7">
        <f>VLOOKUP($L34,$L$2:$N$7,2,FALSE)*I34</f>
        <v>0</v>
      </c>
      <c r="N34" s="7">
        <f>VLOOKUP($L34,$L$2:$N$7,3,FALSE)*I34</f>
        <v>0</v>
      </c>
      <c r="O34" s="120"/>
      <c r="P34" s="126" t="s">
        <v>510</v>
      </c>
      <c r="Q34" s="7">
        <f>IF(P34="G",M34,IF(P34="PT",0,ERR))</f>
        <v>0</v>
      </c>
      <c r="R34" s="7">
        <f>IF(P34="PT",M34,IF(P34="G",0,ERR))</f>
        <v>0</v>
      </c>
      <c r="S34" s="126" t="s">
        <v>510</v>
      </c>
      <c r="T34" s="7">
        <f>IF(S34="G",N34,IF(S34="PT",0,ERR))</f>
        <v>0</v>
      </c>
      <c r="U34" s="7">
        <f>IF(S34="PT",N34,IF(S34="G",0,ERR))</f>
        <v>0</v>
      </c>
      <c r="V34" s="124"/>
      <c r="W34" s="7">
        <f>HLOOKUP($W$9,'ROR-Model'!$Q$10:$U$1273,Y34)</f>
        <v>0</v>
      </c>
      <c r="X34" s="139"/>
      <c r="Y34" s="3">
        <f t="shared" si="0"/>
        <v>25</v>
      </c>
      <c r="AA34" s="7">
        <v>0</v>
      </c>
      <c r="AC34" s="7" t="str">
        <f t="shared" si="1"/>
        <v/>
      </c>
      <c r="AE34" s="42" t="str">
        <f t="shared" si="2"/>
        <v/>
      </c>
      <c r="AG34" s="162"/>
      <c r="AH34" t="s">
        <v>744</v>
      </c>
      <c r="AI34" t="s">
        <v>14</v>
      </c>
      <c r="AJ34" s="10"/>
    </row>
    <row r="35" spans="1:36">
      <c r="A35" s="136"/>
      <c r="B35" s="32"/>
      <c r="C35" s="32"/>
      <c r="D35" s="47"/>
      <c r="E35" s="7">
        <f>+G35-Adjustments!G35</f>
        <v>0</v>
      </c>
      <c r="F35" s="7"/>
      <c r="G35" s="7"/>
      <c r="H35" s="7"/>
      <c r="I35" s="7"/>
      <c r="J35" s="7">
        <f>+I35-'ROR-Model'!I35</f>
        <v>0</v>
      </c>
      <c r="K35" s="7"/>
      <c r="L35" s="7"/>
      <c r="M35" s="7"/>
      <c r="N35" s="7"/>
      <c r="O35" s="120"/>
      <c r="P35" s="126"/>
      <c r="Q35" s="7"/>
      <c r="R35" s="7"/>
      <c r="S35" s="126"/>
      <c r="T35" s="7"/>
      <c r="U35" s="7"/>
      <c r="V35" s="124"/>
      <c r="W35" s="7"/>
      <c r="X35" s="139"/>
      <c r="Y35" s="3">
        <f t="shared" si="0"/>
        <v>26</v>
      </c>
      <c r="AA35" s="7"/>
      <c r="AC35" s="7" t="str">
        <f t="shared" si="1"/>
        <v/>
      </c>
      <c r="AE35" s="42" t="str">
        <f t="shared" si="2"/>
        <v/>
      </c>
      <c r="AG35" s="162"/>
      <c r="AJ35" s="10"/>
    </row>
    <row r="36" spans="1:36">
      <c r="A36" s="136"/>
      <c r="B36" s="32"/>
      <c r="C36" s="32" t="s">
        <v>15</v>
      </c>
      <c r="D36" s="47"/>
      <c r="E36" s="7">
        <f>+G36-Adjustments!G36</f>
        <v>0</v>
      </c>
      <c r="F36" s="7">
        <f>Revenue!$F$35</f>
        <v>0</v>
      </c>
      <c r="G36" s="7">
        <f>+Adjustments!V36</f>
        <v>0</v>
      </c>
      <c r="H36" s="7"/>
      <c r="I36" s="7">
        <f>SUM($F$36:$H$36)</f>
        <v>0</v>
      </c>
      <c r="J36" s="7">
        <f>+I36-'ROR-Model'!I36</f>
        <v>0</v>
      </c>
      <c r="K36" s="7"/>
      <c r="L36" s="7" t="s">
        <v>12</v>
      </c>
      <c r="M36" s="7">
        <f>VLOOKUP($L36,$L$2:$N$7,2,FALSE)*I36</f>
        <v>0</v>
      </c>
      <c r="N36" s="7">
        <f>VLOOKUP($L36,$L$2:$N$7,3,FALSE)*I36</f>
        <v>0</v>
      </c>
      <c r="O36" s="120"/>
      <c r="P36" s="126" t="s">
        <v>509</v>
      </c>
      <c r="Q36" s="7">
        <f>IF(P36="G",M36,IF(P36="PT",0,ERR))</f>
        <v>0</v>
      </c>
      <c r="R36" s="7">
        <f>IF(P36="PT",M36,IF(P36="G",0,ERR))</f>
        <v>0</v>
      </c>
      <c r="S36" s="126" t="s">
        <v>509</v>
      </c>
      <c r="T36" s="7">
        <f>IF(S36="G",N36,IF(S36="PT",0,ERR))</f>
        <v>0</v>
      </c>
      <c r="U36" s="7">
        <f>IF(S36="PT",N36,IF(S36="G",0,ERR))</f>
        <v>0</v>
      </c>
      <c r="V36" s="124"/>
      <c r="W36" s="7">
        <f>HLOOKUP($W$9,'ROR-Model'!$Q$10:$U$1273,Y36)</f>
        <v>0</v>
      </c>
      <c r="X36" s="139"/>
      <c r="Y36" s="3">
        <f t="shared" si="0"/>
        <v>27</v>
      </c>
      <c r="AA36" s="7">
        <v>0</v>
      </c>
      <c r="AC36" s="7" t="str">
        <f t="shared" si="1"/>
        <v/>
      </c>
      <c r="AE36" s="42" t="str">
        <f t="shared" si="2"/>
        <v/>
      </c>
      <c r="AG36" s="162"/>
      <c r="AI36" t="s">
        <v>15</v>
      </c>
      <c r="AJ36" s="10"/>
    </row>
    <row r="37" spans="1:36">
      <c r="A37" s="136"/>
      <c r="B37" s="32"/>
      <c r="C37" s="32"/>
      <c r="D37" s="47"/>
      <c r="E37" s="7">
        <f>+G37-Adjustments!G37</f>
        <v>0</v>
      </c>
      <c r="F37" s="7"/>
      <c r="G37" s="7"/>
      <c r="H37" s="7"/>
      <c r="I37" s="7"/>
      <c r="J37" s="7">
        <f>+I37-'ROR-Model'!I37</f>
        <v>0</v>
      </c>
      <c r="K37" s="7"/>
      <c r="L37" s="7"/>
      <c r="M37" s="7"/>
      <c r="N37" s="7"/>
      <c r="O37" s="120"/>
      <c r="P37" s="126"/>
      <c r="Q37" s="7"/>
      <c r="R37" s="7"/>
      <c r="S37" s="126"/>
      <c r="T37" s="7"/>
      <c r="U37" s="7"/>
      <c r="V37" s="124"/>
      <c r="W37" s="7"/>
      <c r="X37" s="139"/>
      <c r="Y37" s="3">
        <f t="shared" si="0"/>
        <v>28</v>
      </c>
      <c r="AA37" s="7"/>
      <c r="AC37" s="7" t="str">
        <f t="shared" si="1"/>
        <v/>
      </c>
      <c r="AE37" s="42" t="str">
        <f t="shared" si="2"/>
        <v/>
      </c>
      <c r="AG37" s="162"/>
      <c r="AJ37" s="10"/>
    </row>
    <row r="38" spans="1:36">
      <c r="A38" s="136"/>
      <c r="B38" s="32"/>
      <c r="C38" s="32" t="s">
        <v>16</v>
      </c>
      <c r="D38" s="47"/>
      <c r="E38" s="7">
        <f>+G38-Adjustments!G38</f>
        <v>0</v>
      </c>
      <c r="F38" s="7">
        <f>Revenue!$F$37</f>
        <v>0</v>
      </c>
      <c r="G38" s="7">
        <f>+Adjustments!V38</f>
        <v>0</v>
      </c>
      <c r="H38" s="7"/>
      <c r="I38" s="7">
        <f>SUM($F$38:$H$38)</f>
        <v>0</v>
      </c>
      <c r="J38" s="7">
        <f>+I38-'ROR-Model'!I38</f>
        <v>0</v>
      </c>
      <c r="K38" s="7"/>
      <c r="L38" s="7" t="s">
        <v>12</v>
      </c>
      <c r="M38" s="7">
        <f>VLOOKUP($L38,$L$2:$N$7,2,FALSE)*I38</f>
        <v>0</v>
      </c>
      <c r="N38" s="7">
        <f>VLOOKUP($L38,$L$2:$N$7,3,FALSE)*I38</f>
        <v>0</v>
      </c>
      <c r="O38" s="120"/>
      <c r="P38" s="126" t="s">
        <v>509</v>
      </c>
      <c r="Q38" s="7">
        <f>IF(P38="G",M38,IF(P38="PT",0,ERR))</f>
        <v>0</v>
      </c>
      <c r="R38" s="7">
        <f>IF(P38="PT",M38,IF(P38="G",0,ERR))</f>
        <v>0</v>
      </c>
      <c r="S38" s="126" t="s">
        <v>509</v>
      </c>
      <c r="T38" s="7">
        <f>IF(S38="G",N38,IF(S38="PT",0,ERR))</f>
        <v>0</v>
      </c>
      <c r="U38" s="7">
        <f>IF(S38="PT",N38,IF(S38="G",0,ERR))</f>
        <v>0</v>
      </c>
      <c r="V38" s="124"/>
      <c r="W38" s="7">
        <f>HLOOKUP($W$9,'ROR-Model'!$Q$10:$U$1273,Y38)</f>
        <v>0</v>
      </c>
      <c r="X38" s="139"/>
      <c r="Y38" s="3">
        <f t="shared" si="0"/>
        <v>29</v>
      </c>
      <c r="AA38" s="7">
        <v>0</v>
      </c>
      <c r="AC38" s="7" t="str">
        <f t="shared" si="1"/>
        <v/>
      </c>
      <c r="AE38" s="42" t="str">
        <f t="shared" si="2"/>
        <v/>
      </c>
      <c r="AG38" s="162"/>
      <c r="AI38" t="s">
        <v>16</v>
      </c>
      <c r="AJ38" s="10"/>
    </row>
    <row r="39" spans="1:36">
      <c r="A39" s="136"/>
      <c r="B39" s="32"/>
      <c r="C39" s="32" t="s">
        <v>17</v>
      </c>
      <c r="D39" s="47"/>
      <c r="E39" s="140">
        <f>+G39-Adjustments!G39</f>
        <v>0</v>
      </c>
      <c r="F39" s="140">
        <f>SUM(F34:F38)</f>
        <v>0</v>
      </c>
      <c r="G39" s="140">
        <f>SUM(G34:G38)</f>
        <v>0</v>
      </c>
      <c r="H39" s="140">
        <f>SUM(H34:H38)</f>
        <v>0</v>
      </c>
      <c r="I39" s="140">
        <f>SUM(I34:I38)</f>
        <v>0</v>
      </c>
      <c r="J39" s="7">
        <f>+I39-'ROR-Model'!I39</f>
        <v>0</v>
      </c>
      <c r="K39" s="7"/>
      <c r="L39" s="140"/>
      <c r="M39" s="140">
        <f>SUM(M34:M38)</f>
        <v>0</v>
      </c>
      <c r="N39" s="140">
        <f>SUM(N34:N38)</f>
        <v>0</v>
      </c>
      <c r="O39" s="120"/>
      <c r="P39" s="201"/>
      <c r="Q39" s="140">
        <f>SUM(Q34:Q38)</f>
        <v>0</v>
      </c>
      <c r="R39" s="140">
        <f>SUM(R34:R38)</f>
        <v>0</v>
      </c>
      <c r="S39" s="201"/>
      <c r="T39" s="140">
        <f>SUM(T34:T38)</f>
        <v>0</v>
      </c>
      <c r="U39" s="140">
        <f>SUM(U34:U38)</f>
        <v>0</v>
      </c>
      <c r="V39" s="124"/>
      <c r="W39" s="140">
        <f>HLOOKUP($W$9,'ROR-Model'!$Q$10:$U$1273,Y39)</f>
        <v>0</v>
      </c>
      <c r="X39" s="139"/>
      <c r="Y39" s="3">
        <f t="shared" si="0"/>
        <v>30</v>
      </c>
      <c r="AA39" s="140">
        <v>0</v>
      </c>
      <c r="AC39" s="140" t="str">
        <f t="shared" si="1"/>
        <v/>
      </c>
      <c r="AE39" s="42" t="str">
        <f t="shared" si="2"/>
        <v/>
      </c>
      <c r="AG39" s="162"/>
      <c r="AI39" t="s">
        <v>17</v>
      </c>
      <c r="AJ39" s="10"/>
    </row>
    <row r="40" spans="1:36">
      <c r="A40" s="136"/>
      <c r="B40" s="32"/>
      <c r="C40" s="32"/>
      <c r="D40" s="47"/>
      <c r="E40" s="7">
        <f>+G40-Adjustments!G40</f>
        <v>0</v>
      </c>
      <c r="F40" s="7"/>
      <c r="G40" s="7"/>
      <c r="H40" s="7"/>
      <c r="I40" s="7"/>
      <c r="J40" s="7">
        <f>+I40-'ROR-Model'!I40</f>
        <v>0</v>
      </c>
      <c r="K40" s="7"/>
      <c r="L40" s="7"/>
      <c r="M40" s="7"/>
      <c r="N40" s="7"/>
      <c r="O40" s="120"/>
      <c r="P40" s="126"/>
      <c r="Q40" s="7"/>
      <c r="R40" s="7"/>
      <c r="S40" s="126"/>
      <c r="T40" s="7"/>
      <c r="U40" s="7"/>
      <c r="V40" s="124"/>
      <c r="W40" s="7"/>
      <c r="X40" s="139"/>
      <c r="Y40" s="3">
        <f t="shared" si="0"/>
        <v>31</v>
      </c>
      <c r="AA40" s="7"/>
      <c r="AC40" s="7" t="str">
        <f t="shared" si="1"/>
        <v/>
      </c>
      <c r="AE40" s="42" t="str">
        <f t="shared" si="2"/>
        <v/>
      </c>
      <c r="AG40" s="162"/>
      <c r="AJ40" s="10"/>
    </row>
    <row r="41" spans="1:36">
      <c r="A41" s="136"/>
      <c r="B41" s="32"/>
      <c r="C41" s="32" t="s">
        <v>18</v>
      </c>
      <c r="D41" s="47"/>
      <c r="E41" s="7">
        <f>+G41-Adjustments!G41</f>
        <v>0</v>
      </c>
      <c r="F41" s="7">
        <f>Revenue!$F$40</f>
        <v>0</v>
      </c>
      <c r="G41" s="7">
        <f>+Adjustments!V41</f>
        <v>0</v>
      </c>
      <c r="H41" s="7"/>
      <c r="I41" s="520">
        <f>SUM($F$41:$H$41)</f>
        <v>0</v>
      </c>
      <c r="J41" s="7">
        <f>+I41-'ROR-Model'!I41</f>
        <v>0</v>
      </c>
      <c r="K41" s="7"/>
      <c r="L41" s="7" t="s">
        <v>12</v>
      </c>
      <c r="M41" s="7">
        <f>VLOOKUP($L41,$L$2:$N$7,2,FALSE)*I41</f>
        <v>0</v>
      </c>
      <c r="N41" s="7">
        <f>VLOOKUP($L41,$L$2:$N$7,3,FALSE)*I41</f>
        <v>0</v>
      </c>
      <c r="O41" s="120"/>
      <c r="P41" s="126" t="s">
        <v>510</v>
      </c>
      <c r="Q41" s="7">
        <f>IF(P41="G",M41,IF(P41="PT",0,ERR))</f>
        <v>0</v>
      </c>
      <c r="R41" s="7">
        <f>IF(P41="PT",M41,IF(P41="G",0,ERR))</f>
        <v>0</v>
      </c>
      <c r="S41" s="126" t="s">
        <v>510</v>
      </c>
      <c r="T41" s="7">
        <f>IF(S41="G",N41,IF(S41="PT",0,ERR))</f>
        <v>0</v>
      </c>
      <c r="U41" s="7">
        <f>IF(S41="PT",N41,IF(S41="G",0,ERR))</f>
        <v>0</v>
      </c>
      <c r="V41" s="124"/>
      <c r="W41" s="7">
        <f>HLOOKUP($W$9,'ROR-Model'!$Q$10:$U$1273,Y41)</f>
        <v>0</v>
      </c>
      <c r="X41" s="139"/>
      <c r="Y41" s="3">
        <f t="shared" si="0"/>
        <v>32</v>
      </c>
      <c r="AA41" s="7">
        <v>0</v>
      </c>
      <c r="AC41" s="7" t="str">
        <f t="shared" si="1"/>
        <v/>
      </c>
      <c r="AE41" s="42" t="str">
        <f t="shared" si="2"/>
        <v/>
      </c>
      <c r="AG41" s="162"/>
      <c r="AI41" t="s">
        <v>18</v>
      </c>
      <c r="AJ41" s="10"/>
    </row>
    <row r="42" spans="1:36">
      <c r="A42" s="136"/>
      <c r="B42" s="58"/>
      <c r="C42" s="58"/>
      <c r="D42" s="47"/>
      <c r="E42" s="7">
        <f>+G42-Adjustments!G42</f>
        <v>0</v>
      </c>
      <c r="F42" s="7"/>
      <c r="G42" s="7"/>
      <c r="H42" s="7"/>
      <c r="I42" s="7"/>
      <c r="J42" s="7">
        <f>+I42-'ROR-Model'!I42</f>
        <v>0</v>
      </c>
      <c r="K42" s="7"/>
      <c r="L42" s="7"/>
      <c r="M42" s="7"/>
      <c r="N42" s="7"/>
      <c r="O42" s="120"/>
      <c r="P42" s="126"/>
      <c r="Q42" s="7"/>
      <c r="R42" s="7"/>
      <c r="S42" s="126"/>
      <c r="T42" s="7"/>
      <c r="U42" s="7"/>
      <c r="V42" s="124"/>
      <c r="W42" s="7"/>
      <c r="X42" s="139"/>
      <c r="Y42" s="3">
        <f t="shared" si="0"/>
        <v>33</v>
      </c>
      <c r="AA42" s="7"/>
      <c r="AC42" s="7" t="str">
        <f t="shared" si="1"/>
        <v/>
      </c>
      <c r="AE42" s="42" t="str">
        <f t="shared" si="2"/>
        <v/>
      </c>
      <c r="AG42" s="162"/>
      <c r="AH42" s="1"/>
      <c r="AI42" s="1"/>
      <c r="AJ42" s="10"/>
    </row>
    <row r="43" spans="1:36">
      <c r="A43" s="136"/>
      <c r="B43" s="32" t="s">
        <v>745</v>
      </c>
      <c r="C43" s="32" t="s">
        <v>14</v>
      </c>
      <c r="D43" s="47"/>
      <c r="E43" s="7">
        <f>+G43-Adjustments!G43</f>
        <v>0</v>
      </c>
      <c r="F43" s="7">
        <f>Revenue!$F$42</f>
        <v>3509385.9699999997</v>
      </c>
      <c r="G43" s="7">
        <f>+Adjustments!V43</f>
        <v>0</v>
      </c>
      <c r="H43" s="7"/>
      <c r="I43" s="7">
        <f>SUM($F$43:$H$43)</f>
        <v>3509385.9699999997</v>
      </c>
      <c r="J43" s="7">
        <f>+I43-'ROR-Model'!I43</f>
        <v>0</v>
      </c>
      <c r="K43" s="7"/>
      <c r="L43" s="7" t="s">
        <v>12</v>
      </c>
      <c r="M43" s="7">
        <f>VLOOKUP($L43,$L$2:$N$7,2,FALSE)*I43</f>
        <v>3509385.9699999997</v>
      </c>
      <c r="N43" s="7">
        <f>VLOOKUP($L43,$L$2:$N$7,3,FALSE)*I43</f>
        <v>0</v>
      </c>
      <c r="O43" s="120"/>
      <c r="P43" s="126" t="s">
        <v>510</v>
      </c>
      <c r="Q43" s="7">
        <f>IF(P43="G",M43,IF(P43="PT",0,ERR))</f>
        <v>3509385.9699999997</v>
      </c>
      <c r="R43" s="7">
        <f>IF(P43="PT",M43,IF(P43="G",0,ERR))</f>
        <v>0</v>
      </c>
      <c r="S43" s="126" t="s">
        <v>510</v>
      </c>
      <c r="T43" s="7">
        <f>IF(S43="G",N43,IF(S43="PT",0,ERR))</f>
        <v>0</v>
      </c>
      <c r="U43" s="7">
        <f>IF(S43="PT",N43,IF(S43="G",0,ERR))</f>
        <v>0</v>
      </c>
      <c r="V43" s="124"/>
      <c r="W43" s="7">
        <f>HLOOKUP($W$9,'ROR-Model'!$Q$10:$U$1273,Y43)</f>
        <v>3509385.9699999997</v>
      </c>
      <c r="X43" s="139"/>
      <c r="Y43" s="3">
        <f t="shared" si="0"/>
        <v>34</v>
      </c>
      <c r="AA43" s="7">
        <v>2951861.35</v>
      </c>
      <c r="AC43" s="7">
        <f t="shared" si="1"/>
        <v>557524.61999999965</v>
      </c>
      <c r="AE43" s="42">
        <f t="shared" si="2"/>
        <v>0.18887222463887052</v>
      </c>
      <c r="AG43" s="162"/>
      <c r="AH43" t="s">
        <v>745</v>
      </c>
      <c r="AI43" t="s">
        <v>14</v>
      </c>
      <c r="AJ43" s="10"/>
    </row>
    <row r="44" spans="1:36">
      <c r="A44" s="136"/>
      <c r="B44" s="32"/>
      <c r="C44" s="32"/>
      <c r="D44" s="47"/>
      <c r="E44" s="7">
        <f>+G44-Adjustments!G44</f>
        <v>0</v>
      </c>
      <c r="F44" s="7"/>
      <c r="G44" s="7"/>
      <c r="H44" s="7"/>
      <c r="I44" s="7"/>
      <c r="J44" s="7">
        <f>+I44-'ROR-Model'!I44</f>
        <v>0</v>
      </c>
      <c r="K44" s="7"/>
      <c r="L44" s="7"/>
      <c r="M44" s="7"/>
      <c r="N44" s="7"/>
      <c r="O44" s="120"/>
      <c r="P44" s="126"/>
      <c r="Q44" s="7"/>
      <c r="R44" s="7"/>
      <c r="S44" s="126"/>
      <c r="T44" s="7"/>
      <c r="U44" s="7"/>
      <c r="V44" s="124"/>
      <c r="W44" s="7"/>
      <c r="X44" s="139"/>
      <c r="Y44" s="3">
        <f t="shared" si="0"/>
        <v>35</v>
      </c>
      <c r="AA44" s="7"/>
      <c r="AC44" s="7" t="str">
        <f t="shared" si="1"/>
        <v/>
      </c>
      <c r="AE44" s="42" t="str">
        <f t="shared" si="2"/>
        <v/>
      </c>
      <c r="AG44" s="162"/>
      <c r="AJ44" s="10"/>
    </row>
    <row r="45" spans="1:36">
      <c r="A45" s="136"/>
      <c r="B45" s="32"/>
      <c r="C45" s="32" t="s">
        <v>15</v>
      </c>
      <c r="D45" s="47"/>
      <c r="E45" s="7">
        <f>+G45-Adjustments!G45</f>
        <v>0</v>
      </c>
      <c r="F45" s="7">
        <f>Revenue!$F$44</f>
        <v>2195889.2800000003</v>
      </c>
      <c r="G45" s="7">
        <f>+Adjustments!V45</f>
        <v>0</v>
      </c>
      <c r="H45" s="7"/>
      <c r="I45" s="7">
        <f>SUM($F$45:$H$45)</f>
        <v>2195889.2800000003</v>
      </c>
      <c r="J45" s="7">
        <f>+I45-'ROR-Model'!I45</f>
        <v>0</v>
      </c>
      <c r="K45" s="7"/>
      <c r="L45" s="7" t="s">
        <v>12</v>
      </c>
      <c r="M45" s="7">
        <f>VLOOKUP($L45,$L$2:$N$7,2,FALSE)*I45</f>
        <v>2195889.2800000003</v>
      </c>
      <c r="N45" s="7">
        <f>VLOOKUP($L45,$L$2:$N$7,3,FALSE)*I45</f>
        <v>0</v>
      </c>
      <c r="O45" s="120"/>
      <c r="P45" s="126" t="s">
        <v>509</v>
      </c>
      <c r="Q45" s="7">
        <f>IF(P45="G",M45,IF(P45="PT",0,ERR))</f>
        <v>0</v>
      </c>
      <c r="R45" s="7">
        <f>IF(P45="PT",M45,IF(P45="G",0,ERR))</f>
        <v>2195889.2800000003</v>
      </c>
      <c r="S45" s="126" t="s">
        <v>509</v>
      </c>
      <c r="T45" s="7">
        <f>IF(S45="G",N45,IF(S45="PT",0,ERR))</f>
        <v>0</v>
      </c>
      <c r="U45" s="7">
        <f>IF(S45="PT",N45,IF(S45="G",0,ERR))</f>
        <v>0</v>
      </c>
      <c r="V45" s="124"/>
      <c r="W45" s="7">
        <f>HLOOKUP($W$9,'ROR-Model'!$Q$10:$U$1273,Y45)</f>
        <v>0</v>
      </c>
      <c r="X45" s="139"/>
      <c r="Y45" s="3">
        <f t="shared" si="0"/>
        <v>36</v>
      </c>
      <c r="AA45" s="7">
        <v>0</v>
      </c>
      <c r="AC45" s="7" t="str">
        <f t="shared" si="1"/>
        <v/>
      </c>
      <c r="AE45" s="42" t="str">
        <f t="shared" si="2"/>
        <v/>
      </c>
      <c r="AG45" s="162"/>
      <c r="AI45" t="s">
        <v>15</v>
      </c>
      <c r="AJ45" s="10"/>
    </row>
    <row r="46" spans="1:36">
      <c r="A46" s="136"/>
      <c r="B46" s="32"/>
      <c r="C46" s="32"/>
      <c r="D46" s="47"/>
      <c r="E46" s="7">
        <f>+G46-Adjustments!G46</f>
        <v>0</v>
      </c>
      <c r="F46" s="7"/>
      <c r="G46" s="7"/>
      <c r="H46" s="7"/>
      <c r="I46" s="7"/>
      <c r="J46" s="7">
        <f>+I46-'ROR-Model'!I46</f>
        <v>0</v>
      </c>
      <c r="K46" s="7"/>
      <c r="L46" s="7"/>
      <c r="M46" s="7"/>
      <c r="N46" s="7"/>
      <c r="O46" s="120"/>
      <c r="P46" s="126"/>
      <c r="Q46" s="7"/>
      <c r="R46" s="7"/>
      <c r="S46" s="126"/>
      <c r="T46" s="7"/>
      <c r="U46" s="7"/>
      <c r="V46" s="124"/>
      <c r="W46" s="7"/>
      <c r="X46" s="139"/>
      <c r="Y46" s="3">
        <f t="shared" si="0"/>
        <v>37</v>
      </c>
      <c r="AA46" s="7"/>
      <c r="AC46" s="7" t="str">
        <f t="shared" si="1"/>
        <v/>
      </c>
      <c r="AE46" s="42" t="str">
        <f t="shared" si="2"/>
        <v/>
      </c>
      <c r="AG46" s="162"/>
      <c r="AJ46" s="10"/>
    </row>
    <row r="47" spans="1:36">
      <c r="A47" s="136"/>
      <c r="B47" s="32"/>
      <c r="C47" s="32" t="s">
        <v>16</v>
      </c>
      <c r="D47" s="47"/>
      <c r="E47" s="7">
        <f>+G47-Adjustments!G47</f>
        <v>0</v>
      </c>
      <c r="F47" s="7">
        <f>Revenue!$F$46</f>
        <v>18427219.41</v>
      </c>
      <c r="G47" s="7">
        <f>+Adjustments!V47</f>
        <v>0</v>
      </c>
      <c r="H47" s="7"/>
      <c r="I47" s="7">
        <f>SUM($F$47:$H$47)</f>
        <v>18427219.41</v>
      </c>
      <c r="J47" s="7">
        <f>+I47-'ROR-Model'!I47</f>
        <v>0</v>
      </c>
      <c r="K47" s="7"/>
      <c r="L47" s="7" t="s">
        <v>12</v>
      </c>
      <c r="M47" s="7">
        <f>VLOOKUP($L47,$L$2:$N$7,2,FALSE)*I47</f>
        <v>18427219.41</v>
      </c>
      <c r="N47" s="7">
        <f>VLOOKUP($L47,$L$2:$N$7,3,FALSE)*I47</f>
        <v>0</v>
      </c>
      <c r="O47" s="120"/>
      <c r="P47" s="126" t="s">
        <v>509</v>
      </c>
      <c r="Q47" s="7">
        <f>IF(P47="G",M47,IF(P47="PT",0,ERR))</f>
        <v>0</v>
      </c>
      <c r="R47" s="7">
        <f>IF(P47="PT",M47,IF(P47="G",0,ERR))</f>
        <v>18427219.41</v>
      </c>
      <c r="S47" s="126" t="s">
        <v>509</v>
      </c>
      <c r="T47" s="7">
        <f>IF(S47="G",N47,IF(S47="PT",0,ERR))</f>
        <v>0</v>
      </c>
      <c r="U47" s="7">
        <f>IF(S47="PT",N47,IF(S47="G",0,ERR))</f>
        <v>0</v>
      </c>
      <c r="V47" s="124"/>
      <c r="W47" s="7">
        <f>HLOOKUP($W$9,'ROR-Model'!$Q$10:$U$1273,Y47)</f>
        <v>0</v>
      </c>
      <c r="X47" s="139"/>
      <c r="Y47" s="3">
        <f t="shared" si="0"/>
        <v>38</v>
      </c>
      <c r="AA47" s="7">
        <v>0</v>
      </c>
      <c r="AC47" s="7" t="str">
        <f t="shared" si="1"/>
        <v/>
      </c>
      <c r="AE47" s="42" t="str">
        <f t="shared" si="2"/>
        <v/>
      </c>
      <c r="AG47" s="162"/>
      <c r="AI47" t="s">
        <v>16</v>
      </c>
      <c r="AJ47" s="10"/>
    </row>
    <row r="48" spans="1:36">
      <c r="A48" s="136"/>
      <c r="B48" s="32"/>
      <c r="C48" s="32" t="s">
        <v>17</v>
      </c>
      <c r="D48" s="47"/>
      <c r="E48" s="140">
        <f>+G48-Adjustments!G48</f>
        <v>0</v>
      </c>
      <c r="F48" s="140">
        <f>SUM(F43:F47)</f>
        <v>24132494.66</v>
      </c>
      <c r="G48" s="140">
        <f>SUM(G43:G47)</f>
        <v>0</v>
      </c>
      <c r="H48" s="140">
        <f>SUM(H43:H47)</f>
        <v>0</v>
      </c>
      <c r="I48" s="140">
        <f>SUM(I43:I47)</f>
        <v>24132494.66</v>
      </c>
      <c r="J48" s="7">
        <f>+I48-'ROR-Model'!I48</f>
        <v>0</v>
      </c>
      <c r="K48" s="7"/>
      <c r="L48" s="140"/>
      <c r="M48" s="140">
        <f>SUM(M43:M47)</f>
        <v>24132494.66</v>
      </c>
      <c r="N48" s="140">
        <f>SUM(N43:N47)</f>
        <v>0</v>
      </c>
      <c r="O48" s="120"/>
      <c r="P48" s="201"/>
      <c r="Q48" s="140">
        <f>SUM(Q43:Q47)</f>
        <v>3509385.9699999997</v>
      </c>
      <c r="R48" s="140">
        <f>SUM(R43:R47)</f>
        <v>20623108.690000001</v>
      </c>
      <c r="S48" s="201"/>
      <c r="T48" s="140">
        <f>SUM(T43:T47)</f>
        <v>0</v>
      </c>
      <c r="U48" s="140">
        <f>SUM(U43:U47)</f>
        <v>0</v>
      </c>
      <c r="V48" s="124"/>
      <c r="W48" s="140">
        <f>HLOOKUP($W$9,'ROR-Model'!$Q$10:$U$1273,Y48)</f>
        <v>3509385.9699999997</v>
      </c>
      <c r="X48" s="139"/>
      <c r="Y48" s="3">
        <f t="shared" si="0"/>
        <v>39</v>
      </c>
      <c r="AA48" s="140">
        <v>2951861.35</v>
      </c>
      <c r="AC48" s="140">
        <f t="shared" si="1"/>
        <v>557524.61999999965</v>
      </c>
      <c r="AE48" s="42">
        <f t="shared" si="2"/>
        <v>0.18887222463887052</v>
      </c>
      <c r="AG48" s="162"/>
      <c r="AI48" t="s">
        <v>17</v>
      </c>
      <c r="AJ48" s="10"/>
    </row>
    <row r="49" spans="1:36">
      <c r="A49" s="136"/>
      <c r="B49" s="32"/>
      <c r="C49" s="32"/>
      <c r="D49" s="47"/>
      <c r="E49" s="7">
        <f>+G49-Adjustments!G49</f>
        <v>0</v>
      </c>
      <c r="F49" s="7"/>
      <c r="G49" s="7"/>
      <c r="H49" s="7"/>
      <c r="I49" s="7"/>
      <c r="J49" s="7">
        <f>+I49-'ROR-Model'!I49</f>
        <v>0</v>
      </c>
      <c r="K49" s="7"/>
      <c r="L49" s="7"/>
      <c r="M49" s="7"/>
      <c r="N49" s="7"/>
      <c r="O49" s="120"/>
      <c r="P49" s="126"/>
      <c r="Q49" s="7"/>
      <c r="R49" s="7"/>
      <c r="S49" s="126"/>
      <c r="T49" s="7"/>
      <c r="U49" s="7"/>
      <c r="V49" s="124"/>
      <c r="W49" s="7"/>
      <c r="X49" s="139"/>
      <c r="Y49" s="3">
        <f t="shared" si="0"/>
        <v>40</v>
      </c>
      <c r="AA49" s="7"/>
      <c r="AC49" s="7" t="str">
        <f t="shared" si="1"/>
        <v/>
      </c>
      <c r="AE49" s="42" t="str">
        <f t="shared" si="2"/>
        <v/>
      </c>
      <c r="AG49" s="162"/>
      <c r="AJ49" s="10"/>
    </row>
    <row r="50" spans="1:36">
      <c r="A50" s="136"/>
      <c r="B50" s="32"/>
      <c r="C50" s="32" t="s">
        <v>18</v>
      </c>
      <c r="D50" s="47"/>
      <c r="E50" s="7">
        <f>+G50-Adjustments!G50</f>
        <v>0</v>
      </c>
      <c r="F50" s="7">
        <f>Revenue!$F$49</f>
        <v>2550541.0180000002</v>
      </c>
      <c r="G50" s="7">
        <f>+Adjustments!V50</f>
        <v>0</v>
      </c>
      <c r="H50" s="7"/>
      <c r="I50" s="520">
        <f>SUM($F$50:$H$50)</f>
        <v>2550541.0180000002</v>
      </c>
      <c r="J50" s="7">
        <f>+I50-'ROR-Model'!I50</f>
        <v>0</v>
      </c>
      <c r="K50" s="7"/>
      <c r="L50" s="7" t="s">
        <v>12</v>
      </c>
      <c r="M50" s="7">
        <f>VLOOKUP($L50,$L$2:$N$7,2,FALSE)*I50</f>
        <v>2550541.0180000002</v>
      </c>
      <c r="N50" s="7">
        <f>VLOOKUP($L50,$L$2:$N$7,3,FALSE)*I50</f>
        <v>0</v>
      </c>
      <c r="O50" s="120"/>
      <c r="P50" s="126" t="s">
        <v>510</v>
      </c>
      <c r="Q50" s="7">
        <f>IF(P50="G",M50,IF(P50="PT",0,ERR))</f>
        <v>2550541.0180000002</v>
      </c>
      <c r="R50" s="7">
        <f>IF(P50="PT",M50,IF(P50="G",0,ERR))</f>
        <v>0</v>
      </c>
      <c r="S50" s="126" t="s">
        <v>510</v>
      </c>
      <c r="T50" s="7">
        <f>IF(S50="G",N50,IF(S50="PT",0,ERR))</f>
        <v>0</v>
      </c>
      <c r="U50" s="7">
        <f>IF(S50="PT",N50,IF(S50="G",0,ERR))</f>
        <v>0</v>
      </c>
      <c r="V50" s="124"/>
      <c r="W50" s="7">
        <f>HLOOKUP($W$9,'ROR-Model'!$Q$10:$U$1273,Y50)</f>
        <v>2550541.0180000002</v>
      </c>
      <c r="X50" s="139"/>
      <c r="Y50" s="3">
        <f t="shared" si="0"/>
        <v>41</v>
      </c>
      <c r="AA50" s="7">
        <v>3393689.11</v>
      </c>
      <c r="AC50" s="7">
        <f t="shared" si="1"/>
        <v>-843148.09199999971</v>
      </c>
      <c r="AE50" s="42">
        <f t="shared" si="2"/>
        <v>-0.24844588430788811</v>
      </c>
      <c r="AG50" s="162"/>
      <c r="AI50" t="s">
        <v>18</v>
      </c>
      <c r="AJ50" s="10"/>
    </row>
    <row r="51" spans="1:36">
      <c r="A51" s="136"/>
      <c r="B51" s="58"/>
      <c r="C51" s="58"/>
      <c r="D51" s="47"/>
      <c r="E51" s="7">
        <f>+G51-Adjustments!G51</f>
        <v>0</v>
      </c>
      <c r="F51" s="7"/>
      <c r="G51" s="7"/>
      <c r="H51" s="7"/>
      <c r="I51" s="7"/>
      <c r="J51" s="7">
        <f>+I51-'ROR-Model'!I51</f>
        <v>0</v>
      </c>
      <c r="K51" s="7"/>
      <c r="L51" s="7"/>
      <c r="M51" s="7"/>
      <c r="N51" s="7"/>
      <c r="O51" s="120"/>
      <c r="P51" s="126"/>
      <c r="Q51" s="7"/>
      <c r="R51" s="7"/>
      <c r="S51" s="126"/>
      <c r="T51" s="7"/>
      <c r="U51" s="7"/>
      <c r="V51" s="124"/>
      <c r="W51" s="7"/>
      <c r="X51" s="139"/>
      <c r="Y51" s="3">
        <f t="shared" si="0"/>
        <v>42</v>
      </c>
      <c r="AA51" s="7"/>
      <c r="AC51" s="7" t="str">
        <f t="shared" si="1"/>
        <v/>
      </c>
      <c r="AE51" s="42" t="str">
        <f t="shared" si="2"/>
        <v/>
      </c>
      <c r="AG51" s="162"/>
      <c r="AH51" s="1"/>
      <c r="AI51" s="1"/>
      <c r="AJ51" s="10"/>
    </row>
    <row r="52" spans="1:36">
      <c r="A52" s="136"/>
      <c r="B52" s="32" t="s">
        <v>747</v>
      </c>
      <c r="C52" s="32" t="s">
        <v>14</v>
      </c>
      <c r="D52" s="47"/>
      <c r="E52" s="7">
        <f>+G52-Adjustments!G52</f>
        <v>0</v>
      </c>
      <c r="F52" s="7">
        <f>Revenue!$F$51</f>
        <v>0</v>
      </c>
      <c r="G52" s="7">
        <f>+Adjustments!V52</f>
        <v>0</v>
      </c>
      <c r="H52" s="7"/>
      <c r="I52" s="7">
        <f>SUM($F$52:$H$52)</f>
        <v>0</v>
      </c>
      <c r="J52" s="7">
        <f>+I52-'ROR-Model'!I52</f>
        <v>0</v>
      </c>
      <c r="K52" s="7"/>
      <c r="L52" s="7" t="s">
        <v>12</v>
      </c>
      <c r="M52" s="7">
        <f>VLOOKUP($L52,$L$2:$N$7,2,FALSE)*I52</f>
        <v>0</v>
      </c>
      <c r="N52" s="7">
        <f>VLOOKUP($L52,$L$2:$N$7,3,FALSE)*I52</f>
        <v>0</v>
      </c>
      <c r="O52" s="120"/>
      <c r="P52" s="126" t="s">
        <v>510</v>
      </c>
      <c r="Q52" s="7">
        <f>IF(P52="G",M52,IF(P52="PT",0,ERR))</f>
        <v>0</v>
      </c>
      <c r="R52" s="7">
        <f>IF(P52="PT",M52,IF(P52="G",0,ERR))</f>
        <v>0</v>
      </c>
      <c r="S52" s="126" t="s">
        <v>510</v>
      </c>
      <c r="T52" s="7">
        <f>IF(S52="G",N52,IF(S52="PT",0,ERR))</f>
        <v>0</v>
      </c>
      <c r="U52" s="7">
        <f>IF(S52="PT",N52,IF(S52="G",0,ERR))</f>
        <v>0</v>
      </c>
      <c r="V52" s="124"/>
      <c r="W52" s="7">
        <f>HLOOKUP($W$9,'ROR-Model'!$Q$10:$U$1273,Y52)</f>
        <v>0</v>
      </c>
      <c r="X52" s="139"/>
      <c r="Y52" s="3">
        <f t="shared" si="0"/>
        <v>43</v>
      </c>
      <c r="AA52" s="7">
        <v>0</v>
      </c>
      <c r="AC52" s="7" t="str">
        <f t="shared" si="1"/>
        <v/>
      </c>
      <c r="AE52" s="42" t="str">
        <f t="shared" si="2"/>
        <v/>
      </c>
      <c r="AG52" s="162"/>
      <c r="AH52" t="s">
        <v>747</v>
      </c>
      <c r="AI52" t="s">
        <v>14</v>
      </c>
      <c r="AJ52" s="10"/>
    </row>
    <row r="53" spans="1:36">
      <c r="A53" s="136"/>
      <c r="B53" s="32"/>
      <c r="C53" s="32" t="s">
        <v>15</v>
      </c>
      <c r="D53" s="47"/>
      <c r="E53" s="7">
        <f>+G53-Adjustments!G53</f>
        <v>0</v>
      </c>
      <c r="F53" s="7"/>
      <c r="G53" s="7"/>
      <c r="H53" s="7"/>
      <c r="I53" s="7">
        <f>SUM($F$53:$H$53)</f>
        <v>0</v>
      </c>
      <c r="J53" s="7">
        <f>+I53-'ROR-Model'!I53</f>
        <v>0</v>
      </c>
      <c r="K53" s="7"/>
      <c r="L53" s="7" t="s">
        <v>12</v>
      </c>
      <c r="M53" s="7">
        <f>VLOOKUP($L53,$L$2:$N$7,2,FALSE)*I53</f>
        <v>0</v>
      </c>
      <c r="N53" s="7">
        <f>VLOOKUP($L53,$L$2:$N$7,3,FALSE)*I53</f>
        <v>0</v>
      </c>
      <c r="O53" s="120"/>
      <c r="P53" s="126" t="s">
        <v>509</v>
      </c>
      <c r="Q53" s="7">
        <f>IF(P53="G",M53,IF(P53="PT",0,ERR))</f>
        <v>0</v>
      </c>
      <c r="R53" s="7">
        <f>IF(P53="PT",M53,IF(P53="G",0,ERR))</f>
        <v>0</v>
      </c>
      <c r="S53" s="126" t="s">
        <v>509</v>
      </c>
      <c r="T53" s="7">
        <f>IF(S53="G",N53,IF(S53="PT",0,ERR))</f>
        <v>0</v>
      </c>
      <c r="U53" s="7">
        <f>IF(S53="PT",N53,IF(S53="G",0,ERR))</f>
        <v>0</v>
      </c>
      <c r="V53" s="124"/>
      <c r="W53" s="7">
        <f>HLOOKUP($W$9,'ROR-Model'!$Q$10:$U$1273,Y53)</f>
        <v>0</v>
      </c>
      <c r="X53" s="139"/>
      <c r="Y53" s="3">
        <f t="shared" si="0"/>
        <v>44</v>
      </c>
      <c r="AA53" s="7">
        <v>0</v>
      </c>
      <c r="AC53" s="7" t="str">
        <f t="shared" si="1"/>
        <v/>
      </c>
      <c r="AE53" s="42" t="str">
        <f t="shared" si="2"/>
        <v/>
      </c>
      <c r="AG53" s="162"/>
      <c r="AI53" t="s">
        <v>15</v>
      </c>
      <c r="AJ53" s="10"/>
    </row>
    <row r="54" spans="1:36">
      <c r="A54" s="136"/>
      <c r="B54" s="58"/>
      <c r="C54" s="32" t="s">
        <v>748</v>
      </c>
      <c r="D54" s="47"/>
      <c r="E54" s="7">
        <f>+G54-Adjustments!G54</f>
        <v>0</v>
      </c>
      <c r="F54" s="7">
        <f>Revenue!$F$53</f>
        <v>0</v>
      </c>
      <c r="G54" s="7">
        <f>+Adjustments!V54</f>
        <v>0</v>
      </c>
      <c r="H54" s="7"/>
      <c r="I54" s="7">
        <f>SUM($F$54:$H$54)</f>
        <v>0</v>
      </c>
      <c r="J54" s="7">
        <f>+I54-'ROR-Model'!I54</f>
        <v>0</v>
      </c>
      <c r="K54" s="7"/>
      <c r="L54" s="7" t="s">
        <v>12</v>
      </c>
      <c r="M54" s="7">
        <f>VLOOKUP($L54,$L$2:$N$7,2,FALSE)*I54</f>
        <v>0</v>
      </c>
      <c r="N54" s="7">
        <f>VLOOKUP($L54,$L$2:$N$7,3,FALSE)*I54</f>
        <v>0</v>
      </c>
      <c r="O54" s="120"/>
      <c r="P54" s="126" t="s">
        <v>509</v>
      </c>
      <c r="Q54" s="7">
        <f>IF(P54="G",M54,IF(P54="PT",0,ERR))</f>
        <v>0</v>
      </c>
      <c r="R54" s="7">
        <f>IF(P54="PT",M54,IF(P54="G",0,ERR))</f>
        <v>0</v>
      </c>
      <c r="S54" s="126" t="s">
        <v>509</v>
      </c>
      <c r="T54" s="7">
        <f>IF(S54="G",N54,IF(S54="PT",0,ERR))</f>
        <v>0</v>
      </c>
      <c r="U54" s="7">
        <f>IF(S54="PT",N54,IF(S54="G",0,ERR))</f>
        <v>0</v>
      </c>
      <c r="V54" s="124"/>
      <c r="W54" s="7">
        <f>HLOOKUP($W$9,'ROR-Model'!$Q$10:$U$1273,Y54)</f>
        <v>0</v>
      </c>
      <c r="X54" s="139"/>
      <c r="Y54" s="3">
        <f t="shared" si="0"/>
        <v>45</v>
      </c>
      <c r="AA54" s="7">
        <v>0</v>
      </c>
      <c r="AC54" s="7" t="str">
        <f t="shared" si="1"/>
        <v/>
      </c>
      <c r="AE54" s="42" t="str">
        <f t="shared" si="2"/>
        <v/>
      </c>
      <c r="AG54" s="162"/>
      <c r="AH54" s="1"/>
      <c r="AI54" t="s">
        <v>748</v>
      </c>
      <c r="AJ54" s="10"/>
    </row>
    <row r="55" spans="1:36">
      <c r="A55" s="136"/>
      <c r="B55" s="32"/>
      <c r="C55" s="32" t="s">
        <v>749</v>
      </c>
      <c r="D55" s="47"/>
      <c r="E55" s="7">
        <f>+G55-Adjustments!G55</f>
        <v>0</v>
      </c>
      <c r="F55" s="7"/>
      <c r="G55" s="7"/>
      <c r="H55" s="7"/>
      <c r="I55" s="7">
        <f>SUM($F$55:$H$55)</f>
        <v>0</v>
      </c>
      <c r="J55" s="7">
        <f>+I55-'ROR-Model'!I55</f>
        <v>0</v>
      </c>
      <c r="K55" s="7"/>
      <c r="L55" s="7" t="s">
        <v>12</v>
      </c>
      <c r="M55" s="7">
        <f>VLOOKUP($L55,$L$2:$N$7,2,FALSE)*I55</f>
        <v>0</v>
      </c>
      <c r="N55" s="7">
        <f>VLOOKUP($L55,$L$2:$N$7,3,FALSE)*I55</f>
        <v>0</v>
      </c>
      <c r="O55" s="120"/>
      <c r="P55" s="126" t="s">
        <v>509</v>
      </c>
      <c r="Q55" s="7">
        <f>IF(P55="G",M55,IF(P55="PT",0,ERR))</f>
        <v>0</v>
      </c>
      <c r="R55" s="7">
        <f>IF(P55="PT",M55,IF(P55="G",0,ERR))</f>
        <v>0</v>
      </c>
      <c r="S55" s="126" t="s">
        <v>509</v>
      </c>
      <c r="T55" s="7">
        <f>IF(S55="G",N55,IF(S55="PT",0,ERR))</f>
        <v>0</v>
      </c>
      <c r="U55" s="7">
        <f>IF(S55="PT",N55,IF(S55="G",0,ERR))</f>
        <v>0</v>
      </c>
      <c r="V55" s="124"/>
      <c r="W55" s="7">
        <f>HLOOKUP($W$9,'ROR-Model'!$Q$10:$U$1273,Y55)</f>
        <v>0</v>
      </c>
      <c r="X55" s="139"/>
      <c r="Y55" s="3">
        <f t="shared" si="0"/>
        <v>46</v>
      </c>
      <c r="AA55" s="7">
        <v>0</v>
      </c>
      <c r="AC55" s="7" t="str">
        <f t="shared" si="1"/>
        <v/>
      </c>
      <c r="AE55" s="42" t="str">
        <f t="shared" si="2"/>
        <v/>
      </c>
      <c r="AG55" s="162"/>
      <c r="AI55" t="s">
        <v>749</v>
      </c>
      <c r="AJ55" s="10"/>
    </row>
    <row r="56" spans="1:36">
      <c r="A56" s="136"/>
      <c r="B56" s="58"/>
      <c r="C56" s="58" t="s">
        <v>750</v>
      </c>
      <c r="D56" s="47"/>
      <c r="E56" s="7">
        <f>+G56-Adjustments!G56</f>
        <v>0</v>
      </c>
      <c r="F56" s="7">
        <f>Revenue!$F$55</f>
        <v>0</v>
      </c>
      <c r="G56" s="7">
        <f>+Adjustments!V56</f>
        <v>0</v>
      </c>
      <c r="H56" s="7"/>
      <c r="I56" s="7">
        <f>SUM($F$56:$H$56)</f>
        <v>0</v>
      </c>
      <c r="J56" s="7">
        <f>+I56-'ROR-Model'!I56</f>
        <v>0</v>
      </c>
      <c r="K56" s="7"/>
      <c r="L56" s="7" t="s">
        <v>12</v>
      </c>
      <c r="M56" s="7">
        <f>VLOOKUP($L56,$L$2:$N$7,2,FALSE)*I56</f>
        <v>0</v>
      </c>
      <c r="N56" s="7">
        <f>VLOOKUP($L56,$L$2:$N$7,3,FALSE)*I56</f>
        <v>0</v>
      </c>
      <c r="O56" s="120"/>
      <c r="P56" s="126" t="s">
        <v>509</v>
      </c>
      <c r="Q56" s="7">
        <f>IF(P56="G",M56,IF(P56="PT",0,ERR))</f>
        <v>0</v>
      </c>
      <c r="R56" s="7">
        <f>IF(P56="PT",M56,IF(P56="G",0,ERR))</f>
        <v>0</v>
      </c>
      <c r="S56" s="126" t="s">
        <v>509</v>
      </c>
      <c r="T56" s="7">
        <f>IF(S56="G",N56,IF(S56="PT",0,ERR))</f>
        <v>0</v>
      </c>
      <c r="U56" s="7">
        <f>IF(S56="PT",N56,IF(S56="G",0,ERR))</f>
        <v>0</v>
      </c>
      <c r="V56" s="124"/>
      <c r="W56" s="7">
        <f>HLOOKUP($W$9,'ROR-Model'!$Q$10:$U$1273,Y56)</f>
        <v>0</v>
      </c>
      <c r="X56" s="139"/>
      <c r="Y56" s="3">
        <f t="shared" si="0"/>
        <v>47</v>
      </c>
      <c r="AA56" s="7">
        <v>0</v>
      </c>
      <c r="AC56" s="7" t="str">
        <f t="shared" si="1"/>
        <v/>
      </c>
      <c r="AE56" s="42" t="str">
        <f t="shared" si="2"/>
        <v/>
      </c>
      <c r="AG56" s="162"/>
      <c r="AH56" s="1"/>
      <c r="AI56" s="1" t="s">
        <v>750</v>
      </c>
      <c r="AJ56" s="10"/>
    </row>
    <row r="57" spans="1:36">
      <c r="A57" s="136"/>
      <c r="B57" s="58"/>
      <c r="C57" s="32" t="s">
        <v>17</v>
      </c>
      <c r="D57" s="47"/>
      <c r="E57" s="140">
        <f>+G57-Adjustments!G57</f>
        <v>0</v>
      </c>
      <c r="F57" s="140">
        <f>SUM(F52:F56)</f>
        <v>0</v>
      </c>
      <c r="G57" s="140">
        <f>SUM(G52:G56)</f>
        <v>0</v>
      </c>
      <c r="H57" s="140">
        <f>SUM(H52:H56)</f>
        <v>0</v>
      </c>
      <c r="I57" s="140">
        <f>SUM(I52:I56)</f>
        <v>0</v>
      </c>
      <c r="J57" s="7">
        <f>+I57-'ROR-Model'!I57</f>
        <v>0</v>
      </c>
      <c r="K57" s="7"/>
      <c r="L57" s="140"/>
      <c r="M57" s="140">
        <f>SUM(M52:M56)</f>
        <v>0</v>
      </c>
      <c r="N57" s="140">
        <f>SUM(N52:N56)</f>
        <v>0</v>
      </c>
      <c r="O57" s="120"/>
      <c r="P57" s="201"/>
      <c r="Q57" s="140">
        <f>SUM(Q52:Q56)</f>
        <v>0</v>
      </c>
      <c r="R57" s="140">
        <f>SUM(R52:R56)</f>
        <v>0</v>
      </c>
      <c r="S57" s="201"/>
      <c r="T57" s="140">
        <f>SUM(T52:T56)</f>
        <v>0</v>
      </c>
      <c r="U57" s="140">
        <f>SUM(U52:U56)</f>
        <v>0</v>
      </c>
      <c r="V57" s="124"/>
      <c r="W57" s="140">
        <f>HLOOKUP($W$9,'ROR-Model'!$Q$10:$U$1273,Y57)</f>
        <v>0</v>
      </c>
      <c r="X57" s="139"/>
      <c r="Y57" s="3">
        <f t="shared" si="0"/>
        <v>48</v>
      </c>
      <c r="AA57" s="140">
        <v>0</v>
      </c>
      <c r="AC57" s="140" t="str">
        <f t="shared" si="1"/>
        <v/>
      </c>
      <c r="AE57" s="42" t="str">
        <f t="shared" si="2"/>
        <v/>
      </c>
      <c r="AG57" s="162"/>
      <c r="AH57" s="1"/>
      <c r="AI57" t="s">
        <v>17</v>
      </c>
      <c r="AJ57" s="10"/>
    </row>
    <row r="58" spans="1:36">
      <c r="A58" s="136"/>
      <c r="B58" s="58"/>
      <c r="C58" s="32"/>
      <c r="D58" s="47"/>
      <c r="E58" s="7">
        <f>+G58-Adjustments!G58</f>
        <v>0</v>
      </c>
      <c r="F58" s="7"/>
      <c r="G58" s="7"/>
      <c r="H58" s="7"/>
      <c r="I58" s="7"/>
      <c r="J58" s="7">
        <f>+I58-'ROR-Model'!I58</f>
        <v>0</v>
      </c>
      <c r="K58" s="7"/>
      <c r="L58" s="7"/>
      <c r="M58" s="7"/>
      <c r="N58" s="7"/>
      <c r="O58" s="120"/>
      <c r="P58" s="126"/>
      <c r="Q58" s="7"/>
      <c r="R58" s="7"/>
      <c r="S58" s="126"/>
      <c r="T58" s="7"/>
      <c r="U58" s="7"/>
      <c r="V58" s="124"/>
      <c r="W58" s="7"/>
      <c r="X58" s="139"/>
      <c r="Y58" s="3">
        <f t="shared" si="0"/>
        <v>49</v>
      </c>
      <c r="AA58" s="7"/>
      <c r="AC58" s="7" t="str">
        <f t="shared" si="1"/>
        <v/>
      </c>
      <c r="AE58" s="42" t="str">
        <f t="shared" si="2"/>
        <v/>
      </c>
      <c r="AG58" s="162"/>
      <c r="AH58" s="1"/>
      <c r="AJ58" s="10"/>
    </row>
    <row r="59" spans="1:36">
      <c r="A59" s="136"/>
      <c r="B59" s="58"/>
      <c r="C59" s="58" t="s">
        <v>73</v>
      </c>
      <c r="D59" s="47"/>
      <c r="E59" s="7">
        <f>+G59-Adjustments!G59</f>
        <v>0</v>
      </c>
      <c r="F59" s="7">
        <f>Revenue!$F$58</f>
        <v>0</v>
      </c>
      <c r="G59" s="7">
        <f>+Adjustments!V59</f>
        <v>0</v>
      </c>
      <c r="H59" s="7"/>
      <c r="I59" s="520">
        <f>SUM($F$59:$H$59)</f>
        <v>0</v>
      </c>
      <c r="J59" s="7">
        <f>+I59-'ROR-Model'!I59</f>
        <v>0</v>
      </c>
      <c r="K59" s="7"/>
      <c r="L59" s="7" t="s">
        <v>12</v>
      </c>
      <c r="M59" s="7">
        <f>VLOOKUP($L59,$L$2:$N$7,2,FALSE)*I59</f>
        <v>0</v>
      </c>
      <c r="N59" s="7">
        <f>VLOOKUP($L59,$L$2:$N$7,3,FALSE)*I59</f>
        <v>0</v>
      </c>
      <c r="O59" s="120"/>
      <c r="P59" s="126" t="s">
        <v>510</v>
      </c>
      <c r="Q59" s="7">
        <f>IF(P59="G",M59,IF(P59="PT",0,ERR))</f>
        <v>0</v>
      </c>
      <c r="R59" s="7">
        <f>IF(P59="PT",M59,IF(P59="G",0,ERR))</f>
        <v>0</v>
      </c>
      <c r="S59" s="126" t="s">
        <v>510</v>
      </c>
      <c r="T59" s="7">
        <f>IF(S59="G",N59,IF(S59="PT",0,ERR))</f>
        <v>0</v>
      </c>
      <c r="U59" s="7">
        <f>IF(S59="PT",N59,IF(S59="G",0,ERR))</f>
        <v>0</v>
      </c>
      <c r="V59" s="124"/>
      <c r="W59" s="7">
        <f>HLOOKUP($W$9,'ROR-Model'!$Q$10:$U$1273,Y59)</f>
        <v>0</v>
      </c>
      <c r="X59" s="139"/>
      <c r="Y59" s="3">
        <f t="shared" si="0"/>
        <v>50</v>
      </c>
      <c r="AA59" s="7">
        <v>0</v>
      </c>
      <c r="AC59" s="7" t="str">
        <f t="shared" si="1"/>
        <v/>
      </c>
      <c r="AE59" s="42" t="str">
        <f t="shared" si="2"/>
        <v/>
      </c>
      <c r="AG59" s="162"/>
      <c r="AH59" s="1"/>
      <c r="AI59" s="1" t="s">
        <v>73</v>
      </c>
      <c r="AJ59" s="10"/>
    </row>
    <row r="60" spans="1:36">
      <c r="A60" s="136"/>
      <c r="B60" s="58"/>
      <c r="C60" s="58"/>
      <c r="D60" s="47"/>
      <c r="E60" s="7">
        <f>+G60-Adjustments!G60</f>
        <v>0</v>
      </c>
      <c r="F60" s="7"/>
      <c r="G60" s="7"/>
      <c r="H60" s="7"/>
      <c r="I60" s="7"/>
      <c r="J60" s="7">
        <f>+I60-'ROR-Model'!I60</f>
        <v>0</v>
      </c>
      <c r="K60" s="7"/>
      <c r="L60" s="7"/>
      <c r="M60" s="7"/>
      <c r="N60" s="7"/>
      <c r="O60" s="120"/>
      <c r="P60" s="126"/>
      <c r="Q60" s="7"/>
      <c r="R60" s="7"/>
      <c r="S60" s="126"/>
      <c r="T60" s="7"/>
      <c r="U60" s="7"/>
      <c r="V60" s="124"/>
      <c r="W60" s="7">
        <f>HLOOKUP($W$9,'ROR-Model'!$Q$10:$U$1273,Y60)</f>
        <v>0</v>
      </c>
      <c r="X60" s="139"/>
      <c r="Y60" s="3">
        <f t="shared" si="0"/>
        <v>51</v>
      </c>
      <c r="AA60" s="7">
        <v>0</v>
      </c>
      <c r="AC60" s="7" t="str">
        <f t="shared" si="1"/>
        <v/>
      </c>
      <c r="AE60" s="42" t="str">
        <f t="shared" si="2"/>
        <v/>
      </c>
      <c r="AG60" s="162"/>
      <c r="AH60" s="1"/>
      <c r="AI60" s="1"/>
      <c r="AJ60" s="10"/>
    </row>
    <row r="61" spans="1:36">
      <c r="A61" s="519"/>
      <c r="B61" s="32" t="s">
        <v>746</v>
      </c>
      <c r="C61" s="32" t="s">
        <v>14</v>
      </c>
      <c r="D61" s="572"/>
      <c r="E61" s="520">
        <f>+G61-Adjustments!G61</f>
        <v>0</v>
      </c>
      <c r="F61" s="520">
        <f>Revenue!$F$60</f>
        <v>2373319.4157923507</v>
      </c>
      <c r="G61" s="520">
        <f>+Adjustments!V61</f>
        <v>0</v>
      </c>
      <c r="H61" s="520"/>
      <c r="I61" s="520">
        <f>SUM($F$61:$H$61)</f>
        <v>2373319.4157923507</v>
      </c>
      <c r="J61" s="7">
        <f>+I61-'ROR-Model'!I61</f>
        <v>0</v>
      </c>
      <c r="K61" s="520"/>
      <c r="L61" s="520" t="s">
        <v>12</v>
      </c>
      <c r="M61" s="520">
        <f>VLOOKUP($L61,$L$2:$N$7,2,FALSE)*I61</f>
        <v>2373319.4157923507</v>
      </c>
      <c r="N61" s="520">
        <f>VLOOKUP($L61,$L$2:$N$7,3,FALSE)*I61</f>
        <v>0</v>
      </c>
      <c r="O61" s="573"/>
      <c r="P61" s="574" t="s">
        <v>510</v>
      </c>
      <c r="Q61" s="520">
        <f>IF(P61="G",M61,IF(P61="PT",0,ERR))</f>
        <v>2373319.4157923507</v>
      </c>
      <c r="R61" s="520">
        <f>IF(P61="PT",M61,IF(P61="G",0,ERR))</f>
        <v>0</v>
      </c>
      <c r="S61" s="574" t="s">
        <v>510</v>
      </c>
      <c r="T61" s="520">
        <f>IF(S61="G",N61,IF(S61="PT",0,ERR))</f>
        <v>0</v>
      </c>
      <c r="U61" s="520">
        <f>IF(S61="PT",N61,IF(S61="G",0,ERR))</f>
        <v>0</v>
      </c>
      <c r="V61" s="575"/>
      <c r="W61" s="520">
        <f>HLOOKUP($W$9,'ROR-Model'!$Q$10:$U$1273,Y61)</f>
        <v>2373319.4157923507</v>
      </c>
      <c r="X61" s="576"/>
      <c r="Y61" s="3">
        <f t="shared" si="0"/>
        <v>52</v>
      </c>
      <c r="AA61" s="520">
        <v>1661079.2805644001</v>
      </c>
      <c r="AC61" s="520">
        <f t="shared" si="1"/>
        <v>712240.13522795052</v>
      </c>
      <c r="AE61" s="42">
        <f t="shared" si="2"/>
        <v>0.42878154195382301</v>
      </c>
      <c r="AG61" s="162"/>
      <c r="AH61" t="s">
        <v>746</v>
      </c>
      <c r="AI61" t="s">
        <v>14</v>
      </c>
      <c r="AJ61" s="10"/>
    </row>
    <row r="62" spans="1:36">
      <c r="A62" s="519"/>
      <c r="B62" s="32"/>
      <c r="C62" s="32"/>
      <c r="D62" s="572"/>
      <c r="E62" s="520">
        <f>+G62-Adjustments!G62</f>
        <v>0</v>
      </c>
      <c r="F62" s="520">
        <f>Revenue!$F$61</f>
        <v>0</v>
      </c>
      <c r="G62" s="520"/>
      <c r="H62" s="520"/>
      <c r="I62" s="520"/>
      <c r="J62" s="7">
        <f>+I62-'ROR-Model'!I62</f>
        <v>0</v>
      </c>
      <c r="K62" s="520"/>
      <c r="L62" s="520"/>
      <c r="M62" s="520"/>
      <c r="N62" s="520"/>
      <c r="O62" s="573"/>
      <c r="P62" s="574"/>
      <c r="Q62" s="520"/>
      <c r="R62" s="520"/>
      <c r="S62" s="574"/>
      <c r="T62" s="520"/>
      <c r="U62" s="520"/>
      <c r="V62" s="575"/>
      <c r="W62" s="520">
        <f>HLOOKUP($W$9,'ROR-Model'!$Q$10:$U$1273,Y62)</f>
        <v>0</v>
      </c>
      <c r="X62" s="576"/>
      <c r="Y62" s="3">
        <f t="shared" si="0"/>
        <v>53</v>
      </c>
      <c r="AA62" s="520">
        <v>0</v>
      </c>
      <c r="AC62" s="520" t="str">
        <f t="shared" si="1"/>
        <v/>
      </c>
      <c r="AE62" s="42" t="str">
        <f t="shared" si="2"/>
        <v/>
      </c>
      <c r="AG62" s="162"/>
      <c r="AJ62" s="10"/>
    </row>
    <row r="63" spans="1:36">
      <c r="A63" s="519"/>
      <c r="B63" s="32"/>
      <c r="C63" s="32" t="s">
        <v>15</v>
      </c>
      <c r="D63" s="572"/>
      <c r="E63" s="520">
        <f>+G63-Adjustments!G63</f>
        <v>0</v>
      </c>
      <c r="F63" s="520">
        <f>Revenue!$F$62</f>
        <v>209862.77806461003</v>
      </c>
      <c r="G63" s="520">
        <f>+Adjustments!V63</f>
        <v>0</v>
      </c>
      <c r="H63" s="520"/>
      <c r="I63" s="520">
        <f>SUM($F$63:$H$63)</f>
        <v>209862.77806461003</v>
      </c>
      <c r="J63" s="7">
        <f>+I63-'ROR-Model'!I63</f>
        <v>0</v>
      </c>
      <c r="K63" s="520"/>
      <c r="L63" s="520" t="s">
        <v>12</v>
      </c>
      <c r="M63" s="520">
        <f>VLOOKUP($L63,$L$2:$N$7,2,FALSE)*I63</f>
        <v>209862.77806461003</v>
      </c>
      <c r="N63" s="520">
        <f>VLOOKUP($L63,$L$2:$N$7,3,FALSE)*I63</f>
        <v>0</v>
      </c>
      <c r="O63" s="573"/>
      <c r="P63" s="574" t="s">
        <v>509</v>
      </c>
      <c r="Q63" s="520">
        <f>IF(P63="G",M63,IF(P63="PT",0,ERR))</f>
        <v>0</v>
      </c>
      <c r="R63" s="520">
        <f>IF(P63="PT",M63,IF(P63="G",0,ERR))</f>
        <v>209862.77806461003</v>
      </c>
      <c r="S63" s="574" t="s">
        <v>509</v>
      </c>
      <c r="T63" s="520">
        <f>IF(S63="G",N63,IF(S63="PT",0,ERR))</f>
        <v>0</v>
      </c>
      <c r="U63" s="520">
        <f>IF(S63="PT",N63,IF(S63="G",0,ERR))</f>
        <v>0</v>
      </c>
      <c r="V63" s="575"/>
      <c r="W63" s="520">
        <f>HLOOKUP($W$9,'ROR-Model'!$Q$10:$U$1273,Y63)</f>
        <v>0</v>
      </c>
      <c r="X63" s="576"/>
      <c r="Y63" s="3">
        <f t="shared" si="0"/>
        <v>54</v>
      </c>
      <c r="AA63" s="520">
        <v>0</v>
      </c>
      <c r="AC63" s="520" t="str">
        <f t="shared" si="1"/>
        <v/>
      </c>
      <c r="AE63" s="42" t="str">
        <f t="shared" si="2"/>
        <v/>
      </c>
      <c r="AG63" s="162"/>
      <c r="AI63" t="s">
        <v>15</v>
      </c>
      <c r="AJ63" s="10"/>
    </row>
    <row r="64" spans="1:36">
      <c r="A64" s="519"/>
      <c r="B64" s="32"/>
      <c r="C64" s="32"/>
      <c r="D64" s="572"/>
      <c r="E64" s="520">
        <f>+G64-Adjustments!G64</f>
        <v>0</v>
      </c>
      <c r="F64" s="520">
        <f>Revenue!$F$63</f>
        <v>0</v>
      </c>
      <c r="G64" s="520"/>
      <c r="H64" s="520"/>
      <c r="I64" s="520"/>
      <c r="J64" s="7">
        <f>+I64-'ROR-Model'!I64</f>
        <v>0</v>
      </c>
      <c r="K64" s="520"/>
      <c r="L64" s="520"/>
      <c r="M64" s="520"/>
      <c r="N64" s="520"/>
      <c r="O64" s="573"/>
      <c r="P64" s="574"/>
      <c r="Q64" s="520"/>
      <c r="R64" s="520"/>
      <c r="S64" s="574"/>
      <c r="T64" s="520"/>
      <c r="U64" s="520"/>
      <c r="V64" s="575"/>
      <c r="W64" s="520">
        <f>HLOOKUP($W$9,'ROR-Model'!$Q$10:$U$1273,Y64)</f>
        <v>0</v>
      </c>
      <c r="X64" s="576"/>
      <c r="Y64" s="3">
        <f t="shared" si="0"/>
        <v>55</v>
      </c>
      <c r="AA64" s="520">
        <v>0</v>
      </c>
      <c r="AC64" s="520" t="str">
        <f t="shared" si="1"/>
        <v/>
      </c>
      <c r="AE64" s="42" t="str">
        <f t="shared" si="2"/>
        <v/>
      </c>
      <c r="AG64" s="162"/>
      <c r="AJ64" s="10"/>
    </row>
    <row r="65" spans="1:36">
      <c r="A65" s="519"/>
      <c r="B65" s="32"/>
      <c r="C65" s="32" t="s">
        <v>16</v>
      </c>
      <c r="D65" s="572"/>
      <c r="E65" s="520">
        <f>+G65-Adjustments!G65</f>
        <v>0</v>
      </c>
      <c r="F65" s="520">
        <f>Revenue!$F$64</f>
        <v>1500273.5161430398</v>
      </c>
      <c r="G65" s="520">
        <f>+Adjustments!V65</f>
        <v>0</v>
      </c>
      <c r="H65" s="520"/>
      <c r="I65" s="520">
        <f>SUM($F$65:$H$65)</f>
        <v>1500273.5161430398</v>
      </c>
      <c r="J65" s="7">
        <f>+I65-'ROR-Model'!I65</f>
        <v>0</v>
      </c>
      <c r="K65" s="520"/>
      <c r="L65" s="520" t="s">
        <v>12</v>
      </c>
      <c r="M65" s="520">
        <f>VLOOKUP($L65,$L$2:$N$7,2,FALSE)*I65</f>
        <v>1500273.5161430398</v>
      </c>
      <c r="N65" s="520">
        <f>VLOOKUP($L65,$L$2:$N$7,3,FALSE)*I65</f>
        <v>0</v>
      </c>
      <c r="O65" s="573"/>
      <c r="P65" s="574" t="s">
        <v>509</v>
      </c>
      <c r="Q65" s="520">
        <f>IF(P65="G",M65,IF(P65="PT",0,ERR))</f>
        <v>0</v>
      </c>
      <c r="R65" s="520">
        <f>IF(P65="PT",M65,IF(P65="G",0,ERR))</f>
        <v>1500273.5161430398</v>
      </c>
      <c r="S65" s="574" t="s">
        <v>509</v>
      </c>
      <c r="T65" s="520">
        <f>IF(S65="G",N65,IF(S65="PT",0,ERR))</f>
        <v>0</v>
      </c>
      <c r="U65" s="520">
        <f>IF(S65="PT",N65,IF(S65="G",0,ERR))</f>
        <v>0</v>
      </c>
      <c r="V65" s="575"/>
      <c r="W65" s="520">
        <f>HLOOKUP($W$9,'ROR-Model'!$Q$10:$U$1273,Y65)</f>
        <v>0</v>
      </c>
      <c r="X65" s="576"/>
      <c r="Y65" s="3">
        <f t="shared" si="0"/>
        <v>56</v>
      </c>
      <c r="AA65" s="520">
        <v>0</v>
      </c>
      <c r="AC65" s="520" t="str">
        <f t="shared" si="1"/>
        <v/>
      </c>
      <c r="AE65" s="42" t="str">
        <f t="shared" si="2"/>
        <v/>
      </c>
      <c r="AG65" s="162"/>
      <c r="AI65" t="s">
        <v>16</v>
      </c>
      <c r="AJ65" s="10"/>
    </row>
    <row r="66" spans="1:36">
      <c r="A66" s="519"/>
      <c r="B66" s="32"/>
      <c r="C66" s="32" t="s">
        <v>17</v>
      </c>
      <c r="D66" s="572"/>
      <c r="E66" s="521">
        <f>+G66-Adjustments!G66</f>
        <v>0</v>
      </c>
      <c r="F66" s="521">
        <f>SUM(F61:F65)</f>
        <v>4083455.7100000004</v>
      </c>
      <c r="G66" s="521">
        <f>SUM(G61:G65)</f>
        <v>0</v>
      </c>
      <c r="H66" s="521">
        <f>SUM(H61:H65)</f>
        <v>0</v>
      </c>
      <c r="I66" s="521">
        <f>SUM(I61:I65)</f>
        <v>4083455.7100000004</v>
      </c>
      <c r="J66" s="7">
        <f>+I66-'ROR-Model'!I66</f>
        <v>0</v>
      </c>
      <c r="K66" s="520"/>
      <c r="L66" s="521"/>
      <c r="M66" s="521">
        <f>SUM(M61:M65)</f>
        <v>4083455.7100000004</v>
      </c>
      <c r="N66" s="521">
        <f>SUM(N61:N65)</f>
        <v>0</v>
      </c>
      <c r="O66" s="573"/>
      <c r="P66" s="577"/>
      <c r="Q66" s="521">
        <f>SUM(Q61:Q65)</f>
        <v>2373319.4157923507</v>
      </c>
      <c r="R66" s="521">
        <f>SUM(R61:R65)</f>
        <v>1710136.2942076498</v>
      </c>
      <c r="S66" s="577"/>
      <c r="T66" s="521">
        <f>SUM(T61:T65)</f>
        <v>0</v>
      </c>
      <c r="U66" s="521">
        <f>SUM(U61:U65)</f>
        <v>0</v>
      </c>
      <c r="V66" s="575"/>
      <c r="W66" s="521">
        <f>HLOOKUP($W$9,'ROR-Model'!$Q$10:$U$1273,Y66)</f>
        <v>2373319.4157923507</v>
      </c>
      <c r="X66" s="576"/>
      <c r="Y66" s="3">
        <f t="shared" si="0"/>
        <v>57</v>
      </c>
      <c r="AA66" s="521">
        <v>1661079.2805644001</v>
      </c>
      <c r="AC66" s="521">
        <f t="shared" si="1"/>
        <v>712240.13522795052</v>
      </c>
      <c r="AE66" s="42">
        <f t="shared" si="2"/>
        <v>0.42878154195382301</v>
      </c>
      <c r="AG66" s="162"/>
      <c r="AI66" t="s">
        <v>17</v>
      </c>
      <c r="AJ66" s="10"/>
    </row>
    <row r="67" spans="1:36">
      <c r="A67" s="519"/>
      <c r="B67" s="32"/>
      <c r="C67" s="32"/>
      <c r="D67" s="572"/>
      <c r="E67" s="520">
        <f>+G67-Adjustments!G67</f>
        <v>0</v>
      </c>
      <c r="F67" s="520"/>
      <c r="G67" s="520"/>
      <c r="H67" s="520"/>
      <c r="I67" s="520"/>
      <c r="J67" s="7">
        <f>+I67-'ROR-Model'!I67</f>
        <v>0</v>
      </c>
      <c r="K67" s="520"/>
      <c r="L67" s="520"/>
      <c r="M67" s="520"/>
      <c r="N67" s="520"/>
      <c r="O67" s="573"/>
      <c r="P67" s="574"/>
      <c r="Q67" s="520"/>
      <c r="R67" s="520"/>
      <c r="S67" s="574"/>
      <c r="T67" s="520"/>
      <c r="U67" s="520"/>
      <c r="V67" s="575"/>
      <c r="W67" s="520"/>
      <c r="X67" s="576"/>
      <c r="Y67" s="3">
        <f t="shared" si="0"/>
        <v>58</v>
      </c>
      <c r="AA67" s="520"/>
      <c r="AC67" s="520" t="str">
        <f t="shared" si="1"/>
        <v/>
      </c>
      <c r="AE67" s="42" t="str">
        <f t="shared" si="2"/>
        <v/>
      </c>
      <c r="AG67" s="162"/>
      <c r="AJ67" s="10"/>
    </row>
    <row r="68" spans="1:36">
      <c r="A68" s="519"/>
      <c r="B68" s="32"/>
      <c r="C68" s="32" t="s">
        <v>18</v>
      </c>
      <c r="D68" s="572"/>
      <c r="E68" s="520">
        <f>+G68-Adjustments!G68</f>
        <v>0</v>
      </c>
      <c r="F68" s="520">
        <f>Revenue!$F$67</f>
        <v>245045.76099999997</v>
      </c>
      <c r="G68" s="520">
        <f>+Adjustments!V68</f>
        <v>0</v>
      </c>
      <c r="H68" s="520"/>
      <c r="I68" s="520">
        <f>SUM($F$68:$H$68)</f>
        <v>245045.76099999997</v>
      </c>
      <c r="J68" s="7">
        <f>+I68-'ROR-Model'!I68</f>
        <v>0</v>
      </c>
      <c r="K68" s="520"/>
      <c r="L68" s="520" t="s">
        <v>12</v>
      </c>
      <c r="M68" s="520">
        <f>VLOOKUP($L68,$L$2:$N$7,2,FALSE)*I68</f>
        <v>245045.76099999997</v>
      </c>
      <c r="N68" s="520">
        <f>VLOOKUP($L68,$L$2:$N$7,3,FALSE)*I68</f>
        <v>0</v>
      </c>
      <c r="O68" s="573"/>
      <c r="P68" s="574" t="s">
        <v>510</v>
      </c>
      <c r="Q68" s="520">
        <f>IF(P68="G",M68,IF(P68="PT",0,ERR))</f>
        <v>245045.76099999997</v>
      </c>
      <c r="R68" s="520">
        <f>IF(P68="PT",M68,IF(P68="G",0,ERR))</f>
        <v>0</v>
      </c>
      <c r="S68" s="574" t="s">
        <v>510</v>
      </c>
      <c r="T68" s="520">
        <f>IF(S68="G",N68,IF(S68="PT",0,ERR))</f>
        <v>0</v>
      </c>
      <c r="U68" s="520">
        <f>IF(S68="PT",N68,IF(S68="G",0,ERR))</f>
        <v>0</v>
      </c>
      <c r="V68" s="575"/>
      <c r="W68" s="520">
        <f>HLOOKUP($W$9,'ROR-Model'!$Q$10:$U$1273,Y68)</f>
        <v>245045.76099999997</v>
      </c>
      <c r="X68" s="576"/>
      <c r="Y68" s="3">
        <f t="shared" si="0"/>
        <v>59</v>
      </c>
      <c r="AA68" s="520">
        <v>271663.58999999997</v>
      </c>
      <c r="AC68" s="520">
        <f t="shared" si="1"/>
        <v>-26617.828999999998</v>
      </c>
      <c r="AE68" s="42">
        <f t="shared" si="2"/>
        <v>-9.7980848298441475E-2</v>
      </c>
      <c r="AG68" s="162"/>
      <c r="AI68" t="s">
        <v>18</v>
      </c>
      <c r="AJ68" s="10"/>
    </row>
    <row r="69" spans="1:36">
      <c r="A69" s="136"/>
      <c r="B69" s="58"/>
      <c r="C69" s="58"/>
      <c r="D69" s="47"/>
      <c r="E69" s="7">
        <f>+G69-Adjustments!G69</f>
        <v>0</v>
      </c>
      <c r="F69" s="7"/>
      <c r="G69" s="7"/>
      <c r="H69" s="7"/>
      <c r="I69" s="7"/>
      <c r="J69" s="7">
        <f>+I69-'ROR-Model'!I69</f>
        <v>0</v>
      </c>
      <c r="K69" s="7"/>
      <c r="L69" s="7"/>
      <c r="M69" s="7"/>
      <c r="N69" s="7"/>
      <c r="O69" s="120"/>
      <c r="P69" s="126"/>
      <c r="Q69" s="7"/>
      <c r="R69" s="7"/>
      <c r="S69" s="126"/>
      <c r="T69" s="7"/>
      <c r="U69" s="7"/>
      <c r="V69" s="124"/>
      <c r="W69" s="7"/>
      <c r="X69" s="139"/>
      <c r="Y69" s="3">
        <f t="shared" si="0"/>
        <v>60</v>
      </c>
      <c r="AA69" s="7"/>
      <c r="AC69" s="7" t="str">
        <f t="shared" si="1"/>
        <v/>
      </c>
      <c r="AE69" s="42" t="str">
        <f t="shared" si="2"/>
        <v/>
      </c>
      <c r="AG69" s="162"/>
      <c r="AH69" s="1"/>
      <c r="AI69" s="1"/>
      <c r="AJ69" s="10"/>
    </row>
    <row r="70" spans="1:36">
      <c r="A70" s="136"/>
      <c r="B70" s="32" t="s">
        <v>4</v>
      </c>
      <c r="C70" s="32" t="s">
        <v>14</v>
      </c>
      <c r="D70" s="47"/>
      <c r="E70" s="7">
        <f>+G70-Adjustments!G70</f>
        <v>0</v>
      </c>
      <c r="F70" s="7">
        <f>Revenue!$F$69</f>
        <v>0</v>
      </c>
      <c r="G70" s="7">
        <f>+Adjustments!V70</f>
        <v>0</v>
      </c>
      <c r="H70" s="7"/>
      <c r="I70" s="7">
        <f>SUM($F$70:$H$70)</f>
        <v>0</v>
      </c>
      <c r="J70" s="7">
        <f>+I70-'ROR-Model'!I70</f>
        <v>0</v>
      </c>
      <c r="K70" s="7"/>
      <c r="L70" s="7" t="s">
        <v>12</v>
      </c>
      <c r="M70" s="7">
        <f>VLOOKUP($L70,$L$2:$N$7,2,FALSE)*I70</f>
        <v>0</v>
      </c>
      <c r="N70" s="7">
        <f>VLOOKUP($L70,$L$2:$N$7,3,FALSE)*I70</f>
        <v>0</v>
      </c>
      <c r="O70" s="120"/>
      <c r="P70" s="126" t="s">
        <v>510</v>
      </c>
      <c r="Q70" s="7">
        <f>IF(P70="G",M70,IF(P70="PT",0,ERR))</f>
        <v>0</v>
      </c>
      <c r="R70" s="7">
        <f>IF(P70="PT",M70,IF(P70="G",0,ERR))</f>
        <v>0</v>
      </c>
      <c r="S70" s="126" t="s">
        <v>510</v>
      </c>
      <c r="T70" s="7">
        <f>IF(S70="G",N70,IF(S70="PT",0,ERR))</f>
        <v>0</v>
      </c>
      <c r="U70" s="7">
        <f>IF(S70="PT",N70,IF(S70="G",0,ERR))</f>
        <v>0</v>
      </c>
      <c r="V70" s="124"/>
      <c r="W70" s="7">
        <f>HLOOKUP($W$9,'ROR-Model'!$Q$10:$U$1273,Y70)</f>
        <v>0</v>
      </c>
      <c r="X70" s="139"/>
      <c r="Y70" s="3">
        <f t="shared" si="0"/>
        <v>61</v>
      </c>
      <c r="AA70" s="7">
        <v>0</v>
      </c>
      <c r="AC70" s="7" t="str">
        <f t="shared" si="1"/>
        <v/>
      </c>
      <c r="AE70" s="42" t="str">
        <f t="shared" si="2"/>
        <v/>
      </c>
      <c r="AG70" s="162"/>
      <c r="AH70" t="s">
        <v>4</v>
      </c>
      <c r="AI70" t="s">
        <v>14</v>
      </c>
      <c r="AJ70" s="10"/>
    </row>
    <row r="71" spans="1:36">
      <c r="A71" s="136"/>
      <c r="B71" s="32"/>
      <c r="C71" s="32"/>
      <c r="D71" s="47"/>
      <c r="E71" s="7">
        <f>+G71-Adjustments!G71</f>
        <v>0</v>
      </c>
      <c r="F71" s="7"/>
      <c r="G71" s="7"/>
      <c r="H71" s="7"/>
      <c r="I71" s="7"/>
      <c r="J71" s="7">
        <f>+I71-'ROR-Model'!I71</f>
        <v>0</v>
      </c>
      <c r="K71" s="7"/>
      <c r="L71" s="7"/>
      <c r="M71" s="7"/>
      <c r="N71" s="7"/>
      <c r="O71" s="120"/>
      <c r="P71" s="126"/>
      <c r="Q71" s="7"/>
      <c r="R71" s="7"/>
      <c r="S71" s="126"/>
      <c r="T71" s="7"/>
      <c r="U71" s="7"/>
      <c r="V71" s="124"/>
      <c r="W71" s="7"/>
      <c r="X71" s="139"/>
      <c r="Y71" s="3">
        <f t="shared" si="0"/>
        <v>62</v>
      </c>
      <c r="AA71" s="7"/>
      <c r="AC71" s="7" t="str">
        <f t="shared" si="1"/>
        <v/>
      </c>
      <c r="AE71" s="42" t="str">
        <f t="shared" si="2"/>
        <v/>
      </c>
      <c r="AG71" s="162"/>
      <c r="AJ71" s="10"/>
    </row>
    <row r="72" spans="1:36">
      <c r="A72" s="136"/>
      <c r="B72" s="32"/>
      <c r="C72" s="32" t="s">
        <v>15</v>
      </c>
      <c r="D72" s="47"/>
      <c r="E72" s="7">
        <f>+G72-Adjustments!G72</f>
        <v>0</v>
      </c>
      <c r="F72" s="7">
        <f>Revenue!$F$71</f>
        <v>0</v>
      </c>
      <c r="G72" s="7">
        <f>+Adjustments!V72</f>
        <v>0</v>
      </c>
      <c r="H72" s="7"/>
      <c r="I72" s="7">
        <f>SUM($F$72:$H$72)</f>
        <v>0</v>
      </c>
      <c r="J72" s="7">
        <f>+I72-'ROR-Model'!I72</f>
        <v>0</v>
      </c>
      <c r="K72" s="7"/>
      <c r="L72" s="7" t="s">
        <v>12</v>
      </c>
      <c r="M72" s="7">
        <f>VLOOKUP($L72,$L$2:$N$7,2,FALSE)*I72</f>
        <v>0</v>
      </c>
      <c r="N72" s="7">
        <f>VLOOKUP($L72,$L$2:$N$7,3,FALSE)*I72</f>
        <v>0</v>
      </c>
      <c r="O72" s="120"/>
      <c r="P72" s="126" t="s">
        <v>509</v>
      </c>
      <c r="Q72" s="7">
        <f>IF(P72="G",M72,IF(P72="PT",0,ERR))</f>
        <v>0</v>
      </c>
      <c r="R72" s="7">
        <f>IF(P72="PT",M72,IF(P72="G",0,ERR))</f>
        <v>0</v>
      </c>
      <c r="S72" s="126" t="s">
        <v>509</v>
      </c>
      <c r="T72" s="7">
        <f>IF(S72="G",N72,IF(S72="PT",0,ERR))</f>
        <v>0</v>
      </c>
      <c r="U72" s="7">
        <f>IF(S72="PT",N72,IF(S72="G",0,ERR))</f>
        <v>0</v>
      </c>
      <c r="V72" s="124"/>
      <c r="W72" s="7">
        <f>HLOOKUP($W$9,'ROR-Model'!$Q$10:$U$1273,Y72)</f>
        <v>0</v>
      </c>
      <c r="X72" s="139"/>
      <c r="Y72" s="3">
        <f t="shared" si="0"/>
        <v>63</v>
      </c>
      <c r="AA72" s="7">
        <v>0</v>
      </c>
      <c r="AC72" s="7" t="str">
        <f t="shared" si="1"/>
        <v/>
      </c>
      <c r="AE72" s="42" t="str">
        <f t="shared" si="2"/>
        <v/>
      </c>
      <c r="AG72" s="162"/>
      <c r="AI72" t="s">
        <v>15</v>
      </c>
      <c r="AJ72" s="10"/>
    </row>
    <row r="73" spans="1:36">
      <c r="A73" s="136"/>
      <c r="B73" s="32"/>
      <c r="C73" s="32"/>
      <c r="D73" s="47"/>
      <c r="E73" s="7">
        <f>+G73-Adjustments!G73</f>
        <v>0</v>
      </c>
      <c r="F73" s="7"/>
      <c r="G73" s="7"/>
      <c r="H73" s="7"/>
      <c r="I73" s="7"/>
      <c r="J73" s="7">
        <f>+I73-'ROR-Model'!I73</f>
        <v>0</v>
      </c>
      <c r="K73" s="7"/>
      <c r="L73" s="7"/>
      <c r="M73" s="7"/>
      <c r="N73" s="7"/>
      <c r="O73" s="120"/>
      <c r="P73" s="126"/>
      <c r="Q73" s="7"/>
      <c r="R73" s="7"/>
      <c r="S73" s="126"/>
      <c r="T73" s="7"/>
      <c r="U73" s="7"/>
      <c r="V73" s="124"/>
      <c r="W73" s="7"/>
      <c r="X73" s="139"/>
      <c r="Y73" s="3">
        <f t="shared" si="0"/>
        <v>64</v>
      </c>
      <c r="AA73" s="7"/>
      <c r="AC73" s="7" t="str">
        <f t="shared" si="1"/>
        <v/>
      </c>
      <c r="AE73" s="42" t="str">
        <f t="shared" si="2"/>
        <v/>
      </c>
      <c r="AG73" s="162"/>
      <c r="AJ73" s="10"/>
    </row>
    <row r="74" spans="1:36">
      <c r="A74" s="136"/>
      <c r="B74" s="32"/>
      <c r="C74" s="32" t="s">
        <v>16</v>
      </c>
      <c r="D74" s="47"/>
      <c r="E74" s="7">
        <f>+G74-Adjustments!G74</f>
        <v>0</v>
      </c>
      <c r="F74" s="7">
        <f>Revenue!$F$73</f>
        <v>0</v>
      </c>
      <c r="G74" s="7">
        <f>+Adjustments!V74</f>
        <v>0</v>
      </c>
      <c r="H74" s="7"/>
      <c r="I74" s="7">
        <f>SUM($F$74:$H$74)</f>
        <v>0</v>
      </c>
      <c r="J74" s="7">
        <f>+I74-'ROR-Model'!I74</f>
        <v>0</v>
      </c>
      <c r="K74" s="7"/>
      <c r="L74" s="7" t="s">
        <v>12</v>
      </c>
      <c r="M74" s="7">
        <f>VLOOKUP($L74,$L$2:$N$7,2,FALSE)*I74</f>
        <v>0</v>
      </c>
      <c r="N74" s="7">
        <f>VLOOKUP($L74,$L$2:$N$7,3,FALSE)*I74</f>
        <v>0</v>
      </c>
      <c r="O74" s="120"/>
      <c r="P74" s="126" t="s">
        <v>509</v>
      </c>
      <c r="Q74" s="7">
        <f>IF(P74="G",M74,IF(P74="PT",0,ERR))</f>
        <v>0</v>
      </c>
      <c r="R74" s="7">
        <f>IF(P74="PT",M74,IF(P74="G",0,ERR))</f>
        <v>0</v>
      </c>
      <c r="S74" s="126" t="s">
        <v>509</v>
      </c>
      <c r="T74" s="7">
        <f>IF(S74="G",N74,IF(S74="PT",0,ERR))</f>
        <v>0</v>
      </c>
      <c r="U74" s="7">
        <f>IF(S74="PT",N74,IF(S74="G",0,ERR))</f>
        <v>0</v>
      </c>
      <c r="V74" s="124"/>
      <c r="W74" s="7">
        <f>HLOOKUP($W$9,'ROR-Model'!$Q$10:$U$1273,Y74)</f>
        <v>0</v>
      </c>
      <c r="X74" s="139"/>
      <c r="Y74" s="3">
        <f t="shared" si="0"/>
        <v>65</v>
      </c>
      <c r="AA74" s="7">
        <v>0</v>
      </c>
      <c r="AC74" s="7" t="str">
        <f t="shared" si="1"/>
        <v/>
      </c>
      <c r="AE74" s="42" t="str">
        <f t="shared" si="2"/>
        <v/>
      </c>
      <c r="AG74" s="162"/>
      <c r="AI74" t="s">
        <v>16</v>
      </c>
      <c r="AJ74" s="10"/>
    </row>
    <row r="75" spans="1:36">
      <c r="A75" s="136"/>
      <c r="B75" s="32"/>
      <c r="C75" s="32" t="s">
        <v>17</v>
      </c>
      <c r="D75" s="47"/>
      <c r="E75" s="140">
        <f>+G75-Adjustments!G75</f>
        <v>0</v>
      </c>
      <c r="F75" s="140">
        <f>SUM(F70:F74)</f>
        <v>0</v>
      </c>
      <c r="G75" s="140">
        <f>SUM(G70:G74)</f>
        <v>0</v>
      </c>
      <c r="H75" s="140">
        <f>SUM(H70:H74)</f>
        <v>0</v>
      </c>
      <c r="I75" s="140">
        <f>SUM(I70:I74)</f>
        <v>0</v>
      </c>
      <c r="J75" s="7">
        <f>+I75-'ROR-Model'!I75</f>
        <v>0</v>
      </c>
      <c r="K75" s="7"/>
      <c r="L75" s="140"/>
      <c r="M75" s="140">
        <f>SUM(M70:M74)</f>
        <v>0</v>
      </c>
      <c r="N75" s="140">
        <f>SUM(N70:N74)</f>
        <v>0</v>
      </c>
      <c r="O75" s="120"/>
      <c r="P75" s="201"/>
      <c r="Q75" s="140">
        <f>SUM(Q70:Q74)</f>
        <v>0</v>
      </c>
      <c r="R75" s="140">
        <f>SUM(R70:R74)</f>
        <v>0</v>
      </c>
      <c r="S75" s="201"/>
      <c r="T75" s="140">
        <f>SUM(T70:T74)</f>
        <v>0</v>
      </c>
      <c r="U75" s="140">
        <f>SUM(U70:U74)</f>
        <v>0</v>
      </c>
      <c r="V75" s="124"/>
      <c r="W75" s="140">
        <f>HLOOKUP($W$9,'ROR-Model'!$Q$10:$U$1273,Y75)</f>
        <v>0</v>
      </c>
      <c r="X75" s="139"/>
      <c r="Y75" s="3">
        <f t="shared" si="0"/>
        <v>66</v>
      </c>
      <c r="AA75" s="140">
        <v>0</v>
      </c>
      <c r="AC75" s="140" t="str">
        <f t="shared" si="1"/>
        <v/>
      </c>
      <c r="AE75" s="42" t="str">
        <f t="shared" si="2"/>
        <v/>
      </c>
      <c r="AG75" s="162"/>
      <c r="AI75" t="s">
        <v>17</v>
      </c>
      <c r="AJ75" s="10"/>
    </row>
    <row r="76" spans="1:36">
      <c r="A76" s="136"/>
      <c r="B76" s="32"/>
      <c r="C76" s="32"/>
      <c r="D76" s="47"/>
      <c r="E76" s="7">
        <f>+G76-Adjustments!G76</f>
        <v>0</v>
      </c>
      <c r="F76" s="7"/>
      <c r="G76" s="7"/>
      <c r="H76" s="7"/>
      <c r="I76" s="7"/>
      <c r="J76" s="7">
        <f>+I76-'ROR-Model'!I76</f>
        <v>0</v>
      </c>
      <c r="K76" s="7"/>
      <c r="L76" s="7"/>
      <c r="M76" s="7"/>
      <c r="N76" s="7"/>
      <c r="O76" s="120"/>
      <c r="P76" s="126"/>
      <c r="Q76" s="7"/>
      <c r="R76" s="7"/>
      <c r="S76" s="126"/>
      <c r="T76" s="7"/>
      <c r="U76" s="7"/>
      <c r="V76" s="124"/>
      <c r="W76" s="7"/>
      <c r="X76" s="139"/>
      <c r="Y76" s="3">
        <f t="shared" ref="Y76:Y139" si="3">Y75+1</f>
        <v>67</v>
      </c>
      <c r="AA76" s="7"/>
      <c r="AC76" s="7" t="str">
        <f t="shared" si="1"/>
        <v/>
      </c>
      <c r="AE76" s="42" t="str">
        <f t="shared" si="2"/>
        <v/>
      </c>
      <c r="AG76" s="162"/>
      <c r="AJ76" s="10"/>
    </row>
    <row r="77" spans="1:36">
      <c r="A77" s="136"/>
      <c r="B77" s="32"/>
      <c r="C77" s="32" t="s">
        <v>18</v>
      </c>
      <c r="D77" s="47"/>
      <c r="E77" s="7">
        <f>+G77-Adjustments!G77</f>
        <v>0</v>
      </c>
      <c r="F77" s="7">
        <f>Revenue!$F$76</f>
        <v>0</v>
      </c>
      <c r="G77" s="7">
        <f>+Adjustments!V77</f>
        <v>0</v>
      </c>
      <c r="H77" s="7"/>
      <c r="I77" s="520">
        <f>SUM($F$77:$H$77)</f>
        <v>0</v>
      </c>
      <c r="J77" s="7">
        <f>+I77-'ROR-Model'!I77</f>
        <v>0</v>
      </c>
      <c r="K77" s="7"/>
      <c r="L77" s="7" t="s">
        <v>12</v>
      </c>
      <c r="M77" s="7">
        <f>VLOOKUP($L77,$L$2:$N$7,2,FALSE)*I77</f>
        <v>0</v>
      </c>
      <c r="N77" s="7">
        <f>VLOOKUP($L77,$L$2:$N$7,3,FALSE)*I77</f>
        <v>0</v>
      </c>
      <c r="O77" s="120"/>
      <c r="P77" s="126" t="s">
        <v>510</v>
      </c>
      <c r="Q77" s="7">
        <f>IF(P77="G",M77,IF(P77="PT",0,ERR))</f>
        <v>0</v>
      </c>
      <c r="R77" s="7">
        <f>IF(P77="PT",M77,IF(P77="G",0,ERR))</f>
        <v>0</v>
      </c>
      <c r="S77" s="126" t="s">
        <v>510</v>
      </c>
      <c r="T77" s="7">
        <f>IF(S77="G",N77,IF(S77="PT",0,ERR))</f>
        <v>0</v>
      </c>
      <c r="U77" s="7">
        <f>IF(S77="PT",N77,IF(S77="G",0,ERR))</f>
        <v>0</v>
      </c>
      <c r="V77" s="124"/>
      <c r="W77" s="7">
        <f>HLOOKUP($W$9,'ROR-Model'!$Q$10:$U$1273,Y77)</f>
        <v>0</v>
      </c>
      <c r="X77" s="139"/>
      <c r="Y77" s="3">
        <f t="shared" si="3"/>
        <v>68</v>
      </c>
      <c r="AA77" s="7">
        <v>0</v>
      </c>
      <c r="AC77" s="7" t="str">
        <f t="shared" si="1"/>
        <v/>
      </c>
      <c r="AE77" s="42" t="str">
        <f t="shared" si="2"/>
        <v/>
      </c>
      <c r="AG77" s="162"/>
      <c r="AI77" t="s">
        <v>18</v>
      </c>
      <c r="AJ77" s="10"/>
    </row>
    <row r="78" spans="1:36">
      <c r="A78" s="136"/>
      <c r="B78" s="32"/>
      <c r="C78" s="32"/>
      <c r="D78" s="47"/>
      <c r="E78" s="7">
        <f>+G78-Adjustments!G78</f>
        <v>0</v>
      </c>
      <c r="F78" s="7"/>
      <c r="G78" s="7"/>
      <c r="H78" s="7"/>
      <c r="I78" s="7"/>
      <c r="J78" s="7">
        <f>+I78-'ROR-Model'!I78</f>
        <v>0</v>
      </c>
      <c r="K78" s="7"/>
      <c r="L78" s="7"/>
      <c r="M78" s="7"/>
      <c r="N78" s="7"/>
      <c r="O78" s="120"/>
      <c r="P78" s="126"/>
      <c r="Q78" s="7"/>
      <c r="R78" s="7"/>
      <c r="S78" s="126"/>
      <c r="T78" s="7"/>
      <c r="U78" s="7"/>
      <c r="V78" s="124"/>
      <c r="W78" s="7"/>
      <c r="X78" s="139"/>
      <c r="Y78" s="3">
        <f t="shared" si="3"/>
        <v>69</v>
      </c>
      <c r="AA78" s="7"/>
      <c r="AC78" s="7" t="str">
        <f t="shared" si="1"/>
        <v/>
      </c>
      <c r="AE78" s="42" t="str">
        <f t="shared" si="2"/>
        <v/>
      </c>
      <c r="AG78" s="162"/>
      <c r="AJ78" s="10"/>
    </row>
    <row r="79" spans="1:36">
      <c r="A79" s="136"/>
      <c r="B79" s="32" t="s">
        <v>629</v>
      </c>
      <c r="C79" s="32" t="s">
        <v>14</v>
      </c>
      <c r="D79" s="47"/>
      <c r="E79" s="7">
        <f>+G79-Adjustments!G79</f>
        <v>0</v>
      </c>
      <c r="F79" s="7">
        <f>Revenue!$F$78</f>
        <v>0</v>
      </c>
      <c r="G79" s="7">
        <f>+Adjustments!V79</f>
        <v>0</v>
      </c>
      <c r="H79" s="7"/>
      <c r="I79" s="7">
        <f>SUM($F$79:$H$79)</f>
        <v>0</v>
      </c>
      <c r="J79" s="7">
        <f>+I79-'ROR-Model'!I79</f>
        <v>0</v>
      </c>
      <c r="K79" s="7"/>
      <c r="L79" s="7" t="s">
        <v>12</v>
      </c>
      <c r="M79" s="7">
        <f>VLOOKUP($L79,$L$2:$N$7,2,FALSE)*I79</f>
        <v>0</v>
      </c>
      <c r="N79" s="7">
        <f>VLOOKUP($L79,$L$2:$N$7,3,FALSE)*I79</f>
        <v>0</v>
      </c>
      <c r="O79" s="120"/>
      <c r="P79" s="126" t="s">
        <v>510</v>
      </c>
      <c r="Q79" s="7">
        <f>IF(P79="G",M79,IF(P79="PT",0,ERR))</f>
        <v>0</v>
      </c>
      <c r="R79" s="7">
        <f>IF(P79="PT",M79,IF(P79="G",0,ERR))</f>
        <v>0</v>
      </c>
      <c r="S79" s="126" t="s">
        <v>510</v>
      </c>
      <c r="T79" s="7">
        <f>IF(S79="G",N79,IF(S79="PT",0,ERR))</f>
        <v>0</v>
      </c>
      <c r="U79" s="7">
        <f>IF(S79="PT",N79,IF(S79="G",0,ERR))</f>
        <v>0</v>
      </c>
      <c r="V79" s="124"/>
      <c r="W79" s="7">
        <f>HLOOKUP($W$9,'ROR-Model'!$Q$10:$U$1273,Y79)</f>
        <v>0</v>
      </c>
      <c r="X79" s="139"/>
      <c r="Y79" s="3">
        <f t="shared" si="3"/>
        <v>70</v>
      </c>
      <c r="AA79" s="7">
        <v>0</v>
      </c>
      <c r="AC79" s="7" t="str">
        <f t="shared" si="1"/>
        <v/>
      </c>
      <c r="AE79" s="42" t="str">
        <f t="shared" si="2"/>
        <v/>
      </c>
      <c r="AG79" s="162"/>
      <c r="AH79" t="s">
        <v>629</v>
      </c>
      <c r="AI79" t="s">
        <v>14</v>
      </c>
      <c r="AJ79" s="10"/>
    </row>
    <row r="80" spans="1:36">
      <c r="A80" s="136"/>
      <c r="B80" s="32"/>
      <c r="C80" s="32"/>
      <c r="D80" s="47"/>
      <c r="E80" s="7">
        <f>+G80-Adjustments!G80</f>
        <v>0</v>
      </c>
      <c r="F80" s="7"/>
      <c r="G80" s="7"/>
      <c r="H80" s="7"/>
      <c r="I80" s="7"/>
      <c r="J80" s="7">
        <f>+I80-'ROR-Model'!I80</f>
        <v>0</v>
      </c>
      <c r="K80" s="7"/>
      <c r="L80" s="7"/>
      <c r="M80" s="7"/>
      <c r="N80" s="7"/>
      <c r="O80" s="120"/>
      <c r="P80" s="126"/>
      <c r="Q80" s="7"/>
      <c r="R80" s="7"/>
      <c r="S80" s="126"/>
      <c r="T80" s="7"/>
      <c r="U80" s="7"/>
      <c r="V80" s="124"/>
      <c r="W80" s="7"/>
      <c r="X80" s="139"/>
      <c r="Y80" s="3">
        <f t="shared" si="3"/>
        <v>71</v>
      </c>
      <c r="AA80" s="7"/>
      <c r="AC80" s="7" t="str">
        <f t="shared" si="1"/>
        <v/>
      </c>
      <c r="AE80" s="42" t="str">
        <f t="shared" si="2"/>
        <v/>
      </c>
      <c r="AG80" s="162"/>
      <c r="AJ80" s="10"/>
    </row>
    <row r="81" spans="1:36">
      <c r="A81" s="136"/>
      <c r="B81" s="32"/>
      <c r="C81" s="32" t="s">
        <v>15</v>
      </c>
      <c r="D81" s="47"/>
      <c r="E81" s="7">
        <f>+G81-Adjustments!G81</f>
        <v>0</v>
      </c>
      <c r="F81" s="7">
        <f>Revenue!$F$80</f>
        <v>0</v>
      </c>
      <c r="G81" s="7">
        <f>+Adjustments!V81</f>
        <v>0</v>
      </c>
      <c r="H81" s="7"/>
      <c r="I81" s="7">
        <f>SUM($F$81:$H$81)</f>
        <v>0</v>
      </c>
      <c r="J81" s="7">
        <f>+I81-'ROR-Model'!I81</f>
        <v>0</v>
      </c>
      <c r="K81" s="7"/>
      <c r="L81" s="7" t="s">
        <v>12</v>
      </c>
      <c r="M81" s="7">
        <f>VLOOKUP($L81,$L$2:$N$7,2,FALSE)*I81</f>
        <v>0</v>
      </c>
      <c r="N81" s="7">
        <f>VLOOKUP($L81,$L$2:$N$7,3,FALSE)*I81</f>
        <v>0</v>
      </c>
      <c r="O81" s="120"/>
      <c r="P81" s="126" t="s">
        <v>509</v>
      </c>
      <c r="Q81" s="7">
        <f>IF(P81="G",M81,IF(P81="PT",0,ERR))</f>
        <v>0</v>
      </c>
      <c r="R81" s="7">
        <f>IF(P81="PT",M81,IF(P81="G",0,ERR))</f>
        <v>0</v>
      </c>
      <c r="S81" s="126" t="s">
        <v>509</v>
      </c>
      <c r="T81" s="7">
        <f>IF(S81="G",N81,IF(S81="PT",0,ERR))</f>
        <v>0</v>
      </c>
      <c r="U81" s="7">
        <f>IF(S81="PT",N81,IF(S81="G",0,ERR))</f>
        <v>0</v>
      </c>
      <c r="V81" s="124"/>
      <c r="W81" s="7">
        <f>HLOOKUP($W$9,'ROR-Model'!$Q$10:$U$1273,Y81)</f>
        <v>0</v>
      </c>
      <c r="X81" s="139"/>
      <c r="Y81" s="3">
        <f t="shared" si="3"/>
        <v>72</v>
      </c>
      <c r="AA81" s="7">
        <v>0</v>
      </c>
      <c r="AC81" s="7" t="str">
        <f t="shared" ref="AC81:AC144" si="4">IF(ABS(AA81)&gt;0,W81-AA81,"")</f>
        <v/>
      </c>
      <c r="AE81" s="42" t="str">
        <f t="shared" si="2"/>
        <v/>
      </c>
      <c r="AG81" s="162"/>
      <c r="AI81" t="s">
        <v>15</v>
      </c>
      <c r="AJ81" s="10"/>
    </row>
    <row r="82" spans="1:36">
      <c r="A82" s="136"/>
      <c r="B82" s="32"/>
      <c r="C82" s="32"/>
      <c r="D82" s="47"/>
      <c r="E82" s="7">
        <f>+G82-Adjustments!G82</f>
        <v>0</v>
      </c>
      <c r="F82" s="7"/>
      <c r="G82" s="7"/>
      <c r="H82" s="7"/>
      <c r="I82" s="7"/>
      <c r="J82" s="7">
        <f>+I82-'ROR-Model'!I82</f>
        <v>0</v>
      </c>
      <c r="K82" s="7"/>
      <c r="L82" s="7"/>
      <c r="M82" s="7"/>
      <c r="N82" s="7"/>
      <c r="O82" s="120"/>
      <c r="P82" s="126"/>
      <c r="Q82" s="7"/>
      <c r="R82" s="7"/>
      <c r="S82" s="126"/>
      <c r="T82" s="7"/>
      <c r="U82" s="7"/>
      <c r="V82" s="124"/>
      <c r="W82" s="7"/>
      <c r="X82" s="139"/>
      <c r="Y82" s="3">
        <f t="shared" si="3"/>
        <v>73</v>
      </c>
      <c r="AA82" s="7"/>
      <c r="AC82" s="7" t="str">
        <f t="shared" si="4"/>
        <v/>
      </c>
      <c r="AE82" s="42" t="str">
        <f t="shared" ref="AE82:AE145" si="5">IF(ABS(AA82)&gt;0,AC82/AA82,"")</f>
        <v/>
      </c>
      <c r="AG82" s="162"/>
      <c r="AJ82" s="10"/>
    </row>
    <row r="83" spans="1:36">
      <c r="A83" s="136"/>
      <c r="B83" s="32"/>
      <c r="C83" s="32" t="s">
        <v>16</v>
      </c>
      <c r="D83" s="47"/>
      <c r="E83" s="7">
        <f>+G83-Adjustments!G83</f>
        <v>0</v>
      </c>
      <c r="F83" s="7">
        <f>Revenue!$F$82</f>
        <v>0</v>
      </c>
      <c r="G83" s="7">
        <f>+Adjustments!V83</f>
        <v>0</v>
      </c>
      <c r="H83" s="7"/>
      <c r="I83" s="7">
        <f>SUM($F$83:$H$83)</f>
        <v>0</v>
      </c>
      <c r="J83" s="7">
        <f>+I83-'ROR-Model'!I83</f>
        <v>0</v>
      </c>
      <c r="K83" s="7"/>
      <c r="L83" s="7" t="s">
        <v>12</v>
      </c>
      <c r="M83" s="7">
        <f>VLOOKUP($L83,$L$2:$N$7,2,FALSE)*I83</f>
        <v>0</v>
      </c>
      <c r="N83" s="7">
        <f>VLOOKUP($L83,$L$2:$N$7,3,FALSE)*I83</f>
        <v>0</v>
      </c>
      <c r="O83" s="120"/>
      <c r="P83" s="126" t="s">
        <v>509</v>
      </c>
      <c r="Q83" s="7">
        <f>IF(P83="G",M83,IF(P83="PT",0,ERR))</f>
        <v>0</v>
      </c>
      <c r="R83" s="7">
        <f>IF(P83="PT",M83,IF(P83="G",0,ERR))</f>
        <v>0</v>
      </c>
      <c r="S83" s="126" t="s">
        <v>509</v>
      </c>
      <c r="T83" s="7">
        <f>IF(S83="G",N83,IF(S83="PT",0,ERR))</f>
        <v>0</v>
      </c>
      <c r="U83" s="7">
        <f>IF(S83="PT",N83,IF(S83="G",0,ERR))</f>
        <v>0</v>
      </c>
      <c r="V83" s="124"/>
      <c r="W83" s="7">
        <f>HLOOKUP($W$9,'ROR-Model'!$Q$10:$U$1273,Y83)</f>
        <v>0</v>
      </c>
      <c r="X83" s="139"/>
      <c r="Y83" s="3">
        <f t="shared" si="3"/>
        <v>74</v>
      </c>
      <c r="AA83" s="7">
        <v>0</v>
      </c>
      <c r="AC83" s="7" t="str">
        <f t="shared" si="4"/>
        <v/>
      </c>
      <c r="AE83" s="42" t="str">
        <f t="shared" si="5"/>
        <v/>
      </c>
      <c r="AG83" s="162"/>
      <c r="AI83" t="s">
        <v>16</v>
      </c>
      <c r="AJ83" s="10"/>
    </row>
    <row r="84" spans="1:36">
      <c r="A84" s="136"/>
      <c r="B84" s="32"/>
      <c r="C84" s="32" t="s">
        <v>17</v>
      </c>
      <c r="D84" s="47"/>
      <c r="E84" s="140">
        <f>+G84-Adjustments!G84</f>
        <v>0</v>
      </c>
      <c r="F84" s="140">
        <f>SUM(F79:F83)</f>
        <v>0</v>
      </c>
      <c r="G84" s="140">
        <f>SUM(G79:G83)</f>
        <v>0</v>
      </c>
      <c r="H84" s="140">
        <f>SUM(H79:H83)</f>
        <v>0</v>
      </c>
      <c r="I84" s="140">
        <f>SUM(I79:I83)</f>
        <v>0</v>
      </c>
      <c r="J84" s="7">
        <f>+I84-'ROR-Model'!I84</f>
        <v>0</v>
      </c>
      <c r="K84" s="7"/>
      <c r="L84" s="140"/>
      <c r="M84" s="140">
        <f>SUM(M79:M83)</f>
        <v>0</v>
      </c>
      <c r="N84" s="140">
        <f>SUM(N79:N83)</f>
        <v>0</v>
      </c>
      <c r="O84" s="120"/>
      <c r="P84" s="201"/>
      <c r="Q84" s="140">
        <f>SUM(Q79:Q83)</f>
        <v>0</v>
      </c>
      <c r="R84" s="140">
        <f>SUM(R79:R83)</f>
        <v>0</v>
      </c>
      <c r="S84" s="201"/>
      <c r="T84" s="140">
        <f>SUM(T79:T83)</f>
        <v>0</v>
      </c>
      <c r="U84" s="140">
        <f>SUM(U79:U83)</f>
        <v>0</v>
      </c>
      <c r="V84" s="124"/>
      <c r="W84" s="140">
        <f>HLOOKUP($W$9,'ROR-Model'!$Q$10:$U$1273,Y84)</f>
        <v>0</v>
      </c>
      <c r="X84" s="139"/>
      <c r="Y84" s="3">
        <f t="shared" si="3"/>
        <v>75</v>
      </c>
      <c r="AA84" s="140">
        <v>0</v>
      </c>
      <c r="AC84" s="140" t="str">
        <f t="shared" si="4"/>
        <v/>
      </c>
      <c r="AE84" s="42" t="str">
        <f t="shared" si="5"/>
        <v/>
      </c>
      <c r="AG84" s="162"/>
      <c r="AI84" t="s">
        <v>17</v>
      </c>
      <c r="AJ84" s="10"/>
    </row>
    <row r="85" spans="1:36">
      <c r="A85" s="136"/>
      <c r="B85" s="32"/>
      <c r="C85" s="32"/>
      <c r="D85" s="47"/>
      <c r="E85" s="7">
        <f>+G85-Adjustments!G85</f>
        <v>0</v>
      </c>
      <c r="F85" s="7"/>
      <c r="G85" s="7"/>
      <c r="H85" s="7"/>
      <c r="I85" s="7"/>
      <c r="J85" s="7">
        <f>+I85-'ROR-Model'!I85</f>
        <v>0</v>
      </c>
      <c r="K85" s="7"/>
      <c r="L85" s="7"/>
      <c r="M85" s="7"/>
      <c r="N85" s="7"/>
      <c r="O85" s="120"/>
      <c r="P85" s="126"/>
      <c r="Q85" s="7"/>
      <c r="R85" s="7"/>
      <c r="S85" s="126"/>
      <c r="T85" s="7"/>
      <c r="U85" s="7"/>
      <c r="V85" s="124"/>
      <c r="W85" s="7"/>
      <c r="X85" s="139"/>
      <c r="Y85" s="3">
        <f t="shared" si="3"/>
        <v>76</v>
      </c>
      <c r="AA85" s="7"/>
      <c r="AC85" s="7" t="str">
        <f t="shared" si="4"/>
        <v/>
      </c>
      <c r="AE85" s="42" t="str">
        <f t="shared" si="5"/>
        <v/>
      </c>
      <c r="AG85" s="162"/>
      <c r="AJ85" s="10"/>
    </row>
    <row r="86" spans="1:36">
      <c r="A86" s="136"/>
      <c r="B86" s="32"/>
      <c r="C86" s="32" t="s">
        <v>18</v>
      </c>
      <c r="D86" s="47"/>
      <c r="E86" s="7">
        <f>+G86-Adjustments!G86</f>
        <v>0</v>
      </c>
      <c r="F86" s="7">
        <f>Revenue!$F$85</f>
        <v>0</v>
      </c>
      <c r="G86" s="7">
        <f>+Adjustments!V86</f>
        <v>0</v>
      </c>
      <c r="H86" s="7"/>
      <c r="I86" s="520">
        <f>SUM($F$86:$H$86)</f>
        <v>0</v>
      </c>
      <c r="J86" s="7">
        <f>+I86-'ROR-Model'!I86</f>
        <v>0</v>
      </c>
      <c r="K86" s="7"/>
      <c r="L86" s="7" t="s">
        <v>12</v>
      </c>
      <c r="M86" s="7">
        <f>VLOOKUP($L86,$L$2:$N$7,2,FALSE)*I86</f>
        <v>0</v>
      </c>
      <c r="N86" s="7">
        <f>VLOOKUP($L86,$L$2:$N$7,3,FALSE)*I86</f>
        <v>0</v>
      </c>
      <c r="O86" s="120"/>
      <c r="P86" s="126" t="s">
        <v>510</v>
      </c>
      <c r="Q86" s="7">
        <f>IF(P86="G",M86,IF(P86="PT",0,ERR))</f>
        <v>0</v>
      </c>
      <c r="R86" s="7">
        <f>IF(P86="PT",M86,IF(P86="G",0,ERR))</f>
        <v>0</v>
      </c>
      <c r="S86" s="126" t="s">
        <v>510</v>
      </c>
      <c r="T86" s="7">
        <f>IF(S86="G",N86,IF(S86="PT",0,ERR))</f>
        <v>0</v>
      </c>
      <c r="U86" s="7">
        <f>IF(S86="PT",N86,IF(S86="G",0,ERR))</f>
        <v>0</v>
      </c>
      <c r="V86" s="124"/>
      <c r="W86" s="7">
        <f>HLOOKUP($W$9,'ROR-Model'!$Q$10:$U$1273,Y86)</f>
        <v>0</v>
      </c>
      <c r="X86" s="139"/>
      <c r="Y86" s="3">
        <f t="shared" si="3"/>
        <v>77</v>
      </c>
      <c r="AA86" s="7">
        <v>0</v>
      </c>
      <c r="AC86" s="7" t="str">
        <f t="shared" si="4"/>
        <v/>
      </c>
      <c r="AE86" s="42" t="str">
        <f t="shared" si="5"/>
        <v/>
      </c>
      <c r="AG86" s="162"/>
      <c r="AI86" t="s">
        <v>18</v>
      </c>
      <c r="AJ86" s="10"/>
    </row>
    <row r="87" spans="1:36">
      <c r="A87" s="136"/>
      <c r="B87" s="32"/>
      <c r="C87" s="32"/>
      <c r="D87" s="47"/>
      <c r="E87" s="7">
        <f>+G87-Adjustments!G87</f>
        <v>0</v>
      </c>
      <c r="F87" s="7"/>
      <c r="G87" s="7"/>
      <c r="H87" s="7"/>
      <c r="I87" s="7"/>
      <c r="J87" s="7">
        <f>+I87-'ROR-Model'!I87</f>
        <v>0</v>
      </c>
      <c r="K87" s="7"/>
      <c r="L87" s="7"/>
      <c r="M87" s="7"/>
      <c r="N87" s="7"/>
      <c r="O87" s="120"/>
      <c r="P87" s="126"/>
      <c r="Q87" s="7"/>
      <c r="R87" s="7"/>
      <c r="S87" s="126"/>
      <c r="T87" s="7"/>
      <c r="U87" s="7"/>
      <c r="V87" s="124"/>
      <c r="W87" s="7"/>
      <c r="X87" s="139"/>
      <c r="Y87" s="3">
        <f t="shared" si="3"/>
        <v>78</v>
      </c>
      <c r="AA87" s="7"/>
      <c r="AC87" s="7" t="str">
        <f t="shared" si="4"/>
        <v/>
      </c>
      <c r="AE87" s="42" t="str">
        <f t="shared" si="5"/>
        <v/>
      </c>
      <c r="AG87" s="162"/>
      <c r="AJ87" s="10"/>
    </row>
    <row r="88" spans="1:36">
      <c r="A88" s="136"/>
      <c r="B88" s="32" t="s">
        <v>79</v>
      </c>
      <c r="C88" s="32" t="s">
        <v>14</v>
      </c>
      <c r="D88" s="47"/>
      <c r="E88" s="7">
        <f>+G88-Adjustments!G88</f>
        <v>0</v>
      </c>
      <c r="F88" s="7">
        <f>Revenue!$F$87</f>
        <v>0</v>
      </c>
      <c r="G88" s="7">
        <f>+Adjustments!V88</f>
        <v>0</v>
      </c>
      <c r="H88" s="7"/>
      <c r="I88" s="7">
        <f>SUM($F$88:$H$88)</f>
        <v>0</v>
      </c>
      <c r="J88" s="7">
        <f>+I88-'ROR-Model'!I88</f>
        <v>0</v>
      </c>
      <c r="K88" s="7"/>
      <c r="L88" s="7" t="s">
        <v>12</v>
      </c>
      <c r="M88" s="7">
        <f>VLOOKUP($L88,$L$2:$N$7,2,FALSE)*I88</f>
        <v>0</v>
      </c>
      <c r="N88" s="7">
        <f>VLOOKUP($L88,$L$2:$N$7,3,FALSE)*I88</f>
        <v>0</v>
      </c>
      <c r="O88" s="120"/>
      <c r="P88" s="126" t="s">
        <v>510</v>
      </c>
      <c r="Q88" s="7">
        <f>IF(P88="G",M88,IF(P88="PT",0,ERR))</f>
        <v>0</v>
      </c>
      <c r="R88" s="7">
        <f>IF(P88="PT",M88,IF(P88="G",0,ERR))</f>
        <v>0</v>
      </c>
      <c r="S88" s="126" t="s">
        <v>510</v>
      </c>
      <c r="T88" s="7">
        <f>IF(S88="G",N88,IF(S88="PT",0,ERR))</f>
        <v>0</v>
      </c>
      <c r="U88" s="7">
        <f>IF(S88="PT",N88,IF(S88="G",0,ERR))</f>
        <v>0</v>
      </c>
      <c r="V88" s="124"/>
      <c r="W88" s="7">
        <f>HLOOKUP($W$9,'ROR-Model'!$Q$10:$U$1273,Y88)</f>
        <v>0</v>
      </c>
      <c r="X88" s="139"/>
      <c r="Y88" s="3">
        <f t="shared" si="3"/>
        <v>79</v>
      </c>
      <c r="AA88" s="7">
        <v>0</v>
      </c>
      <c r="AC88" s="7" t="str">
        <f t="shared" si="4"/>
        <v/>
      </c>
      <c r="AE88" s="42" t="str">
        <f t="shared" si="5"/>
        <v/>
      </c>
      <c r="AG88" s="162"/>
      <c r="AH88" t="s">
        <v>79</v>
      </c>
      <c r="AI88" t="s">
        <v>14</v>
      </c>
      <c r="AJ88" s="10"/>
    </row>
    <row r="89" spans="1:36">
      <c r="A89" s="136"/>
      <c r="B89" s="32"/>
      <c r="C89" s="32"/>
      <c r="D89" s="47"/>
      <c r="E89" s="7">
        <f>+G89-Adjustments!G89</f>
        <v>0</v>
      </c>
      <c r="F89" s="7"/>
      <c r="G89" s="7"/>
      <c r="H89" s="7"/>
      <c r="I89" s="7"/>
      <c r="J89" s="7">
        <f>+I89-'ROR-Model'!I89</f>
        <v>0</v>
      </c>
      <c r="K89" s="7"/>
      <c r="L89" s="7"/>
      <c r="M89" s="7"/>
      <c r="N89" s="7"/>
      <c r="O89" s="120"/>
      <c r="P89" s="126"/>
      <c r="Q89" s="7"/>
      <c r="R89" s="7"/>
      <c r="S89" s="126"/>
      <c r="T89" s="7"/>
      <c r="U89" s="7"/>
      <c r="V89" s="124"/>
      <c r="W89" s="7"/>
      <c r="X89" s="139"/>
      <c r="Y89" s="3">
        <f t="shared" si="3"/>
        <v>80</v>
      </c>
      <c r="AA89" s="7"/>
      <c r="AC89" s="7" t="str">
        <f t="shared" si="4"/>
        <v/>
      </c>
      <c r="AE89" s="42" t="str">
        <f t="shared" si="5"/>
        <v/>
      </c>
      <c r="AG89" s="162"/>
      <c r="AJ89" s="10"/>
    </row>
    <row r="90" spans="1:36">
      <c r="A90" s="136"/>
      <c r="B90" s="32"/>
      <c r="C90" s="32" t="s">
        <v>15</v>
      </c>
      <c r="D90" s="47"/>
      <c r="E90" s="7">
        <f>+G90-Adjustments!G90</f>
        <v>0</v>
      </c>
      <c r="F90" s="7">
        <f>Revenue!$F$89</f>
        <v>0</v>
      </c>
      <c r="G90" s="7">
        <f>+Adjustments!V90</f>
        <v>0</v>
      </c>
      <c r="H90" s="7"/>
      <c r="I90" s="7">
        <f>SUM($F$90:$H$90)</f>
        <v>0</v>
      </c>
      <c r="J90" s="7">
        <f>+I90-'ROR-Model'!I90</f>
        <v>0</v>
      </c>
      <c r="K90" s="7"/>
      <c r="L90" s="7" t="s">
        <v>12</v>
      </c>
      <c r="M90" s="7">
        <f>VLOOKUP($L90,$L$2:$N$7,2,FALSE)*I90</f>
        <v>0</v>
      </c>
      <c r="N90" s="7">
        <f>VLOOKUP($L90,$L$2:$N$7,3,FALSE)*I90</f>
        <v>0</v>
      </c>
      <c r="O90" s="120"/>
      <c r="P90" s="126" t="s">
        <v>509</v>
      </c>
      <c r="Q90" s="7">
        <f>IF(P90="G",M90,IF(P90="PT",0,ERR))</f>
        <v>0</v>
      </c>
      <c r="R90" s="7">
        <f>IF(P90="PT",M90,IF(P90="G",0,ERR))</f>
        <v>0</v>
      </c>
      <c r="S90" s="126" t="s">
        <v>509</v>
      </c>
      <c r="T90" s="7">
        <f>IF(S90="G",N90,IF(S90="PT",0,ERR))</f>
        <v>0</v>
      </c>
      <c r="U90" s="7">
        <f>IF(S90="PT",N90,IF(S90="G",0,ERR))</f>
        <v>0</v>
      </c>
      <c r="V90" s="124"/>
      <c r="W90" s="7">
        <f>HLOOKUP($W$9,'ROR-Model'!$Q$10:$U$1273,Y90)</f>
        <v>0</v>
      </c>
      <c r="X90" s="139"/>
      <c r="Y90" s="3">
        <f t="shared" si="3"/>
        <v>81</v>
      </c>
      <c r="AA90" s="7">
        <v>0</v>
      </c>
      <c r="AC90" s="7" t="str">
        <f t="shared" si="4"/>
        <v/>
      </c>
      <c r="AE90" s="42" t="str">
        <f t="shared" si="5"/>
        <v/>
      </c>
      <c r="AG90" s="162"/>
      <c r="AI90" t="s">
        <v>15</v>
      </c>
      <c r="AJ90" s="10"/>
    </row>
    <row r="91" spans="1:36">
      <c r="A91" s="136"/>
      <c r="B91" s="32"/>
      <c r="C91" s="32"/>
      <c r="D91" s="47"/>
      <c r="E91" s="7">
        <f>+G91-Adjustments!G91</f>
        <v>0</v>
      </c>
      <c r="F91" s="7"/>
      <c r="G91" s="7"/>
      <c r="H91" s="7"/>
      <c r="I91" s="7"/>
      <c r="J91" s="7">
        <f>+I91-'ROR-Model'!I91</f>
        <v>0</v>
      </c>
      <c r="K91" s="7"/>
      <c r="L91" s="7"/>
      <c r="M91" s="7"/>
      <c r="N91" s="7"/>
      <c r="O91" s="120"/>
      <c r="P91" s="126"/>
      <c r="Q91" s="7"/>
      <c r="R91" s="7"/>
      <c r="S91" s="126"/>
      <c r="T91" s="7"/>
      <c r="U91" s="7"/>
      <c r="V91" s="124"/>
      <c r="W91" s="7"/>
      <c r="X91" s="139"/>
      <c r="Y91" s="3">
        <f t="shared" si="3"/>
        <v>82</v>
      </c>
      <c r="AA91" s="7"/>
      <c r="AC91" s="7" t="str">
        <f t="shared" si="4"/>
        <v/>
      </c>
      <c r="AE91" s="42" t="str">
        <f t="shared" si="5"/>
        <v/>
      </c>
      <c r="AG91" s="162"/>
      <c r="AJ91" s="10"/>
    </row>
    <row r="92" spans="1:36">
      <c r="A92" s="136"/>
      <c r="B92" s="32"/>
      <c r="C92" s="32" t="s">
        <v>16</v>
      </c>
      <c r="D92" s="47"/>
      <c r="E92" s="7">
        <f>+G92-Adjustments!G92</f>
        <v>0</v>
      </c>
      <c r="F92" s="7">
        <f>Revenue!$F$91</f>
        <v>0</v>
      </c>
      <c r="G92" s="7">
        <f>+Adjustments!V92</f>
        <v>0</v>
      </c>
      <c r="H92" s="7"/>
      <c r="I92" s="7">
        <f>SUM($F$92:$H$92)</f>
        <v>0</v>
      </c>
      <c r="J92" s="7">
        <f>+I92-'ROR-Model'!I92</f>
        <v>0</v>
      </c>
      <c r="K92" s="7"/>
      <c r="L92" s="7" t="s">
        <v>12</v>
      </c>
      <c r="M92" s="7">
        <f>VLOOKUP($L92,$L$2:$N$7,2,FALSE)*I92</f>
        <v>0</v>
      </c>
      <c r="N92" s="7">
        <f>VLOOKUP($L92,$L$2:$N$7,3,FALSE)*I92</f>
        <v>0</v>
      </c>
      <c r="O92" s="120"/>
      <c r="P92" s="126" t="s">
        <v>509</v>
      </c>
      <c r="Q92" s="7">
        <f>IF(P92="G",M92,IF(P92="PT",0,ERR))</f>
        <v>0</v>
      </c>
      <c r="R92" s="7">
        <f>IF(P92="PT",M92,IF(P92="G",0,ERR))</f>
        <v>0</v>
      </c>
      <c r="S92" s="126" t="s">
        <v>509</v>
      </c>
      <c r="T92" s="7">
        <f>IF(S92="G",N92,IF(S92="PT",0,ERR))</f>
        <v>0</v>
      </c>
      <c r="U92" s="7">
        <f>IF(S92="PT",N92,IF(S92="G",0,ERR))</f>
        <v>0</v>
      </c>
      <c r="V92" s="124"/>
      <c r="W92" s="7">
        <f>HLOOKUP($W$9,'ROR-Model'!$Q$10:$U$1273,Y92)</f>
        <v>0</v>
      </c>
      <c r="X92" s="139"/>
      <c r="Y92" s="3">
        <f t="shared" si="3"/>
        <v>83</v>
      </c>
      <c r="AA92" s="7">
        <v>0</v>
      </c>
      <c r="AC92" s="7" t="str">
        <f t="shared" si="4"/>
        <v/>
      </c>
      <c r="AE92" s="42" t="str">
        <f t="shared" si="5"/>
        <v/>
      </c>
      <c r="AG92" s="162"/>
      <c r="AI92" t="s">
        <v>16</v>
      </c>
      <c r="AJ92" s="10"/>
    </row>
    <row r="93" spans="1:36">
      <c r="A93" s="136"/>
      <c r="B93" s="32"/>
      <c r="C93" s="32" t="s">
        <v>17</v>
      </c>
      <c r="D93" s="47"/>
      <c r="E93" s="140">
        <f>+G93-Adjustments!G93</f>
        <v>0</v>
      </c>
      <c r="F93" s="140">
        <f>SUM(F88:F92)</f>
        <v>0</v>
      </c>
      <c r="G93" s="140">
        <f>SUM(G88:G92)</f>
        <v>0</v>
      </c>
      <c r="H93" s="140">
        <f>SUM(H88:H92)</f>
        <v>0</v>
      </c>
      <c r="I93" s="140">
        <f>SUM(I88:I92)</f>
        <v>0</v>
      </c>
      <c r="J93" s="7">
        <f>+I93-'ROR-Model'!I93</f>
        <v>0</v>
      </c>
      <c r="K93" s="7"/>
      <c r="L93" s="140"/>
      <c r="M93" s="140">
        <f>SUM(M88:M92)</f>
        <v>0</v>
      </c>
      <c r="N93" s="140">
        <f>SUM(N88:N92)</f>
        <v>0</v>
      </c>
      <c r="O93" s="120"/>
      <c r="P93" s="201"/>
      <c r="Q93" s="140">
        <f>SUM(Q88:Q92)</f>
        <v>0</v>
      </c>
      <c r="R93" s="140">
        <f>SUM(R88:R92)</f>
        <v>0</v>
      </c>
      <c r="S93" s="201"/>
      <c r="T93" s="140">
        <f>SUM(T88:T92)</f>
        <v>0</v>
      </c>
      <c r="U93" s="140">
        <f>SUM(U88:U92)</f>
        <v>0</v>
      </c>
      <c r="V93" s="124"/>
      <c r="W93" s="140">
        <f>HLOOKUP($W$9,'ROR-Model'!$Q$10:$U$1273,Y93)</f>
        <v>0</v>
      </c>
      <c r="X93" s="139"/>
      <c r="Y93" s="3">
        <f t="shared" si="3"/>
        <v>84</v>
      </c>
      <c r="AA93" s="140">
        <v>0</v>
      </c>
      <c r="AC93" s="140" t="str">
        <f t="shared" si="4"/>
        <v/>
      </c>
      <c r="AE93" s="42" t="str">
        <f t="shared" si="5"/>
        <v/>
      </c>
      <c r="AG93" s="162"/>
      <c r="AI93" t="s">
        <v>17</v>
      </c>
      <c r="AJ93" s="10"/>
    </row>
    <row r="94" spans="1:36">
      <c r="A94" s="136"/>
      <c r="B94" s="32"/>
      <c r="C94" s="32"/>
      <c r="D94" s="47"/>
      <c r="E94" s="7">
        <f>+G94-Adjustments!G94</f>
        <v>0</v>
      </c>
      <c r="F94" s="7"/>
      <c r="G94" s="7"/>
      <c r="H94" s="7"/>
      <c r="I94" s="7"/>
      <c r="J94" s="7">
        <f>+I94-'ROR-Model'!I94</f>
        <v>0</v>
      </c>
      <c r="K94" s="7"/>
      <c r="L94" s="7"/>
      <c r="M94" s="7"/>
      <c r="N94" s="7"/>
      <c r="O94" s="120"/>
      <c r="P94" s="126"/>
      <c r="Q94" s="7"/>
      <c r="R94" s="7"/>
      <c r="S94" s="126"/>
      <c r="T94" s="7"/>
      <c r="U94" s="7"/>
      <c r="V94" s="124"/>
      <c r="W94" s="7"/>
      <c r="X94" s="139"/>
      <c r="Y94" s="3">
        <f t="shared" si="3"/>
        <v>85</v>
      </c>
      <c r="AA94" s="7"/>
      <c r="AC94" s="7" t="str">
        <f t="shared" si="4"/>
        <v/>
      </c>
      <c r="AE94" s="42" t="str">
        <f t="shared" si="5"/>
        <v/>
      </c>
      <c r="AG94" s="162"/>
      <c r="AJ94" s="10"/>
    </row>
    <row r="95" spans="1:36">
      <c r="A95" s="136"/>
      <c r="B95" s="32"/>
      <c r="C95" s="32" t="s">
        <v>18</v>
      </c>
      <c r="D95" s="47"/>
      <c r="E95" s="7">
        <f>+G95-Adjustments!G95</f>
        <v>0</v>
      </c>
      <c r="F95" s="7">
        <f>Revenue!$F$94</f>
        <v>0</v>
      </c>
      <c r="G95" s="7">
        <f>+Adjustments!V95</f>
        <v>0</v>
      </c>
      <c r="H95" s="7"/>
      <c r="I95" s="520">
        <f>SUM($F$95:$H$95)</f>
        <v>0</v>
      </c>
      <c r="J95" s="7">
        <f>+I95-'ROR-Model'!I95</f>
        <v>0</v>
      </c>
      <c r="K95" s="7"/>
      <c r="L95" s="7" t="s">
        <v>12</v>
      </c>
      <c r="M95" s="7">
        <f>VLOOKUP($L95,$L$2:$N$7,2,FALSE)*I95</f>
        <v>0</v>
      </c>
      <c r="N95" s="7">
        <f>VLOOKUP($L95,$L$2:$N$7,3,FALSE)*I95</f>
        <v>0</v>
      </c>
      <c r="O95" s="120"/>
      <c r="P95" s="126" t="s">
        <v>510</v>
      </c>
      <c r="Q95" s="7">
        <f>IF(P95="G",M95,IF(P95="PT",0,ERR))</f>
        <v>0</v>
      </c>
      <c r="R95" s="7">
        <f>IF(P95="PT",M95,IF(P95="G",0,ERR))</f>
        <v>0</v>
      </c>
      <c r="S95" s="126" t="s">
        <v>510</v>
      </c>
      <c r="T95" s="7">
        <f>IF(S95="G",N95,IF(S95="PT",0,ERR))</f>
        <v>0</v>
      </c>
      <c r="U95" s="7">
        <f>IF(S95="PT",N95,IF(S95="G",0,ERR))</f>
        <v>0</v>
      </c>
      <c r="V95" s="124"/>
      <c r="W95" s="7">
        <f>HLOOKUP($W$9,'ROR-Model'!$Q$10:$U$1273,Y95)</f>
        <v>0</v>
      </c>
      <c r="X95" s="139"/>
      <c r="Y95" s="3">
        <f t="shared" si="3"/>
        <v>86</v>
      </c>
      <c r="AA95" s="7">
        <v>0</v>
      </c>
      <c r="AC95" s="7" t="str">
        <f t="shared" si="4"/>
        <v/>
      </c>
      <c r="AE95" s="42" t="str">
        <f t="shared" si="5"/>
        <v/>
      </c>
      <c r="AG95" s="162"/>
      <c r="AI95" t="s">
        <v>18</v>
      </c>
      <c r="AJ95" s="10"/>
    </row>
    <row r="96" spans="1:36">
      <c r="A96" s="136"/>
      <c r="B96" s="32"/>
      <c r="C96" s="32"/>
      <c r="D96" s="47"/>
      <c r="E96" s="7">
        <f>+G96-Adjustments!G96</f>
        <v>0</v>
      </c>
      <c r="F96" s="7"/>
      <c r="G96" s="7"/>
      <c r="H96" s="7"/>
      <c r="I96" s="7"/>
      <c r="J96" s="7">
        <f>+I96-'ROR-Model'!I96</f>
        <v>0</v>
      </c>
      <c r="K96" s="7"/>
      <c r="L96" s="7"/>
      <c r="M96" s="7"/>
      <c r="N96" s="7"/>
      <c r="O96" s="120"/>
      <c r="P96" s="126"/>
      <c r="Q96" s="7"/>
      <c r="R96" s="7"/>
      <c r="S96" s="126"/>
      <c r="T96" s="7"/>
      <c r="U96" s="7"/>
      <c r="V96" s="124"/>
      <c r="W96" s="7"/>
      <c r="X96" s="139"/>
      <c r="Y96" s="3">
        <f t="shared" si="3"/>
        <v>87</v>
      </c>
      <c r="AA96" s="7"/>
      <c r="AC96" s="7" t="str">
        <f t="shared" si="4"/>
        <v/>
      </c>
      <c r="AE96" s="42" t="str">
        <f t="shared" si="5"/>
        <v/>
      </c>
      <c r="AG96" s="162"/>
      <c r="AJ96" s="10"/>
    </row>
    <row r="97" spans="1:36">
      <c r="A97" s="136"/>
      <c r="B97" s="32" t="s">
        <v>629</v>
      </c>
      <c r="C97" s="32" t="s">
        <v>14</v>
      </c>
      <c r="D97" s="47"/>
      <c r="E97" s="7">
        <f>+G97-Adjustments!G97</f>
        <v>0</v>
      </c>
      <c r="F97" s="7">
        <f>Revenue!$F$96</f>
        <v>255321.66</v>
      </c>
      <c r="G97" s="7">
        <f>+Adjustments!V97</f>
        <v>0</v>
      </c>
      <c r="H97" s="7"/>
      <c r="I97" s="7">
        <f>SUM($F$97:$H$97)</f>
        <v>255321.66</v>
      </c>
      <c r="J97" s="7">
        <f>+I97-'ROR-Model'!I97</f>
        <v>0</v>
      </c>
      <c r="K97" s="7"/>
      <c r="L97" s="7" t="s">
        <v>12</v>
      </c>
      <c r="M97" s="7">
        <f>VLOOKUP($L97,$L$2:$N$7,2,FALSE)*I97</f>
        <v>255321.66</v>
      </c>
      <c r="N97" s="7">
        <f>VLOOKUP($L97,$L$2:$N$7,3,FALSE)*I97</f>
        <v>0</v>
      </c>
      <c r="O97" s="120"/>
      <c r="P97" s="126" t="s">
        <v>510</v>
      </c>
      <c r="Q97" s="7">
        <f>IF(P97="G",M97,IF(P97="PT",0,ERR))</f>
        <v>255321.66</v>
      </c>
      <c r="R97" s="7">
        <f>IF(P97="PT",M97,IF(P97="G",0,ERR))</f>
        <v>0</v>
      </c>
      <c r="S97" s="126" t="s">
        <v>510</v>
      </c>
      <c r="T97" s="7">
        <f>IF(S97="G",N97,IF(S97="PT",0,ERR))</f>
        <v>0</v>
      </c>
      <c r="U97" s="7">
        <f>IF(S97="PT",N97,IF(S97="G",0,ERR))</f>
        <v>0</v>
      </c>
      <c r="V97" s="124"/>
      <c r="W97" s="7">
        <f>HLOOKUP($W$9,'ROR-Model'!$Q$10:$U$1273,Y97)</f>
        <v>255321.66</v>
      </c>
      <c r="X97" s="139"/>
      <c r="Y97" s="3">
        <f t="shared" si="3"/>
        <v>88</v>
      </c>
      <c r="AA97" s="7">
        <v>202686.04999999993</v>
      </c>
      <c r="AC97" s="7">
        <f t="shared" si="4"/>
        <v>52635.610000000073</v>
      </c>
      <c r="AE97" s="42">
        <f t="shared" si="5"/>
        <v>0.25969034376070821</v>
      </c>
      <c r="AG97" s="162"/>
      <c r="AH97" t="s">
        <v>629</v>
      </c>
      <c r="AI97" t="s">
        <v>14</v>
      </c>
      <c r="AJ97" s="10"/>
    </row>
    <row r="98" spans="1:36">
      <c r="A98" s="136"/>
      <c r="B98" s="32"/>
      <c r="C98" s="32"/>
      <c r="D98" s="47"/>
      <c r="E98" s="7">
        <f>+G98-Adjustments!G98</f>
        <v>0</v>
      </c>
      <c r="F98" s="7"/>
      <c r="G98" s="7"/>
      <c r="H98" s="7"/>
      <c r="I98" s="7"/>
      <c r="J98" s="7">
        <f>+I98-'ROR-Model'!I98</f>
        <v>0</v>
      </c>
      <c r="K98" s="7"/>
      <c r="L98" s="7"/>
      <c r="M98" s="7"/>
      <c r="N98" s="7"/>
      <c r="O98" s="120"/>
      <c r="P98" s="126"/>
      <c r="Q98" s="7"/>
      <c r="R98" s="7"/>
      <c r="S98" s="126"/>
      <c r="T98" s="7"/>
      <c r="U98" s="7"/>
      <c r="V98" s="124"/>
      <c r="W98" s="7"/>
      <c r="X98" s="139"/>
      <c r="Y98" s="3">
        <f t="shared" si="3"/>
        <v>89</v>
      </c>
      <c r="AA98" s="7"/>
      <c r="AC98" s="7" t="str">
        <f t="shared" si="4"/>
        <v/>
      </c>
      <c r="AE98" s="42" t="str">
        <f t="shared" si="5"/>
        <v/>
      </c>
      <c r="AG98" s="162"/>
      <c r="AJ98" s="10"/>
    </row>
    <row r="99" spans="1:36">
      <c r="A99" s="136"/>
      <c r="B99" s="32"/>
      <c r="C99" s="32" t="s">
        <v>15</v>
      </c>
      <c r="D99" s="47"/>
      <c r="E99" s="7">
        <f>+G99-Adjustments!G99</f>
        <v>0</v>
      </c>
      <c r="F99" s="7">
        <f>Revenue!$F$98</f>
        <v>54307.23000000001</v>
      </c>
      <c r="G99" s="7">
        <f>+Adjustments!V99</f>
        <v>0</v>
      </c>
      <c r="H99" s="7"/>
      <c r="I99" s="7">
        <f>SUM($F$99:$H$99)</f>
        <v>54307.23000000001</v>
      </c>
      <c r="J99" s="7">
        <f>+I99-'ROR-Model'!I99</f>
        <v>0</v>
      </c>
      <c r="K99" s="7"/>
      <c r="L99" s="7" t="s">
        <v>12</v>
      </c>
      <c r="M99" s="7">
        <f>VLOOKUP($L99,$L$2:$N$7,2,FALSE)*I99</f>
        <v>54307.23000000001</v>
      </c>
      <c r="N99" s="7">
        <f>VLOOKUP($L99,$L$2:$N$7,3,FALSE)*I99</f>
        <v>0</v>
      </c>
      <c r="O99" s="120"/>
      <c r="P99" s="126" t="s">
        <v>509</v>
      </c>
      <c r="Q99" s="7">
        <f>IF(P99="G",M99,IF(P99="PT",0,ERR))</f>
        <v>0</v>
      </c>
      <c r="R99" s="7">
        <f>IF(P99="PT",M99,IF(P99="G",0,ERR))</f>
        <v>54307.23000000001</v>
      </c>
      <c r="S99" s="126" t="s">
        <v>509</v>
      </c>
      <c r="T99" s="7">
        <f>IF(S99="G",N99,IF(S99="PT",0,ERR))</f>
        <v>0</v>
      </c>
      <c r="U99" s="7">
        <f>IF(S99="PT",N99,IF(S99="G",0,ERR))</f>
        <v>0</v>
      </c>
      <c r="V99" s="124"/>
      <c r="W99" s="7">
        <f>HLOOKUP($W$9,'ROR-Model'!$Q$10:$U$1273,Y99)</f>
        <v>0</v>
      </c>
      <c r="X99" s="139"/>
      <c r="Y99" s="3">
        <f t="shared" si="3"/>
        <v>90</v>
      </c>
      <c r="AA99" s="7">
        <v>0</v>
      </c>
      <c r="AC99" s="7" t="str">
        <f t="shared" si="4"/>
        <v/>
      </c>
      <c r="AE99" s="42" t="str">
        <f t="shared" si="5"/>
        <v/>
      </c>
      <c r="AG99" s="162"/>
      <c r="AI99" t="s">
        <v>15</v>
      </c>
      <c r="AJ99" s="10"/>
    </row>
    <row r="100" spans="1:36">
      <c r="A100" s="136"/>
      <c r="B100" s="32"/>
      <c r="C100" s="32"/>
      <c r="D100" s="47"/>
      <c r="E100" s="7">
        <f>+G100-Adjustments!G100</f>
        <v>0</v>
      </c>
      <c r="F100" s="7"/>
      <c r="G100" s="7"/>
      <c r="H100" s="7"/>
      <c r="I100" s="7"/>
      <c r="J100" s="7">
        <f>+I100-'ROR-Model'!I100</f>
        <v>0</v>
      </c>
      <c r="K100" s="7"/>
      <c r="L100" s="7"/>
      <c r="M100" s="7"/>
      <c r="N100" s="7"/>
      <c r="O100" s="120"/>
      <c r="P100" s="126"/>
      <c r="Q100" s="7"/>
      <c r="R100" s="7"/>
      <c r="S100" s="126"/>
      <c r="T100" s="7"/>
      <c r="U100" s="7"/>
      <c r="V100" s="124"/>
      <c r="W100" s="7"/>
      <c r="X100" s="139"/>
      <c r="Y100" s="3">
        <f t="shared" si="3"/>
        <v>91</v>
      </c>
      <c r="AA100" s="7"/>
      <c r="AC100" s="7" t="str">
        <f t="shared" si="4"/>
        <v/>
      </c>
      <c r="AE100" s="42" t="str">
        <f t="shared" si="5"/>
        <v/>
      </c>
      <c r="AG100" s="162"/>
      <c r="AJ100" s="10"/>
    </row>
    <row r="101" spans="1:36">
      <c r="A101" s="136"/>
      <c r="B101" s="32"/>
      <c r="C101" s="32" t="s">
        <v>16</v>
      </c>
      <c r="D101" s="47"/>
      <c r="E101" s="7">
        <f>+G101-Adjustments!G101</f>
        <v>0</v>
      </c>
      <c r="F101" s="7">
        <f>Revenue!$F$100</f>
        <v>2209476.0500000003</v>
      </c>
      <c r="G101" s="7">
        <f>+Adjustments!V101</f>
        <v>0</v>
      </c>
      <c r="H101" s="7"/>
      <c r="I101" s="7">
        <f>SUM($F$101:$H$101)</f>
        <v>2209476.0500000003</v>
      </c>
      <c r="J101" s="7">
        <f>+I101-'ROR-Model'!I101</f>
        <v>0</v>
      </c>
      <c r="K101" s="7"/>
      <c r="L101" s="7" t="s">
        <v>12</v>
      </c>
      <c r="M101" s="7">
        <f>VLOOKUP($L101,$L$2:$N$7,2,FALSE)*I101</f>
        <v>2209476.0500000003</v>
      </c>
      <c r="N101" s="7">
        <f>VLOOKUP($L101,$L$2:$N$7,3,FALSE)*I101</f>
        <v>0</v>
      </c>
      <c r="O101" s="120"/>
      <c r="P101" s="126" t="s">
        <v>509</v>
      </c>
      <c r="Q101" s="7">
        <f>IF(P101="G",M101,IF(P101="PT",0,ERR))</f>
        <v>0</v>
      </c>
      <c r="R101" s="7">
        <f>IF(P101="PT",M101,IF(P101="G",0,ERR))</f>
        <v>2209476.0500000003</v>
      </c>
      <c r="S101" s="126" t="s">
        <v>509</v>
      </c>
      <c r="T101" s="7">
        <f>IF(S101="G",N101,IF(S101="PT",0,ERR))</f>
        <v>0</v>
      </c>
      <c r="U101" s="7">
        <f>IF(S101="PT",N101,IF(S101="G",0,ERR))</f>
        <v>0</v>
      </c>
      <c r="V101" s="124"/>
      <c r="W101" s="7">
        <f>HLOOKUP($W$9,'ROR-Model'!$Q$10:$U$1273,Y101)</f>
        <v>0</v>
      </c>
      <c r="X101" s="139"/>
      <c r="Y101" s="3">
        <f t="shared" si="3"/>
        <v>92</v>
      </c>
      <c r="AA101" s="7">
        <v>0</v>
      </c>
      <c r="AC101" s="7" t="str">
        <f t="shared" si="4"/>
        <v/>
      </c>
      <c r="AE101" s="42" t="str">
        <f t="shared" si="5"/>
        <v/>
      </c>
      <c r="AG101" s="162"/>
      <c r="AI101" t="s">
        <v>16</v>
      </c>
      <c r="AJ101" s="10"/>
    </row>
    <row r="102" spans="1:36">
      <c r="A102" s="136"/>
      <c r="B102" s="32"/>
      <c r="C102" s="32" t="s">
        <v>17</v>
      </c>
      <c r="D102" s="47"/>
      <c r="E102" s="140">
        <f>+G102-Adjustments!G102</f>
        <v>0</v>
      </c>
      <c r="F102" s="140">
        <f>SUM(F97:F101)</f>
        <v>2519104.9400000004</v>
      </c>
      <c r="G102" s="140">
        <f>SUM(G97:G101)</f>
        <v>0</v>
      </c>
      <c r="H102" s="140">
        <f>SUM(H97:H101)</f>
        <v>0</v>
      </c>
      <c r="I102" s="140">
        <f>SUM(I97:I101)</f>
        <v>2519104.9400000004</v>
      </c>
      <c r="J102" s="7">
        <f>+I102-'ROR-Model'!I102</f>
        <v>0</v>
      </c>
      <c r="K102" s="7"/>
      <c r="L102" s="140"/>
      <c r="M102" s="140">
        <f>SUM(M97:M101)</f>
        <v>2519104.9400000004</v>
      </c>
      <c r="N102" s="140">
        <f>SUM(N97:N101)</f>
        <v>0</v>
      </c>
      <c r="O102" s="120"/>
      <c r="P102" s="201"/>
      <c r="Q102" s="140">
        <f>SUM(Q97:Q101)</f>
        <v>255321.66</v>
      </c>
      <c r="R102" s="140">
        <f>SUM(R97:R101)</f>
        <v>2263783.2800000003</v>
      </c>
      <c r="S102" s="201"/>
      <c r="T102" s="140">
        <f>SUM(T97:T101)</f>
        <v>0</v>
      </c>
      <c r="U102" s="140">
        <f>SUM(U97:U101)</f>
        <v>0</v>
      </c>
      <c r="V102" s="124"/>
      <c r="W102" s="140">
        <f>HLOOKUP($W$9,'ROR-Model'!$Q$10:$U$1273,Y102)</f>
        <v>255321.66</v>
      </c>
      <c r="X102" s="139"/>
      <c r="Y102" s="3">
        <f t="shared" si="3"/>
        <v>93</v>
      </c>
      <c r="AA102" s="140">
        <v>202686.04999999993</v>
      </c>
      <c r="AC102" s="140">
        <f t="shared" si="4"/>
        <v>52635.610000000073</v>
      </c>
      <c r="AE102" s="42">
        <f t="shared" si="5"/>
        <v>0.25969034376070821</v>
      </c>
      <c r="AG102" s="162"/>
      <c r="AI102" t="s">
        <v>17</v>
      </c>
      <c r="AJ102" s="10"/>
    </row>
    <row r="103" spans="1:36">
      <c r="A103" s="136"/>
      <c r="B103" s="32"/>
      <c r="C103" s="32"/>
      <c r="D103" s="47"/>
      <c r="E103" s="7">
        <f>+G103-Adjustments!G103</f>
        <v>0</v>
      </c>
      <c r="F103" s="7"/>
      <c r="G103" s="7"/>
      <c r="H103" s="7"/>
      <c r="I103" s="7"/>
      <c r="J103" s="7">
        <f>+I103-'ROR-Model'!I103</f>
        <v>0</v>
      </c>
      <c r="K103" s="7"/>
      <c r="L103" s="7"/>
      <c r="M103" s="7"/>
      <c r="N103" s="7"/>
      <c r="O103" s="120"/>
      <c r="P103" s="126"/>
      <c r="Q103" s="7"/>
      <c r="R103" s="7"/>
      <c r="S103" s="126"/>
      <c r="T103" s="7"/>
      <c r="U103" s="7"/>
      <c r="V103" s="124"/>
      <c r="W103" s="7"/>
      <c r="X103" s="139"/>
      <c r="Y103" s="3">
        <f t="shared" si="3"/>
        <v>94</v>
      </c>
      <c r="AA103" s="7"/>
      <c r="AC103" s="7" t="str">
        <f t="shared" si="4"/>
        <v/>
      </c>
      <c r="AE103" s="42" t="str">
        <f t="shared" si="5"/>
        <v/>
      </c>
      <c r="AG103" s="162"/>
      <c r="AJ103" s="10"/>
    </row>
    <row r="104" spans="1:36">
      <c r="A104" s="136"/>
      <c r="B104" s="32"/>
      <c r="C104" s="32" t="s">
        <v>18</v>
      </c>
      <c r="D104" s="47"/>
      <c r="E104" s="7">
        <f>+G104-Adjustments!G104</f>
        <v>0</v>
      </c>
      <c r="F104" s="7">
        <f>Revenue!$F$103</f>
        <v>305183.54300000001</v>
      </c>
      <c r="G104" s="7">
        <f>+Adjustments!V104</f>
        <v>0</v>
      </c>
      <c r="H104" s="7"/>
      <c r="I104" s="520">
        <f>SUM($F$104:$H$104)</f>
        <v>305183.54300000001</v>
      </c>
      <c r="J104" s="7">
        <f>+I104-'ROR-Model'!I104</f>
        <v>0</v>
      </c>
      <c r="K104" s="7"/>
      <c r="L104" s="7" t="s">
        <v>12</v>
      </c>
      <c r="M104" s="7">
        <f>VLOOKUP($L104,$L$2:$N$7,2,FALSE)*I104</f>
        <v>305183.54300000001</v>
      </c>
      <c r="N104" s="7">
        <f>VLOOKUP($L104,$L$2:$N$7,3,FALSE)*I104</f>
        <v>0</v>
      </c>
      <c r="O104" s="120"/>
      <c r="P104" s="126" t="s">
        <v>510</v>
      </c>
      <c r="Q104" s="7">
        <f>IF(P104="G",M104,IF(P104="PT",0,ERR))</f>
        <v>305183.54300000001</v>
      </c>
      <c r="R104" s="7">
        <f>IF(P104="PT",M104,IF(P104="G",0,ERR))</f>
        <v>0</v>
      </c>
      <c r="S104" s="126" t="s">
        <v>510</v>
      </c>
      <c r="T104" s="7">
        <f>IF(S104="G",N104,IF(S104="PT",0,ERR))</f>
        <v>0</v>
      </c>
      <c r="U104" s="7">
        <f>IF(S104="PT",N104,IF(S104="G",0,ERR))</f>
        <v>0</v>
      </c>
      <c r="V104" s="124"/>
      <c r="W104" s="7">
        <f>HLOOKUP($W$9,'ROR-Model'!$Q$10:$U$1273,Y104)</f>
        <v>305183.54300000001</v>
      </c>
      <c r="X104" s="139"/>
      <c r="Y104" s="3">
        <f t="shared" si="3"/>
        <v>95</v>
      </c>
      <c r="AA104" s="7">
        <v>235476.26</v>
      </c>
      <c r="AC104" s="7">
        <f t="shared" si="4"/>
        <v>69707.282999999996</v>
      </c>
      <c r="AE104" s="42">
        <f t="shared" si="5"/>
        <v>0.2960267969263653</v>
      </c>
      <c r="AG104" s="162"/>
      <c r="AI104" t="s">
        <v>18</v>
      </c>
      <c r="AJ104" s="10"/>
    </row>
    <row r="105" spans="1:36">
      <c r="A105" s="136"/>
      <c r="B105" s="32"/>
      <c r="C105" s="32"/>
      <c r="D105" s="47"/>
      <c r="E105" s="7">
        <f>+G105-Adjustments!G105</f>
        <v>0</v>
      </c>
      <c r="F105" s="7"/>
      <c r="G105" s="7"/>
      <c r="H105" s="7"/>
      <c r="I105" s="7"/>
      <c r="J105" s="7">
        <f>+I105-'ROR-Model'!I105</f>
        <v>0</v>
      </c>
      <c r="K105" s="7"/>
      <c r="L105" s="7"/>
      <c r="M105" s="7"/>
      <c r="N105" s="7"/>
      <c r="O105" s="120"/>
      <c r="P105" s="126"/>
      <c r="Q105" s="7"/>
      <c r="R105" s="7"/>
      <c r="S105" s="126"/>
      <c r="T105" s="7"/>
      <c r="U105" s="7"/>
      <c r="V105" s="124"/>
      <c r="W105" s="7"/>
      <c r="X105" s="139"/>
      <c r="Y105" s="3">
        <f t="shared" si="3"/>
        <v>96</v>
      </c>
      <c r="AA105" s="7"/>
      <c r="AC105" s="7" t="str">
        <f t="shared" si="4"/>
        <v/>
      </c>
      <c r="AE105" s="42" t="str">
        <f t="shared" si="5"/>
        <v/>
      </c>
      <c r="AG105" s="162"/>
      <c r="AJ105" s="10"/>
    </row>
    <row r="106" spans="1:36">
      <c r="A106" s="136"/>
      <c r="B106" s="32" t="s">
        <v>77</v>
      </c>
      <c r="C106" s="32" t="s">
        <v>14</v>
      </c>
      <c r="D106" s="47"/>
      <c r="E106" s="7">
        <f>+G106-Adjustments!G106</f>
        <v>0</v>
      </c>
      <c r="F106" s="7">
        <f>Revenue!$F$105</f>
        <v>0</v>
      </c>
      <c r="G106" s="7">
        <f>+Adjustments!V106</f>
        <v>0</v>
      </c>
      <c r="H106" s="7"/>
      <c r="I106" s="7">
        <f>SUM($F$106:$H$106)</f>
        <v>0</v>
      </c>
      <c r="J106" s="7">
        <f>+I106-'ROR-Model'!I106</f>
        <v>0</v>
      </c>
      <c r="K106" s="7"/>
      <c r="L106" s="7" t="s">
        <v>12</v>
      </c>
      <c r="M106" s="7">
        <f>VLOOKUP($L106,$L$2:$N$7,2,FALSE)*I106</f>
        <v>0</v>
      </c>
      <c r="N106" s="7">
        <f>VLOOKUP($L106,$L$2:$N$7,3,FALSE)*I106</f>
        <v>0</v>
      </c>
      <c r="O106" s="120"/>
      <c r="P106" s="126" t="s">
        <v>510</v>
      </c>
      <c r="Q106" s="7">
        <f>IF(P106="G",M106,IF(P106="PT",0,ERR))</f>
        <v>0</v>
      </c>
      <c r="R106" s="7">
        <f>IF(P106="PT",M106,IF(P106="G",0,ERR))</f>
        <v>0</v>
      </c>
      <c r="S106" s="126" t="s">
        <v>510</v>
      </c>
      <c r="T106" s="7">
        <f>IF(S106="G",N106,IF(S106="PT",0,ERR))</f>
        <v>0</v>
      </c>
      <c r="U106" s="7">
        <f>IF(S106="PT",N106,IF(S106="G",0,ERR))</f>
        <v>0</v>
      </c>
      <c r="V106" s="124"/>
      <c r="W106" s="7">
        <f>HLOOKUP($W$9,'ROR-Model'!$Q$10:$U$1273,Y106)</f>
        <v>0</v>
      </c>
      <c r="X106" s="139"/>
      <c r="Y106" s="3">
        <f t="shared" si="3"/>
        <v>97</v>
      </c>
      <c r="AA106" s="7">
        <v>0</v>
      </c>
      <c r="AC106" s="7" t="str">
        <f t="shared" si="4"/>
        <v/>
      </c>
      <c r="AE106" s="42" t="str">
        <f t="shared" si="5"/>
        <v/>
      </c>
      <c r="AG106" s="162"/>
      <c r="AH106" t="s">
        <v>77</v>
      </c>
      <c r="AI106" t="s">
        <v>14</v>
      </c>
      <c r="AJ106" s="10"/>
    </row>
    <row r="107" spans="1:36">
      <c r="A107" s="136"/>
      <c r="B107" s="32"/>
      <c r="C107" s="32"/>
      <c r="D107" s="47"/>
      <c r="E107" s="7">
        <f>+G107-Adjustments!G107</f>
        <v>0</v>
      </c>
      <c r="F107" s="7"/>
      <c r="G107" s="7"/>
      <c r="H107" s="7"/>
      <c r="I107" s="7"/>
      <c r="J107" s="7">
        <f>+I107-'ROR-Model'!I107</f>
        <v>0</v>
      </c>
      <c r="K107" s="7"/>
      <c r="L107" s="7"/>
      <c r="M107" s="7"/>
      <c r="N107" s="7"/>
      <c r="O107" s="120"/>
      <c r="P107" s="126"/>
      <c r="Q107" s="7"/>
      <c r="R107" s="7"/>
      <c r="S107" s="126"/>
      <c r="T107" s="7"/>
      <c r="U107" s="7"/>
      <c r="V107" s="124"/>
      <c r="W107" s="7"/>
      <c r="X107" s="139"/>
      <c r="Y107" s="3">
        <f t="shared" si="3"/>
        <v>98</v>
      </c>
      <c r="AA107" s="7"/>
      <c r="AC107" s="7" t="str">
        <f t="shared" si="4"/>
        <v/>
      </c>
      <c r="AE107" s="42" t="str">
        <f t="shared" si="5"/>
        <v/>
      </c>
      <c r="AG107" s="162"/>
      <c r="AJ107" s="10"/>
    </row>
    <row r="108" spans="1:36">
      <c r="A108" s="136"/>
      <c r="B108" s="32"/>
      <c r="C108" s="32" t="s">
        <v>15</v>
      </c>
      <c r="D108" s="47"/>
      <c r="E108" s="7">
        <f>+G108-Adjustments!G108</f>
        <v>0</v>
      </c>
      <c r="F108" s="7">
        <f>Revenue!$F$107</f>
        <v>0</v>
      </c>
      <c r="G108" s="7">
        <f>+Adjustments!V108</f>
        <v>0</v>
      </c>
      <c r="H108" s="7"/>
      <c r="I108" s="7">
        <f>SUM($F$108:$H$108)</f>
        <v>0</v>
      </c>
      <c r="J108" s="7">
        <f>+I108-'ROR-Model'!I108</f>
        <v>0</v>
      </c>
      <c r="K108" s="7"/>
      <c r="L108" s="7" t="s">
        <v>12</v>
      </c>
      <c r="M108" s="7">
        <f>VLOOKUP($L108,$L$2:$N$7,2,FALSE)*I108</f>
        <v>0</v>
      </c>
      <c r="N108" s="7">
        <f>VLOOKUP($L108,$L$2:$N$7,3,FALSE)*I108</f>
        <v>0</v>
      </c>
      <c r="O108" s="120"/>
      <c r="P108" s="126" t="s">
        <v>509</v>
      </c>
      <c r="Q108" s="7">
        <f>IF(P108="G",M108,IF(P108="PT",0,ERR))</f>
        <v>0</v>
      </c>
      <c r="R108" s="7">
        <f>IF(P108="PT",M108,IF(P108="G",0,ERR))</f>
        <v>0</v>
      </c>
      <c r="S108" s="126" t="s">
        <v>509</v>
      </c>
      <c r="T108" s="7">
        <f>IF(S108="G",N108,IF(S108="PT",0,ERR))</f>
        <v>0</v>
      </c>
      <c r="U108" s="7">
        <f>IF(S108="PT",N108,IF(S108="G",0,ERR))</f>
        <v>0</v>
      </c>
      <c r="V108" s="124"/>
      <c r="W108" s="7">
        <f>HLOOKUP($W$9,'ROR-Model'!$Q$10:$U$1273,Y108)</f>
        <v>0</v>
      </c>
      <c r="X108" s="139"/>
      <c r="Y108" s="3">
        <f t="shared" si="3"/>
        <v>99</v>
      </c>
      <c r="AA108" s="7">
        <v>0</v>
      </c>
      <c r="AC108" s="7" t="str">
        <f t="shared" si="4"/>
        <v/>
      </c>
      <c r="AE108" s="42" t="str">
        <f t="shared" si="5"/>
        <v/>
      </c>
      <c r="AG108" s="162"/>
      <c r="AI108" t="s">
        <v>15</v>
      </c>
      <c r="AJ108" s="10"/>
    </row>
    <row r="109" spans="1:36">
      <c r="A109" s="136"/>
      <c r="B109" s="32"/>
      <c r="C109" s="32"/>
      <c r="D109" s="47"/>
      <c r="E109" s="7">
        <f>+G109-Adjustments!G109</f>
        <v>0</v>
      </c>
      <c r="F109" s="7"/>
      <c r="G109" s="7"/>
      <c r="H109" s="7"/>
      <c r="I109" s="7"/>
      <c r="J109" s="7">
        <f>+I109-'ROR-Model'!I109</f>
        <v>0</v>
      </c>
      <c r="K109" s="7"/>
      <c r="L109" s="7"/>
      <c r="M109" s="7"/>
      <c r="N109" s="7"/>
      <c r="O109" s="120"/>
      <c r="P109" s="126"/>
      <c r="Q109" s="7"/>
      <c r="R109" s="7"/>
      <c r="S109" s="126"/>
      <c r="T109" s="7"/>
      <c r="U109" s="7"/>
      <c r="V109" s="124"/>
      <c r="W109" s="7"/>
      <c r="X109" s="139"/>
      <c r="Y109" s="3">
        <f t="shared" si="3"/>
        <v>100</v>
      </c>
      <c r="AA109" s="7"/>
      <c r="AC109" s="7" t="str">
        <f t="shared" si="4"/>
        <v/>
      </c>
      <c r="AE109" s="42" t="str">
        <f t="shared" si="5"/>
        <v/>
      </c>
      <c r="AG109" s="162"/>
      <c r="AJ109" s="10"/>
    </row>
    <row r="110" spans="1:36">
      <c r="A110" s="136"/>
      <c r="B110" s="32"/>
      <c r="C110" s="32" t="s">
        <v>16</v>
      </c>
      <c r="D110" s="47"/>
      <c r="E110" s="7">
        <f>+G110-Adjustments!G110</f>
        <v>0</v>
      </c>
      <c r="F110" s="7">
        <f>Revenue!$F$109</f>
        <v>0</v>
      </c>
      <c r="G110" s="7">
        <f>+Adjustments!V110</f>
        <v>0</v>
      </c>
      <c r="H110" s="7"/>
      <c r="I110" s="7">
        <f>SUM($F$110:$H$110)</f>
        <v>0</v>
      </c>
      <c r="J110" s="7">
        <f>+I110-'ROR-Model'!I110</f>
        <v>0</v>
      </c>
      <c r="K110" s="7"/>
      <c r="L110" s="7" t="s">
        <v>12</v>
      </c>
      <c r="M110" s="7">
        <f>VLOOKUP($L110,$L$2:$N$7,2,FALSE)*I110</f>
        <v>0</v>
      </c>
      <c r="N110" s="7">
        <f>VLOOKUP($L110,$L$2:$N$7,3,FALSE)*I110</f>
        <v>0</v>
      </c>
      <c r="O110" s="120"/>
      <c r="P110" s="126" t="s">
        <v>509</v>
      </c>
      <c r="Q110" s="7">
        <f>IF(P110="G",M110,IF(P110="PT",0,ERR))</f>
        <v>0</v>
      </c>
      <c r="R110" s="7">
        <f>IF(P110="PT",M110,IF(P110="G",0,ERR))</f>
        <v>0</v>
      </c>
      <c r="S110" s="126" t="s">
        <v>509</v>
      </c>
      <c r="T110" s="7">
        <f>IF(S110="G",N110,IF(S110="PT",0,ERR))</f>
        <v>0</v>
      </c>
      <c r="U110" s="7">
        <f>IF(S110="PT",N110,IF(S110="G",0,ERR))</f>
        <v>0</v>
      </c>
      <c r="V110" s="124"/>
      <c r="W110" s="7">
        <f>HLOOKUP($W$9,'ROR-Model'!$Q$10:$U$1273,Y110)</f>
        <v>0</v>
      </c>
      <c r="X110" s="139"/>
      <c r="Y110" s="3">
        <f t="shared" si="3"/>
        <v>101</v>
      </c>
      <c r="AA110" s="7">
        <v>0</v>
      </c>
      <c r="AC110" s="7" t="str">
        <f t="shared" si="4"/>
        <v/>
      </c>
      <c r="AE110" s="42" t="str">
        <f t="shared" si="5"/>
        <v/>
      </c>
      <c r="AG110" s="162"/>
      <c r="AI110" t="s">
        <v>16</v>
      </c>
      <c r="AJ110" s="10"/>
    </row>
    <row r="111" spans="1:36">
      <c r="A111" s="136"/>
      <c r="B111" s="32"/>
      <c r="C111" s="32" t="s">
        <v>17</v>
      </c>
      <c r="D111" s="47"/>
      <c r="E111" s="140">
        <f>+G111-Adjustments!G111</f>
        <v>0</v>
      </c>
      <c r="F111" s="140">
        <f>SUM(F106:F110)</f>
        <v>0</v>
      </c>
      <c r="G111" s="140">
        <f>SUM(G106:G110)</f>
        <v>0</v>
      </c>
      <c r="H111" s="140">
        <f>SUM(H106:H110)</f>
        <v>0</v>
      </c>
      <c r="I111" s="140">
        <f>SUM(I106:I110)</f>
        <v>0</v>
      </c>
      <c r="J111" s="7">
        <f>+I111-'ROR-Model'!I111</f>
        <v>0</v>
      </c>
      <c r="K111" s="7"/>
      <c r="L111" s="140"/>
      <c r="M111" s="140">
        <f>SUM(M106:M110)</f>
        <v>0</v>
      </c>
      <c r="N111" s="140">
        <f>SUM(N106:N110)</f>
        <v>0</v>
      </c>
      <c r="O111" s="120"/>
      <c r="P111" s="201"/>
      <c r="Q111" s="140">
        <f>SUM(Q106:Q110)</f>
        <v>0</v>
      </c>
      <c r="R111" s="140">
        <f>SUM(R106:R110)</f>
        <v>0</v>
      </c>
      <c r="S111" s="201"/>
      <c r="T111" s="140">
        <f>SUM(T106:T110)</f>
        <v>0</v>
      </c>
      <c r="U111" s="140">
        <f>SUM(U106:U110)</f>
        <v>0</v>
      </c>
      <c r="V111" s="124"/>
      <c r="W111" s="140">
        <f>HLOOKUP($W$9,'ROR-Model'!$Q$10:$U$1273,Y111)</f>
        <v>0</v>
      </c>
      <c r="X111" s="139"/>
      <c r="Y111" s="3">
        <f t="shared" si="3"/>
        <v>102</v>
      </c>
      <c r="AA111" s="140">
        <v>0</v>
      </c>
      <c r="AC111" s="140" t="str">
        <f t="shared" si="4"/>
        <v/>
      </c>
      <c r="AE111" s="42" t="str">
        <f t="shared" si="5"/>
        <v/>
      </c>
      <c r="AG111" s="162"/>
      <c r="AI111" t="s">
        <v>17</v>
      </c>
      <c r="AJ111" s="10"/>
    </row>
    <row r="112" spans="1:36">
      <c r="A112" s="136"/>
      <c r="B112" s="32"/>
      <c r="C112" s="32"/>
      <c r="D112" s="47"/>
      <c r="E112" s="7">
        <f>+G112-Adjustments!G112</f>
        <v>0</v>
      </c>
      <c r="F112" s="7"/>
      <c r="G112" s="7"/>
      <c r="H112" s="7"/>
      <c r="I112" s="7"/>
      <c r="J112" s="7">
        <f>+I112-'ROR-Model'!I112</f>
        <v>0</v>
      </c>
      <c r="K112" s="7"/>
      <c r="L112" s="7"/>
      <c r="M112" s="7"/>
      <c r="N112" s="7"/>
      <c r="O112" s="120"/>
      <c r="P112" s="126"/>
      <c r="Q112" s="7"/>
      <c r="R112" s="7"/>
      <c r="S112" s="126"/>
      <c r="T112" s="7"/>
      <c r="U112" s="7"/>
      <c r="V112" s="124"/>
      <c r="W112" s="7"/>
      <c r="X112" s="139"/>
      <c r="Y112" s="3">
        <f t="shared" si="3"/>
        <v>103</v>
      </c>
      <c r="AA112" s="7"/>
      <c r="AC112" s="7" t="str">
        <f t="shared" si="4"/>
        <v/>
      </c>
      <c r="AE112" s="42" t="str">
        <f t="shared" si="5"/>
        <v/>
      </c>
      <c r="AG112" s="162"/>
      <c r="AJ112" s="10"/>
    </row>
    <row r="113" spans="1:36">
      <c r="A113" s="136"/>
      <c r="B113" s="32"/>
      <c r="C113" s="32" t="s">
        <v>18</v>
      </c>
      <c r="D113" s="47"/>
      <c r="E113" s="7">
        <f>+G113-Adjustments!G113</f>
        <v>0</v>
      </c>
      <c r="F113" s="7">
        <f>Revenue!$F$112</f>
        <v>0</v>
      </c>
      <c r="G113" s="7">
        <f>+Adjustments!V113</f>
        <v>0</v>
      </c>
      <c r="H113" s="7"/>
      <c r="I113" s="520">
        <f>SUM($F$113:$H$113)</f>
        <v>0</v>
      </c>
      <c r="J113" s="7">
        <f>+I113-'ROR-Model'!I113</f>
        <v>0</v>
      </c>
      <c r="K113" s="7"/>
      <c r="L113" s="7" t="s">
        <v>12</v>
      </c>
      <c r="M113" s="7">
        <f>VLOOKUP($L113,$L$2:$N$7,2,FALSE)*I113</f>
        <v>0</v>
      </c>
      <c r="N113" s="7">
        <f>VLOOKUP($L113,$L$2:$N$7,3,FALSE)*I113</f>
        <v>0</v>
      </c>
      <c r="O113" s="120"/>
      <c r="P113" s="126" t="s">
        <v>510</v>
      </c>
      <c r="Q113" s="7">
        <f>IF(P113="G",M113,IF(P113="PT",0,ERR))</f>
        <v>0</v>
      </c>
      <c r="R113" s="7">
        <f>IF(P113="PT",M113,IF(P113="G",0,ERR))</f>
        <v>0</v>
      </c>
      <c r="S113" s="126" t="s">
        <v>510</v>
      </c>
      <c r="T113" s="7">
        <f>IF(S113="G",N113,IF(S113="PT",0,ERR))</f>
        <v>0</v>
      </c>
      <c r="U113" s="7">
        <f>IF(S113="PT",N113,IF(S113="G",0,ERR))</f>
        <v>0</v>
      </c>
      <c r="V113" s="124"/>
      <c r="W113" s="7">
        <f>HLOOKUP($W$9,'ROR-Model'!$Q$10:$U$1273,Y113)</f>
        <v>0</v>
      </c>
      <c r="X113" s="139"/>
      <c r="Y113" s="3">
        <f t="shared" si="3"/>
        <v>104</v>
      </c>
      <c r="AA113" s="7">
        <v>0</v>
      </c>
      <c r="AC113" s="7" t="str">
        <f t="shared" si="4"/>
        <v/>
      </c>
      <c r="AE113" s="42" t="str">
        <f t="shared" si="5"/>
        <v/>
      </c>
      <c r="AG113" s="162"/>
      <c r="AI113" t="s">
        <v>18</v>
      </c>
      <c r="AJ113" s="10"/>
    </row>
    <row r="114" spans="1:36">
      <c r="A114" s="136"/>
      <c r="B114" s="32"/>
      <c r="C114" s="32"/>
      <c r="D114" s="47"/>
      <c r="E114" s="7">
        <f>+G114-Adjustments!G114</f>
        <v>0</v>
      </c>
      <c r="F114" s="7"/>
      <c r="G114" s="7"/>
      <c r="H114" s="7"/>
      <c r="I114" s="7"/>
      <c r="J114" s="7">
        <f>+I114-'ROR-Model'!I114</f>
        <v>0</v>
      </c>
      <c r="K114" s="7"/>
      <c r="L114" s="7"/>
      <c r="M114" s="7"/>
      <c r="N114" s="7"/>
      <c r="O114" s="120"/>
      <c r="P114" s="126"/>
      <c r="Q114" s="7"/>
      <c r="R114" s="7"/>
      <c r="S114" s="126"/>
      <c r="T114" s="7"/>
      <c r="U114" s="7"/>
      <c r="V114" s="124"/>
      <c r="W114" s="7"/>
      <c r="X114" s="139"/>
      <c r="Y114" s="3">
        <f t="shared" si="3"/>
        <v>105</v>
      </c>
      <c r="AA114" s="7"/>
      <c r="AC114" s="7" t="str">
        <f t="shared" si="4"/>
        <v/>
      </c>
      <c r="AE114" s="42" t="str">
        <f t="shared" si="5"/>
        <v/>
      </c>
      <c r="AG114" s="162"/>
      <c r="AJ114" s="10"/>
    </row>
    <row r="115" spans="1:36">
      <c r="A115" s="136"/>
      <c r="B115" s="32" t="s">
        <v>35</v>
      </c>
      <c r="C115" s="32" t="s">
        <v>14</v>
      </c>
      <c r="D115" s="47"/>
      <c r="E115" s="7">
        <f>+G115-Adjustments!G115</f>
        <v>0</v>
      </c>
      <c r="F115" s="7">
        <f>Revenue!$F$114</f>
        <v>0</v>
      </c>
      <c r="G115" s="7">
        <f>+Adjustments!V115</f>
        <v>0</v>
      </c>
      <c r="H115" s="7"/>
      <c r="I115" s="7">
        <f>SUM($F$115:$H$115)</f>
        <v>0</v>
      </c>
      <c r="J115" s="7">
        <f>+I115-'ROR-Model'!I115</f>
        <v>0</v>
      </c>
      <c r="K115" s="7"/>
      <c r="L115" s="7" t="s">
        <v>12</v>
      </c>
      <c r="M115" s="7">
        <f>VLOOKUP($L115,$L$2:$N$7,2,FALSE)*I115</f>
        <v>0</v>
      </c>
      <c r="N115" s="7">
        <f>VLOOKUP($L115,$L$2:$N$7,3,FALSE)*I115</f>
        <v>0</v>
      </c>
      <c r="O115" s="120"/>
      <c r="P115" s="126" t="s">
        <v>510</v>
      </c>
      <c r="Q115" s="7">
        <f>IF(P115="G",M115,IF(P115="PT",0,ERR))</f>
        <v>0</v>
      </c>
      <c r="R115" s="7">
        <f>IF(P115="PT",M115,IF(P115="G",0,ERR))</f>
        <v>0</v>
      </c>
      <c r="S115" s="126" t="s">
        <v>510</v>
      </c>
      <c r="T115" s="7">
        <f>IF(S115="G",N115,IF(S115="PT",0,ERR))</f>
        <v>0</v>
      </c>
      <c r="U115" s="7">
        <f>IF(S115="PT",N115,IF(S115="G",0,ERR))</f>
        <v>0</v>
      </c>
      <c r="V115" s="124"/>
      <c r="W115" s="7">
        <f>HLOOKUP($W$9,'ROR-Model'!$Q$10:$U$1273,Y115)</f>
        <v>0</v>
      </c>
      <c r="X115" s="139"/>
      <c r="Y115" s="3">
        <f t="shared" si="3"/>
        <v>106</v>
      </c>
      <c r="AA115" s="7">
        <v>0</v>
      </c>
      <c r="AC115" s="7" t="str">
        <f t="shared" si="4"/>
        <v/>
      </c>
      <c r="AE115" s="42" t="str">
        <f t="shared" si="5"/>
        <v/>
      </c>
      <c r="AG115" s="162"/>
      <c r="AH115" t="s">
        <v>35</v>
      </c>
      <c r="AI115" t="s">
        <v>14</v>
      </c>
      <c r="AJ115" s="10"/>
    </row>
    <row r="116" spans="1:36">
      <c r="A116" s="136"/>
      <c r="B116" s="32"/>
      <c r="C116" s="32"/>
      <c r="D116" s="47"/>
      <c r="E116" s="7">
        <f>+G116-Adjustments!G116</f>
        <v>0</v>
      </c>
      <c r="F116" s="7"/>
      <c r="G116" s="7"/>
      <c r="H116" s="7"/>
      <c r="I116" s="7"/>
      <c r="J116" s="7">
        <f>+I116-'ROR-Model'!I116</f>
        <v>0</v>
      </c>
      <c r="K116" s="7"/>
      <c r="L116" s="7"/>
      <c r="M116" s="7"/>
      <c r="N116" s="7"/>
      <c r="O116" s="120"/>
      <c r="P116" s="126"/>
      <c r="Q116" s="7"/>
      <c r="R116" s="7"/>
      <c r="S116" s="126"/>
      <c r="T116" s="7"/>
      <c r="U116" s="7"/>
      <c r="V116" s="124"/>
      <c r="W116" s="7"/>
      <c r="X116" s="139"/>
      <c r="Y116" s="3">
        <f t="shared" si="3"/>
        <v>107</v>
      </c>
      <c r="AA116" s="7"/>
      <c r="AC116" s="7" t="str">
        <f t="shared" si="4"/>
        <v/>
      </c>
      <c r="AE116" s="42" t="str">
        <f t="shared" si="5"/>
        <v/>
      </c>
      <c r="AG116" s="162"/>
      <c r="AJ116" s="10"/>
    </row>
    <row r="117" spans="1:36">
      <c r="A117" s="136"/>
      <c r="B117" s="32"/>
      <c r="C117" s="32" t="s">
        <v>15</v>
      </c>
      <c r="D117" s="47"/>
      <c r="E117" s="7">
        <f>+G117-Adjustments!G117</f>
        <v>0</v>
      </c>
      <c r="F117" s="7">
        <f>Revenue!$F$116</f>
        <v>0</v>
      </c>
      <c r="G117" s="7">
        <f>+Adjustments!V117</f>
        <v>0</v>
      </c>
      <c r="H117" s="7"/>
      <c r="I117" s="7">
        <f>SUM($F$117:$H$117)</f>
        <v>0</v>
      </c>
      <c r="J117" s="7">
        <f>+I117-'ROR-Model'!I117</f>
        <v>0</v>
      </c>
      <c r="K117" s="7"/>
      <c r="L117" s="7" t="s">
        <v>12</v>
      </c>
      <c r="M117" s="7">
        <f>VLOOKUP($L117,$L$2:$N$7,2,FALSE)*I117</f>
        <v>0</v>
      </c>
      <c r="N117" s="7">
        <f>VLOOKUP($L117,$L$2:$N$7,3,FALSE)*I117</f>
        <v>0</v>
      </c>
      <c r="O117" s="120"/>
      <c r="P117" s="126" t="s">
        <v>509</v>
      </c>
      <c r="Q117" s="7">
        <f>IF(P117="G",M117,IF(P117="PT",0,ERR))</f>
        <v>0</v>
      </c>
      <c r="R117" s="7">
        <f>IF(P117="PT",M117,IF(P117="G",0,ERR))</f>
        <v>0</v>
      </c>
      <c r="S117" s="126" t="s">
        <v>509</v>
      </c>
      <c r="T117" s="7">
        <f>IF(S117="G",N117,IF(S117="PT",0,ERR))</f>
        <v>0</v>
      </c>
      <c r="U117" s="7">
        <f>IF(S117="PT",N117,IF(S117="G",0,ERR))</f>
        <v>0</v>
      </c>
      <c r="V117" s="124"/>
      <c r="W117" s="7">
        <f>HLOOKUP($W$9,'ROR-Model'!$Q$10:$U$1273,Y117)</f>
        <v>0</v>
      </c>
      <c r="X117" s="139"/>
      <c r="Y117" s="3">
        <f t="shared" si="3"/>
        <v>108</v>
      </c>
      <c r="AA117" s="7">
        <v>0</v>
      </c>
      <c r="AC117" s="7" t="str">
        <f t="shared" si="4"/>
        <v/>
      </c>
      <c r="AE117" s="42" t="str">
        <f t="shared" si="5"/>
        <v/>
      </c>
      <c r="AG117" s="162"/>
      <c r="AI117" t="s">
        <v>15</v>
      </c>
      <c r="AJ117" s="10"/>
    </row>
    <row r="118" spans="1:36">
      <c r="A118" s="136"/>
      <c r="B118" s="32"/>
      <c r="C118" s="32"/>
      <c r="D118" s="47"/>
      <c r="E118" s="7">
        <f>+G118-Adjustments!G118</f>
        <v>0</v>
      </c>
      <c r="F118" s="7"/>
      <c r="G118" s="7"/>
      <c r="H118" s="7"/>
      <c r="I118" s="7"/>
      <c r="J118" s="7">
        <f>+I118-'ROR-Model'!I118</f>
        <v>0</v>
      </c>
      <c r="K118" s="7"/>
      <c r="L118" s="7"/>
      <c r="M118" s="7"/>
      <c r="N118" s="7"/>
      <c r="O118" s="120"/>
      <c r="P118" s="126"/>
      <c r="Q118" s="7"/>
      <c r="R118" s="7"/>
      <c r="S118" s="126"/>
      <c r="T118" s="7"/>
      <c r="U118" s="7"/>
      <c r="V118" s="124"/>
      <c r="W118" s="7"/>
      <c r="X118" s="139"/>
      <c r="Y118" s="3">
        <f t="shared" si="3"/>
        <v>109</v>
      </c>
      <c r="AA118" s="7"/>
      <c r="AC118" s="7" t="str">
        <f t="shared" si="4"/>
        <v/>
      </c>
      <c r="AE118" s="42" t="str">
        <f t="shared" si="5"/>
        <v/>
      </c>
      <c r="AG118" s="162"/>
      <c r="AJ118" s="10"/>
    </row>
    <row r="119" spans="1:36">
      <c r="A119" s="136"/>
      <c r="B119" s="32"/>
      <c r="C119" s="32" t="s">
        <v>16</v>
      </c>
      <c r="D119" s="47"/>
      <c r="E119" s="7">
        <f>+G119-Adjustments!G119</f>
        <v>0</v>
      </c>
      <c r="F119" s="7">
        <f>Revenue!$F$118</f>
        <v>0</v>
      </c>
      <c r="G119" s="7">
        <f>+Adjustments!V119</f>
        <v>0</v>
      </c>
      <c r="H119" s="7"/>
      <c r="I119" s="7">
        <f>SUM($F$119:$H$119)</f>
        <v>0</v>
      </c>
      <c r="J119" s="7">
        <f>+I119-'ROR-Model'!I119</f>
        <v>0</v>
      </c>
      <c r="K119" s="7"/>
      <c r="L119" s="7" t="s">
        <v>12</v>
      </c>
      <c r="M119" s="7">
        <f>VLOOKUP($L119,$L$2:$N$7,2,FALSE)*I119</f>
        <v>0</v>
      </c>
      <c r="N119" s="7">
        <f>VLOOKUP($L119,$L$2:$N$7,3,FALSE)*I119</f>
        <v>0</v>
      </c>
      <c r="O119" s="120"/>
      <c r="P119" s="126" t="s">
        <v>509</v>
      </c>
      <c r="Q119" s="7">
        <f>IF(P119="G",M119,IF(P119="PT",0,ERR))</f>
        <v>0</v>
      </c>
      <c r="R119" s="7">
        <f>IF(P119="PT",M119,IF(P119="G",0,ERR))</f>
        <v>0</v>
      </c>
      <c r="S119" s="126" t="s">
        <v>509</v>
      </c>
      <c r="T119" s="7">
        <f>IF(S119="G",N119,IF(S119="PT",0,ERR))</f>
        <v>0</v>
      </c>
      <c r="U119" s="7">
        <f>IF(S119="PT",N119,IF(S119="G",0,ERR))</f>
        <v>0</v>
      </c>
      <c r="V119" s="124"/>
      <c r="W119" s="7">
        <f>HLOOKUP($W$9,'ROR-Model'!$Q$10:$U$1273,Y119)</f>
        <v>0</v>
      </c>
      <c r="X119" s="139"/>
      <c r="Y119" s="3">
        <f t="shared" si="3"/>
        <v>110</v>
      </c>
      <c r="AA119" s="7">
        <v>0</v>
      </c>
      <c r="AC119" s="7" t="str">
        <f t="shared" si="4"/>
        <v/>
      </c>
      <c r="AE119" s="42" t="str">
        <f t="shared" si="5"/>
        <v/>
      </c>
      <c r="AG119" s="162"/>
      <c r="AI119" t="s">
        <v>16</v>
      </c>
      <c r="AJ119" s="10"/>
    </row>
    <row r="120" spans="1:36">
      <c r="A120" s="136"/>
      <c r="B120" s="32"/>
      <c r="C120" s="32" t="s">
        <v>17</v>
      </c>
      <c r="D120" s="47"/>
      <c r="E120" s="140">
        <f>+G120-Adjustments!G120</f>
        <v>0</v>
      </c>
      <c r="F120" s="140">
        <f>SUM(F115:F119)</f>
        <v>0</v>
      </c>
      <c r="G120" s="140">
        <f>SUM(G115:G119)</f>
        <v>0</v>
      </c>
      <c r="H120" s="140">
        <f>SUM(H115:H119)</f>
        <v>0</v>
      </c>
      <c r="I120" s="140">
        <f>SUM(I115:I119)</f>
        <v>0</v>
      </c>
      <c r="J120" s="7">
        <f>+I120-'ROR-Model'!I120</f>
        <v>0</v>
      </c>
      <c r="K120" s="7"/>
      <c r="L120" s="140"/>
      <c r="M120" s="140">
        <f>SUM(M115:M119)</f>
        <v>0</v>
      </c>
      <c r="N120" s="140">
        <f>SUM(N115:N119)</f>
        <v>0</v>
      </c>
      <c r="O120" s="120"/>
      <c r="P120" s="201"/>
      <c r="Q120" s="140">
        <f>SUM(Q115:Q119)</f>
        <v>0</v>
      </c>
      <c r="R120" s="140">
        <f>SUM(R115:R119)</f>
        <v>0</v>
      </c>
      <c r="S120" s="201"/>
      <c r="T120" s="140">
        <f>SUM(T115:T119)</f>
        <v>0</v>
      </c>
      <c r="U120" s="140">
        <f>SUM(U115:U119)</f>
        <v>0</v>
      </c>
      <c r="V120" s="124"/>
      <c r="W120" s="140">
        <f>HLOOKUP($W$9,'ROR-Model'!$Q$10:$U$1273,Y120)</f>
        <v>0</v>
      </c>
      <c r="X120" s="139"/>
      <c r="Y120" s="3">
        <f t="shared" si="3"/>
        <v>111</v>
      </c>
      <c r="AA120" s="140">
        <v>0</v>
      </c>
      <c r="AC120" s="140" t="str">
        <f t="shared" si="4"/>
        <v/>
      </c>
      <c r="AE120" s="42" t="str">
        <f t="shared" si="5"/>
        <v/>
      </c>
      <c r="AG120" s="162"/>
      <c r="AI120" t="s">
        <v>17</v>
      </c>
      <c r="AJ120" s="10"/>
    </row>
    <row r="121" spans="1:36">
      <c r="A121" s="136"/>
      <c r="B121" s="32"/>
      <c r="C121" s="32"/>
      <c r="D121" s="47"/>
      <c r="E121" s="7">
        <f>+G121-Adjustments!G121</f>
        <v>0</v>
      </c>
      <c r="F121" s="7"/>
      <c r="G121" s="7"/>
      <c r="H121" s="7"/>
      <c r="I121" s="7"/>
      <c r="J121" s="7">
        <f>+I121-'ROR-Model'!I121</f>
        <v>0</v>
      </c>
      <c r="K121" s="7"/>
      <c r="L121" s="7"/>
      <c r="M121" s="7"/>
      <c r="N121" s="7"/>
      <c r="O121" s="120"/>
      <c r="P121" s="126"/>
      <c r="Q121" s="7"/>
      <c r="R121" s="7"/>
      <c r="S121" s="126"/>
      <c r="T121" s="7"/>
      <c r="U121" s="7"/>
      <c r="V121" s="124"/>
      <c r="W121" s="7"/>
      <c r="X121" s="139"/>
      <c r="Y121" s="3">
        <f t="shared" si="3"/>
        <v>112</v>
      </c>
      <c r="AA121" s="7"/>
      <c r="AC121" s="7" t="str">
        <f t="shared" si="4"/>
        <v/>
      </c>
      <c r="AE121" s="42" t="str">
        <f t="shared" si="5"/>
        <v/>
      </c>
      <c r="AG121" s="162"/>
      <c r="AJ121" s="10"/>
    </row>
    <row r="122" spans="1:36">
      <c r="A122" s="136"/>
      <c r="B122" s="32"/>
      <c r="C122" s="32" t="s">
        <v>18</v>
      </c>
      <c r="D122" s="47"/>
      <c r="E122" s="7">
        <f>+G122-Adjustments!G122</f>
        <v>0</v>
      </c>
      <c r="F122" s="7">
        <f>Revenue!$F$121</f>
        <v>0</v>
      </c>
      <c r="G122" s="7">
        <f>+Adjustments!V122</f>
        <v>0</v>
      </c>
      <c r="H122" s="7"/>
      <c r="I122" s="520">
        <f>SUM($F$122:$H$122)</f>
        <v>0</v>
      </c>
      <c r="J122" s="7">
        <f>+I122-'ROR-Model'!I122</f>
        <v>0</v>
      </c>
      <c r="K122" s="7"/>
      <c r="L122" s="7" t="s">
        <v>12</v>
      </c>
      <c r="M122" s="7">
        <f>VLOOKUP($L122,$L$2:$N$7,2,FALSE)*I122</f>
        <v>0</v>
      </c>
      <c r="N122" s="7">
        <f>VLOOKUP($L122,$L$2:$N$7,3,FALSE)*I122</f>
        <v>0</v>
      </c>
      <c r="O122" s="120"/>
      <c r="P122" s="126" t="s">
        <v>510</v>
      </c>
      <c r="Q122" s="7">
        <f>IF(P122="G",M122,IF(P122="PT",0,ERR))</f>
        <v>0</v>
      </c>
      <c r="R122" s="7">
        <f>IF(P122="PT",M122,IF(P122="G",0,ERR))</f>
        <v>0</v>
      </c>
      <c r="S122" s="126" t="s">
        <v>510</v>
      </c>
      <c r="T122" s="7">
        <f>IF(S122="G",N122,IF(S122="PT",0,ERR))</f>
        <v>0</v>
      </c>
      <c r="U122" s="7">
        <f>IF(S122="PT",N122,IF(S122="G",0,ERR))</f>
        <v>0</v>
      </c>
      <c r="V122" s="124"/>
      <c r="W122" s="7">
        <f>HLOOKUP($W$9,'ROR-Model'!$Q$10:$U$1273,Y122)</f>
        <v>0</v>
      </c>
      <c r="X122" s="139"/>
      <c r="Y122" s="3">
        <f t="shared" si="3"/>
        <v>113</v>
      </c>
      <c r="AA122" s="7">
        <v>0</v>
      </c>
      <c r="AC122" s="7" t="str">
        <f t="shared" si="4"/>
        <v/>
      </c>
      <c r="AE122" s="42" t="str">
        <f t="shared" si="5"/>
        <v/>
      </c>
      <c r="AG122" s="162"/>
      <c r="AI122" t="s">
        <v>18</v>
      </c>
      <c r="AJ122" s="10"/>
    </row>
    <row r="123" spans="1:36">
      <c r="A123" s="136"/>
      <c r="B123" s="32"/>
      <c r="C123" s="32"/>
      <c r="D123" s="47"/>
      <c r="E123" s="7">
        <f>+G123-Adjustments!G123</f>
        <v>0</v>
      </c>
      <c r="F123" s="7"/>
      <c r="G123" s="7"/>
      <c r="H123" s="7"/>
      <c r="I123" s="7"/>
      <c r="J123" s="7">
        <f>+I123-'ROR-Model'!I123</f>
        <v>0</v>
      </c>
      <c r="K123" s="7"/>
      <c r="L123" s="7"/>
      <c r="M123" s="7"/>
      <c r="N123" s="7"/>
      <c r="O123" s="120"/>
      <c r="P123" s="126"/>
      <c r="Q123" s="7"/>
      <c r="R123" s="7"/>
      <c r="S123" s="126"/>
      <c r="T123" s="7"/>
      <c r="U123" s="7"/>
      <c r="V123" s="124"/>
      <c r="W123" s="7"/>
      <c r="X123" s="139"/>
      <c r="Y123" s="3">
        <f t="shared" si="3"/>
        <v>114</v>
      </c>
      <c r="AA123" s="7"/>
      <c r="AC123" s="7" t="str">
        <f t="shared" si="4"/>
        <v/>
      </c>
      <c r="AE123" s="42" t="str">
        <f t="shared" si="5"/>
        <v/>
      </c>
      <c r="AG123" s="162"/>
      <c r="AJ123" s="10"/>
    </row>
    <row r="124" spans="1:36">
      <c r="A124" s="136"/>
      <c r="B124" s="32" t="s">
        <v>82</v>
      </c>
      <c r="C124" s="32" t="s">
        <v>14</v>
      </c>
      <c r="D124" s="47"/>
      <c r="E124" s="7">
        <f>+G124-Adjustments!G124</f>
        <v>0</v>
      </c>
      <c r="F124" s="7">
        <f>Revenue!$F$123</f>
        <v>9333726.3400000017</v>
      </c>
      <c r="G124" s="7">
        <f>+Adjustments!V124</f>
        <v>0</v>
      </c>
      <c r="H124" s="7"/>
      <c r="I124" s="7">
        <f>SUM($F$124:$H$124)</f>
        <v>9333726.3400000017</v>
      </c>
      <c r="J124" s="7">
        <f>+I124-'ROR-Model'!I124</f>
        <v>0</v>
      </c>
      <c r="K124" s="7"/>
      <c r="L124" s="7" t="s">
        <v>12</v>
      </c>
      <c r="M124" s="7">
        <f>VLOOKUP($L124,$L$2:$N$7,2,FALSE)*I124</f>
        <v>9333726.3400000017</v>
      </c>
      <c r="N124" s="7">
        <f>VLOOKUP($L124,$L$2:$N$7,3,FALSE)*I124</f>
        <v>0</v>
      </c>
      <c r="O124" s="120"/>
      <c r="P124" s="126" t="s">
        <v>510</v>
      </c>
      <c r="Q124" s="7">
        <f>IF(P124="G",M124,IF(P124="PT",0,ERR))</f>
        <v>9333726.3400000017</v>
      </c>
      <c r="R124" s="7">
        <f>IF(P124="PT",M124,IF(P124="G",0,ERR))</f>
        <v>0</v>
      </c>
      <c r="S124" s="126" t="s">
        <v>510</v>
      </c>
      <c r="T124" s="7">
        <f>IF(S124="G",N124,IF(S124="PT",0,ERR))</f>
        <v>0</v>
      </c>
      <c r="U124" s="7">
        <f>IF(S124="PT",N124,IF(S124="G",0,ERR))</f>
        <v>0</v>
      </c>
      <c r="V124" s="124"/>
      <c r="W124" s="7">
        <f>HLOOKUP($W$9,'ROR-Model'!$Q$10:$U$1273,Y124)</f>
        <v>9333726.3400000017</v>
      </c>
      <c r="X124" s="139"/>
      <c r="Y124" s="3">
        <f t="shared" si="3"/>
        <v>115</v>
      </c>
      <c r="AA124" s="7">
        <v>4995387.8000000007</v>
      </c>
      <c r="AC124" s="7">
        <f t="shared" si="4"/>
        <v>4338338.540000001</v>
      </c>
      <c r="AE124" s="42">
        <f t="shared" si="5"/>
        <v>0.86846881837682355</v>
      </c>
      <c r="AG124" s="162"/>
      <c r="AH124" t="s">
        <v>82</v>
      </c>
      <c r="AI124" t="s">
        <v>14</v>
      </c>
      <c r="AJ124" s="10"/>
    </row>
    <row r="125" spans="1:36">
      <c r="A125" s="136"/>
      <c r="B125" s="32"/>
      <c r="C125" s="32"/>
      <c r="D125" s="47"/>
      <c r="E125" s="7">
        <f>+G125-Adjustments!G125</f>
        <v>0</v>
      </c>
      <c r="F125" s="7"/>
      <c r="G125" s="7"/>
      <c r="H125" s="7"/>
      <c r="I125" s="7"/>
      <c r="J125" s="7">
        <f>+I125-'ROR-Model'!I125</f>
        <v>0</v>
      </c>
      <c r="K125" s="7"/>
      <c r="L125" s="7"/>
      <c r="M125" s="7"/>
      <c r="N125" s="7"/>
      <c r="O125" s="120"/>
      <c r="P125" s="126"/>
      <c r="Q125" s="7"/>
      <c r="R125" s="7"/>
      <c r="S125" s="126"/>
      <c r="T125" s="7"/>
      <c r="U125" s="7"/>
      <c r="V125" s="124"/>
      <c r="W125" s="7"/>
      <c r="X125" s="139"/>
      <c r="Y125" s="3">
        <f t="shared" si="3"/>
        <v>116</v>
      </c>
      <c r="AA125" s="7"/>
      <c r="AC125" s="7" t="str">
        <f t="shared" si="4"/>
        <v/>
      </c>
      <c r="AE125" s="42" t="str">
        <f t="shared" si="5"/>
        <v/>
      </c>
      <c r="AG125" s="162"/>
      <c r="AJ125" s="10"/>
    </row>
    <row r="126" spans="1:36">
      <c r="A126" s="136"/>
      <c r="B126" s="32"/>
      <c r="C126" s="32" t="s">
        <v>15</v>
      </c>
      <c r="D126" s="47"/>
      <c r="E126" s="7">
        <f>+G126-Adjustments!G126</f>
        <v>0</v>
      </c>
      <c r="F126" s="7">
        <f>Revenue!$F$125</f>
        <v>220850.51</v>
      </c>
      <c r="G126" s="7">
        <f>+Adjustments!V126</f>
        <v>0</v>
      </c>
      <c r="H126" s="7"/>
      <c r="I126" s="7">
        <f>SUM($F$126:$H$126)</f>
        <v>220850.51</v>
      </c>
      <c r="J126" s="7">
        <f>+I126-'ROR-Model'!I126</f>
        <v>0</v>
      </c>
      <c r="K126" s="7"/>
      <c r="L126" s="7" t="s">
        <v>12</v>
      </c>
      <c r="M126" s="7">
        <f>VLOOKUP($L126,$L$2:$N$7,2,FALSE)*I126</f>
        <v>220850.51</v>
      </c>
      <c r="N126" s="7">
        <f>VLOOKUP($L126,$L$2:$N$7,3,FALSE)*I126</f>
        <v>0</v>
      </c>
      <c r="O126" s="120"/>
      <c r="P126" s="126" t="s">
        <v>509</v>
      </c>
      <c r="Q126" s="7">
        <f>IF(P126="G",M126,IF(P126="PT",0,ERR))</f>
        <v>0</v>
      </c>
      <c r="R126" s="7">
        <f>IF(P126="PT",M126,IF(P126="G",0,ERR))</f>
        <v>220850.51</v>
      </c>
      <c r="S126" s="126" t="s">
        <v>509</v>
      </c>
      <c r="T126" s="7">
        <f>IF(S126="G",N126,IF(S126="PT",0,ERR))</f>
        <v>0</v>
      </c>
      <c r="U126" s="7">
        <f>IF(S126="PT",N126,IF(S126="G",0,ERR))</f>
        <v>0</v>
      </c>
      <c r="V126" s="124"/>
      <c r="W126" s="7">
        <f>HLOOKUP($W$9,'ROR-Model'!$Q$10:$U$1273,Y126)</f>
        <v>0</v>
      </c>
      <c r="X126" s="139"/>
      <c r="Y126" s="3">
        <f t="shared" si="3"/>
        <v>117</v>
      </c>
      <c r="AA126" s="7">
        <v>0</v>
      </c>
      <c r="AC126" s="7" t="str">
        <f t="shared" si="4"/>
        <v/>
      </c>
      <c r="AE126" s="42" t="str">
        <f t="shared" si="5"/>
        <v/>
      </c>
      <c r="AG126" s="162"/>
      <c r="AI126" t="s">
        <v>15</v>
      </c>
      <c r="AJ126" s="10"/>
    </row>
    <row r="127" spans="1:36">
      <c r="A127" s="136"/>
      <c r="B127" s="32"/>
      <c r="C127" s="32"/>
      <c r="D127" s="47"/>
      <c r="E127" s="7">
        <f>+G127-Adjustments!G127</f>
        <v>0</v>
      </c>
      <c r="F127" s="7"/>
      <c r="G127" s="7"/>
      <c r="H127" s="7"/>
      <c r="I127" s="7"/>
      <c r="J127" s="7">
        <f>+I127-'ROR-Model'!I127</f>
        <v>0</v>
      </c>
      <c r="K127" s="7"/>
      <c r="L127" s="7"/>
      <c r="M127" s="7"/>
      <c r="N127" s="7"/>
      <c r="O127" s="120"/>
      <c r="P127" s="126"/>
      <c r="Q127" s="7"/>
      <c r="R127" s="7"/>
      <c r="S127" s="126"/>
      <c r="T127" s="7"/>
      <c r="U127" s="7"/>
      <c r="V127" s="124"/>
      <c r="W127" s="7"/>
      <c r="X127" s="139"/>
      <c r="Y127" s="3">
        <f t="shared" si="3"/>
        <v>118</v>
      </c>
      <c r="AA127" s="7"/>
      <c r="AC127" s="7" t="str">
        <f t="shared" si="4"/>
        <v/>
      </c>
      <c r="AE127" s="42" t="str">
        <f t="shared" si="5"/>
        <v/>
      </c>
      <c r="AG127" s="162"/>
      <c r="AJ127" s="10"/>
    </row>
    <row r="128" spans="1:36">
      <c r="A128" s="136"/>
      <c r="B128" s="32"/>
      <c r="C128" s="32" t="s">
        <v>16</v>
      </c>
      <c r="D128" s="47"/>
      <c r="E128" s="7">
        <f>+G128-Adjustments!G128</f>
        <v>0</v>
      </c>
      <c r="F128" s="7">
        <f>Revenue!$F$127</f>
        <v>0</v>
      </c>
      <c r="G128" s="7">
        <f>+Adjustments!V128</f>
        <v>0</v>
      </c>
      <c r="H128" s="7"/>
      <c r="I128" s="7">
        <f>SUM($F$128:$H$128)</f>
        <v>0</v>
      </c>
      <c r="J128" s="7">
        <f>+I128-'ROR-Model'!I128</f>
        <v>0</v>
      </c>
      <c r="K128" s="7"/>
      <c r="L128" s="7" t="s">
        <v>12</v>
      </c>
      <c r="M128" s="7">
        <f>VLOOKUP($L128,$L$2:$N$7,2,FALSE)*I128</f>
        <v>0</v>
      </c>
      <c r="N128" s="7">
        <f>VLOOKUP($L128,$L$2:$N$7,3,FALSE)*I128</f>
        <v>0</v>
      </c>
      <c r="O128" s="120"/>
      <c r="P128" s="126" t="s">
        <v>509</v>
      </c>
      <c r="Q128" s="7">
        <f>IF(P128="G",M128,IF(P128="PT",0,ERR))</f>
        <v>0</v>
      </c>
      <c r="R128" s="7">
        <f>IF(P128="PT",M128,IF(P128="G",0,ERR))</f>
        <v>0</v>
      </c>
      <c r="S128" s="126" t="s">
        <v>509</v>
      </c>
      <c r="T128" s="7">
        <f>IF(S128="G",N128,IF(S128="PT",0,ERR))</f>
        <v>0</v>
      </c>
      <c r="U128" s="7">
        <f>IF(S128="PT",N128,IF(S128="G",0,ERR))</f>
        <v>0</v>
      </c>
      <c r="V128" s="124"/>
      <c r="W128" s="7">
        <f>HLOOKUP($W$9,'ROR-Model'!$Q$10:$U$1273,Y128)</f>
        <v>0</v>
      </c>
      <c r="X128" s="139"/>
      <c r="Y128" s="3">
        <f t="shared" si="3"/>
        <v>119</v>
      </c>
      <c r="AA128" s="7">
        <v>0</v>
      </c>
      <c r="AC128" s="7" t="str">
        <f t="shared" si="4"/>
        <v/>
      </c>
      <c r="AE128" s="42" t="str">
        <f t="shared" si="5"/>
        <v/>
      </c>
      <c r="AG128" s="162"/>
      <c r="AI128" t="s">
        <v>16</v>
      </c>
      <c r="AJ128" s="10"/>
    </row>
    <row r="129" spans="1:36">
      <c r="A129" s="136"/>
      <c r="B129" s="32"/>
      <c r="C129" s="32" t="s">
        <v>17</v>
      </c>
      <c r="D129" s="47"/>
      <c r="E129" s="140">
        <f>+G129-Adjustments!G129</f>
        <v>0</v>
      </c>
      <c r="F129" s="140">
        <f>SUM(F124:F128)</f>
        <v>9554576.8500000015</v>
      </c>
      <c r="G129" s="140">
        <f>SUM(G124:G128)</f>
        <v>0</v>
      </c>
      <c r="H129" s="140">
        <f>SUM(H124:H128)</f>
        <v>0</v>
      </c>
      <c r="I129" s="140">
        <f>SUM(I124:I128)</f>
        <v>9554576.8500000015</v>
      </c>
      <c r="J129" s="7">
        <f>+I129-'ROR-Model'!I129</f>
        <v>0</v>
      </c>
      <c r="K129" s="7"/>
      <c r="L129" s="140"/>
      <c r="M129" s="140">
        <f>SUM(M124:M128)</f>
        <v>9554576.8500000015</v>
      </c>
      <c r="N129" s="140">
        <f>SUM(N124:N128)</f>
        <v>0</v>
      </c>
      <c r="O129" s="120"/>
      <c r="P129" s="201"/>
      <c r="Q129" s="140">
        <f>SUM(Q124:Q128)</f>
        <v>9333726.3400000017</v>
      </c>
      <c r="R129" s="140">
        <f>SUM(R124:R128)</f>
        <v>220850.51</v>
      </c>
      <c r="S129" s="201"/>
      <c r="T129" s="140">
        <f>SUM(T124:T128)</f>
        <v>0</v>
      </c>
      <c r="U129" s="140">
        <f>SUM(U124:U128)</f>
        <v>0</v>
      </c>
      <c r="V129" s="124"/>
      <c r="W129" s="140">
        <f>HLOOKUP($W$9,'ROR-Model'!$Q$10:$U$1273,Y129)</f>
        <v>9333726.3400000017</v>
      </c>
      <c r="X129" s="139"/>
      <c r="Y129" s="3">
        <f t="shared" si="3"/>
        <v>120</v>
      </c>
      <c r="AA129" s="140">
        <v>4995387.8000000007</v>
      </c>
      <c r="AC129" s="140">
        <f t="shared" si="4"/>
        <v>4338338.540000001</v>
      </c>
      <c r="AE129" s="42">
        <f t="shared" si="5"/>
        <v>0.86846881837682355</v>
      </c>
      <c r="AG129" s="162"/>
      <c r="AI129" t="s">
        <v>17</v>
      </c>
      <c r="AJ129" s="10"/>
    </row>
    <row r="130" spans="1:36">
      <c r="A130" s="136"/>
      <c r="B130" s="32"/>
      <c r="C130" s="32"/>
      <c r="D130" s="47"/>
      <c r="E130" s="7">
        <f>+G130-Adjustments!G130</f>
        <v>0</v>
      </c>
      <c r="F130" s="7"/>
      <c r="G130" s="7"/>
      <c r="H130" s="7"/>
      <c r="I130" s="7"/>
      <c r="J130" s="7">
        <f>+I130-'ROR-Model'!I130</f>
        <v>0</v>
      </c>
      <c r="K130" s="7"/>
      <c r="L130" s="7"/>
      <c r="M130" s="7"/>
      <c r="N130" s="7"/>
      <c r="O130" s="120"/>
      <c r="P130" s="126"/>
      <c r="Q130" s="7"/>
      <c r="R130" s="7"/>
      <c r="S130" s="126"/>
      <c r="T130" s="7"/>
      <c r="U130" s="7"/>
      <c r="V130" s="124"/>
      <c r="W130" s="7"/>
      <c r="X130" s="139"/>
      <c r="Y130" s="3">
        <f t="shared" si="3"/>
        <v>121</v>
      </c>
      <c r="AA130" s="7"/>
      <c r="AC130" s="7" t="str">
        <f t="shared" si="4"/>
        <v/>
      </c>
      <c r="AE130" s="42" t="str">
        <f t="shared" si="5"/>
        <v/>
      </c>
      <c r="AG130" s="162"/>
      <c r="AJ130" s="10"/>
    </row>
    <row r="131" spans="1:36">
      <c r="A131" s="136"/>
      <c r="B131" s="32"/>
      <c r="C131" s="32" t="s">
        <v>18</v>
      </c>
      <c r="D131" s="47"/>
      <c r="E131" s="7">
        <f>+G131-Adjustments!G131</f>
        <v>0</v>
      </c>
      <c r="F131" s="7">
        <f>Revenue!$F$130</f>
        <v>53788751</v>
      </c>
      <c r="G131" s="7">
        <f>+Adjustments!V131</f>
        <v>0</v>
      </c>
      <c r="H131" s="7"/>
      <c r="I131" s="520">
        <f>SUM($F$131:$H$131)</f>
        <v>53788751</v>
      </c>
      <c r="J131" s="7">
        <f>+I131-'ROR-Model'!I131</f>
        <v>0</v>
      </c>
      <c r="K131" s="7"/>
      <c r="L131" s="7" t="s">
        <v>12</v>
      </c>
      <c r="M131" s="7">
        <f>VLOOKUP($L131,$L$2:$N$7,2,FALSE)*I131</f>
        <v>53788751</v>
      </c>
      <c r="N131" s="7">
        <f>VLOOKUP($L131,$L$2:$N$7,3,FALSE)*I131</f>
        <v>0</v>
      </c>
      <c r="O131" s="120"/>
      <c r="P131" s="126" t="s">
        <v>510</v>
      </c>
      <c r="Q131" s="7">
        <f>IF(P131="G",M131,IF(P131="PT",0,ERR))</f>
        <v>53788751</v>
      </c>
      <c r="R131" s="7">
        <f>IF(P131="PT",M131,IF(P131="G",0,ERR))</f>
        <v>0</v>
      </c>
      <c r="S131" s="126" t="s">
        <v>510</v>
      </c>
      <c r="T131" s="7">
        <f>IF(S131="G",N131,IF(S131="PT",0,ERR))</f>
        <v>0</v>
      </c>
      <c r="U131" s="7">
        <f>IF(S131="PT",N131,IF(S131="G",0,ERR))</f>
        <v>0</v>
      </c>
      <c r="V131" s="124"/>
      <c r="W131" s="7">
        <f>HLOOKUP($W$9,'ROR-Model'!$Q$10:$U$1273,Y131)</f>
        <v>53788751</v>
      </c>
      <c r="X131" s="139"/>
      <c r="Y131" s="3">
        <f t="shared" si="3"/>
        <v>122</v>
      </c>
      <c r="AA131" s="7">
        <v>41548831</v>
      </c>
      <c r="AC131" s="7">
        <f t="shared" si="4"/>
        <v>12239920</v>
      </c>
      <c r="AE131" s="42">
        <f t="shared" si="5"/>
        <v>0.29459120041187198</v>
      </c>
      <c r="AG131" s="162"/>
      <c r="AI131" t="s">
        <v>18</v>
      </c>
      <c r="AJ131" s="10"/>
    </row>
    <row r="132" spans="1:36">
      <c r="A132" s="136"/>
      <c r="B132" s="32"/>
      <c r="C132" s="32"/>
      <c r="D132" s="47"/>
      <c r="E132" s="7">
        <f>+G132-Adjustments!G132</f>
        <v>0</v>
      </c>
      <c r="F132" s="7"/>
      <c r="G132" s="7"/>
      <c r="H132" s="7"/>
      <c r="I132" s="7"/>
      <c r="J132" s="7">
        <f>+I132-'ROR-Model'!I132</f>
        <v>0</v>
      </c>
      <c r="K132" s="7"/>
      <c r="L132" s="7"/>
      <c r="M132" s="7"/>
      <c r="N132" s="7"/>
      <c r="O132" s="120"/>
      <c r="P132" s="126"/>
      <c r="Q132" s="7"/>
      <c r="R132" s="7"/>
      <c r="S132" s="126"/>
      <c r="T132" s="7"/>
      <c r="U132" s="7"/>
      <c r="V132" s="124"/>
      <c r="W132" s="7"/>
      <c r="X132" s="139"/>
      <c r="Y132" s="3">
        <f t="shared" si="3"/>
        <v>123</v>
      </c>
      <c r="AA132" s="7"/>
      <c r="AC132" s="7" t="str">
        <f t="shared" si="4"/>
        <v/>
      </c>
      <c r="AE132" s="42" t="str">
        <f t="shared" si="5"/>
        <v/>
      </c>
      <c r="AG132" s="162"/>
      <c r="AJ132" s="10"/>
    </row>
    <row r="133" spans="1:36">
      <c r="A133" s="136"/>
      <c r="B133" s="32" t="s">
        <v>83</v>
      </c>
      <c r="C133" s="32" t="s">
        <v>14</v>
      </c>
      <c r="D133" s="47"/>
      <c r="E133" s="7">
        <f>+G133-Adjustments!G133</f>
        <v>0</v>
      </c>
      <c r="F133" s="7">
        <f>Revenue!$F$132</f>
        <v>0</v>
      </c>
      <c r="G133" s="7">
        <f>+Adjustments!V133</f>
        <v>0</v>
      </c>
      <c r="H133" s="7"/>
      <c r="I133" s="7">
        <f>SUM($F$133:$H$133)</f>
        <v>0</v>
      </c>
      <c r="J133" s="7">
        <f>+I133-'ROR-Model'!I133</f>
        <v>0</v>
      </c>
      <c r="K133" s="7"/>
      <c r="L133" s="7" t="s">
        <v>12</v>
      </c>
      <c r="M133" s="7">
        <f>VLOOKUP($L133,$L$2:$N$7,2,FALSE)*I133</f>
        <v>0</v>
      </c>
      <c r="N133" s="7">
        <f>VLOOKUP($L133,$L$2:$N$7,3,FALSE)*I133</f>
        <v>0</v>
      </c>
      <c r="O133" s="120"/>
      <c r="P133" s="126" t="s">
        <v>510</v>
      </c>
      <c r="Q133" s="7">
        <f>IF(P133="G",M133,IF(P133="PT",0,ERR))</f>
        <v>0</v>
      </c>
      <c r="R133" s="7">
        <f>IF(P133="PT",M133,IF(P133="G",0,ERR))</f>
        <v>0</v>
      </c>
      <c r="S133" s="126" t="s">
        <v>510</v>
      </c>
      <c r="T133" s="7">
        <f>IF(S133="G",N133,IF(S133="PT",0,ERR))</f>
        <v>0</v>
      </c>
      <c r="U133" s="7">
        <f>IF(S133="PT",N133,IF(S133="G",0,ERR))</f>
        <v>0</v>
      </c>
      <c r="V133" s="124"/>
      <c r="W133" s="7">
        <f>HLOOKUP($W$9,'ROR-Model'!$Q$10:$U$1273,Y133)</f>
        <v>0</v>
      </c>
      <c r="X133" s="139"/>
      <c r="Y133" s="3">
        <f t="shared" si="3"/>
        <v>124</v>
      </c>
      <c r="AA133" s="7">
        <v>0</v>
      </c>
      <c r="AC133" s="7" t="str">
        <f t="shared" si="4"/>
        <v/>
      </c>
      <c r="AE133" s="42" t="str">
        <f t="shared" si="5"/>
        <v/>
      </c>
      <c r="AG133" s="162"/>
      <c r="AH133" t="s">
        <v>83</v>
      </c>
      <c r="AI133" t="s">
        <v>14</v>
      </c>
      <c r="AJ133" s="10"/>
    </row>
    <row r="134" spans="1:36">
      <c r="A134" s="136"/>
      <c r="B134" s="32"/>
      <c r="C134" s="32"/>
      <c r="D134" s="47"/>
      <c r="E134" s="7">
        <f>+G134-Adjustments!G134</f>
        <v>0</v>
      </c>
      <c r="F134" s="7"/>
      <c r="G134" s="7"/>
      <c r="H134" s="7"/>
      <c r="I134" s="7"/>
      <c r="J134" s="7">
        <f>+I134-'ROR-Model'!I134</f>
        <v>0</v>
      </c>
      <c r="K134" s="7"/>
      <c r="L134" s="7"/>
      <c r="M134" s="7"/>
      <c r="N134" s="7"/>
      <c r="O134" s="120"/>
      <c r="P134" s="126"/>
      <c r="Q134" s="7"/>
      <c r="R134" s="7"/>
      <c r="S134" s="126"/>
      <c r="T134" s="7"/>
      <c r="U134" s="7"/>
      <c r="V134" s="124"/>
      <c r="W134" s="7"/>
      <c r="X134" s="139"/>
      <c r="Y134" s="3">
        <f t="shared" si="3"/>
        <v>125</v>
      </c>
      <c r="AA134" s="7"/>
      <c r="AC134" s="7" t="str">
        <f t="shared" si="4"/>
        <v/>
      </c>
      <c r="AE134" s="42" t="str">
        <f t="shared" si="5"/>
        <v/>
      </c>
      <c r="AG134" s="162"/>
      <c r="AJ134" s="10"/>
    </row>
    <row r="135" spans="1:36">
      <c r="A135" s="136"/>
      <c r="B135" s="32"/>
      <c r="C135" s="32" t="s">
        <v>15</v>
      </c>
      <c r="D135" s="47"/>
      <c r="E135" s="7">
        <f>+G135-Adjustments!G135</f>
        <v>0</v>
      </c>
      <c r="F135" s="7">
        <f>Revenue!$F$134</f>
        <v>0</v>
      </c>
      <c r="G135" s="7">
        <f>+Adjustments!V135</f>
        <v>0</v>
      </c>
      <c r="H135" s="7"/>
      <c r="I135" s="7">
        <f>SUM($F$135:$H$135)</f>
        <v>0</v>
      </c>
      <c r="J135" s="7">
        <f>+I135-'ROR-Model'!I135</f>
        <v>0</v>
      </c>
      <c r="K135" s="7"/>
      <c r="L135" s="7" t="s">
        <v>12</v>
      </c>
      <c r="M135" s="7">
        <f>VLOOKUP($L135,$L$2:$N$7,2,FALSE)*I135</f>
        <v>0</v>
      </c>
      <c r="N135" s="7">
        <f>VLOOKUP($L135,$L$2:$N$7,3,FALSE)*I135</f>
        <v>0</v>
      </c>
      <c r="O135" s="120"/>
      <c r="P135" s="126" t="s">
        <v>509</v>
      </c>
      <c r="Q135" s="7">
        <f>IF(P135="G",M135,IF(P135="PT",0,ERR))</f>
        <v>0</v>
      </c>
      <c r="R135" s="7">
        <f>IF(P135="PT",M135,IF(P135="G",0,ERR))</f>
        <v>0</v>
      </c>
      <c r="S135" s="126" t="s">
        <v>509</v>
      </c>
      <c r="T135" s="7">
        <f>IF(S135="G",N135,IF(S135="PT",0,ERR))</f>
        <v>0</v>
      </c>
      <c r="U135" s="7">
        <f>IF(S135="PT",N135,IF(S135="G",0,ERR))</f>
        <v>0</v>
      </c>
      <c r="V135" s="124"/>
      <c r="W135" s="7">
        <f>HLOOKUP($W$9,'ROR-Model'!$Q$10:$U$1273,Y135)</f>
        <v>0</v>
      </c>
      <c r="X135" s="139"/>
      <c r="Y135" s="3">
        <f t="shared" si="3"/>
        <v>126</v>
      </c>
      <c r="AA135" s="7">
        <v>0</v>
      </c>
      <c r="AC135" s="7" t="str">
        <f t="shared" si="4"/>
        <v/>
      </c>
      <c r="AE135" s="42" t="str">
        <f t="shared" si="5"/>
        <v/>
      </c>
      <c r="AG135" s="162"/>
      <c r="AI135" t="s">
        <v>15</v>
      </c>
      <c r="AJ135" s="10"/>
    </row>
    <row r="136" spans="1:36">
      <c r="A136" s="136"/>
      <c r="B136" s="32"/>
      <c r="C136" s="32"/>
      <c r="D136" s="47"/>
      <c r="E136" s="7">
        <f>+G136-Adjustments!G136</f>
        <v>0</v>
      </c>
      <c r="F136" s="7"/>
      <c r="G136" s="7"/>
      <c r="H136" s="7"/>
      <c r="I136" s="7"/>
      <c r="J136" s="7">
        <f>+I136-'ROR-Model'!I136</f>
        <v>0</v>
      </c>
      <c r="K136" s="7"/>
      <c r="L136" s="7"/>
      <c r="M136" s="7"/>
      <c r="N136" s="7"/>
      <c r="O136" s="120"/>
      <c r="P136" s="126"/>
      <c r="Q136" s="7"/>
      <c r="R136" s="7"/>
      <c r="S136" s="126"/>
      <c r="T136" s="7"/>
      <c r="U136" s="7"/>
      <c r="V136" s="124"/>
      <c r="W136" s="7"/>
      <c r="X136" s="139"/>
      <c r="Y136" s="3">
        <f t="shared" si="3"/>
        <v>127</v>
      </c>
      <c r="AA136" s="7"/>
      <c r="AC136" s="7" t="str">
        <f t="shared" si="4"/>
        <v/>
      </c>
      <c r="AE136" s="42" t="str">
        <f t="shared" si="5"/>
        <v/>
      </c>
      <c r="AG136" s="162"/>
      <c r="AJ136" s="10"/>
    </row>
    <row r="137" spans="1:36">
      <c r="A137" s="136"/>
      <c r="B137" s="32"/>
      <c r="C137" s="32" t="s">
        <v>16</v>
      </c>
      <c r="D137" s="47"/>
      <c r="E137" s="7">
        <f>+G137-Adjustments!G137</f>
        <v>0</v>
      </c>
      <c r="F137" s="7">
        <f>Revenue!$F$136</f>
        <v>0</v>
      </c>
      <c r="G137" s="7">
        <f>+Adjustments!V137</f>
        <v>0</v>
      </c>
      <c r="H137" s="7"/>
      <c r="I137" s="7">
        <f>SUM($F$137:$H$137)</f>
        <v>0</v>
      </c>
      <c r="J137" s="7">
        <f>+I137-'ROR-Model'!I137</f>
        <v>0</v>
      </c>
      <c r="K137" s="7"/>
      <c r="L137" s="7" t="s">
        <v>12</v>
      </c>
      <c r="M137" s="7">
        <f>VLOOKUP($L137,$L$2:$N$7,2,FALSE)*I137</f>
        <v>0</v>
      </c>
      <c r="N137" s="7">
        <f>VLOOKUP($L137,$L$2:$N$7,3,FALSE)*I137</f>
        <v>0</v>
      </c>
      <c r="O137" s="120"/>
      <c r="P137" s="126" t="s">
        <v>509</v>
      </c>
      <c r="Q137" s="7">
        <f>IF(P137="G",M137,IF(P137="PT",0,ERR))</f>
        <v>0</v>
      </c>
      <c r="R137" s="7">
        <f>IF(P137="PT",M137,IF(P137="G",0,ERR))</f>
        <v>0</v>
      </c>
      <c r="S137" s="126" t="s">
        <v>509</v>
      </c>
      <c r="T137" s="7">
        <f>IF(S137="G",N137,IF(S137="PT",0,ERR))</f>
        <v>0</v>
      </c>
      <c r="U137" s="7">
        <f>IF(S137="PT",N137,IF(S137="G",0,ERR))</f>
        <v>0</v>
      </c>
      <c r="V137" s="124"/>
      <c r="W137" s="7">
        <f>HLOOKUP($W$9,'ROR-Model'!$Q$10:$U$1273,Y137)</f>
        <v>0</v>
      </c>
      <c r="X137" s="139"/>
      <c r="Y137" s="3">
        <f t="shared" si="3"/>
        <v>128</v>
      </c>
      <c r="AA137" s="7">
        <v>0</v>
      </c>
      <c r="AC137" s="7" t="str">
        <f t="shared" si="4"/>
        <v/>
      </c>
      <c r="AE137" s="42" t="str">
        <f t="shared" si="5"/>
        <v/>
      </c>
      <c r="AG137" s="162"/>
      <c r="AI137" t="s">
        <v>16</v>
      </c>
      <c r="AJ137" s="10"/>
    </row>
    <row r="138" spans="1:36">
      <c r="A138" s="136"/>
      <c r="B138" s="32"/>
      <c r="C138" s="32" t="s">
        <v>17</v>
      </c>
      <c r="D138" s="47"/>
      <c r="E138" s="140">
        <f>+G138-Adjustments!G138</f>
        <v>0</v>
      </c>
      <c r="F138" s="140">
        <f>SUM(F133:F137)</f>
        <v>0</v>
      </c>
      <c r="G138" s="140">
        <f>SUM(G133:G137)</f>
        <v>0</v>
      </c>
      <c r="H138" s="140">
        <f>SUM(H133:H137)</f>
        <v>0</v>
      </c>
      <c r="I138" s="140">
        <f>SUM(I133:I137)</f>
        <v>0</v>
      </c>
      <c r="J138" s="7">
        <f>+I138-'ROR-Model'!I138</f>
        <v>0</v>
      </c>
      <c r="K138" s="7"/>
      <c r="L138" s="140"/>
      <c r="M138" s="140">
        <f>SUM(M133:M137)</f>
        <v>0</v>
      </c>
      <c r="N138" s="140">
        <f>SUM(N133:N137)</f>
        <v>0</v>
      </c>
      <c r="O138" s="120"/>
      <c r="P138" s="201"/>
      <c r="Q138" s="140">
        <f>SUM(Q133:Q137)</f>
        <v>0</v>
      </c>
      <c r="R138" s="140">
        <f>SUM(R133:R137)</f>
        <v>0</v>
      </c>
      <c r="S138" s="201"/>
      <c r="T138" s="140">
        <f>SUM(T133:T137)</f>
        <v>0</v>
      </c>
      <c r="U138" s="140">
        <f>SUM(U133:U137)</f>
        <v>0</v>
      </c>
      <c r="V138" s="124"/>
      <c r="W138" s="140">
        <f>HLOOKUP($W$9,'ROR-Model'!$Q$10:$U$1273,Y138)</f>
        <v>0</v>
      </c>
      <c r="X138" s="139"/>
      <c r="Y138" s="3">
        <f t="shared" si="3"/>
        <v>129</v>
      </c>
      <c r="AA138" s="140">
        <v>0</v>
      </c>
      <c r="AC138" s="140" t="str">
        <f t="shared" si="4"/>
        <v/>
      </c>
      <c r="AE138" s="42" t="str">
        <f t="shared" si="5"/>
        <v/>
      </c>
      <c r="AG138" s="162"/>
      <c r="AI138" t="s">
        <v>17</v>
      </c>
      <c r="AJ138" s="10"/>
    </row>
    <row r="139" spans="1:36">
      <c r="A139" s="136"/>
      <c r="B139" s="32"/>
      <c r="C139" s="32"/>
      <c r="D139" s="47"/>
      <c r="E139" s="7">
        <f>+G139-Adjustments!G139</f>
        <v>0</v>
      </c>
      <c r="F139" s="7"/>
      <c r="G139" s="7"/>
      <c r="H139" s="7"/>
      <c r="I139" s="7"/>
      <c r="J139" s="7">
        <f>+I139-'ROR-Model'!I139</f>
        <v>0</v>
      </c>
      <c r="K139" s="7"/>
      <c r="L139" s="7"/>
      <c r="M139" s="7"/>
      <c r="N139" s="7"/>
      <c r="O139" s="120"/>
      <c r="P139" s="126"/>
      <c r="Q139" s="7"/>
      <c r="R139" s="7"/>
      <c r="S139" s="126"/>
      <c r="T139" s="7"/>
      <c r="U139" s="7"/>
      <c r="V139" s="124"/>
      <c r="W139" s="7"/>
      <c r="X139" s="139"/>
      <c r="Y139" s="3">
        <f t="shared" si="3"/>
        <v>130</v>
      </c>
      <c r="AA139" s="7"/>
      <c r="AC139" s="7" t="str">
        <f t="shared" si="4"/>
        <v/>
      </c>
      <c r="AE139" s="42" t="str">
        <f t="shared" si="5"/>
        <v/>
      </c>
      <c r="AG139" s="162"/>
      <c r="AJ139" s="10"/>
    </row>
    <row r="140" spans="1:36">
      <c r="A140" s="136"/>
      <c r="B140" s="32"/>
      <c r="C140" s="32" t="s">
        <v>18</v>
      </c>
      <c r="D140" s="47"/>
      <c r="E140" s="7">
        <f>+G140-Adjustments!G140</f>
        <v>0</v>
      </c>
      <c r="F140" s="7">
        <f>Revenue!$F$139</f>
        <v>0</v>
      </c>
      <c r="G140" s="7">
        <f>+Adjustments!V140</f>
        <v>0</v>
      </c>
      <c r="H140" s="7"/>
      <c r="I140" s="520">
        <f>SUM($F$140:$H$140)</f>
        <v>0</v>
      </c>
      <c r="J140" s="7">
        <f>+I140-'ROR-Model'!I140</f>
        <v>0</v>
      </c>
      <c r="K140" s="7"/>
      <c r="L140" s="7" t="s">
        <v>12</v>
      </c>
      <c r="M140" s="7">
        <f>VLOOKUP($L140,$L$2:$N$7,2,FALSE)*I140</f>
        <v>0</v>
      </c>
      <c r="N140" s="7">
        <f>VLOOKUP($L140,$L$2:$N$7,3,FALSE)*I140</f>
        <v>0</v>
      </c>
      <c r="O140" s="120"/>
      <c r="P140" s="126" t="s">
        <v>510</v>
      </c>
      <c r="Q140" s="7">
        <f>IF(P140="G",M140,IF(P140="PT",0,ERR))</f>
        <v>0</v>
      </c>
      <c r="R140" s="7">
        <f>IF(P140="PT",M140,IF(P140="G",0,ERR))</f>
        <v>0</v>
      </c>
      <c r="S140" s="126" t="s">
        <v>510</v>
      </c>
      <c r="T140" s="7">
        <f>IF(S140="G",N140,IF(S140="PT",0,ERR))</f>
        <v>0</v>
      </c>
      <c r="U140" s="7">
        <f>IF(S140="PT",N140,IF(S140="G",0,ERR))</f>
        <v>0</v>
      </c>
      <c r="V140" s="124"/>
      <c r="W140" s="7">
        <f>HLOOKUP($W$9,'ROR-Model'!$Q$10:$U$1273,Y140)</f>
        <v>0</v>
      </c>
      <c r="X140" s="139"/>
      <c r="Y140" s="3">
        <f t="shared" ref="Y140:Y203" si="6">Y139+1</f>
        <v>131</v>
      </c>
      <c r="AA140" s="7">
        <v>0</v>
      </c>
      <c r="AC140" s="7" t="str">
        <f t="shared" si="4"/>
        <v/>
      </c>
      <c r="AE140" s="42" t="str">
        <f t="shared" si="5"/>
        <v/>
      </c>
      <c r="AG140" s="162"/>
      <c r="AI140" t="s">
        <v>18</v>
      </c>
      <c r="AJ140" s="10"/>
    </row>
    <row r="141" spans="1:36">
      <c r="A141" s="136"/>
      <c r="B141" s="32"/>
      <c r="C141" s="32"/>
      <c r="D141" s="47"/>
      <c r="E141" s="7">
        <f>+G141-Adjustments!G141</f>
        <v>0</v>
      </c>
      <c r="F141" s="7"/>
      <c r="G141" s="7"/>
      <c r="H141" s="7"/>
      <c r="I141" s="7"/>
      <c r="J141" s="7">
        <f>+I141-'ROR-Model'!I141</f>
        <v>0</v>
      </c>
      <c r="K141" s="7"/>
      <c r="L141" s="7"/>
      <c r="M141" s="7"/>
      <c r="N141" s="7"/>
      <c r="O141" s="120"/>
      <c r="P141" s="126"/>
      <c r="Q141" s="7"/>
      <c r="R141" s="7"/>
      <c r="S141" s="126"/>
      <c r="T141" s="7"/>
      <c r="U141" s="7"/>
      <c r="V141" s="124"/>
      <c r="W141" s="7"/>
      <c r="X141" s="139"/>
      <c r="Y141" s="3">
        <f t="shared" si="6"/>
        <v>132</v>
      </c>
      <c r="AA141" s="7"/>
      <c r="AC141" s="7" t="str">
        <f t="shared" si="4"/>
        <v/>
      </c>
      <c r="AE141" s="42" t="str">
        <f t="shared" si="5"/>
        <v/>
      </c>
      <c r="AG141" s="162"/>
      <c r="AJ141" s="10"/>
    </row>
    <row r="142" spans="1:36">
      <c r="A142" s="136"/>
      <c r="B142" s="32" t="s">
        <v>636</v>
      </c>
      <c r="C142" s="32" t="s">
        <v>14</v>
      </c>
      <c r="D142" s="47"/>
      <c r="E142" s="7">
        <f>+G142-Adjustments!G142</f>
        <v>0</v>
      </c>
      <c r="F142" s="7">
        <f>Revenue!$F$141</f>
        <v>30202.34</v>
      </c>
      <c r="G142" s="7">
        <f>+Adjustments!V142</f>
        <v>0</v>
      </c>
      <c r="H142" s="7"/>
      <c r="I142" s="7">
        <f>SUM($F$142:$H$142)</f>
        <v>30202.34</v>
      </c>
      <c r="J142" s="7">
        <f>+I142-'ROR-Model'!I142</f>
        <v>0</v>
      </c>
      <c r="K142" s="7"/>
      <c r="L142" s="7" t="s">
        <v>12</v>
      </c>
      <c r="M142" s="7">
        <f>VLOOKUP($L142,$L$2:$N$7,2,FALSE)*I142</f>
        <v>30202.34</v>
      </c>
      <c r="N142" s="7">
        <f>VLOOKUP($L142,$L$2:$N$7,3,FALSE)*I142</f>
        <v>0</v>
      </c>
      <c r="O142" s="120"/>
      <c r="P142" s="126" t="s">
        <v>510</v>
      </c>
      <c r="Q142" s="7">
        <f>IF(P142="G",M142,IF(P142="PT",0,ERR))</f>
        <v>30202.34</v>
      </c>
      <c r="R142" s="7">
        <f>IF(P142="PT",M142,IF(P142="G",0,ERR))</f>
        <v>0</v>
      </c>
      <c r="S142" s="126" t="s">
        <v>510</v>
      </c>
      <c r="T142" s="7">
        <f>IF(S142="G",N142,IF(S142="PT",0,ERR))</f>
        <v>0</v>
      </c>
      <c r="U142" s="7">
        <f>IF(S142="PT",N142,IF(S142="G",0,ERR))</f>
        <v>0</v>
      </c>
      <c r="V142" s="124"/>
      <c r="W142" s="7">
        <f>HLOOKUP($W$9,'ROR-Model'!$Q$10:$U$1273,Y142)</f>
        <v>30202.34</v>
      </c>
      <c r="X142" s="139"/>
      <c r="Y142" s="3">
        <f t="shared" si="6"/>
        <v>133</v>
      </c>
      <c r="AA142" s="7">
        <v>80471.64</v>
      </c>
      <c r="AC142" s="7">
        <f t="shared" si="4"/>
        <v>-50269.3</v>
      </c>
      <c r="AE142" s="42">
        <f t="shared" si="5"/>
        <v>-0.62468342884524286</v>
      </c>
      <c r="AG142" s="162"/>
      <c r="AH142" t="s">
        <v>636</v>
      </c>
      <c r="AI142" t="s">
        <v>14</v>
      </c>
      <c r="AJ142" s="10"/>
    </row>
    <row r="143" spans="1:36">
      <c r="A143" s="136"/>
      <c r="B143" s="32"/>
      <c r="C143" s="32"/>
      <c r="D143" s="47"/>
      <c r="E143" s="7">
        <f>+G143-Adjustments!G143</f>
        <v>0</v>
      </c>
      <c r="F143" s="7"/>
      <c r="G143" s="7"/>
      <c r="H143" s="7"/>
      <c r="I143" s="7"/>
      <c r="J143" s="7">
        <f>+I143-'ROR-Model'!I143</f>
        <v>0</v>
      </c>
      <c r="K143" s="7"/>
      <c r="L143" s="7"/>
      <c r="M143" s="7"/>
      <c r="N143" s="7"/>
      <c r="O143" s="120"/>
      <c r="P143" s="126"/>
      <c r="Q143" s="7"/>
      <c r="R143" s="7"/>
      <c r="S143" s="126"/>
      <c r="T143" s="7"/>
      <c r="U143" s="7"/>
      <c r="V143" s="124"/>
      <c r="W143" s="7"/>
      <c r="X143" s="139"/>
      <c r="Y143" s="3">
        <f t="shared" si="6"/>
        <v>134</v>
      </c>
      <c r="AA143" s="7"/>
      <c r="AC143" s="7" t="str">
        <f t="shared" si="4"/>
        <v/>
      </c>
      <c r="AE143" s="42" t="str">
        <f t="shared" si="5"/>
        <v/>
      </c>
      <c r="AG143" s="162"/>
      <c r="AJ143" s="10"/>
    </row>
    <row r="144" spans="1:36">
      <c r="A144" s="136"/>
      <c r="B144" s="32"/>
      <c r="C144" s="32" t="s">
        <v>15</v>
      </c>
      <c r="D144" s="47"/>
      <c r="E144" s="7">
        <f>+G144-Adjustments!G144</f>
        <v>0</v>
      </c>
      <c r="F144" s="7">
        <f>Revenue!$F$143</f>
        <v>1389.26</v>
      </c>
      <c r="G144" s="7">
        <f>+Adjustments!V144</f>
        <v>0</v>
      </c>
      <c r="H144" s="7"/>
      <c r="I144" s="7">
        <f>SUM($F$144:$H$144)</f>
        <v>1389.26</v>
      </c>
      <c r="J144" s="7">
        <f>+I144-'ROR-Model'!I144</f>
        <v>0</v>
      </c>
      <c r="K144" s="7"/>
      <c r="L144" s="7" t="s">
        <v>12</v>
      </c>
      <c r="M144" s="7">
        <f>VLOOKUP($L144,$L$2:$N$7,2,FALSE)*I144</f>
        <v>1389.26</v>
      </c>
      <c r="N144" s="7">
        <f>VLOOKUP($L144,$L$2:$N$7,3,FALSE)*I144</f>
        <v>0</v>
      </c>
      <c r="O144" s="120"/>
      <c r="P144" s="126" t="s">
        <v>509</v>
      </c>
      <c r="Q144" s="7">
        <f>IF(P144="G",M144,IF(P144="PT",0,ERR))</f>
        <v>0</v>
      </c>
      <c r="R144" s="7">
        <f>IF(P144="PT",M144,IF(P144="G",0,ERR))</f>
        <v>1389.26</v>
      </c>
      <c r="S144" s="126" t="s">
        <v>509</v>
      </c>
      <c r="T144" s="7">
        <f>IF(S144="G",N144,IF(S144="PT",0,ERR))</f>
        <v>0</v>
      </c>
      <c r="U144" s="7">
        <f>IF(S144="PT",N144,IF(S144="G",0,ERR))</f>
        <v>0</v>
      </c>
      <c r="V144" s="124"/>
      <c r="W144" s="7">
        <f>HLOOKUP($W$9,'ROR-Model'!$Q$10:$U$1273,Y144)</f>
        <v>0</v>
      </c>
      <c r="X144" s="139"/>
      <c r="Y144" s="3">
        <f t="shared" si="6"/>
        <v>135</v>
      </c>
      <c r="AA144" s="7">
        <v>0</v>
      </c>
      <c r="AC144" s="7" t="str">
        <f t="shared" si="4"/>
        <v/>
      </c>
      <c r="AE144" s="42" t="str">
        <f t="shared" si="5"/>
        <v/>
      </c>
      <c r="AG144" s="162"/>
      <c r="AI144" t="s">
        <v>15</v>
      </c>
      <c r="AJ144" s="10"/>
    </row>
    <row r="145" spans="1:36">
      <c r="A145" s="136"/>
      <c r="B145" s="32"/>
      <c r="C145" s="32"/>
      <c r="D145" s="47"/>
      <c r="E145" s="7">
        <f>+G145-Adjustments!G145</f>
        <v>0</v>
      </c>
      <c r="F145" s="7"/>
      <c r="G145" s="7"/>
      <c r="H145" s="7"/>
      <c r="I145" s="7"/>
      <c r="J145" s="7">
        <f>+I145-'ROR-Model'!I145</f>
        <v>0</v>
      </c>
      <c r="K145" s="7"/>
      <c r="L145" s="7"/>
      <c r="M145" s="7"/>
      <c r="N145" s="7"/>
      <c r="O145" s="120"/>
      <c r="P145" s="126"/>
      <c r="Q145" s="7"/>
      <c r="R145" s="7"/>
      <c r="S145" s="126"/>
      <c r="T145" s="7"/>
      <c r="U145" s="7"/>
      <c r="V145" s="124"/>
      <c r="W145" s="7"/>
      <c r="X145" s="139"/>
      <c r="Y145" s="3">
        <f t="shared" si="6"/>
        <v>136</v>
      </c>
      <c r="AA145" s="7"/>
      <c r="AC145" s="7" t="str">
        <f t="shared" ref="AC145:AC208" si="7">IF(ABS(AA145)&gt;0,W145-AA145,"")</f>
        <v/>
      </c>
      <c r="AE145" s="42" t="str">
        <f t="shared" si="5"/>
        <v/>
      </c>
      <c r="AG145" s="162"/>
      <c r="AJ145" s="10"/>
    </row>
    <row r="146" spans="1:36">
      <c r="A146" s="136"/>
      <c r="B146" s="32"/>
      <c r="C146" s="32" t="s">
        <v>16</v>
      </c>
      <c r="D146" s="47"/>
      <c r="E146" s="7">
        <f>+G146-Adjustments!G146</f>
        <v>0</v>
      </c>
      <c r="F146" s="7">
        <f>Revenue!$F$145</f>
        <v>0</v>
      </c>
      <c r="G146" s="7">
        <f>+Adjustments!V146</f>
        <v>0</v>
      </c>
      <c r="H146" s="7"/>
      <c r="I146" s="7">
        <f>SUM($F$146:$H$146)</f>
        <v>0</v>
      </c>
      <c r="J146" s="7">
        <f>+I146-'ROR-Model'!I146</f>
        <v>0</v>
      </c>
      <c r="K146" s="7"/>
      <c r="L146" s="7" t="s">
        <v>12</v>
      </c>
      <c r="M146" s="7">
        <f>VLOOKUP($L146,$L$2:$N$7,2,FALSE)*I146</f>
        <v>0</v>
      </c>
      <c r="N146" s="7">
        <f>VLOOKUP($L146,$L$2:$N$7,3,FALSE)*I146</f>
        <v>0</v>
      </c>
      <c r="O146" s="120"/>
      <c r="P146" s="126" t="s">
        <v>509</v>
      </c>
      <c r="Q146" s="7">
        <f>IF(P146="G",M146,IF(P146="PT",0,ERR))</f>
        <v>0</v>
      </c>
      <c r="R146" s="7">
        <f>IF(P146="PT",M146,IF(P146="G",0,ERR))</f>
        <v>0</v>
      </c>
      <c r="S146" s="126" t="s">
        <v>509</v>
      </c>
      <c r="T146" s="7">
        <f>IF(S146="G",N146,IF(S146="PT",0,ERR))</f>
        <v>0</v>
      </c>
      <c r="U146" s="7">
        <f>IF(S146="PT",N146,IF(S146="G",0,ERR))</f>
        <v>0</v>
      </c>
      <c r="V146" s="124"/>
      <c r="W146" s="7">
        <f>HLOOKUP($W$9,'ROR-Model'!$Q$10:$U$1273,Y146)</f>
        <v>0</v>
      </c>
      <c r="X146" s="139"/>
      <c r="Y146" s="3">
        <f t="shared" si="6"/>
        <v>137</v>
      </c>
      <c r="AA146" s="7">
        <v>0</v>
      </c>
      <c r="AC146" s="7" t="str">
        <f t="shared" si="7"/>
        <v/>
      </c>
      <c r="AE146" s="42" t="str">
        <f t="shared" ref="AE146:AE209" si="8">IF(ABS(AA146)&gt;0,AC146/AA146,"")</f>
        <v/>
      </c>
      <c r="AG146" s="162"/>
      <c r="AI146" t="s">
        <v>16</v>
      </c>
      <c r="AJ146" s="10"/>
    </row>
    <row r="147" spans="1:36">
      <c r="A147" s="136"/>
      <c r="B147" s="32"/>
      <c r="C147" s="32" t="s">
        <v>17</v>
      </c>
      <c r="D147" s="47"/>
      <c r="E147" s="140">
        <f>+G147-Adjustments!G147</f>
        <v>0</v>
      </c>
      <c r="F147" s="140">
        <f>SUM(F142:F146)</f>
        <v>31591.599999999999</v>
      </c>
      <c r="G147" s="140">
        <f>SUM(G142:G146)</f>
        <v>0</v>
      </c>
      <c r="H147" s="140">
        <f>SUM(H142:H146)</f>
        <v>0</v>
      </c>
      <c r="I147" s="140">
        <f>SUM(I142:I146)</f>
        <v>31591.599999999999</v>
      </c>
      <c r="J147" s="7">
        <f>+I147-'ROR-Model'!I147</f>
        <v>0</v>
      </c>
      <c r="K147" s="7"/>
      <c r="L147" s="140"/>
      <c r="M147" s="140">
        <f>SUM(M142:M146)</f>
        <v>31591.599999999999</v>
      </c>
      <c r="N147" s="140">
        <f>SUM(N142:N146)</f>
        <v>0</v>
      </c>
      <c r="O147" s="120"/>
      <c r="P147" s="201"/>
      <c r="Q147" s="140">
        <f>SUM(Q142:Q146)</f>
        <v>30202.34</v>
      </c>
      <c r="R147" s="140">
        <f>SUM(R142:R146)</f>
        <v>1389.26</v>
      </c>
      <c r="S147" s="201"/>
      <c r="T147" s="140">
        <f>SUM(T142:T146)</f>
        <v>0</v>
      </c>
      <c r="U147" s="140">
        <f>SUM(U142:U146)</f>
        <v>0</v>
      </c>
      <c r="V147" s="124"/>
      <c r="W147" s="140">
        <f>HLOOKUP($W$9,'ROR-Model'!$Q$10:$U$1273,Y147)</f>
        <v>30202.34</v>
      </c>
      <c r="X147" s="139"/>
      <c r="Y147" s="3">
        <f t="shared" si="6"/>
        <v>138</v>
      </c>
      <c r="AA147" s="140">
        <v>80471.64</v>
      </c>
      <c r="AC147" s="140">
        <f t="shared" si="7"/>
        <v>-50269.3</v>
      </c>
      <c r="AE147" s="42">
        <f t="shared" si="8"/>
        <v>-0.62468342884524286</v>
      </c>
      <c r="AG147" s="162"/>
      <c r="AI147" t="s">
        <v>17</v>
      </c>
      <c r="AJ147" s="10"/>
    </row>
    <row r="148" spans="1:36">
      <c r="A148" s="136"/>
      <c r="B148" s="32"/>
      <c r="C148" s="32"/>
      <c r="D148" s="47"/>
      <c r="E148" s="7">
        <f>+G148-Adjustments!G148</f>
        <v>0</v>
      </c>
      <c r="F148" s="7"/>
      <c r="G148" s="7"/>
      <c r="H148" s="7"/>
      <c r="I148" s="7"/>
      <c r="J148" s="7">
        <f>+I148-'ROR-Model'!I148</f>
        <v>0</v>
      </c>
      <c r="K148" s="7"/>
      <c r="L148" s="7"/>
      <c r="M148" s="7"/>
      <c r="N148" s="7"/>
      <c r="O148" s="120"/>
      <c r="P148" s="126"/>
      <c r="Q148" s="7"/>
      <c r="R148" s="7"/>
      <c r="S148" s="126"/>
      <c r="T148" s="7"/>
      <c r="U148" s="7"/>
      <c r="V148" s="124"/>
      <c r="W148" s="7"/>
      <c r="X148" s="139"/>
      <c r="Y148" s="3">
        <f t="shared" si="6"/>
        <v>139</v>
      </c>
      <c r="AA148" s="7"/>
      <c r="AC148" s="7" t="str">
        <f t="shared" si="7"/>
        <v/>
      </c>
      <c r="AE148" s="42" t="str">
        <f t="shared" si="8"/>
        <v/>
      </c>
      <c r="AG148" s="162"/>
      <c r="AJ148" s="10"/>
    </row>
    <row r="149" spans="1:36">
      <c r="A149" s="136"/>
      <c r="B149" s="32"/>
      <c r="C149" s="32" t="s">
        <v>18</v>
      </c>
      <c r="D149" s="47"/>
      <c r="E149" s="7">
        <f>+G149-Adjustments!G149</f>
        <v>0</v>
      </c>
      <c r="F149" s="7">
        <f>Revenue!$F$148</f>
        <v>30101</v>
      </c>
      <c r="G149" s="7">
        <f>+Adjustments!V149</f>
        <v>0</v>
      </c>
      <c r="H149" s="7"/>
      <c r="I149" s="520">
        <f>SUM($F$149:$H$149)</f>
        <v>30101</v>
      </c>
      <c r="J149" s="7">
        <f>+I149-'ROR-Model'!I149</f>
        <v>0</v>
      </c>
      <c r="K149" s="7"/>
      <c r="L149" s="7" t="s">
        <v>12</v>
      </c>
      <c r="M149" s="7">
        <f>VLOOKUP($L149,$L$2:$N$7,2,FALSE)*I149</f>
        <v>30101</v>
      </c>
      <c r="N149" s="7">
        <f>VLOOKUP($L149,$L$2:$N$7,3,FALSE)*I149</f>
        <v>0</v>
      </c>
      <c r="O149" s="120"/>
      <c r="P149" s="126" t="s">
        <v>510</v>
      </c>
      <c r="Q149" s="7">
        <f>IF(P149="G",M149,IF(P149="PT",0,ERR))</f>
        <v>30101</v>
      </c>
      <c r="R149" s="7">
        <f>IF(P149="PT",M149,IF(P149="G",0,ERR))</f>
        <v>0</v>
      </c>
      <c r="S149" s="126" t="s">
        <v>510</v>
      </c>
      <c r="T149" s="7">
        <f>IF(S149="G",N149,IF(S149="PT",0,ERR))</f>
        <v>0</v>
      </c>
      <c r="U149" s="7">
        <f>IF(S149="PT",N149,IF(S149="G",0,ERR))</f>
        <v>0</v>
      </c>
      <c r="V149" s="124"/>
      <c r="W149" s="7">
        <f>HLOOKUP($W$9,'ROR-Model'!$Q$10:$U$1273,Y149)</f>
        <v>30101</v>
      </c>
      <c r="X149" s="139"/>
      <c r="Y149" s="3">
        <f t="shared" si="6"/>
        <v>140</v>
      </c>
      <c r="AA149" s="7">
        <v>21619</v>
      </c>
      <c r="AC149" s="7">
        <f t="shared" si="7"/>
        <v>8482</v>
      </c>
      <c r="AE149" s="42">
        <f t="shared" si="8"/>
        <v>0.39234007123363707</v>
      </c>
      <c r="AG149" s="162"/>
      <c r="AI149" t="s">
        <v>18</v>
      </c>
      <c r="AJ149" s="10"/>
    </row>
    <row r="150" spans="1:36">
      <c r="A150" s="136"/>
      <c r="B150" s="32"/>
      <c r="C150" s="32"/>
      <c r="D150" s="47"/>
      <c r="E150" s="7">
        <f>+G150-Adjustments!G150</f>
        <v>0</v>
      </c>
      <c r="F150" s="7"/>
      <c r="G150" s="7"/>
      <c r="H150" s="7"/>
      <c r="I150" s="7"/>
      <c r="J150" s="7">
        <f>+I150-'ROR-Model'!I150</f>
        <v>0</v>
      </c>
      <c r="K150" s="7"/>
      <c r="L150" s="7"/>
      <c r="M150" s="7"/>
      <c r="N150" s="7"/>
      <c r="O150" s="120"/>
      <c r="P150" s="126"/>
      <c r="Q150" s="7"/>
      <c r="R150" s="7"/>
      <c r="S150" s="126"/>
      <c r="T150" s="7"/>
      <c r="U150" s="7"/>
      <c r="V150" s="124"/>
      <c r="W150" s="7"/>
      <c r="X150" s="139"/>
      <c r="Y150" s="3">
        <f t="shared" si="6"/>
        <v>141</v>
      </c>
      <c r="AA150" s="7"/>
      <c r="AC150" s="7" t="str">
        <f t="shared" si="7"/>
        <v/>
      </c>
      <c r="AE150" s="42" t="str">
        <f t="shared" si="8"/>
        <v/>
      </c>
      <c r="AG150" s="162"/>
      <c r="AJ150" s="10"/>
    </row>
    <row r="151" spans="1:36">
      <c r="A151" s="136"/>
      <c r="B151" s="32" t="s">
        <v>629</v>
      </c>
      <c r="C151" s="32" t="s">
        <v>14</v>
      </c>
      <c r="D151" s="47"/>
      <c r="E151" s="7">
        <f>+G151-Adjustments!G151</f>
        <v>0</v>
      </c>
      <c r="F151" s="7">
        <f>Revenue!$F$150</f>
        <v>0</v>
      </c>
      <c r="G151" s="7">
        <f>+Adjustments!V151</f>
        <v>0</v>
      </c>
      <c r="H151" s="7"/>
      <c r="I151" s="7">
        <f>SUM($F$151:$H$151)</f>
        <v>0</v>
      </c>
      <c r="J151" s="7">
        <f>+I151-'ROR-Model'!I151</f>
        <v>0</v>
      </c>
      <c r="K151" s="7"/>
      <c r="L151" s="7" t="s">
        <v>12</v>
      </c>
      <c r="M151" s="7">
        <f>VLOOKUP($L151,$L$2:$N$7,2,FALSE)*I151</f>
        <v>0</v>
      </c>
      <c r="N151" s="7">
        <f>VLOOKUP($L151,$L$2:$N$7,3,FALSE)*I151</f>
        <v>0</v>
      </c>
      <c r="O151" s="120"/>
      <c r="P151" s="126" t="s">
        <v>510</v>
      </c>
      <c r="Q151" s="7">
        <f>IF(P151="G",M151,IF(P151="PT",0,ERR))</f>
        <v>0</v>
      </c>
      <c r="R151" s="7">
        <f>IF(P151="PT",M151,IF(P151="G",0,ERR))</f>
        <v>0</v>
      </c>
      <c r="S151" s="126" t="s">
        <v>510</v>
      </c>
      <c r="T151" s="7">
        <f>IF(S151="G",N151,IF(S151="PT",0,ERR))</f>
        <v>0</v>
      </c>
      <c r="U151" s="7">
        <f>IF(S151="PT",N151,IF(S151="G",0,ERR))</f>
        <v>0</v>
      </c>
      <c r="V151" s="124"/>
      <c r="W151" s="7">
        <f>HLOOKUP($W$9,'ROR-Model'!$Q$10:$U$1273,Y151)</f>
        <v>0</v>
      </c>
      <c r="X151" s="139"/>
      <c r="Y151" s="3">
        <f t="shared" si="6"/>
        <v>142</v>
      </c>
      <c r="AA151" s="7">
        <v>0</v>
      </c>
      <c r="AC151" s="7" t="str">
        <f t="shared" si="7"/>
        <v/>
      </c>
      <c r="AE151" s="42" t="str">
        <f t="shared" si="8"/>
        <v/>
      </c>
      <c r="AG151" s="162"/>
      <c r="AH151" t="s">
        <v>629</v>
      </c>
      <c r="AI151" t="s">
        <v>14</v>
      </c>
      <c r="AJ151" s="10"/>
    </row>
    <row r="152" spans="1:36">
      <c r="A152" s="136"/>
      <c r="B152" s="32"/>
      <c r="C152" s="32"/>
      <c r="D152" s="47"/>
      <c r="E152" s="7">
        <f>+G152-Adjustments!G152</f>
        <v>0</v>
      </c>
      <c r="F152" s="7"/>
      <c r="G152" s="7"/>
      <c r="H152" s="7"/>
      <c r="I152" s="7"/>
      <c r="J152" s="7">
        <f>+I152-'ROR-Model'!I152</f>
        <v>0</v>
      </c>
      <c r="K152" s="7"/>
      <c r="L152" s="7"/>
      <c r="M152" s="7"/>
      <c r="N152" s="7"/>
      <c r="O152" s="120"/>
      <c r="P152" s="126"/>
      <c r="Q152" s="7"/>
      <c r="R152" s="7"/>
      <c r="S152" s="126"/>
      <c r="T152" s="7"/>
      <c r="U152" s="7"/>
      <c r="V152" s="124"/>
      <c r="W152" s="7"/>
      <c r="X152" s="139"/>
      <c r="Y152" s="3">
        <f t="shared" si="6"/>
        <v>143</v>
      </c>
      <c r="AA152" s="7"/>
      <c r="AC152" s="7" t="str">
        <f t="shared" si="7"/>
        <v/>
      </c>
      <c r="AE152" s="42" t="str">
        <f t="shared" si="8"/>
        <v/>
      </c>
      <c r="AG152" s="162"/>
      <c r="AJ152" s="10"/>
    </row>
    <row r="153" spans="1:36">
      <c r="A153" s="136"/>
      <c r="B153" s="32"/>
      <c r="C153" s="32" t="s">
        <v>15</v>
      </c>
      <c r="D153" s="47"/>
      <c r="E153" s="7">
        <f>+G153-Adjustments!G153</f>
        <v>0</v>
      </c>
      <c r="F153" s="7">
        <f>Revenue!$F$152</f>
        <v>0</v>
      </c>
      <c r="G153" s="7">
        <f>+Adjustments!V153</f>
        <v>0</v>
      </c>
      <c r="H153" s="7"/>
      <c r="I153" s="7">
        <f>SUM($F$153:$H$153)</f>
        <v>0</v>
      </c>
      <c r="J153" s="7">
        <f>+I153-'ROR-Model'!I153</f>
        <v>0</v>
      </c>
      <c r="K153" s="7"/>
      <c r="L153" s="7" t="s">
        <v>12</v>
      </c>
      <c r="M153" s="7">
        <f>VLOOKUP($L153,$L$2:$N$7,2,FALSE)*I153</f>
        <v>0</v>
      </c>
      <c r="N153" s="7">
        <f>VLOOKUP($L153,$L$2:$N$7,3,FALSE)*I153</f>
        <v>0</v>
      </c>
      <c r="O153" s="120"/>
      <c r="P153" s="126" t="s">
        <v>509</v>
      </c>
      <c r="Q153" s="7">
        <f>IF(P153="G",M153,IF(P153="PT",0,ERR))</f>
        <v>0</v>
      </c>
      <c r="R153" s="7">
        <f>IF(P153="PT",M153,IF(P153="G",0,ERR))</f>
        <v>0</v>
      </c>
      <c r="S153" s="126" t="s">
        <v>509</v>
      </c>
      <c r="T153" s="7">
        <f>IF(S153="G",N153,IF(S153="PT",0,ERR))</f>
        <v>0</v>
      </c>
      <c r="U153" s="7">
        <f>IF(S153="PT",N153,IF(S153="G",0,ERR))</f>
        <v>0</v>
      </c>
      <c r="V153" s="124"/>
      <c r="W153" s="7">
        <f>HLOOKUP($W$9,'ROR-Model'!$Q$10:$U$1273,Y153)</f>
        <v>0</v>
      </c>
      <c r="X153" s="139"/>
      <c r="Y153" s="3">
        <f t="shared" si="6"/>
        <v>144</v>
      </c>
      <c r="AA153" s="7">
        <v>0</v>
      </c>
      <c r="AC153" s="7" t="str">
        <f t="shared" si="7"/>
        <v/>
      </c>
      <c r="AE153" s="42" t="str">
        <f t="shared" si="8"/>
        <v/>
      </c>
      <c r="AG153" s="162"/>
      <c r="AI153" t="s">
        <v>15</v>
      </c>
      <c r="AJ153" s="10"/>
    </row>
    <row r="154" spans="1:36">
      <c r="A154" s="136"/>
      <c r="B154" s="32"/>
      <c r="C154" s="32"/>
      <c r="D154" s="47"/>
      <c r="E154" s="7">
        <f>+G154-Adjustments!G154</f>
        <v>0</v>
      </c>
      <c r="F154" s="7"/>
      <c r="G154" s="7"/>
      <c r="H154" s="7"/>
      <c r="I154" s="7"/>
      <c r="J154" s="7">
        <f>+I154-'ROR-Model'!I154</f>
        <v>0</v>
      </c>
      <c r="K154" s="7"/>
      <c r="L154" s="7"/>
      <c r="M154" s="7"/>
      <c r="N154" s="7"/>
      <c r="O154" s="120"/>
      <c r="P154" s="126"/>
      <c r="Q154" s="7"/>
      <c r="R154" s="7"/>
      <c r="S154" s="126"/>
      <c r="T154" s="7"/>
      <c r="U154" s="7"/>
      <c r="V154" s="124"/>
      <c r="W154" s="7"/>
      <c r="X154" s="139"/>
      <c r="Y154" s="3">
        <f t="shared" si="6"/>
        <v>145</v>
      </c>
      <c r="AA154" s="7"/>
      <c r="AC154" s="7" t="str">
        <f t="shared" si="7"/>
        <v/>
      </c>
      <c r="AE154" s="42" t="str">
        <f t="shared" si="8"/>
        <v/>
      </c>
      <c r="AG154" s="162"/>
      <c r="AJ154" s="10"/>
    </row>
    <row r="155" spans="1:36">
      <c r="A155" s="136"/>
      <c r="B155" s="32"/>
      <c r="C155" s="32" t="s">
        <v>16</v>
      </c>
      <c r="D155" s="47"/>
      <c r="E155" s="7">
        <f>+G155-Adjustments!G155</f>
        <v>0</v>
      </c>
      <c r="F155" s="7">
        <f>Revenue!$F$154</f>
        <v>0</v>
      </c>
      <c r="G155" s="7">
        <f>+Adjustments!V155</f>
        <v>0</v>
      </c>
      <c r="H155" s="7"/>
      <c r="I155" s="7">
        <f>SUM($F$155:$H$155)</f>
        <v>0</v>
      </c>
      <c r="J155" s="7">
        <f>+I155-'ROR-Model'!I155</f>
        <v>0</v>
      </c>
      <c r="K155" s="7"/>
      <c r="L155" s="7" t="s">
        <v>12</v>
      </c>
      <c r="M155" s="7">
        <f>VLOOKUP($L155,$L$2:$N$7,2,FALSE)*I155</f>
        <v>0</v>
      </c>
      <c r="N155" s="7">
        <f>VLOOKUP($L155,$L$2:$N$7,3,FALSE)*I155</f>
        <v>0</v>
      </c>
      <c r="O155" s="120"/>
      <c r="P155" s="126" t="s">
        <v>509</v>
      </c>
      <c r="Q155" s="7">
        <f>IF(P155="G",M155,IF(P155="PT",0,ERR))</f>
        <v>0</v>
      </c>
      <c r="R155" s="7">
        <f>IF(P155="PT",M155,IF(P155="G",0,ERR))</f>
        <v>0</v>
      </c>
      <c r="S155" s="126" t="s">
        <v>509</v>
      </c>
      <c r="T155" s="7">
        <f>IF(S155="G",N155,IF(S155="PT",0,ERR))</f>
        <v>0</v>
      </c>
      <c r="U155" s="7">
        <f>IF(S155="PT",N155,IF(S155="G",0,ERR))</f>
        <v>0</v>
      </c>
      <c r="V155" s="124"/>
      <c r="W155" s="7">
        <f>HLOOKUP($W$9,'ROR-Model'!$Q$10:$U$1273,Y155)</f>
        <v>0</v>
      </c>
      <c r="X155" s="139"/>
      <c r="Y155" s="3">
        <f t="shared" si="6"/>
        <v>146</v>
      </c>
      <c r="AA155" s="7">
        <v>0</v>
      </c>
      <c r="AC155" s="7" t="str">
        <f t="shared" si="7"/>
        <v/>
      </c>
      <c r="AE155" s="42" t="str">
        <f t="shared" si="8"/>
        <v/>
      </c>
      <c r="AG155" s="162"/>
      <c r="AI155" t="s">
        <v>16</v>
      </c>
      <c r="AJ155" s="10"/>
    </row>
    <row r="156" spans="1:36">
      <c r="A156" s="136"/>
      <c r="B156" s="32"/>
      <c r="C156" s="32" t="s">
        <v>17</v>
      </c>
      <c r="D156" s="47"/>
      <c r="E156" s="140">
        <f>+G156-Adjustments!G156</f>
        <v>0</v>
      </c>
      <c r="F156" s="140">
        <f>SUM(F151:F155)</f>
        <v>0</v>
      </c>
      <c r="G156" s="140">
        <f>SUM(G151:G155)</f>
        <v>0</v>
      </c>
      <c r="H156" s="140">
        <f>SUM(H151:H155)</f>
        <v>0</v>
      </c>
      <c r="I156" s="140">
        <f>SUM(I151:I155)</f>
        <v>0</v>
      </c>
      <c r="J156" s="7">
        <f>+I156-'ROR-Model'!I156</f>
        <v>0</v>
      </c>
      <c r="K156" s="7"/>
      <c r="L156" s="140"/>
      <c r="M156" s="140">
        <f>SUM(M151:M155)</f>
        <v>0</v>
      </c>
      <c r="N156" s="140">
        <f>SUM(N151:N155)</f>
        <v>0</v>
      </c>
      <c r="O156" s="120"/>
      <c r="P156" s="201"/>
      <c r="Q156" s="140">
        <f>SUM(Q151:Q155)</f>
        <v>0</v>
      </c>
      <c r="R156" s="140">
        <f>SUM(R151:R155)</f>
        <v>0</v>
      </c>
      <c r="S156" s="201"/>
      <c r="T156" s="140">
        <f>SUM(T151:T155)</f>
        <v>0</v>
      </c>
      <c r="U156" s="140">
        <f>SUM(U151:U155)</f>
        <v>0</v>
      </c>
      <c r="V156" s="124"/>
      <c r="W156" s="140">
        <f>HLOOKUP($W$9,'ROR-Model'!$Q$10:$U$1273,Y156)</f>
        <v>0</v>
      </c>
      <c r="X156" s="139"/>
      <c r="Y156" s="3">
        <f t="shared" si="6"/>
        <v>147</v>
      </c>
      <c r="AA156" s="140">
        <v>0</v>
      </c>
      <c r="AC156" s="140" t="str">
        <f t="shared" si="7"/>
        <v/>
      </c>
      <c r="AE156" s="42" t="str">
        <f t="shared" si="8"/>
        <v/>
      </c>
      <c r="AG156" s="162"/>
      <c r="AI156" t="s">
        <v>17</v>
      </c>
      <c r="AJ156" s="10"/>
    </row>
    <row r="157" spans="1:36">
      <c r="A157" s="136"/>
      <c r="B157" s="32"/>
      <c r="C157" s="32"/>
      <c r="D157" s="47"/>
      <c r="E157" s="7">
        <f>+G157-Adjustments!G157</f>
        <v>0</v>
      </c>
      <c r="F157" s="7"/>
      <c r="G157" s="7"/>
      <c r="H157" s="7"/>
      <c r="I157" s="7"/>
      <c r="J157" s="7">
        <f>+I157-'ROR-Model'!I157</f>
        <v>0</v>
      </c>
      <c r="K157" s="7"/>
      <c r="L157" s="7"/>
      <c r="M157" s="7"/>
      <c r="N157" s="7"/>
      <c r="O157" s="120"/>
      <c r="P157" s="126"/>
      <c r="Q157" s="7"/>
      <c r="R157" s="7"/>
      <c r="S157" s="126"/>
      <c r="T157" s="7"/>
      <c r="U157" s="7"/>
      <c r="V157" s="124"/>
      <c r="W157" s="7"/>
      <c r="X157" s="139"/>
      <c r="Y157" s="3">
        <f t="shared" si="6"/>
        <v>148</v>
      </c>
      <c r="AA157" s="7"/>
      <c r="AC157" s="7" t="str">
        <f t="shared" si="7"/>
        <v/>
      </c>
      <c r="AE157" s="42" t="str">
        <f t="shared" si="8"/>
        <v/>
      </c>
      <c r="AG157" s="162"/>
      <c r="AJ157" s="10"/>
    </row>
    <row r="158" spans="1:36">
      <c r="A158" s="136"/>
      <c r="B158" s="32"/>
      <c r="C158" s="32" t="s">
        <v>18</v>
      </c>
      <c r="D158" s="47"/>
      <c r="E158" s="7">
        <f>+G158-Adjustments!G158</f>
        <v>0</v>
      </c>
      <c r="F158" s="7">
        <f>Revenue!$F$157</f>
        <v>0</v>
      </c>
      <c r="G158" s="7">
        <f>+Adjustments!V158</f>
        <v>0</v>
      </c>
      <c r="H158" s="7"/>
      <c r="I158" s="520">
        <f>SUM($F$158:$H$158)</f>
        <v>0</v>
      </c>
      <c r="J158" s="7">
        <f>+I158-'ROR-Model'!I158</f>
        <v>0</v>
      </c>
      <c r="K158" s="7"/>
      <c r="L158" s="7" t="s">
        <v>12</v>
      </c>
      <c r="M158" s="7">
        <f>VLOOKUP($L158,$L$2:$N$7,2,FALSE)*I158</f>
        <v>0</v>
      </c>
      <c r="N158" s="7">
        <f>VLOOKUP($L158,$L$2:$N$7,3,FALSE)*I158</f>
        <v>0</v>
      </c>
      <c r="O158" s="120"/>
      <c r="P158" s="126" t="s">
        <v>510</v>
      </c>
      <c r="Q158" s="7">
        <f>IF(P158="G",M158,IF(P158="PT",0,ERR))</f>
        <v>0</v>
      </c>
      <c r="R158" s="7">
        <f>IF(P158="PT",M158,IF(P158="G",0,ERR))</f>
        <v>0</v>
      </c>
      <c r="S158" s="126" t="s">
        <v>510</v>
      </c>
      <c r="T158" s="7">
        <f>IF(S158="G",N158,IF(S158="PT",0,ERR))</f>
        <v>0</v>
      </c>
      <c r="U158" s="7">
        <f>IF(S158="PT",N158,IF(S158="G",0,ERR))</f>
        <v>0</v>
      </c>
      <c r="V158" s="124"/>
      <c r="W158" s="7">
        <f>HLOOKUP($W$9,'ROR-Model'!$Q$10:$U$1273,Y158)</f>
        <v>0</v>
      </c>
      <c r="X158" s="139"/>
      <c r="Y158" s="3">
        <f t="shared" si="6"/>
        <v>149</v>
      </c>
      <c r="AA158" s="7">
        <v>0</v>
      </c>
      <c r="AC158" s="7" t="str">
        <f t="shared" si="7"/>
        <v/>
      </c>
      <c r="AE158" s="42" t="str">
        <f t="shared" si="8"/>
        <v/>
      </c>
      <c r="AG158" s="162"/>
      <c r="AI158" t="s">
        <v>18</v>
      </c>
      <c r="AJ158" s="10"/>
    </row>
    <row r="159" spans="1:36">
      <c r="A159" s="136"/>
      <c r="B159" s="32"/>
      <c r="C159" s="32"/>
      <c r="D159" s="47"/>
      <c r="E159" s="7">
        <f>+G159-Adjustments!G159</f>
        <v>0</v>
      </c>
      <c r="F159" s="7"/>
      <c r="G159" s="7"/>
      <c r="H159" s="7"/>
      <c r="I159" s="7"/>
      <c r="J159" s="7">
        <f>+I159-'ROR-Model'!I159</f>
        <v>0</v>
      </c>
      <c r="K159" s="7"/>
      <c r="L159" s="7"/>
      <c r="M159" s="7"/>
      <c r="N159" s="7"/>
      <c r="O159" s="120"/>
      <c r="P159" s="126"/>
      <c r="Q159" s="7"/>
      <c r="R159" s="7"/>
      <c r="S159" s="126"/>
      <c r="T159" s="7"/>
      <c r="U159" s="7"/>
      <c r="V159" s="124"/>
      <c r="W159" s="7"/>
      <c r="X159" s="139"/>
      <c r="Y159" s="3">
        <f t="shared" si="6"/>
        <v>150</v>
      </c>
      <c r="AA159" s="7"/>
      <c r="AC159" s="7" t="str">
        <f t="shared" si="7"/>
        <v/>
      </c>
      <c r="AE159" s="42" t="str">
        <f t="shared" si="8"/>
        <v/>
      </c>
      <c r="AG159" s="162"/>
      <c r="AJ159" s="10"/>
    </row>
    <row r="160" spans="1:36">
      <c r="A160" s="136"/>
      <c r="B160" s="146" t="s">
        <v>80</v>
      </c>
      <c r="C160" s="32" t="s">
        <v>14</v>
      </c>
      <c r="D160" s="47"/>
      <c r="E160" s="7">
        <f>+G160-Adjustments!G160</f>
        <v>0</v>
      </c>
      <c r="F160" s="7">
        <f>Revenue!$F$159</f>
        <v>44945988.06000001</v>
      </c>
      <c r="G160" s="7">
        <f>+Adjustments!V160</f>
        <v>0</v>
      </c>
      <c r="H160" s="7"/>
      <c r="I160" s="7">
        <f>SUM($F$160:$H$160)</f>
        <v>44945988.06000001</v>
      </c>
      <c r="J160" s="7">
        <f>+I160-'ROR-Model'!I160</f>
        <v>0</v>
      </c>
      <c r="K160" s="7"/>
      <c r="L160" s="7" t="s">
        <v>12</v>
      </c>
      <c r="M160" s="7">
        <f>VLOOKUP($L160,$L$2:$N$7,2,FALSE)*I160</f>
        <v>44945988.06000001</v>
      </c>
      <c r="N160" s="7">
        <f>VLOOKUP($L160,$L$2:$N$7,3,FALSE)*I160</f>
        <v>0</v>
      </c>
      <c r="O160" s="120"/>
      <c r="P160" s="126" t="s">
        <v>510</v>
      </c>
      <c r="Q160" s="7">
        <f>IF(P160="G",M160,IF(P160="PT",0,ERR))</f>
        <v>44945988.06000001</v>
      </c>
      <c r="R160" s="7">
        <f>IF(P160="PT",M160,IF(P160="G",0,ERR))</f>
        <v>0</v>
      </c>
      <c r="S160" s="126" t="s">
        <v>510</v>
      </c>
      <c r="T160" s="7">
        <f>IF(S160="G",N160,IF(S160="PT",0,ERR))</f>
        <v>0</v>
      </c>
      <c r="U160" s="7">
        <f>IF(S160="PT",N160,IF(S160="G",0,ERR))</f>
        <v>0</v>
      </c>
      <c r="V160" s="124"/>
      <c r="W160" s="7">
        <f>HLOOKUP($W$9,'ROR-Model'!$Q$10:$U$1273,Y160)</f>
        <v>44945988.06000001</v>
      </c>
      <c r="X160" s="139"/>
      <c r="Y160" s="3">
        <f t="shared" si="6"/>
        <v>151</v>
      </c>
      <c r="AA160" s="7">
        <v>22483627.450000003</v>
      </c>
      <c r="AC160" s="7">
        <f t="shared" si="7"/>
        <v>22462360.610000007</v>
      </c>
      <c r="AE160" s="42">
        <f t="shared" si="8"/>
        <v>0.99905411882280604</v>
      </c>
      <c r="AG160" s="162"/>
      <c r="AH160" t="s">
        <v>80</v>
      </c>
      <c r="AI160" t="s">
        <v>14</v>
      </c>
      <c r="AJ160" s="10"/>
    </row>
    <row r="161" spans="1:36">
      <c r="A161" s="136"/>
      <c r="B161" s="32"/>
      <c r="C161" s="32"/>
      <c r="D161" s="47"/>
      <c r="E161" s="7">
        <f>+G161-Adjustments!G161</f>
        <v>0</v>
      </c>
      <c r="F161" s="7"/>
      <c r="G161" s="7"/>
      <c r="H161" s="7"/>
      <c r="I161" s="7"/>
      <c r="J161" s="7">
        <f>+I161-'ROR-Model'!I161</f>
        <v>0</v>
      </c>
      <c r="K161" s="7"/>
      <c r="L161" s="7"/>
      <c r="M161" s="7"/>
      <c r="N161" s="7"/>
      <c r="O161" s="120"/>
      <c r="P161" s="126"/>
      <c r="Q161" s="7"/>
      <c r="R161" s="7"/>
      <c r="S161" s="126"/>
      <c r="T161" s="7"/>
      <c r="U161" s="7"/>
      <c r="V161" s="124"/>
      <c r="W161" s="7"/>
      <c r="X161" s="139"/>
      <c r="Y161" s="3">
        <f t="shared" si="6"/>
        <v>152</v>
      </c>
      <c r="AA161" s="7"/>
      <c r="AC161" s="7" t="str">
        <f t="shared" si="7"/>
        <v/>
      </c>
      <c r="AE161" s="42" t="str">
        <f t="shared" si="8"/>
        <v/>
      </c>
      <c r="AG161" s="162"/>
      <c r="AJ161" s="10"/>
    </row>
    <row r="162" spans="1:36">
      <c r="A162" s="136"/>
      <c r="B162" s="32"/>
      <c r="C162" s="32" t="s">
        <v>15</v>
      </c>
      <c r="D162" s="47"/>
      <c r="E162" s="7">
        <f>+G162-Adjustments!G162</f>
        <v>0</v>
      </c>
      <c r="F162" s="7">
        <f>Revenue!$F$161</f>
        <v>1235255.9799999997</v>
      </c>
      <c r="G162" s="7">
        <f>+Adjustments!V162</f>
        <v>0</v>
      </c>
      <c r="H162" s="7"/>
      <c r="I162" s="7">
        <f>SUM($F$162:$H$162)</f>
        <v>1235255.9799999997</v>
      </c>
      <c r="J162" s="7">
        <f>+I162-'ROR-Model'!I162</f>
        <v>0</v>
      </c>
      <c r="K162" s="7"/>
      <c r="L162" s="7" t="s">
        <v>12</v>
      </c>
      <c r="M162" s="7">
        <f>VLOOKUP($L162,$L$2:$N$7,2,FALSE)*I162</f>
        <v>1235255.9799999997</v>
      </c>
      <c r="N162" s="7">
        <f>VLOOKUP($L162,$L$2:$N$7,3,FALSE)*I162</f>
        <v>0</v>
      </c>
      <c r="O162" s="120"/>
      <c r="P162" s="126" t="s">
        <v>509</v>
      </c>
      <c r="Q162" s="7">
        <f>IF(P162="G",M162,IF(P162="PT",0,ERR))</f>
        <v>0</v>
      </c>
      <c r="R162" s="7">
        <f>IF(P162="PT",M162,IF(P162="G",0,ERR))</f>
        <v>1235255.9799999997</v>
      </c>
      <c r="S162" s="126" t="s">
        <v>509</v>
      </c>
      <c r="T162" s="7">
        <f>IF(S162="G",N162,IF(S162="PT",0,ERR))</f>
        <v>0</v>
      </c>
      <c r="U162" s="7">
        <f>IF(S162="PT",N162,IF(S162="G",0,ERR))</f>
        <v>0</v>
      </c>
      <c r="V162" s="124"/>
      <c r="W162" s="7">
        <f>HLOOKUP($W$9,'ROR-Model'!$Q$10:$U$1273,Y162)</f>
        <v>0</v>
      </c>
      <c r="X162" s="139"/>
      <c r="Y162" s="3">
        <f t="shared" si="6"/>
        <v>153</v>
      </c>
      <c r="AA162" s="7">
        <v>0</v>
      </c>
      <c r="AC162" s="7" t="str">
        <f t="shared" si="7"/>
        <v/>
      </c>
      <c r="AE162" s="42" t="str">
        <f t="shared" si="8"/>
        <v/>
      </c>
      <c r="AG162" s="162"/>
      <c r="AI162" t="s">
        <v>15</v>
      </c>
      <c r="AJ162" s="10"/>
    </row>
    <row r="163" spans="1:36">
      <c r="A163" s="136"/>
      <c r="B163" s="32"/>
      <c r="C163" s="32"/>
      <c r="D163" s="47"/>
      <c r="E163" s="7">
        <f>+G163-Adjustments!G163</f>
        <v>0</v>
      </c>
      <c r="F163" s="7"/>
      <c r="G163" s="7"/>
      <c r="H163" s="7"/>
      <c r="I163" s="7"/>
      <c r="J163" s="7">
        <f>+I163-'ROR-Model'!I163</f>
        <v>0</v>
      </c>
      <c r="K163" s="7"/>
      <c r="L163" s="7"/>
      <c r="M163" s="7"/>
      <c r="N163" s="7"/>
      <c r="O163" s="120"/>
      <c r="P163" s="126"/>
      <c r="Q163" s="7"/>
      <c r="R163" s="7"/>
      <c r="S163" s="126"/>
      <c r="T163" s="7"/>
      <c r="U163" s="7"/>
      <c r="V163" s="124"/>
      <c r="W163" s="7"/>
      <c r="X163" s="139"/>
      <c r="Y163" s="3">
        <f t="shared" si="6"/>
        <v>154</v>
      </c>
      <c r="AA163" s="7"/>
      <c r="AC163" s="7" t="str">
        <f t="shared" si="7"/>
        <v/>
      </c>
      <c r="AE163" s="42" t="str">
        <f t="shared" si="8"/>
        <v/>
      </c>
      <c r="AG163" s="162"/>
      <c r="AJ163" s="10"/>
    </row>
    <row r="164" spans="1:36">
      <c r="A164" s="136"/>
      <c r="B164" s="32"/>
      <c r="C164" s="32" t="s">
        <v>16</v>
      </c>
      <c r="D164" s="47"/>
      <c r="E164" s="7">
        <f>+G164-Adjustments!G164</f>
        <v>0</v>
      </c>
      <c r="F164" s="7">
        <f>Revenue!$F$163</f>
        <v>0</v>
      </c>
      <c r="G164" s="7">
        <f>+Adjustments!V164</f>
        <v>0</v>
      </c>
      <c r="H164" s="7"/>
      <c r="I164" s="7">
        <f>SUM($F$164:$H$164)</f>
        <v>0</v>
      </c>
      <c r="J164" s="7">
        <f>+I164-'ROR-Model'!I164</f>
        <v>0</v>
      </c>
      <c r="K164" s="7"/>
      <c r="L164" s="7" t="s">
        <v>12</v>
      </c>
      <c r="M164" s="7">
        <f>VLOOKUP($L164,$L$2:$N$7,2,FALSE)*I164</f>
        <v>0</v>
      </c>
      <c r="N164" s="7">
        <f>VLOOKUP($L164,$L$2:$N$7,3,FALSE)*I164</f>
        <v>0</v>
      </c>
      <c r="O164" s="120"/>
      <c r="P164" s="126" t="s">
        <v>509</v>
      </c>
      <c r="Q164" s="7">
        <f>IF(P164="G",M164,IF(P164="PT",0,ERR))</f>
        <v>0</v>
      </c>
      <c r="R164" s="7">
        <f>IF(P164="PT",M164,IF(P164="G",0,ERR))</f>
        <v>0</v>
      </c>
      <c r="S164" s="126" t="s">
        <v>509</v>
      </c>
      <c r="T164" s="7">
        <f>IF(S164="G",N164,IF(S164="PT",0,ERR))</f>
        <v>0</v>
      </c>
      <c r="U164" s="7">
        <f>IF(S164="PT",N164,IF(S164="G",0,ERR))</f>
        <v>0</v>
      </c>
      <c r="V164" s="124"/>
      <c r="W164" s="7">
        <f>HLOOKUP($W$9,'ROR-Model'!$Q$10:$U$1273,Y164)</f>
        <v>0</v>
      </c>
      <c r="X164" s="139"/>
      <c r="Y164" s="3">
        <f t="shared" si="6"/>
        <v>155</v>
      </c>
      <c r="AA164" s="7">
        <v>0</v>
      </c>
      <c r="AC164" s="7" t="str">
        <f t="shared" si="7"/>
        <v/>
      </c>
      <c r="AE164" s="42" t="str">
        <f t="shared" si="8"/>
        <v/>
      </c>
      <c r="AG164" s="162"/>
      <c r="AI164" t="s">
        <v>16</v>
      </c>
      <c r="AJ164" s="10"/>
    </row>
    <row r="165" spans="1:36">
      <c r="A165" s="136"/>
      <c r="B165" s="32"/>
      <c r="C165" s="32" t="s">
        <v>17</v>
      </c>
      <c r="D165" s="47"/>
      <c r="E165" s="140">
        <f>+G165-Adjustments!G165</f>
        <v>0</v>
      </c>
      <c r="F165" s="140">
        <f>SUM(F160:F164)</f>
        <v>46181244.040000007</v>
      </c>
      <c r="G165" s="140">
        <f>SUM(G160:G164)</f>
        <v>0</v>
      </c>
      <c r="H165" s="140">
        <f>SUM(H160:H164)</f>
        <v>0</v>
      </c>
      <c r="I165" s="140">
        <f>SUM(I160:I164)</f>
        <v>46181244.040000007</v>
      </c>
      <c r="J165" s="7">
        <f>+I165-'ROR-Model'!I165</f>
        <v>0</v>
      </c>
      <c r="K165" s="7"/>
      <c r="L165" s="140"/>
      <c r="M165" s="140">
        <f>SUM(M160:M164)</f>
        <v>46181244.040000007</v>
      </c>
      <c r="N165" s="140">
        <f>SUM(N160:N164)</f>
        <v>0</v>
      </c>
      <c r="O165" s="120"/>
      <c r="P165" s="201"/>
      <c r="Q165" s="140">
        <f>SUM(Q160:Q164)</f>
        <v>44945988.06000001</v>
      </c>
      <c r="R165" s="140">
        <f>SUM(R160:R164)</f>
        <v>1235255.9799999997</v>
      </c>
      <c r="S165" s="201"/>
      <c r="T165" s="140">
        <f>SUM(T160:T164)</f>
        <v>0</v>
      </c>
      <c r="U165" s="140">
        <f>SUM(U160:U164)</f>
        <v>0</v>
      </c>
      <c r="V165" s="124"/>
      <c r="W165" s="140">
        <f>HLOOKUP($W$9,'ROR-Model'!$Q$10:$U$1273,Y165)</f>
        <v>44945988.06000001</v>
      </c>
      <c r="X165" s="139"/>
      <c r="Y165" s="3">
        <f t="shared" si="6"/>
        <v>156</v>
      </c>
      <c r="AA165" s="140">
        <v>22483627.450000003</v>
      </c>
      <c r="AC165" s="140">
        <f t="shared" si="7"/>
        <v>22462360.610000007</v>
      </c>
      <c r="AE165" s="42">
        <f t="shared" si="8"/>
        <v>0.99905411882280604</v>
      </c>
      <c r="AG165" s="162"/>
      <c r="AI165" t="s">
        <v>17</v>
      </c>
      <c r="AJ165" s="10"/>
    </row>
    <row r="166" spans="1:36">
      <c r="A166" s="136"/>
      <c r="B166" s="32"/>
      <c r="C166" s="32"/>
      <c r="D166" s="47"/>
      <c r="E166" s="7">
        <f>+G166-Adjustments!G166</f>
        <v>0</v>
      </c>
      <c r="F166" s="7"/>
      <c r="G166" s="7"/>
      <c r="H166" s="7"/>
      <c r="I166" s="7"/>
      <c r="J166" s="7">
        <f>+I166-'ROR-Model'!I166</f>
        <v>0</v>
      </c>
      <c r="K166" s="7"/>
      <c r="L166" s="7"/>
      <c r="M166" s="7"/>
      <c r="N166" s="7"/>
      <c r="O166" s="120"/>
      <c r="P166" s="126"/>
      <c r="Q166" s="7"/>
      <c r="R166" s="7"/>
      <c r="S166" s="126"/>
      <c r="T166" s="7"/>
      <c r="U166" s="7"/>
      <c r="V166" s="124"/>
      <c r="W166" s="7"/>
      <c r="X166" s="139"/>
      <c r="Y166" s="3">
        <f t="shared" si="6"/>
        <v>157</v>
      </c>
      <c r="AA166" s="7"/>
      <c r="AC166" s="7" t="str">
        <f t="shared" si="7"/>
        <v/>
      </c>
      <c r="AE166" s="42" t="str">
        <f t="shared" si="8"/>
        <v/>
      </c>
      <c r="AG166" s="162"/>
      <c r="AJ166" s="10"/>
    </row>
    <row r="167" spans="1:36">
      <c r="A167" s="136"/>
      <c r="B167" s="32"/>
      <c r="C167" s="32" t="s">
        <v>18</v>
      </c>
      <c r="D167" s="47"/>
      <c r="E167" s="7">
        <f>+G167-Adjustments!G167</f>
        <v>0</v>
      </c>
      <c r="F167" s="7">
        <f>Revenue!$F$166</f>
        <v>51043723</v>
      </c>
      <c r="G167" s="7">
        <f>+Adjustments!V167</f>
        <v>0</v>
      </c>
      <c r="H167" s="7"/>
      <c r="I167" s="520">
        <f>SUM($F$167:$H$167)</f>
        <v>51043723</v>
      </c>
      <c r="J167" s="7">
        <f>+I167-'ROR-Model'!I167</f>
        <v>0</v>
      </c>
      <c r="K167" s="7"/>
      <c r="L167" s="7" t="s">
        <v>12</v>
      </c>
      <c r="M167" s="7">
        <f>VLOOKUP($L167,$L$2:$N$7,2,FALSE)*I167</f>
        <v>51043723</v>
      </c>
      <c r="N167" s="7">
        <f>VLOOKUP($L167,$L$2:$N$7,3,FALSE)*I167</f>
        <v>0</v>
      </c>
      <c r="O167" s="120"/>
      <c r="P167" s="126" t="s">
        <v>510</v>
      </c>
      <c r="Q167" s="7">
        <f>IF(P167="G",M167,IF(P167="PT",0,ERR))</f>
        <v>51043723</v>
      </c>
      <c r="R167" s="7">
        <f>IF(P167="PT",M167,IF(P167="G",0,ERR))</f>
        <v>0</v>
      </c>
      <c r="S167" s="126" t="s">
        <v>510</v>
      </c>
      <c r="T167" s="7">
        <f>IF(S167="G",N167,IF(S167="PT",0,ERR))</f>
        <v>0</v>
      </c>
      <c r="U167" s="7">
        <f>IF(S167="PT",N167,IF(S167="G",0,ERR))</f>
        <v>0</v>
      </c>
      <c r="V167" s="124"/>
      <c r="W167" s="7">
        <f>HLOOKUP($W$9,'ROR-Model'!$Q$10:$U$1273,Y167)</f>
        <v>51043723</v>
      </c>
      <c r="X167" s="139"/>
      <c r="Y167" s="3">
        <f t="shared" si="6"/>
        <v>158</v>
      </c>
      <c r="AA167" s="7">
        <v>47258689.909999996</v>
      </c>
      <c r="AC167" s="7">
        <f t="shared" si="7"/>
        <v>3785033.0900000036</v>
      </c>
      <c r="AE167" s="42">
        <f t="shared" si="8"/>
        <v>8.0091790466647828E-2</v>
      </c>
      <c r="AG167" s="162"/>
      <c r="AI167" t="s">
        <v>18</v>
      </c>
      <c r="AJ167" s="10"/>
    </row>
    <row r="168" spans="1:36">
      <c r="A168" s="136"/>
      <c r="B168" s="58"/>
      <c r="C168" s="58"/>
      <c r="D168" s="47"/>
      <c r="E168" s="7">
        <f>+G168-Adjustments!G168</f>
        <v>0</v>
      </c>
      <c r="F168" s="7"/>
      <c r="G168" s="7"/>
      <c r="H168" s="7"/>
      <c r="I168" s="7"/>
      <c r="J168" s="7">
        <f>+I168-'ROR-Model'!I168</f>
        <v>0</v>
      </c>
      <c r="K168" s="7"/>
      <c r="L168" s="7"/>
      <c r="M168" s="7"/>
      <c r="N168" s="7"/>
      <c r="O168" s="120"/>
      <c r="P168" s="126"/>
      <c r="Q168" s="7"/>
      <c r="R168" s="7"/>
      <c r="S168" s="126"/>
      <c r="T168" s="7"/>
      <c r="U168" s="7"/>
      <c r="V168" s="124"/>
      <c r="W168" s="7"/>
      <c r="X168" s="139"/>
      <c r="Y168" s="3">
        <f t="shared" si="6"/>
        <v>159</v>
      </c>
      <c r="AA168" s="7"/>
      <c r="AC168" s="7" t="str">
        <f t="shared" si="7"/>
        <v/>
      </c>
      <c r="AE168" s="42" t="str">
        <f t="shared" si="8"/>
        <v/>
      </c>
      <c r="AG168" s="162"/>
      <c r="AH168" s="1"/>
      <c r="AI168" s="1"/>
      <c r="AJ168" s="10"/>
    </row>
    <row r="169" spans="1:36">
      <c r="A169" s="136"/>
      <c r="B169" s="32" t="s">
        <v>81</v>
      </c>
      <c r="C169" s="32" t="s">
        <v>14</v>
      </c>
      <c r="D169" s="47"/>
      <c r="E169" s="7">
        <f>+G169-Adjustments!G169</f>
        <v>0</v>
      </c>
      <c r="F169" s="7">
        <f>Revenue!$F$168</f>
        <v>0</v>
      </c>
      <c r="G169" s="7">
        <f>+Adjustments!V169</f>
        <v>0</v>
      </c>
      <c r="H169" s="7"/>
      <c r="I169" s="7">
        <f>SUM($F$169:$H$169)</f>
        <v>0</v>
      </c>
      <c r="J169" s="7">
        <f>+I169-'ROR-Model'!I169</f>
        <v>0</v>
      </c>
      <c r="K169" s="7"/>
      <c r="L169" s="7" t="s">
        <v>12</v>
      </c>
      <c r="M169" s="7">
        <f>VLOOKUP($L169,$L$2:$N$7,2,FALSE)*I169</f>
        <v>0</v>
      </c>
      <c r="N169" s="7">
        <f>VLOOKUP($L169,$L$2:$N$7,3,FALSE)*I169</f>
        <v>0</v>
      </c>
      <c r="O169" s="120"/>
      <c r="P169" s="126" t="s">
        <v>510</v>
      </c>
      <c r="Q169" s="7">
        <f>IF(P169="G",M169,IF(P169="PT",0,ERR))</f>
        <v>0</v>
      </c>
      <c r="R169" s="7">
        <f>IF(P169="PT",M169,IF(P169="G",0,ERR))</f>
        <v>0</v>
      </c>
      <c r="S169" s="126" t="s">
        <v>510</v>
      </c>
      <c r="T169" s="7">
        <f>IF(S169="G",N169,IF(S169="PT",0,ERR))</f>
        <v>0</v>
      </c>
      <c r="U169" s="7">
        <f>IF(S169="PT",N169,IF(S169="G",0,ERR))</f>
        <v>0</v>
      </c>
      <c r="V169" s="124"/>
      <c r="W169" s="7">
        <f>HLOOKUP($W$9,'ROR-Model'!$Q$10:$U$1273,Y169)</f>
        <v>0</v>
      </c>
      <c r="X169" s="139"/>
      <c r="Y169" s="3">
        <f t="shared" si="6"/>
        <v>160</v>
      </c>
      <c r="AA169" s="7">
        <v>0</v>
      </c>
      <c r="AC169" s="7" t="str">
        <f t="shared" si="7"/>
        <v/>
      </c>
      <c r="AE169" s="42" t="str">
        <f t="shared" si="8"/>
        <v/>
      </c>
      <c r="AG169" s="162"/>
      <c r="AH169" t="s">
        <v>81</v>
      </c>
      <c r="AI169" t="s">
        <v>14</v>
      </c>
      <c r="AJ169" s="10"/>
    </row>
    <row r="170" spans="1:36">
      <c r="A170" s="136"/>
      <c r="B170" s="32"/>
      <c r="C170" s="32"/>
      <c r="D170" s="47"/>
      <c r="E170" s="7">
        <f>+G170-Adjustments!G170</f>
        <v>0</v>
      </c>
      <c r="F170" s="7"/>
      <c r="G170" s="7"/>
      <c r="H170" s="7"/>
      <c r="I170" s="7"/>
      <c r="J170" s="7">
        <f>+I170-'ROR-Model'!I170</f>
        <v>0</v>
      </c>
      <c r="K170" s="7"/>
      <c r="L170" s="7"/>
      <c r="M170" s="7"/>
      <c r="N170" s="7"/>
      <c r="O170" s="120"/>
      <c r="P170" s="126"/>
      <c r="Q170" s="7"/>
      <c r="R170" s="7"/>
      <c r="S170" s="126"/>
      <c r="T170" s="7"/>
      <c r="U170" s="7"/>
      <c r="V170" s="124"/>
      <c r="W170" s="7"/>
      <c r="X170" s="139"/>
      <c r="Y170" s="3">
        <f t="shared" si="6"/>
        <v>161</v>
      </c>
      <c r="AA170" s="7"/>
      <c r="AC170" s="7" t="str">
        <f t="shared" si="7"/>
        <v/>
      </c>
      <c r="AE170" s="42" t="str">
        <f t="shared" si="8"/>
        <v/>
      </c>
      <c r="AG170" s="162"/>
      <c r="AJ170" s="10"/>
    </row>
    <row r="171" spans="1:36">
      <c r="A171" s="136"/>
      <c r="B171" s="32"/>
      <c r="C171" s="32" t="s">
        <v>15</v>
      </c>
      <c r="D171" s="47"/>
      <c r="E171" s="7">
        <f>+G171-Adjustments!G171</f>
        <v>0</v>
      </c>
      <c r="F171" s="7">
        <f>Revenue!$F$170</f>
        <v>0</v>
      </c>
      <c r="G171" s="7">
        <f>+Adjustments!V171</f>
        <v>0</v>
      </c>
      <c r="H171" s="7"/>
      <c r="I171" s="7">
        <f>SUM($F$171:$H$171)</f>
        <v>0</v>
      </c>
      <c r="J171" s="7">
        <f>+I171-'ROR-Model'!I171</f>
        <v>0</v>
      </c>
      <c r="K171" s="7"/>
      <c r="L171" s="7" t="s">
        <v>12</v>
      </c>
      <c r="M171" s="7">
        <f>VLOOKUP($L171,$L$2:$N$7,2,FALSE)*I171</f>
        <v>0</v>
      </c>
      <c r="N171" s="7">
        <f>VLOOKUP($L171,$L$2:$N$7,3,FALSE)*I171</f>
        <v>0</v>
      </c>
      <c r="O171" s="120"/>
      <c r="P171" s="126" t="s">
        <v>509</v>
      </c>
      <c r="Q171" s="7">
        <f>IF(P171="G",M171,IF(P171="PT",0,ERR))</f>
        <v>0</v>
      </c>
      <c r="R171" s="7">
        <f>IF(P171="PT",M171,IF(P171="G",0,ERR))</f>
        <v>0</v>
      </c>
      <c r="S171" s="126" t="s">
        <v>509</v>
      </c>
      <c r="T171" s="7">
        <f>IF(S171="G",N171,IF(S171="PT",0,ERR))</f>
        <v>0</v>
      </c>
      <c r="U171" s="7">
        <f>IF(S171="PT",N171,IF(S171="G",0,ERR))</f>
        <v>0</v>
      </c>
      <c r="V171" s="124"/>
      <c r="W171" s="7">
        <f>HLOOKUP($W$9,'ROR-Model'!$Q$10:$U$1273,Y171)</f>
        <v>0</v>
      </c>
      <c r="X171" s="139"/>
      <c r="Y171" s="3">
        <f t="shared" si="6"/>
        <v>162</v>
      </c>
      <c r="AA171" s="7">
        <v>0</v>
      </c>
      <c r="AC171" s="7" t="str">
        <f t="shared" si="7"/>
        <v/>
      </c>
      <c r="AE171" s="42" t="str">
        <f t="shared" si="8"/>
        <v/>
      </c>
      <c r="AG171" s="162"/>
      <c r="AI171" t="s">
        <v>15</v>
      </c>
      <c r="AJ171" s="10"/>
    </row>
    <row r="172" spans="1:36">
      <c r="A172" s="136"/>
      <c r="B172" s="32"/>
      <c r="C172" s="32"/>
      <c r="D172" s="47"/>
      <c r="E172" s="7">
        <f>+G172-Adjustments!G172</f>
        <v>0</v>
      </c>
      <c r="F172" s="7"/>
      <c r="G172" s="7"/>
      <c r="H172" s="7"/>
      <c r="I172" s="7"/>
      <c r="J172" s="7">
        <f>+I172-'ROR-Model'!I172</f>
        <v>0</v>
      </c>
      <c r="K172" s="7"/>
      <c r="L172" s="7"/>
      <c r="M172" s="7"/>
      <c r="N172" s="7"/>
      <c r="O172" s="120"/>
      <c r="P172" s="126"/>
      <c r="Q172" s="7"/>
      <c r="R172" s="7"/>
      <c r="S172" s="126"/>
      <c r="T172" s="7"/>
      <c r="U172" s="7"/>
      <c r="V172" s="124"/>
      <c r="W172" s="7"/>
      <c r="X172" s="139"/>
      <c r="Y172" s="3">
        <f t="shared" si="6"/>
        <v>163</v>
      </c>
      <c r="AA172" s="7"/>
      <c r="AC172" s="7" t="str">
        <f t="shared" si="7"/>
        <v/>
      </c>
      <c r="AE172" s="42" t="str">
        <f t="shared" si="8"/>
        <v/>
      </c>
      <c r="AG172" s="162"/>
      <c r="AJ172" s="10"/>
    </row>
    <row r="173" spans="1:36">
      <c r="A173" s="136"/>
      <c r="B173" s="32"/>
      <c r="C173" s="32" t="s">
        <v>16</v>
      </c>
      <c r="D173" s="47"/>
      <c r="E173" s="7">
        <f>+G173-Adjustments!G173</f>
        <v>0</v>
      </c>
      <c r="F173" s="7">
        <f>Revenue!$F$172</f>
        <v>0</v>
      </c>
      <c r="G173" s="7">
        <f>+Adjustments!V173</f>
        <v>0</v>
      </c>
      <c r="H173" s="7"/>
      <c r="I173" s="7">
        <f>SUM($F$173:$H$173)</f>
        <v>0</v>
      </c>
      <c r="J173" s="7">
        <f>+I173-'ROR-Model'!I173</f>
        <v>0</v>
      </c>
      <c r="K173" s="7"/>
      <c r="L173" s="7" t="s">
        <v>12</v>
      </c>
      <c r="M173" s="7">
        <f>VLOOKUP($L173,$L$2:$N$7,2,FALSE)*I173</f>
        <v>0</v>
      </c>
      <c r="N173" s="7">
        <f>VLOOKUP($L173,$L$2:$N$7,3,FALSE)*I173</f>
        <v>0</v>
      </c>
      <c r="O173" s="120"/>
      <c r="P173" s="126" t="s">
        <v>509</v>
      </c>
      <c r="Q173" s="7">
        <f>IF(P173="G",M173,IF(P173="PT",0,ERR))</f>
        <v>0</v>
      </c>
      <c r="R173" s="7">
        <f>IF(P173="PT",M173,IF(P173="G",0,ERR))</f>
        <v>0</v>
      </c>
      <c r="S173" s="126" t="s">
        <v>509</v>
      </c>
      <c r="T173" s="7">
        <f>IF(S173="G",N173,IF(S173="PT",0,ERR))</f>
        <v>0</v>
      </c>
      <c r="U173" s="7">
        <f>IF(S173="PT",N173,IF(S173="G",0,ERR))</f>
        <v>0</v>
      </c>
      <c r="V173" s="124"/>
      <c r="W173" s="7">
        <f>HLOOKUP($W$9,'ROR-Model'!$Q$10:$U$1273,Y173)</f>
        <v>0</v>
      </c>
      <c r="X173" s="139"/>
      <c r="Y173" s="3">
        <f t="shared" si="6"/>
        <v>164</v>
      </c>
      <c r="AA173" s="7">
        <v>0</v>
      </c>
      <c r="AC173" s="7" t="str">
        <f t="shared" si="7"/>
        <v/>
      </c>
      <c r="AE173" s="42" t="str">
        <f t="shared" si="8"/>
        <v/>
      </c>
      <c r="AG173" s="162"/>
      <c r="AI173" t="s">
        <v>16</v>
      </c>
      <c r="AJ173" s="10"/>
    </row>
    <row r="174" spans="1:36">
      <c r="A174" s="136"/>
      <c r="B174" s="32"/>
      <c r="C174" s="32" t="s">
        <v>17</v>
      </c>
      <c r="D174" s="47"/>
      <c r="E174" s="140">
        <f>+G174-Adjustments!G174</f>
        <v>0</v>
      </c>
      <c r="F174" s="140">
        <f>SUM(F169:F173)</f>
        <v>0</v>
      </c>
      <c r="G174" s="140">
        <f>SUM(G169:G173)</f>
        <v>0</v>
      </c>
      <c r="H174" s="140">
        <f>SUM(H169:H173)</f>
        <v>0</v>
      </c>
      <c r="I174" s="140">
        <f>SUM(I169:I173)</f>
        <v>0</v>
      </c>
      <c r="J174" s="7">
        <f>+I174-'ROR-Model'!I174</f>
        <v>0</v>
      </c>
      <c r="K174" s="7"/>
      <c r="L174" s="140"/>
      <c r="M174" s="140">
        <f>SUM(M169:M173)</f>
        <v>0</v>
      </c>
      <c r="N174" s="140">
        <f>SUM(N169:N173)</f>
        <v>0</v>
      </c>
      <c r="O174" s="120"/>
      <c r="P174" s="201"/>
      <c r="Q174" s="140">
        <f>SUM(Q169:Q173)</f>
        <v>0</v>
      </c>
      <c r="R174" s="140">
        <f>SUM(R169:R173)</f>
        <v>0</v>
      </c>
      <c r="S174" s="201"/>
      <c r="T174" s="140">
        <f>SUM(T169:T173)</f>
        <v>0</v>
      </c>
      <c r="U174" s="140">
        <f>SUM(U169:U173)</f>
        <v>0</v>
      </c>
      <c r="V174" s="124"/>
      <c r="W174" s="140">
        <f>HLOOKUP($W$9,'ROR-Model'!$Q$10:$U$1273,Y174)</f>
        <v>0</v>
      </c>
      <c r="X174" s="139"/>
      <c r="Y174" s="3">
        <f t="shared" si="6"/>
        <v>165</v>
      </c>
      <c r="AA174" s="140">
        <v>0</v>
      </c>
      <c r="AC174" s="140" t="str">
        <f t="shared" si="7"/>
        <v/>
      </c>
      <c r="AE174" s="42" t="str">
        <f t="shared" si="8"/>
        <v/>
      </c>
      <c r="AG174" s="162"/>
      <c r="AI174" t="s">
        <v>17</v>
      </c>
      <c r="AJ174" s="10"/>
    </row>
    <row r="175" spans="1:36">
      <c r="A175" s="136"/>
      <c r="B175" s="32"/>
      <c r="C175" s="32"/>
      <c r="D175" s="47"/>
      <c r="E175" s="7">
        <f>+G175-Adjustments!G175</f>
        <v>0</v>
      </c>
      <c r="F175" s="7"/>
      <c r="G175" s="7"/>
      <c r="H175" s="7"/>
      <c r="I175" s="7"/>
      <c r="J175" s="7">
        <f>+I175-'ROR-Model'!I175</f>
        <v>0</v>
      </c>
      <c r="K175" s="7"/>
      <c r="L175" s="7"/>
      <c r="M175" s="7"/>
      <c r="N175" s="7"/>
      <c r="O175" s="120"/>
      <c r="P175" s="126"/>
      <c r="Q175" s="7"/>
      <c r="R175" s="7"/>
      <c r="S175" s="126"/>
      <c r="T175" s="7"/>
      <c r="U175" s="7"/>
      <c r="V175" s="124"/>
      <c r="W175" s="7"/>
      <c r="X175" s="139"/>
      <c r="Y175" s="3">
        <f t="shared" si="6"/>
        <v>166</v>
      </c>
      <c r="AA175" s="7"/>
      <c r="AC175" s="7" t="str">
        <f t="shared" si="7"/>
        <v/>
      </c>
      <c r="AE175" s="42" t="str">
        <f t="shared" si="8"/>
        <v/>
      </c>
      <c r="AG175" s="162"/>
      <c r="AJ175" s="10"/>
    </row>
    <row r="176" spans="1:36">
      <c r="A176" s="136"/>
      <c r="B176" s="32"/>
      <c r="C176" s="32" t="s">
        <v>18</v>
      </c>
      <c r="D176" s="47"/>
      <c r="E176" s="7">
        <f>+G176-Adjustments!G176</f>
        <v>0</v>
      </c>
      <c r="F176" s="7">
        <f>Revenue!$F$175</f>
        <v>0</v>
      </c>
      <c r="G176" s="7">
        <f>+Adjustments!V176</f>
        <v>0</v>
      </c>
      <c r="H176" s="7"/>
      <c r="I176" s="520">
        <f>SUM($F$176:$H$176)</f>
        <v>0</v>
      </c>
      <c r="J176" s="7">
        <f>+I176-'ROR-Model'!I176</f>
        <v>0</v>
      </c>
      <c r="K176" s="7"/>
      <c r="L176" s="7" t="s">
        <v>12</v>
      </c>
      <c r="M176" s="7">
        <f>VLOOKUP($L176,$L$2:$N$7,2,FALSE)*I176</f>
        <v>0</v>
      </c>
      <c r="N176" s="7">
        <f>VLOOKUP($L176,$L$2:$N$7,3,FALSE)*I176</f>
        <v>0</v>
      </c>
      <c r="O176" s="120"/>
      <c r="P176" s="126" t="s">
        <v>510</v>
      </c>
      <c r="Q176" s="7">
        <f>IF(P176="G",M176,IF(P176="PT",0,ERR))</f>
        <v>0</v>
      </c>
      <c r="R176" s="7">
        <f>IF(P176="PT",M176,IF(P176="G",0,ERR))</f>
        <v>0</v>
      </c>
      <c r="S176" s="126" t="s">
        <v>510</v>
      </c>
      <c r="T176" s="7">
        <f>IF(S176="G",N176,IF(S176="PT",0,ERR))</f>
        <v>0</v>
      </c>
      <c r="U176" s="7">
        <f>IF(S176="PT",N176,IF(S176="G",0,ERR))</f>
        <v>0</v>
      </c>
      <c r="V176" s="124"/>
      <c r="W176" s="7">
        <f>HLOOKUP($W$9,'ROR-Model'!$Q$10:$U$1273,Y176)</f>
        <v>0</v>
      </c>
      <c r="X176" s="139"/>
      <c r="Y176" s="3">
        <f t="shared" si="6"/>
        <v>167</v>
      </c>
      <c r="AA176" s="7">
        <v>0</v>
      </c>
      <c r="AC176" s="7" t="str">
        <f t="shared" si="7"/>
        <v/>
      </c>
      <c r="AE176" s="42" t="str">
        <f t="shared" si="8"/>
        <v/>
      </c>
      <c r="AG176" s="162"/>
      <c r="AI176" t="s">
        <v>18</v>
      </c>
      <c r="AJ176" s="10"/>
    </row>
    <row r="177" spans="1:36">
      <c r="A177" s="136"/>
      <c r="B177" s="32"/>
      <c r="C177" s="32"/>
      <c r="D177" s="47"/>
      <c r="E177" s="7">
        <f>+G177-Adjustments!G177</f>
        <v>0</v>
      </c>
      <c r="F177" s="7"/>
      <c r="G177" s="7"/>
      <c r="H177" s="7"/>
      <c r="I177" s="7"/>
      <c r="J177" s="7">
        <f>+I177-'ROR-Model'!I177</f>
        <v>0</v>
      </c>
      <c r="K177" s="7"/>
      <c r="L177" s="7"/>
      <c r="M177" s="7"/>
      <c r="N177" s="7"/>
      <c r="O177" s="120"/>
      <c r="P177" s="126"/>
      <c r="Q177" s="7"/>
      <c r="R177" s="7"/>
      <c r="S177" s="126"/>
      <c r="T177" s="7"/>
      <c r="U177" s="7"/>
      <c r="V177" s="124"/>
      <c r="W177" s="7"/>
      <c r="X177" s="139"/>
      <c r="Y177" s="3">
        <f t="shared" si="6"/>
        <v>168</v>
      </c>
      <c r="AA177" s="7"/>
      <c r="AC177" s="7" t="str">
        <f t="shared" si="7"/>
        <v/>
      </c>
      <c r="AE177" s="42" t="str">
        <f t="shared" si="8"/>
        <v/>
      </c>
      <c r="AG177" s="162"/>
      <c r="AJ177" s="10"/>
    </row>
    <row r="178" spans="1:36">
      <c r="A178" s="136"/>
      <c r="B178" s="32" t="s">
        <v>112</v>
      </c>
      <c r="C178" s="32" t="s">
        <v>14</v>
      </c>
      <c r="D178" s="47"/>
      <c r="E178" s="7">
        <f>+G178-Adjustments!G178</f>
        <v>0</v>
      </c>
      <c r="F178" s="7">
        <f>Revenue!$F$177</f>
        <v>0</v>
      </c>
      <c r="G178" s="7">
        <f>+Adjustments!V178</f>
        <v>0</v>
      </c>
      <c r="H178" s="7"/>
      <c r="I178" s="7">
        <f>SUM($F$178:$H$178)</f>
        <v>0</v>
      </c>
      <c r="J178" s="7">
        <f>+I178-'ROR-Model'!I178</f>
        <v>0</v>
      </c>
      <c r="K178" s="7"/>
      <c r="L178" s="7" t="s">
        <v>12</v>
      </c>
      <c r="M178" s="7">
        <f>VLOOKUP($L178,$L$2:$N$7,2,FALSE)*I178</f>
        <v>0</v>
      </c>
      <c r="N178" s="7">
        <f>VLOOKUP($L178,$L$2:$N$7,3,FALSE)*I178</f>
        <v>0</v>
      </c>
      <c r="O178" s="120"/>
      <c r="P178" s="126" t="s">
        <v>510</v>
      </c>
      <c r="Q178" s="7">
        <f>IF(P178="G",M178,IF(P178="PT",0,ERR))</f>
        <v>0</v>
      </c>
      <c r="R178" s="7">
        <f>IF(P178="PT",M178,IF(P178="G",0,ERR))</f>
        <v>0</v>
      </c>
      <c r="S178" s="126" t="s">
        <v>510</v>
      </c>
      <c r="T178" s="7">
        <f>IF(S178="G",N178,IF(S178="PT",0,ERR))</f>
        <v>0</v>
      </c>
      <c r="U178" s="7">
        <f>IF(S178="PT",N178,IF(S178="G",0,ERR))</f>
        <v>0</v>
      </c>
      <c r="V178" s="124"/>
      <c r="W178" s="7">
        <f>HLOOKUP($W$9,'ROR-Model'!$Q$10:$U$1273,Y178)</f>
        <v>0</v>
      </c>
      <c r="X178" s="139"/>
      <c r="Y178" s="3">
        <f t="shared" si="6"/>
        <v>169</v>
      </c>
      <c r="AA178" s="7">
        <v>0</v>
      </c>
      <c r="AC178" s="7" t="str">
        <f t="shared" si="7"/>
        <v/>
      </c>
      <c r="AE178" s="42" t="str">
        <f t="shared" si="8"/>
        <v/>
      </c>
      <c r="AG178" s="162"/>
      <c r="AH178" t="s">
        <v>112</v>
      </c>
      <c r="AI178" t="s">
        <v>14</v>
      </c>
      <c r="AJ178" s="10"/>
    </row>
    <row r="179" spans="1:36">
      <c r="A179" s="136"/>
      <c r="B179" s="32"/>
      <c r="C179" s="32"/>
      <c r="D179" s="47"/>
      <c r="E179" s="7">
        <f>+G179-Adjustments!G179</f>
        <v>0</v>
      </c>
      <c r="F179" s="7"/>
      <c r="G179" s="7"/>
      <c r="H179" s="7"/>
      <c r="I179" s="7"/>
      <c r="J179" s="7">
        <f>+I179-'ROR-Model'!I179</f>
        <v>0</v>
      </c>
      <c r="K179" s="7"/>
      <c r="L179" s="7"/>
      <c r="M179" s="7"/>
      <c r="N179" s="7"/>
      <c r="O179" s="120"/>
      <c r="P179" s="126"/>
      <c r="Q179" s="7"/>
      <c r="R179" s="7"/>
      <c r="S179" s="126"/>
      <c r="T179" s="7"/>
      <c r="U179" s="7"/>
      <c r="V179" s="124"/>
      <c r="W179" s="7"/>
      <c r="X179" s="139"/>
      <c r="Y179" s="3">
        <f t="shared" si="6"/>
        <v>170</v>
      </c>
      <c r="AA179" s="7"/>
      <c r="AC179" s="7" t="str">
        <f t="shared" si="7"/>
        <v/>
      </c>
      <c r="AE179" s="42" t="str">
        <f t="shared" si="8"/>
        <v/>
      </c>
      <c r="AG179" s="162"/>
      <c r="AJ179" s="10"/>
    </row>
    <row r="180" spans="1:36">
      <c r="A180" s="136"/>
      <c r="B180" s="32"/>
      <c r="C180" s="32" t="s">
        <v>15</v>
      </c>
      <c r="D180" s="47"/>
      <c r="E180" s="7">
        <f>+G180-Adjustments!G180</f>
        <v>0</v>
      </c>
      <c r="F180" s="7">
        <f>Revenue!$F$179</f>
        <v>0</v>
      </c>
      <c r="G180" s="7">
        <f>+Adjustments!V180</f>
        <v>0</v>
      </c>
      <c r="H180" s="7"/>
      <c r="I180" s="7">
        <f>SUM($F$180:$H$180)</f>
        <v>0</v>
      </c>
      <c r="J180" s="7">
        <f>+I180-'ROR-Model'!I180</f>
        <v>0</v>
      </c>
      <c r="K180" s="7"/>
      <c r="L180" s="7" t="s">
        <v>12</v>
      </c>
      <c r="M180" s="7">
        <f>VLOOKUP($L180,$L$2:$N$7,2,FALSE)*I180</f>
        <v>0</v>
      </c>
      <c r="N180" s="7">
        <f>VLOOKUP($L180,$L$2:$N$7,3,FALSE)*I180</f>
        <v>0</v>
      </c>
      <c r="O180" s="120"/>
      <c r="P180" s="126" t="s">
        <v>509</v>
      </c>
      <c r="Q180" s="7">
        <f>IF(P180="G",M180,IF(P180="PT",0,ERR))</f>
        <v>0</v>
      </c>
      <c r="R180" s="7">
        <f>IF(P180="PT",M180,IF(P180="G",0,ERR))</f>
        <v>0</v>
      </c>
      <c r="S180" s="126" t="s">
        <v>509</v>
      </c>
      <c r="T180" s="7">
        <f>IF(S180="G",N180,IF(S180="PT",0,ERR))</f>
        <v>0</v>
      </c>
      <c r="U180" s="7">
        <f>IF(S180="PT",N180,IF(S180="G",0,ERR))</f>
        <v>0</v>
      </c>
      <c r="V180" s="124"/>
      <c r="W180" s="7">
        <f>HLOOKUP($W$9,'ROR-Model'!$Q$10:$U$1273,Y180)</f>
        <v>0</v>
      </c>
      <c r="X180" s="139"/>
      <c r="Y180" s="3">
        <f t="shared" si="6"/>
        <v>171</v>
      </c>
      <c r="AA180" s="7">
        <v>0</v>
      </c>
      <c r="AC180" s="7" t="str">
        <f t="shared" si="7"/>
        <v/>
      </c>
      <c r="AE180" s="42" t="str">
        <f t="shared" si="8"/>
        <v/>
      </c>
      <c r="AG180" s="162"/>
      <c r="AI180" t="s">
        <v>15</v>
      </c>
      <c r="AJ180" s="10"/>
    </row>
    <row r="181" spans="1:36">
      <c r="A181" s="136"/>
      <c r="B181" s="32"/>
      <c r="C181" s="32"/>
      <c r="D181" s="47"/>
      <c r="E181" s="7">
        <f>+G181-Adjustments!G181</f>
        <v>0</v>
      </c>
      <c r="F181" s="7"/>
      <c r="G181" s="7"/>
      <c r="H181" s="7"/>
      <c r="I181" s="7"/>
      <c r="J181" s="7">
        <f>+I181-'ROR-Model'!I181</f>
        <v>0</v>
      </c>
      <c r="K181" s="7"/>
      <c r="L181" s="7"/>
      <c r="M181" s="7"/>
      <c r="N181" s="7"/>
      <c r="O181" s="120"/>
      <c r="P181" s="126"/>
      <c r="Q181" s="7"/>
      <c r="R181" s="7"/>
      <c r="S181" s="126"/>
      <c r="T181" s="7"/>
      <c r="U181" s="7"/>
      <c r="V181" s="124"/>
      <c r="W181" s="7"/>
      <c r="X181" s="139"/>
      <c r="Y181" s="3">
        <f t="shared" si="6"/>
        <v>172</v>
      </c>
      <c r="AA181" s="7"/>
      <c r="AC181" s="7" t="str">
        <f t="shared" si="7"/>
        <v/>
      </c>
      <c r="AE181" s="42" t="str">
        <f t="shared" si="8"/>
        <v/>
      </c>
      <c r="AG181" s="162"/>
      <c r="AJ181" s="10"/>
    </row>
    <row r="182" spans="1:36">
      <c r="A182" s="136"/>
      <c r="B182" s="32"/>
      <c r="C182" s="32" t="s">
        <v>16</v>
      </c>
      <c r="D182" s="47"/>
      <c r="E182" s="7">
        <f>+G182-Adjustments!G182</f>
        <v>0</v>
      </c>
      <c r="F182" s="7">
        <f>Revenue!$F$181</f>
        <v>0</v>
      </c>
      <c r="G182" s="7">
        <f>+Adjustments!V182</f>
        <v>0</v>
      </c>
      <c r="H182" s="7"/>
      <c r="I182" s="7">
        <f>SUM($F$182:$H$182)</f>
        <v>0</v>
      </c>
      <c r="J182" s="7">
        <f>+I182-'ROR-Model'!I182</f>
        <v>0</v>
      </c>
      <c r="K182" s="7"/>
      <c r="L182" s="7" t="s">
        <v>12</v>
      </c>
      <c r="M182" s="7">
        <f>VLOOKUP($L182,$L$2:$N$7,2,FALSE)*I182</f>
        <v>0</v>
      </c>
      <c r="N182" s="7">
        <f>VLOOKUP($L182,$L$2:$N$7,3,FALSE)*I182</f>
        <v>0</v>
      </c>
      <c r="O182" s="120"/>
      <c r="P182" s="126" t="s">
        <v>509</v>
      </c>
      <c r="Q182" s="7">
        <f>IF(P182="G",M182,IF(P182="PT",0,ERR))</f>
        <v>0</v>
      </c>
      <c r="R182" s="7">
        <f>IF(P182="PT",M182,IF(P182="G",0,ERR))</f>
        <v>0</v>
      </c>
      <c r="S182" s="126" t="s">
        <v>509</v>
      </c>
      <c r="T182" s="7">
        <f>IF(S182="G",N182,IF(S182="PT",0,ERR))</f>
        <v>0</v>
      </c>
      <c r="U182" s="7">
        <f>IF(S182="PT",N182,IF(S182="G",0,ERR))</f>
        <v>0</v>
      </c>
      <c r="V182" s="124"/>
      <c r="W182" s="7">
        <f>HLOOKUP($W$9,'ROR-Model'!$Q$10:$U$1273,Y182)</f>
        <v>0</v>
      </c>
      <c r="X182" s="139"/>
      <c r="Y182" s="3">
        <f t="shared" si="6"/>
        <v>173</v>
      </c>
      <c r="AA182" s="7">
        <v>0</v>
      </c>
      <c r="AC182" s="7" t="str">
        <f t="shared" si="7"/>
        <v/>
      </c>
      <c r="AE182" s="42" t="str">
        <f t="shared" si="8"/>
        <v/>
      </c>
      <c r="AG182" s="162"/>
      <c r="AI182" t="s">
        <v>16</v>
      </c>
      <c r="AJ182" s="10"/>
    </row>
    <row r="183" spans="1:36">
      <c r="A183" s="136"/>
      <c r="B183" s="32"/>
      <c r="C183" s="32" t="s">
        <v>17</v>
      </c>
      <c r="D183" s="47"/>
      <c r="E183" s="140">
        <f>+G183-Adjustments!G183</f>
        <v>0</v>
      </c>
      <c r="F183" s="140">
        <f>SUM(F178:F182)</f>
        <v>0</v>
      </c>
      <c r="G183" s="140">
        <f>SUM(G178:G182)</f>
        <v>0</v>
      </c>
      <c r="H183" s="140">
        <f>SUM(H178:H182)</f>
        <v>0</v>
      </c>
      <c r="I183" s="140">
        <f>SUM(I178:I182)</f>
        <v>0</v>
      </c>
      <c r="J183" s="7">
        <f>+I183-'ROR-Model'!I183</f>
        <v>0</v>
      </c>
      <c r="K183" s="7"/>
      <c r="L183" s="140"/>
      <c r="M183" s="140">
        <f>SUM(M178:M182)</f>
        <v>0</v>
      </c>
      <c r="N183" s="140">
        <f>SUM(N178:N182)</f>
        <v>0</v>
      </c>
      <c r="O183" s="120"/>
      <c r="P183" s="201"/>
      <c r="Q183" s="140">
        <f>SUM(Q178:Q182)</f>
        <v>0</v>
      </c>
      <c r="R183" s="140">
        <f>SUM(R178:R182)</f>
        <v>0</v>
      </c>
      <c r="S183" s="201"/>
      <c r="T183" s="140">
        <f>SUM(T178:T182)</f>
        <v>0</v>
      </c>
      <c r="U183" s="140">
        <f>SUM(U178:U182)</f>
        <v>0</v>
      </c>
      <c r="V183" s="124"/>
      <c r="W183" s="140">
        <f>HLOOKUP($W$9,'ROR-Model'!$Q$10:$U$1273,Y183)</f>
        <v>0</v>
      </c>
      <c r="X183" s="139"/>
      <c r="Y183" s="3">
        <f t="shared" si="6"/>
        <v>174</v>
      </c>
      <c r="AA183" s="140">
        <v>0</v>
      </c>
      <c r="AC183" s="140" t="str">
        <f t="shared" si="7"/>
        <v/>
      </c>
      <c r="AE183" s="42" t="str">
        <f t="shared" si="8"/>
        <v/>
      </c>
      <c r="AG183" s="162"/>
      <c r="AI183" t="s">
        <v>17</v>
      </c>
      <c r="AJ183" s="10"/>
    </row>
    <row r="184" spans="1:36">
      <c r="A184" s="136"/>
      <c r="B184" s="32"/>
      <c r="C184" s="32"/>
      <c r="D184" s="47"/>
      <c r="E184" s="7">
        <f>+G184-Adjustments!G184</f>
        <v>0</v>
      </c>
      <c r="F184" s="7"/>
      <c r="G184" s="7"/>
      <c r="H184" s="7"/>
      <c r="I184" s="7"/>
      <c r="J184" s="7">
        <f>+I184-'ROR-Model'!I184</f>
        <v>0</v>
      </c>
      <c r="K184" s="7"/>
      <c r="L184" s="7"/>
      <c r="M184" s="7"/>
      <c r="N184" s="7"/>
      <c r="O184" s="120"/>
      <c r="P184" s="126"/>
      <c r="Q184" s="7"/>
      <c r="R184" s="7"/>
      <c r="S184" s="126"/>
      <c r="T184" s="7"/>
      <c r="U184" s="7"/>
      <c r="V184" s="124"/>
      <c r="W184" s="7"/>
      <c r="X184" s="139"/>
      <c r="Y184" s="3">
        <f t="shared" si="6"/>
        <v>175</v>
      </c>
      <c r="AA184" s="7"/>
      <c r="AC184" s="7" t="str">
        <f t="shared" si="7"/>
        <v/>
      </c>
      <c r="AE184" s="42" t="str">
        <f t="shared" si="8"/>
        <v/>
      </c>
      <c r="AG184" s="162"/>
      <c r="AJ184" s="10"/>
    </row>
    <row r="185" spans="1:36">
      <c r="A185" s="136"/>
      <c r="B185" s="32"/>
      <c r="C185" s="32" t="s">
        <v>18</v>
      </c>
      <c r="D185" s="47"/>
      <c r="E185" s="7">
        <f>+G185-Adjustments!G185</f>
        <v>0</v>
      </c>
      <c r="F185" s="7">
        <f>Revenue!$F$184</f>
        <v>0</v>
      </c>
      <c r="G185" s="7">
        <f>+Adjustments!V185</f>
        <v>0</v>
      </c>
      <c r="H185" s="7"/>
      <c r="I185" s="520">
        <f>SUM($F$185:$H$185)</f>
        <v>0</v>
      </c>
      <c r="J185" s="7">
        <f>+I185-'ROR-Model'!I185</f>
        <v>0</v>
      </c>
      <c r="K185" s="7"/>
      <c r="L185" s="7" t="s">
        <v>12</v>
      </c>
      <c r="M185" s="7">
        <f>VLOOKUP($L185,$L$2:$N$7,2,FALSE)*I185</f>
        <v>0</v>
      </c>
      <c r="N185" s="7">
        <f>VLOOKUP($L185,$L$2:$N$7,3,FALSE)*I185</f>
        <v>0</v>
      </c>
      <c r="O185" s="120"/>
      <c r="P185" s="126" t="s">
        <v>510</v>
      </c>
      <c r="Q185" s="7">
        <f>IF(P185="G",M185,IF(P185="PT",0,ERR))</f>
        <v>0</v>
      </c>
      <c r="R185" s="7">
        <f>IF(P185="PT",M185,IF(P185="G",0,ERR))</f>
        <v>0</v>
      </c>
      <c r="S185" s="126" t="s">
        <v>510</v>
      </c>
      <c r="T185" s="7">
        <f>IF(S185="G",N185,IF(S185="PT",0,ERR))</f>
        <v>0</v>
      </c>
      <c r="U185" s="7">
        <f>IF(S185="PT",N185,IF(S185="G",0,ERR))</f>
        <v>0</v>
      </c>
      <c r="V185" s="124"/>
      <c r="W185" s="7">
        <f>HLOOKUP($W$9,'ROR-Model'!$Q$10:$U$1273,Y185)</f>
        <v>0</v>
      </c>
      <c r="X185" s="139"/>
      <c r="Y185" s="3">
        <f t="shared" si="6"/>
        <v>176</v>
      </c>
      <c r="AA185" s="7">
        <v>0</v>
      </c>
      <c r="AC185" s="7" t="str">
        <f t="shared" si="7"/>
        <v/>
      </c>
      <c r="AE185" s="42" t="str">
        <f t="shared" si="8"/>
        <v/>
      </c>
      <c r="AG185" s="162"/>
      <c r="AI185" t="s">
        <v>18</v>
      </c>
      <c r="AJ185" s="10"/>
    </row>
    <row r="186" spans="1:36">
      <c r="A186" s="136"/>
      <c r="B186" s="32"/>
      <c r="C186" s="32"/>
      <c r="D186" s="47"/>
      <c r="E186" s="7">
        <f>+G186-Adjustments!G186</f>
        <v>0</v>
      </c>
      <c r="F186" s="7"/>
      <c r="G186" s="7"/>
      <c r="H186" s="7"/>
      <c r="I186" s="7"/>
      <c r="J186" s="7">
        <f>+I186-'ROR-Model'!I186</f>
        <v>0</v>
      </c>
      <c r="K186" s="7"/>
      <c r="L186" s="7"/>
      <c r="M186" s="7"/>
      <c r="N186" s="7"/>
      <c r="O186" s="120"/>
      <c r="P186" s="126"/>
      <c r="Q186" s="7"/>
      <c r="R186" s="7"/>
      <c r="S186" s="126"/>
      <c r="T186" s="7"/>
      <c r="U186" s="7"/>
      <c r="V186" s="124"/>
      <c r="W186" s="7"/>
      <c r="X186" s="139"/>
      <c r="Y186" s="3">
        <f t="shared" si="6"/>
        <v>177</v>
      </c>
      <c r="AA186" s="7"/>
      <c r="AC186" s="7" t="str">
        <f t="shared" si="7"/>
        <v/>
      </c>
      <c r="AE186" s="42" t="str">
        <f t="shared" si="8"/>
        <v/>
      </c>
      <c r="AG186" s="162"/>
      <c r="AJ186" s="10"/>
    </row>
    <row r="187" spans="1:36">
      <c r="A187" s="136"/>
      <c r="B187" s="32" t="s">
        <v>629</v>
      </c>
      <c r="C187" s="32" t="s">
        <v>14</v>
      </c>
      <c r="D187" s="47"/>
      <c r="E187" s="7">
        <f>+G187-Adjustments!G187</f>
        <v>0</v>
      </c>
      <c r="F187" s="7">
        <f>Revenue!$F$186</f>
        <v>0</v>
      </c>
      <c r="G187" s="7">
        <f>+Adjustments!V187</f>
        <v>0</v>
      </c>
      <c r="H187" s="7"/>
      <c r="I187" s="7">
        <f>SUM($F$187:$H$187)</f>
        <v>0</v>
      </c>
      <c r="J187" s="7">
        <f>+I187-'ROR-Model'!I187</f>
        <v>0</v>
      </c>
      <c r="K187" s="7"/>
      <c r="L187" s="7" t="s">
        <v>12</v>
      </c>
      <c r="M187" s="7">
        <f>VLOOKUP($L187,$L$2:$N$7,2,FALSE)*I187</f>
        <v>0</v>
      </c>
      <c r="N187" s="7">
        <f>VLOOKUP($L187,$L$2:$N$7,3,FALSE)*I187</f>
        <v>0</v>
      </c>
      <c r="O187" s="120"/>
      <c r="P187" s="126" t="s">
        <v>510</v>
      </c>
      <c r="Q187" s="7">
        <f>IF(P187="G",M187,IF(P187="PT",0,ERR))</f>
        <v>0</v>
      </c>
      <c r="R187" s="7">
        <f>IF(P187="PT",M187,IF(P187="G",0,ERR))</f>
        <v>0</v>
      </c>
      <c r="S187" s="126" t="s">
        <v>510</v>
      </c>
      <c r="T187" s="7">
        <f>IF(S187="G",N187,IF(S187="PT",0,ERR))</f>
        <v>0</v>
      </c>
      <c r="U187" s="7">
        <f>IF(S187="PT",N187,IF(S187="G",0,ERR))</f>
        <v>0</v>
      </c>
      <c r="V187" s="124"/>
      <c r="W187" s="7">
        <f>HLOOKUP($W$9,'ROR-Model'!$Q$10:$U$1273,Y187)</f>
        <v>0</v>
      </c>
      <c r="X187" s="139"/>
      <c r="Y187" s="3">
        <f t="shared" si="6"/>
        <v>178</v>
      </c>
      <c r="AA187" s="7">
        <v>0</v>
      </c>
      <c r="AC187" s="7" t="str">
        <f t="shared" si="7"/>
        <v/>
      </c>
      <c r="AE187" s="42" t="str">
        <f t="shared" si="8"/>
        <v/>
      </c>
      <c r="AG187" s="162"/>
      <c r="AH187" t="s">
        <v>629</v>
      </c>
      <c r="AI187" t="s">
        <v>14</v>
      </c>
      <c r="AJ187" s="10"/>
    </row>
    <row r="188" spans="1:36">
      <c r="A188" s="136"/>
      <c r="B188" s="32"/>
      <c r="C188" s="32"/>
      <c r="D188" s="47"/>
      <c r="E188" s="7">
        <f>+G188-Adjustments!G188</f>
        <v>0</v>
      </c>
      <c r="F188" s="7"/>
      <c r="G188" s="7"/>
      <c r="H188" s="7"/>
      <c r="I188" s="7"/>
      <c r="J188" s="7">
        <f>+I188-'ROR-Model'!I188</f>
        <v>0</v>
      </c>
      <c r="K188" s="7"/>
      <c r="L188" s="7"/>
      <c r="M188" s="7"/>
      <c r="N188" s="7"/>
      <c r="O188" s="120"/>
      <c r="P188" s="126"/>
      <c r="Q188" s="7"/>
      <c r="R188" s="7"/>
      <c r="S188" s="126"/>
      <c r="T188" s="7"/>
      <c r="U188" s="7"/>
      <c r="V188" s="124"/>
      <c r="W188" s="7"/>
      <c r="X188" s="139"/>
      <c r="Y188" s="3">
        <f t="shared" si="6"/>
        <v>179</v>
      </c>
      <c r="AA188" s="7"/>
      <c r="AC188" s="7" t="str">
        <f t="shared" si="7"/>
        <v/>
      </c>
      <c r="AE188" s="42" t="str">
        <f t="shared" si="8"/>
        <v/>
      </c>
      <c r="AG188" s="162"/>
      <c r="AJ188" s="10"/>
    </row>
    <row r="189" spans="1:36">
      <c r="A189" s="136"/>
      <c r="B189" s="32"/>
      <c r="C189" s="32" t="s">
        <v>15</v>
      </c>
      <c r="D189" s="47"/>
      <c r="E189" s="7">
        <f>+G189-Adjustments!G189</f>
        <v>0</v>
      </c>
      <c r="F189" s="7">
        <f>Revenue!$F$188</f>
        <v>0</v>
      </c>
      <c r="G189" s="7">
        <f>+Adjustments!V189</f>
        <v>0</v>
      </c>
      <c r="H189" s="7"/>
      <c r="I189" s="7">
        <f>SUM($F$189:$H$189)</f>
        <v>0</v>
      </c>
      <c r="J189" s="7">
        <f>+I189-'ROR-Model'!I189</f>
        <v>0</v>
      </c>
      <c r="K189" s="7"/>
      <c r="L189" s="7" t="s">
        <v>12</v>
      </c>
      <c r="M189" s="7">
        <f>VLOOKUP($L189,$L$2:$N$7,2,FALSE)*I189</f>
        <v>0</v>
      </c>
      <c r="N189" s="7">
        <f>VLOOKUP($L189,$L$2:$N$7,3,FALSE)*I189</f>
        <v>0</v>
      </c>
      <c r="O189" s="120"/>
      <c r="P189" s="126" t="s">
        <v>509</v>
      </c>
      <c r="Q189" s="7">
        <f>IF(P189="G",M189,IF(P189="PT",0,ERR))</f>
        <v>0</v>
      </c>
      <c r="R189" s="7">
        <f>IF(P189="PT",M189,IF(P189="G",0,ERR))</f>
        <v>0</v>
      </c>
      <c r="S189" s="126" t="s">
        <v>509</v>
      </c>
      <c r="T189" s="7">
        <f>IF(S189="G",N189,IF(S189="PT",0,ERR))</f>
        <v>0</v>
      </c>
      <c r="U189" s="7">
        <f>IF(S189="PT",N189,IF(S189="G",0,ERR))</f>
        <v>0</v>
      </c>
      <c r="V189" s="124"/>
      <c r="W189" s="7">
        <f>HLOOKUP($W$9,'ROR-Model'!$Q$10:$U$1273,Y189)</f>
        <v>0</v>
      </c>
      <c r="X189" s="139"/>
      <c r="Y189" s="3">
        <f t="shared" si="6"/>
        <v>180</v>
      </c>
      <c r="AA189" s="7">
        <v>0</v>
      </c>
      <c r="AC189" s="7" t="str">
        <f t="shared" si="7"/>
        <v/>
      </c>
      <c r="AE189" s="42" t="str">
        <f t="shared" si="8"/>
        <v/>
      </c>
      <c r="AG189" s="162"/>
      <c r="AI189" t="s">
        <v>15</v>
      </c>
      <c r="AJ189" s="10"/>
    </row>
    <row r="190" spans="1:36">
      <c r="A190" s="136"/>
      <c r="B190" s="32"/>
      <c r="C190" s="32"/>
      <c r="D190" s="47"/>
      <c r="E190" s="7">
        <f>+G190-Adjustments!G190</f>
        <v>0</v>
      </c>
      <c r="F190" s="7"/>
      <c r="G190" s="7"/>
      <c r="H190" s="7"/>
      <c r="I190" s="7"/>
      <c r="J190" s="7">
        <f>+I190-'ROR-Model'!I190</f>
        <v>0</v>
      </c>
      <c r="K190" s="7"/>
      <c r="L190" s="7"/>
      <c r="M190" s="7"/>
      <c r="N190" s="7"/>
      <c r="O190" s="120"/>
      <c r="P190" s="126"/>
      <c r="Q190" s="7"/>
      <c r="R190" s="7"/>
      <c r="S190" s="126"/>
      <c r="T190" s="7"/>
      <c r="U190" s="7"/>
      <c r="V190" s="124"/>
      <c r="W190" s="7"/>
      <c r="X190" s="139"/>
      <c r="Y190" s="3">
        <f t="shared" si="6"/>
        <v>181</v>
      </c>
      <c r="AA190" s="7"/>
      <c r="AC190" s="7" t="str">
        <f t="shared" si="7"/>
        <v/>
      </c>
      <c r="AE190" s="42" t="str">
        <f t="shared" si="8"/>
        <v/>
      </c>
      <c r="AG190" s="162"/>
      <c r="AJ190" s="10"/>
    </row>
    <row r="191" spans="1:36">
      <c r="A191" s="136"/>
      <c r="B191" s="32"/>
      <c r="C191" s="32" t="s">
        <v>16</v>
      </c>
      <c r="D191" s="47"/>
      <c r="E191" s="7">
        <f>+G191-Adjustments!G191</f>
        <v>0</v>
      </c>
      <c r="F191" s="7">
        <f>Revenue!$F$190</f>
        <v>0</v>
      </c>
      <c r="G191" s="7">
        <f>+Adjustments!V191</f>
        <v>0</v>
      </c>
      <c r="H191" s="7"/>
      <c r="I191" s="7">
        <f>SUM($F$191:$H$191)</f>
        <v>0</v>
      </c>
      <c r="J191" s="7">
        <f>+I191-'ROR-Model'!I191</f>
        <v>0</v>
      </c>
      <c r="K191" s="7"/>
      <c r="L191" s="7" t="s">
        <v>12</v>
      </c>
      <c r="M191" s="7">
        <f>VLOOKUP($L191,$L$2:$N$7,2,FALSE)*I191</f>
        <v>0</v>
      </c>
      <c r="N191" s="7">
        <f>VLOOKUP($L191,$L$2:$N$7,3,FALSE)*I191</f>
        <v>0</v>
      </c>
      <c r="O191" s="120"/>
      <c r="P191" s="126" t="s">
        <v>509</v>
      </c>
      <c r="Q191" s="7">
        <f>IF(P191="G",M191,IF(P191="PT",0,ERR))</f>
        <v>0</v>
      </c>
      <c r="R191" s="7">
        <f>IF(P191="PT",M191,IF(P191="G",0,ERR))</f>
        <v>0</v>
      </c>
      <c r="S191" s="126" t="s">
        <v>509</v>
      </c>
      <c r="T191" s="7">
        <f>IF(S191="G",N191,IF(S191="PT",0,ERR))</f>
        <v>0</v>
      </c>
      <c r="U191" s="7">
        <f>IF(S191="PT",N191,IF(S191="G",0,ERR))</f>
        <v>0</v>
      </c>
      <c r="V191" s="124"/>
      <c r="W191" s="7">
        <f>HLOOKUP($W$9,'ROR-Model'!$Q$10:$U$1273,Y191)</f>
        <v>0</v>
      </c>
      <c r="X191" s="139"/>
      <c r="Y191" s="3">
        <f t="shared" si="6"/>
        <v>182</v>
      </c>
      <c r="AA191" s="7">
        <v>0</v>
      </c>
      <c r="AC191" s="7" t="str">
        <f t="shared" si="7"/>
        <v/>
      </c>
      <c r="AE191" s="42" t="str">
        <f t="shared" si="8"/>
        <v/>
      </c>
      <c r="AG191" s="162"/>
      <c r="AI191" t="s">
        <v>16</v>
      </c>
      <c r="AJ191" s="10"/>
    </row>
    <row r="192" spans="1:36">
      <c r="A192" s="136"/>
      <c r="B192" s="32"/>
      <c r="C192" s="32" t="s">
        <v>17</v>
      </c>
      <c r="D192" s="47"/>
      <c r="E192" s="140">
        <f>+G192-Adjustments!G192</f>
        <v>0</v>
      </c>
      <c r="F192" s="140">
        <f>SUM(F187:F191)</f>
        <v>0</v>
      </c>
      <c r="G192" s="140">
        <f>SUM(G187:G191)</f>
        <v>0</v>
      </c>
      <c r="H192" s="140">
        <f>SUM(H187:H191)</f>
        <v>0</v>
      </c>
      <c r="I192" s="140">
        <f>SUM(I187:I191)</f>
        <v>0</v>
      </c>
      <c r="J192" s="7">
        <f>+I192-'ROR-Model'!I192</f>
        <v>0</v>
      </c>
      <c r="K192" s="7"/>
      <c r="L192" s="140"/>
      <c r="M192" s="140">
        <f>SUM(M187:M191)</f>
        <v>0</v>
      </c>
      <c r="N192" s="140">
        <f>SUM(N187:N191)</f>
        <v>0</v>
      </c>
      <c r="O192" s="120"/>
      <c r="P192" s="201"/>
      <c r="Q192" s="140">
        <f>SUM(Q187:Q191)</f>
        <v>0</v>
      </c>
      <c r="R192" s="140">
        <f>SUM(R187:R191)</f>
        <v>0</v>
      </c>
      <c r="S192" s="201"/>
      <c r="T192" s="140">
        <f>SUM(T187:T191)</f>
        <v>0</v>
      </c>
      <c r="U192" s="140">
        <f>SUM(U187:U191)</f>
        <v>0</v>
      </c>
      <c r="V192" s="124"/>
      <c r="W192" s="140">
        <f>HLOOKUP($W$9,'ROR-Model'!$Q$10:$U$1273,Y192)</f>
        <v>0</v>
      </c>
      <c r="X192" s="139"/>
      <c r="Y192" s="3">
        <f t="shared" si="6"/>
        <v>183</v>
      </c>
      <c r="AA192" s="140">
        <v>0</v>
      </c>
      <c r="AC192" s="140" t="str">
        <f t="shared" si="7"/>
        <v/>
      </c>
      <c r="AE192" s="42" t="str">
        <f t="shared" si="8"/>
        <v/>
      </c>
      <c r="AG192" s="162"/>
      <c r="AI192" t="s">
        <v>17</v>
      </c>
      <c r="AJ192" s="10"/>
    </row>
    <row r="193" spans="1:36">
      <c r="A193" s="136"/>
      <c r="B193" s="32"/>
      <c r="C193" s="32"/>
      <c r="D193" s="47"/>
      <c r="E193" s="7">
        <f>+G193-Adjustments!G193</f>
        <v>0</v>
      </c>
      <c r="F193" s="7"/>
      <c r="G193" s="7"/>
      <c r="H193" s="7"/>
      <c r="I193" s="7"/>
      <c r="J193" s="7">
        <f>+I193-'ROR-Model'!I193</f>
        <v>0</v>
      </c>
      <c r="K193" s="7"/>
      <c r="L193" s="7"/>
      <c r="M193" s="7"/>
      <c r="N193" s="7"/>
      <c r="O193" s="120"/>
      <c r="P193" s="126"/>
      <c r="Q193" s="7"/>
      <c r="R193" s="7"/>
      <c r="S193" s="126"/>
      <c r="T193" s="7"/>
      <c r="U193" s="7"/>
      <c r="V193" s="124"/>
      <c r="W193" s="7"/>
      <c r="X193" s="139"/>
      <c r="Y193" s="3">
        <f t="shared" si="6"/>
        <v>184</v>
      </c>
      <c r="AA193" s="7"/>
      <c r="AC193" s="7" t="str">
        <f t="shared" si="7"/>
        <v/>
      </c>
      <c r="AE193" s="42" t="str">
        <f t="shared" si="8"/>
        <v/>
      </c>
      <c r="AG193" s="162"/>
      <c r="AJ193" s="10"/>
    </row>
    <row r="194" spans="1:36">
      <c r="A194" s="136"/>
      <c r="B194" s="32"/>
      <c r="C194" s="32" t="s">
        <v>18</v>
      </c>
      <c r="D194" s="47"/>
      <c r="E194" s="7">
        <f>+G194-Adjustments!G194</f>
        <v>0</v>
      </c>
      <c r="F194" s="7">
        <f>Revenue!$F$193</f>
        <v>0</v>
      </c>
      <c r="G194" s="7">
        <f>+Adjustments!V194</f>
        <v>0</v>
      </c>
      <c r="H194" s="7"/>
      <c r="I194" s="520">
        <f>SUM($F$194:$H$194)</f>
        <v>0</v>
      </c>
      <c r="J194" s="7">
        <f>+I194-'ROR-Model'!I194</f>
        <v>0</v>
      </c>
      <c r="K194" s="7"/>
      <c r="L194" s="7" t="s">
        <v>12</v>
      </c>
      <c r="M194" s="7">
        <f>VLOOKUP($L194,$L$2:$N$7,2,FALSE)*I194</f>
        <v>0</v>
      </c>
      <c r="N194" s="7">
        <f>VLOOKUP($L194,$L$2:$N$7,3,FALSE)*I194</f>
        <v>0</v>
      </c>
      <c r="O194" s="120"/>
      <c r="P194" s="126" t="s">
        <v>510</v>
      </c>
      <c r="Q194" s="7">
        <f>IF(P194="G",M194,IF(P194="PT",0,ERR))</f>
        <v>0</v>
      </c>
      <c r="R194" s="7">
        <f>IF(P194="PT",M194,IF(P194="G",0,ERR))</f>
        <v>0</v>
      </c>
      <c r="S194" s="126" t="s">
        <v>510</v>
      </c>
      <c r="T194" s="7">
        <f>IF(S194="G",N194,IF(S194="PT",0,ERR))</f>
        <v>0</v>
      </c>
      <c r="U194" s="7">
        <f>IF(S194="PT",N194,IF(S194="G",0,ERR))</f>
        <v>0</v>
      </c>
      <c r="V194" s="124"/>
      <c r="W194" s="7">
        <f>HLOOKUP($W$9,'ROR-Model'!$Q$10:$U$1273,Y194)</f>
        <v>0</v>
      </c>
      <c r="X194" s="139"/>
      <c r="Y194" s="3">
        <f t="shared" si="6"/>
        <v>185</v>
      </c>
      <c r="AA194" s="7">
        <v>0</v>
      </c>
      <c r="AC194" s="7" t="str">
        <f t="shared" si="7"/>
        <v/>
      </c>
      <c r="AE194" s="42" t="str">
        <f t="shared" si="8"/>
        <v/>
      </c>
      <c r="AG194" s="162"/>
      <c r="AI194" t="s">
        <v>18</v>
      </c>
      <c r="AJ194" s="10"/>
    </row>
    <row r="195" spans="1:36">
      <c r="A195" s="136"/>
      <c r="B195" s="32"/>
      <c r="C195" s="32"/>
      <c r="D195" s="47"/>
      <c r="E195" s="7">
        <f>+G195-Adjustments!G195</f>
        <v>0</v>
      </c>
      <c r="F195" s="7"/>
      <c r="G195" s="7"/>
      <c r="H195" s="7"/>
      <c r="I195" s="7"/>
      <c r="J195" s="7">
        <f>+I195-'ROR-Model'!I195</f>
        <v>0</v>
      </c>
      <c r="K195" s="7"/>
      <c r="L195" s="7"/>
      <c r="M195" s="7"/>
      <c r="N195" s="7"/>
      <c r="O195" s="120"/>
      <c r="P195" s="126"/>
      <c r="Q195" s="7"/>
      <c r="R195" s="7"/>
      <c r="S195" s="126"/>
      <c r="T195" s="7"/>
      <c r="U195" s="7"/>
      <c r="V195" s="124"/>
      <c r="W195" s="7"/>
      <c r="X195" s="139"/>
      <c r="Y195" s="3">
        <f t="shared" si="6"/>
        <v>186</v>
      </c>
      <c r="AA195" s="7"/>
      <c r="AC195" s="7" t="str">
        <f t="shared" si="7"/>
        <v/>
      </c>
      <c r="AE195" s="42" t="str">
        <f t="shared" si="8"/>
        <v/>
      </c>
      <c r="AG195" s="162"/>
      <c r="AJ195" s="10"/>
    </row>
    <row r="196" spans="1:36">
      <c r="A196" s="136"/>
      <c r="B196" s="32" t="s">
        <v>634</v>
      </c>
      <c r="C196" s="32" t="s">
        <v>86</v>
      </c>
      <c r="D196" s="47"/>
      <c r="E196" s="7">
        <f>+G196-Adjustments!G196</f>
        <v>0</v>
      </c>
      <c r="F196" s="7">
        <f>Revenue!$F$195</f>
        <v>-19322392.549999997</v>
      </c>
      <c r="G196" s="7">
        <f>+Adjustments!V196</f>
        <v>0</v>
      </c>
      <c r="H196" s="7"/>
      <c r="I196" s="7">
        <f>SUM($F$196:$H$196)</f>
        <v>-19322392.549999997</v>
      </c>
      <c r="J196" s="7">
        <f>+I196-'ROR-Model'!I196</f>
        <v>0</v>
      </c>
      <c r="K196" s="7"/>
      <c r="L196" s="7" t="s">
        <v>12</v>
      </c>
      <c r="M196" s="7">
        <f>VLOOKUP($L196,$L$2:$N$7,2,FALSE)*I196</f>
        <v>-19322392.549999997</v>
      </c>
      <c r="N196" s="7">
        <f>VLOOKUP($L196,$L$2:$N$7,3,FALSE)*I196</f>
        <v>0</v>
      </c>
      <c r="O196" s="120"/>
      <c r="P196" s="126" t="s">
        <v>510</v>
      </c>
      <c r="Q196" s="7">
        <f>IF(P196="G",M196,IF(P196="PT",0,ERR))</f>
        <v>-19322392.549999997</v>
      </c>
      <c r="R196" s="7">
        <f>IF(P196="PT",M196,IF(P196="G",0,ERR))</f>
        <v>0</v>
      </c>
      <c r="S196" s="126" t="s">
        <v>510</v>
      </c>
      <c r="T196" s="7">
        <f>IF(S196="G",N196,IF(S196="PT",0,ERR))</f>
        <v>0</v>
      </c>
      <c r="U196" s="7">
        <f>IF(S196="PT",N196,IF(S196="G",0,ERR))</f>
        <v>0</v>
      </c>
      <c r="V196" s="124"/>
      <c r="W196" s="7">
        <f>HLOOKUP($W$9,'ROR-Model'!$Q$10:$U$1273,Y196)</f>
        <v>-19322392.549999997</v>
      </c>
      <c r="X196" s="139"/>
      <c r="Y196" s="3">
        <f t="shared" si="6"/>
        <v>187</v>
      </c>
      <c r="AA196" s="7">
        <v>-3883550.45</v>
      </c>
      <c r="AC196" s="7">
        <f t="shared" si="7"/>
        <v>-15438842.099999998</v>
      </c>
      <c r="AE196" s="42">
        <f t="shared" si="8"/>
        <v>3.9754452269314533</v>
      </c>
      <c r="AG196" s="162"/>
      <c r="AH196" t="s">
        <v>634</v>
      </c>
      <c r="AI196" t="s">
        <v>86</v>
      </c>
      <c r="AJ196" s="10"/>
    </row>
    <row r="197" spans="1:36">
      <c r="A197" s="136"/>
      <c r="B197" s="32" t="s">
        <v>103</v>
      </c>
      <c r="C197" s="32" t="s">
        <v>86</v>
      </c>
      <c r="D197" s="47"/>
      <c r="E197" s="7">
        <f>+G197-Adjustments!G197</f>
        <v>0</v>
      </c>
      <c r="F197" s="7">
        <f>Revenue!$F$196</f>
        <v>25512561.919999998</v>
      </c>
      <c r="G197" s="7">
        <f>+Adjustments!V197</f>
        <v>-26124644.589999996</v>
      </c>
      <c r="H197" s="7"/>
      <c r="I197" s="7">
        <f>SUM($F$197:$H$197)</f>
        <v>-612082.66999999806</v>
      </c>
      <c r="J197" s="7">
        <f>+I197-'ROR-Model'!I197</f>
        <v>0</v>
      </c>
      <c r="K197" s="7"/>
      <c r="L197" s="7" t="s">
        <v>12</v>
      </c>
      <c r="M197" s="7">
        <f>VLOOKUP($L197,$L$2:$N$7,2,FALSE)*I197</f>
        <v>-612082.66999999806</v>
      </c>
      <c r="N197" s="7">
        <f>VLOOKUP($L197,$L$2:$N$7,3,FALSE)*I197</f>
        <v>0</v>
      </c>
      <c r="O197" s="120"/>
      <c r="P197" s="126" t="s">
        <v>510</v>
      </c>
      <c r="Q197" s="7">
        <f>IF(P197="G",M197,IF(P197="PT",0,ERR))</f>
        <v>-612082.66999999806</v>
      </c>
      <c r="R197" s="7">
        <f>IF(P197="PT",M197,IF(P197="G",0,ERR))</f>
        <v>0</v>
      </c>
      <c r="S197" s="126" t="s">
        <v>510</v>
      </c>
      <c r="T197" s="7">
        <f>IF(S197="G",N197,IF(S197="PT",0,ERR))</f>
        <v>0</v>
      </c>
      <c r="U197" s="7">
        <f>IF(S197="PT",N197,IF(S197="G",0,ERR))</f>
        <v>0</v>
      </c>
      <c r="V197" s="124"/>
      <c r="W197" s="7">
        <f>HLOOKUP($W$9,'ROR-Model'!$Q$10:$U$1273,Y197)</f>
        <v>-612082.66999999806</v>
      </c>
      <c r="X197" s="139"/>
      <c r="Y197" s="3">
        <f t="shared" si="6"/>
        <v>188</v>
      </c>
      <c r="AA197" s="7">
        <v>0</v>
      </c>
      <c r="AC197" s="7" t="str">
        <f t="shared" si="7"/>
        <v/>
      </c>
      <c r="AE197" s="42" t="str">
        <f t="shared" si="8"/>
        <v/>
      </c>
      <c r="AG197" s="162"/>
      <c r="AH197" t="s">
        <v>103</v>
      </c>
      <c r="AI197" t="s">
        <v>86</v>
      </c>
      <c r="AJ197" s="10"/>
    </row>
    <row r="198" spans="1:36" ht="13.5" thickBot="1">
      <c r="A198" s="136"/>
      <c r="B198" s="58" t="s">
        <v>493</v>
      </c>
      <c r="C198" s="32"/>
      <c r="D198" s="47"/>
      <c r="E198" s="24">
        <f>+G198-Adjustments!G198</f>
        <v>0</v>
      </c>
      <c r="F198" s="24"/>
      <c r="G198" s="24"/>
      <c r="H198" s="24"/>
      <c r="I198" s="24"/>
      <c r="J198" s="7">
        <f>+I198-'ROR-Model'!I198</f>
        <v>0</v>
      </c>
      <c r="K198" s="7"/>
      <c r="L198" s="24"/>
      <c r="M198" s="24"/>
      <c r="N198" s="24"/>
      <c r="O198" s="120"/>
      <c r="P198" s="202"/>
      <c r="Q198" s="24"/>
      <c r="R198" s="24"/>
      <c r="S198" s="202"/>
      <c r="T198" s="24"/>
      <c r="U198" s="24"/>
      <c r="V198" s="124"/>
      <c r="W198" s="24"/>
      <c r="X198" s="139"/>
      <c r="Y198" s="3">
        <f t="shared" si="6"/>
        <v>189</v>
      </c>
      <c r="AA198" s="24"/>
      <c r="AC198" s="24" t="str">
        <f t="shared" si="7"/>
        <v/>
      </c>
      <c r="AE198" s="42" t="str">
        <f t="shared" si="8"/>
        <v/>
      </c>
      <c r="AG198" s="162"/>
      <c r="AH198" s="1" t="s">
        <v>493</v>
      </c>
      <c r="AJ198" s="10"/>
    </row>
    <row r="199" spans="1:36" ht="13.5" thickTop="1">
      <c r="E199" s="7">
        <f>+G199-Adjustments!G199</f>
        <v>0</v>
      </c>
      <c r="F199" s="7"/>
      <c r="G199" s="7"/>
      <c r="H199" s="7"/>
      <c r="I199" s="7"/>
      <c r="J199" s="7">
        <f>+I199-'ROR-Model'!I199</f>
        <v>0</v>
      </c>
      <c r="K199" s="7"/>
      <c r="L199" s="7"/>
      <c r="M199" s="7"/>
      <c r="N199" s="7"/>
      <c r="O199" s="120"/>
      <c r="P199" s="126"/>
      <c r="Q199" s="7"/>
      <c r="R199" s="7"/>
      <c r="S199" s="126"/>
      <c r="T199" s="7"/>
      <c r="U199" s="7"/>
      <c r="V199" s="124"/>
      <c r="W199" s="7"/>
      <c r="X199" s="139"/>
      <c r="Y199" s="3">
        <f t="shared" si="6"/>
        <v>190</v>
      </c>
      <c r="AA199" s="7"/>
      <c r="AC199" s="7" t="str">
        <f t="shared" si="7"/>
        <v/>
      </c>
      <c r="AE199" s="42" t="str">
        <f t="shared" si="8"/>
        <v/>
      </c>
    </row>
    <row r="200" spans="1:36">
      <c r="A200" s="136"/>
      <c r="B200" s="58"/>
      <c r="C200" s="32" t="s">
        <v>14</v>
      </c>
      <c r="D200" s="47"/>
      <c r="E200" s="8">
        <f>+G200-Adjustments!G200</f>
        <v>0</v>
      </c>
      <c r="F200" s="8">
        <f>+F16+F34+F43+F52+F61+F70+F79+F88+F97+F106+F115+F124+F133+F142+F151+F160+F169+F178+F187+F25+F196+F197</f>
        <v>484023984.32579243</v>
      </c>
      <c r="G200" s="8">
        <f>+G16+G34+G43+G52+G61+G70+G79+G88+G97+G106+G115+G124+G133+G142+G151+G160+G169+G178+G187+G25+G196+G197</f>
        <v>-26124644.589999996</v>
      </c>
      <c r="H200" s="8">
        <f>+H16+H34+H43+H52+H61+H70+H79+H88+H97+H106+H115+H124+H133+H142+H151+H160+H169+H178+H187+H25+H196+H197</f>
        <v>0</v>
      </c>
      <c r="I200" s="8">
        <f>+I16+I34+I43+I52+I61+I70+I79+I88+I97+I106+I115+I124+I133+I142+I151+I160+I169+I178+I187+I25+I196+I197</f>
        <v>457899339.7357924</v>
      </c>
      <c r="J200" s="7">
        <f>+I200-'ROR-Model'!I200</f>
        <v>0</v>
      </c>
      <c r="K200" s="7"/>
      <c r="L200" s="7"/>
      <c r="M200" s="8">
        <f>+M16+M34+M43+M52+M61+M70+M79+M88+M97+M106+M115+M124+M133+M142+M151+M160+M169+M178+M187+M25+M196+M197</f>
        <v>457899339.7357924</v>
      </c>
      <c r="N200" s="8">
        <f>+N16+N34+N43+N52+N61+N70+N79+N88+N97+N106+N115+N124+N133+N142+N151+N160+N169+N178+N187+N25+N196+N197</f>
        <v>0</v>
      </c>
      <c r="O200" s="120"/>
      <c r="P200" s="126"/>
      <c r="Q200" s="8">
        <f>+Q16+Q34+Q43+Q52+Q61+Q70+Q79+Q88+Q97+Q106+Q115+Q124+Q133+Q142+Q151+Q160+Q169+Q178+Q187+Q25+Q196+Q197</f>
        <v>457899339.7357924</v>
      </c>
      <c r="R200" s="8">
        <f>+R16+R34+R43+R52+R61+R70+R79+R88+R97+R106+R115+R124+R133+R142+R151+R160+R169+R178+R187+R25+R196</f>
        <v>0</v>
      </c>
      <c r="S200" s="29"/>
      <c r="T200" s="8">
        <f>+T16+T34+T43+T52+T61+T70+T79+T88+T97+T106+T115+T124+T133+T142+T151+T160+T169+T178+T187+T25+T196</f>
        <v>0</v>
      </c>
      <c r="U200" s="8">
        <f>+U16+U34+U43+U52+U61+U70+U79+U88+U97+U106+U115+U124+U133+U142+U151+U160+U169+U178+U187+U25+U196</f>
        <v>0</v>
      </c>
      <c r="V200" s="124"/>
      <c r="W200" s="8">
        <f>HLOOKUP($W$9,'ROR-Model'!$Q$10:$U$1273,Y200)</f>
        <v>457899339.7357924</v>
      </c>
      <c r="X200" s="139"/>
      <c r="Y200" s="3">
        <f t="shared" si="6"/>
        <v>191</v>
      </c>
      <c r="AA200" s="8">
        <v>339792411.38585275</v>
      </c>
      <c r="AC200" s="8">
        <f t="shared" si="7"/>
        <v>118106928.34993964</v>
      </c>
      <c r="AE200" s="42">
        <f t="shared" si="8"/>
        <v>0.34758553867709191</v>
      </c>
      <c r="AG200" s="162"/>
      <c r="AH200" s="1"/>
      <c r="AI200" t="s">
        <v>14</v>
      </c>
      <c r="AJ200" s="10"/>
    </row>
    <row r="201" spans="1:36">
      <c r="A201" s="136"/>
      <c r="B201" s="58"/>
      <c r="C201" s="32" t="s">
        <v>15</v>
      </c>
      <c r="D201" s="47"/>
      <c r="E201" s="8">
        <f>+G201-Adjustments!G201</f>
        <v>0</v>
      </c>
      <c r="F201" s="8">
        <f>+F18+F36+F45+F54+F62+F63+F72+F81+F90+F99+F108+F117+F126+F135+F144+F153+F162+F171+F180+F189+F27</f>
        <v>101739620.80806464</v>
      </c>
      <c r="G201" s="8">
        <f>+G18+G36+G45+G54+G62+G63+G72+G81+G90+G99+G108+G117+G126+G135+G144+G153+G162+G171+G180+G189+G27</f>
        <v>0</v>
      </c>
      <c r="H201" s="8">
        <f>+H18+H36+H45+H54+H62+H63+H72+H81+H90+H99+H108+H117+H126+H135+H144+H153+H162+H171+H180+H189+H27</f>
        <v>0</v>
      </c>
      <c r="I201" s="8">
        <f>+I18+I36+I45+I54+I62+I63+I72+I81+I90+I99+I108+I117+I126+I135+I144+I153+I162+I171+I180+I189+I27</f>
        <v>101739620.80806464</v>
      </c>
      <c r="J201" s="7">
        <f>+I201-'ROR-Model'!I201</f>
        <v>0</v>
      </c>
      <c r="K201" s="7"/>
      <c r="L201" s="7"/>
      <c r="M201" s="8">
        <f>+M18+M36+M45+M54+M62+M63+M72+M81+M90+M99+M108+M117+M126+M135+M144+M153+M162+M171+M180+M189+M27</f>
        <v>101739620.80806464</v>
      </c>
      <c r="N201" s="8">
        <f>+N18+N36+N45+N54+N62+N63+N72+N81+N90+N99+N108+N117+N126+N135+N144+N153+N162+N171+N180+N189+N27</f>
        <v>0</v>
      </c>
      <c r="O201" s="120"/>
      <c r="P201" s="126"/>
      <c r="Q201" s="8">
        <f>+Q18+Q36+Q45+Q54+Q62+Q63+Q72+Q81+Q90+Q99+Q108+Q117+Q126+Q135+Q144+Q153+Q162+Q171+Q180+Q189+Q27</f>
        <v>0</v>
      </c>
      <c r="R201" s="8">
        <f>+R18+R36+R45+R54+R62+R63+R72+R81+R90+R99+R108+R117+R126+R135+R144+R153+R162+R171+R180+R189+R27</f>
        <v>101739620.80806464</v>
      </c>
      <c r="S201" s="29"/>
      <c r="T201" s="8">
        <f>+T18+T36+T45+T54+T62+T63+T72+T81+T90+T99+T108+T117+T126+T135+T144+T153+T162+T171+T180+T189+T27</f>
        <v>0</v>
      </c>
      <c r="U201" s="8">
        <f>+U18+U36+U45+U54+U62+U63+U72+U81+U90+U99+U108+U117+U126+U135+U144+U153+U162+U171+U180+U189+U27</f>
        <v>0</v>
      </c>
      <c r="V201" s="124"/>
      <c r="W201" s="8">
        <f>HLOOKUP($W$9,'ROR-Model'!$Q$10:$U$1273,Y201)</f>
        <v>0</v>
      </c>
      <c r="X201" s="139"/>
      <c r="Y201" s="3">
        <f t="shared" si="6"/>
        <v>192</v>
      </c>
      <c r="AA201" s="8">
        <v>0</v>
      </c>
      <c r="AC201" s="8" t="str">
        <f t="shared" si="7"/>
        <v/>
      </c>
      <c r="AE201" s="42" t="str">
        <f t="shared" si="8"/>
        <v/>
      </c>
      <c r="AG201" s="162"/>
      <c r="AH201" s="1"/>
      <c r="AI201" t="s">
        <v>15</v>
      </c>
      <c r="AJ201" s="10"/>
    </row>
    <row r="202" spans="1:36">
      <c r="A202" s="136"/>
      <c r="B202" s="58"/>
      <c r="C202" s="32" t="s">
        <v>16</v>
      </c>
      <c r="D202" s="47"/>
      <c r="E202" s="8">
        <f>+G202-Adjustments!G202</f>
        <v>0</v>
      </c>
      <c r="F202" s="8">
        <f>+F20+F38+F47+F56+F64+F65+F74+F83+F92+F101+F110+F119+F128+F137+F146+F155+F164+F173+F182+F191+F29</f>
        <v>918237599.34614289</v>
      </c>
      <c r="G202" s="8">
        <f>+G20+G38+G47+G56+G64+G65+G74+G83+G92+G101+G110+G119+G128+G137+G146+G155+G164+G173+G182+G191+G29</f>
        <v>0</v>
      </c>
      <c r="H202" s="8">
        <f>+H20+H38+H47+H56+H64+H65+H74+H83+H92+H101+H110+H119+H128+H137+H146+H155+H164+H173+H182+H191+H29</f>
        <v>0</v>
      </c>
      <c r="I202" s="8">
        <f>+I20+I38+I47+I56+I64+I65+I74+I83+I92+I101+I110+I119+I128+I137+I146+I155+I164+I173+I182+I191+I29</f>
        <v>918237599.34614289</v>
      </c>
      <c r="J202" s="7">
        <f>+I202-'ROR-Model'!I202</f>
        <v>0</v>
      </c>
      <c r="K202" s="7"/>
      <c r="L202" s="7"/>
      <c r="M202" s="8">
        <f>+M20+M38+M47+M56+M64+M65+M74+M83+M92+M101+M110+M119+M128+M137+M146+M155+M164+M173+M182+M191+M29</f>
        <v>918237599.34614289</v>
      </c>
      <c r="N202" s="8">
        <f>+N20+N38+N47+N56+N64+N65+N74+N83+N92+N101+N110+N119+N128+N137+N146+N155+N164+N173+N182+N191+N29</f>
        <v>0</v>
      </c>
      <c r="O202" s="120"/>
      <c r="P202" s="126"/>
      <c r="Q202" s="8">
        <f>+Q20+Q38+Q47+Q56+Q64+Q65+Q74+Q83+Q92+Q101+Q110+Q119+Q128+Q137+Q146+Q155+Q164+Q173+Q182+Q191+Q29</f>
        <v>0</v>
      </c>
      <c r="R202" s="8">
        <f>+R20+R38+R47+R56+R64+R65+R74+R83+R92+R101+R110+R119+R128+R137+R146+R155+R164+R173+R182+R191+R29</f>
        <v>918237599.34614289</v>
      </c>
      <c r="S202" s="29"/>
      <c r="T202" s="8">
        <f>+T20+T38+T47+T56+T64+T65+T74+T83+T92+T101+T110+T119+T128+T137+T146+T155+T164+T173+T182+T191+T29</f>
        <v>0</v>
      </c>
      <c r="U202" s="8">
        <f>+U20+U38+U47+U56+U64+U65+U74+U83+U92+U101+U110+U119+U128+U137+U146+U155+U164+U173+U182+U191+U29</f>
        <v>0</v>
      </c>
      <c r="V202" s="124"/>
      <c r="W202" s="8">
        <f>HLOOKUP($W$9,'ROR-Model'!$Q$10:$U$1273,Y202)</f>
        <v>0</v>
      </c>
      <c r="X202" s="139"/>
      <c r="Y202" s="3">
        <f t="shared" si="6"/>
        <v>193</v>
      </c>
      <c r="AA202" s="8">
        <v>0</v>
      </c>
      <c r="AC202" s="8" t="str">
        <f t="shared" si="7"/>
        <v/>
      </c>
      <c r="AE202" s="42" t="str">
        <f t="shared" si="8"/>
        <v/>
      </c>
      <c r="AG202" s="162"/>
      <c r="AH202" s="1"/>
      <c r="AI202" t="s">
        <v>16</v>
      </c>
      <c r="AJ202" s="10"/>
    </row>
    <row r="203" spans="1:36">
      <c r="A203" s="136"/>
      <c r="B203" s="58"/>
      <c r="C203" s="32" t="s">
        <v>412</v>
      </c>
      <c r="D203" s="47"/>
      <c r="E203" s="169">
        <f>+G203-Adjustments!G203</f>
        <v>0</v>
      </c>
      <c r="F203" s="169">
        <f>+F21+F39+F48+F57+F66+F75+F84+F93+F102+F111+F120+F129+F138+F147+F156+F165+F174+F183+F192+F30+F196+F197</f>
        <v>1504001204.48</v>
      </c>
      <c r="G203" s="169">
        <f>+G21+G39+G48+G57+G66+G75+G84+G93+G102+G111+G120+G129+G138+G147+G156+G165+G174+G183+G192+G30+G196+G197</f>
        <v>-26124644.589999996</v>
      </c>
      <c r="H203" s="169">
        <f>+H21+H39+H48+H57+H66+H75+H84+H93+H102+H111+H120+H129+H138+H147+H156+H165+H174+H183+H192+H30+H196+H197</f>
        <v>0</v>
      </c>
      <c r="I203" s="169">
        <f>+I21+I39+I48+I57+I66+I75+I84+I93+I102+I111+I120+I129+I138+I147+I156+I165+I174+I183+I192+I30+I196+I197</f>
        <v>1477876559.8899999</v>
      </c>
      <c r="J203" s="7">
        <f>+I203-'ROR-Model'!I203</f>
        <v>0</v>
      </c>
      <c r="K203" s="7"/>
      <c r="L203" s="140"/>
      <c r="M203" s="169">
        <f>+M21+M39+M48+M57+M66+M75+M84+M93+M102+M111+M120+M129+M138+M147+M156+M165+M174+M183+M192+M30+M196+M197</f>
        <v>1477876559.8899999</v>
      </c>
      <c r="N203" s="169">
        <f>+N21+N39+N48+N57+N66+N75+N84+N93+N102+N111+N120+N129+N138+N147+N156+N165+N174+N183+N192+N30+N196</f>
        <v>0</v>
      </c>
      <c r="O203" s="120"/>
      <c r="P203" s="201"/>
      <c r="Q203" s="169">
        <f>+Q21+Q39+Q48+Q57+Q66+Q75+Q84+Q93+Q102+Q111+Q120+Q129+Q138+Q147+Q156+Q165+Q174+Q183+Q192+Q30+Q196+Q197</f>
        <v>457899339.7357924</v>
      </c>
      <c r="R203" s="169">
        <f>+R21+R39+R48+R57+R66+R75+R84+R93+R102+R111+R120+R129+R138+R147+R156+R165+R174+R183+R192+R30+R196</f>
        <v>1019977220.1542076</v>
      </c>
      <c r="S203" s="203"/>
      <c r="T203" s="169">
        <f>+T21+T39+T48+T57+T66+T75+T84+T93+T102+T111+T120+T129+T138+T147+T156+T165+T174+T183+T192+T30+T196</f>
        <v>0</v>
      </c>
      <c r="U203" s="169">
        <f>+U21+U39+U48+U57+U66+U75+U84+U93+U102+U111+U120+U129+U138+U147+U156+U165+U174+U183+U192+U30+U196</f>
        <v>0</v>
      </c>
      <c r="V203" s="124"/>
      <c r="W203" s="169">
        <f>HLOOKUP($W$9,'ROR-Model'!$Q$10:$U$1273,Y203)</f>
        <v>457899339.7357924</v>
      </c>
      <c r="X203" s="139"/>
      <c r="Y203" s="3">
        <f t="shared" si="6"/>
        <v>194</v>
      </c>
      <c r="AA203" s="169">
        <v>339792411.38585275</v>
      </c>
      <c r="AC203" s="169">
        <f t="shared" si="7"/>
        <v>118106928.34993964</v>
      </c>
      <c r="AE203" s="42">
        <f t="shared" si="8"/>
        <v>0.34758553867709191</v>
      </c>
      <c r="AG203" s="162"/>
      <c r="AH203" s="1"/>
      <c r="AI203" t="s">
        <v>412</v>
      </c>
      <c r="AJ203" s="10"/>
    </row>
    <row r="204" spans="1:36">
      <c r="A204" s="136"/>
      <c r="B204" s="58"/>
      <c r="C204" s="32"/>
      <c r="D204" s="47"/>
      <c r="E204" s="9">
        <f>+G204-Adjustments!G204</f>
        <v>0</v>
      </c>
      <c r="F204" s="9"/>
      <c r="G204" s="9"/>
      <c r="H204" s="9"/>
      <c r="I204" s="9"/>
      <c r="J204" s="7">
        <f>+I204-'ROR-Model'!I204</f>
        <v>0</v>
      </c>
      <c r="K204" s="7"/>
      <c r="L204" s="7"/>
      <c r="M204" s="9"/>
      <c r="N204" s="9"/>
      <c r="O204" s="120"/>
      <c r="P204" s="126"/>
      <c r="Q204" s="9"/>
      <c r="R204" s="9"/>
      <c r="S204" s="126"/>
      <c r="T204" s="9"/>
      <c r="U204" s="9"/>
      <c r="V204" s="124"/>
      <c r="W204" s="9"/>
      <c r="X204" s="139"/>
      <c r="Y204" s="3">
        <f t="shared" ref="Y204:Y267" si="9">Y203+1</f>
        <v>195</v>
      </c>
      <c r="AA204" s="9"/>
      <c r="AC204" s="9" t="str">
        <f t="shared" si="7"/>
        <v/>
      </c>
      <c r="AE204" s="42" t="str">
        <f t="shared" si="8"/>
        <v/>
      </c>
      <c r="AG204" s="162"/>
      <c r="AH204" s="1"/>
      <c r="AJ204" s="10"/>
    </row>
    <row r="205" spans="1:36">
      <c r="A205" s="519"/>
      <c r="B205" s="32"/>
      <c r="C205" s="32" t="s">
        <v>56</v>
      </c>
      <c r="D205" s="572"/>
      <c r="E205" s="522">
        <f>+G205-Adjustments!G205</f>
        <v>0</v>
      </c>
      <c r="F205" s="522">
        <f>F23+F32+F41+F50+F59+F68+F77+F86+F95+F104+F113+F194+F140+F158</f>
        <v>124560167.55600001</v>
      </c>
      <c r="G205" s="522">
        <f>G23+G32+G41+G50+G59+G68+G77+G86+G95+G104+G113+G194+G140+G158</f>
        <v>0</v>
      </c>
      <c r="H205" s="522">
        <f>H23+H32+H41+H50+H59+H68+H77+H86+H95+H104+H113+H194+H140+H158</f>
        <v>0</v>
      </c>
      <c r="I205" s="522">
        <f>I23+I32+I41+I50+I59+I68+I77+I86+I95+I104+I113+I194</f>
        <v>124560167.55600001</v>
      </c>
      <c r="J205" s="7">
        <f>+I205-'ROR-Model'!I205</f>
        <v>0</v>
      </c>
      <c r="K205" s="520"/>
      <c r="L205" s="520"/>
      <c r="M205" s="522">
        <f>M23+M32+M41+M50+M59+M68+M77+M86+M95+M104+M113+M194+M140+M158</f>
        <v>124560167.55600001</v>
      </c>
      <c r="N205" s="522">
        <f>N23+N32+N41+N50+N59+N68+N77+N86+N95+N104+N113+N194+N140+N158</f>
        <v>0</v>
      </c>
      <c r="O205" s="573"/>
      <c r="P205" s="574"/>
      <c r="Q205" s="522">
        <f>Q23+Q32+Q41+Q50+Q59+Q68+Q77+Q86+Q95+Q104+Q113+Q194+Q140+Q158</f>
        <v>124560167.55600001</v>
      </c>
      <c r="R205" s="522">
        <f>R23+R32+R41+R50+R59+R68+R77+R86+R95+R104+R113+R194+R140+R158</f>
        <v>0</v>
      </c>
      <c r="S205" s="522"/>
      <c r="T205" s="522">
        <f>T23+T32+T41+T50+T59+T68+T77+T86+T95+T104+T113+T194+T140+T158</f>
        <v>0</v>
      </c>
      <c r="U205" s="522">
        <f>U23+U32+U41+U50+U59+U68+U77+U86+U95+U104+U113+U194+U140+U158</f>
        <v>0</v>
      </c>
      <c r="V205" s="575"/>
      <c r="W205" s="522">
        <f>W23+W32+W41+W50+W59+W68+W77+W86+W95+W104+W113+W194+W140+W158</f>
        <v>124560167.55600001</v>
      </c>
      <c r="X205" s="576"/>
      <c r="Y205" s="3">
        <f t="shared" si="9"/>
        <v>196</v>
      </c>
      <c r="AA205" s="522">
        <v>101754737.88999999</v>
      </c>
      <c r="AC205" s="522">
        <f t="shared" si="7"/>
        <v>22805429.666000023</v>
      </c>
      <c r="AE205" s="42">
        <f t="shared" si="8"/>
        <v>0.22412155088693164</v>
      </c>
      <c r="AG205" s="162"/>
      <c r="AI205" t="s">
        <v>56</v>
      </c>
      <c r="AJ205" s="10"/>
    </row>
    <row r="206" spans="1:36">
      <c r="A206" s="519"/>
      <c r="B206" s="32"/>
      <c r="C206" s="32" t="s">
        <v>57</v>
      </c>
      <c r="D206" s="572"/>
      <c r="E206" s="522">
        <f>+G206-Adjustments!G206</f>
        <v>0</v>
      </c>
      <c r="F206" s="522">
        <f>F131+F149+F167+F176+F185+F122</f>
        <v>104862575</v>
      </c>
      <c r="G206" s="522">
        <f>G131+G149+G167+G176+G185+G122</f>
        <v>0</v>
      </c>
      <c r="H206" s="522">
        <f>H131+H149+H167+H176+H185+H122</f>
        <v>0</v>
      </c>
      <c r="I206" s="8">
        <f>I131+I140+I149+I158+I167+I176+I185+I122</f>
        <v>104862575</v>
      </c>
      <c r="J206" s="7">
        <f>+I206-'ROR-Model'!I206</f>
        <v>0</v>
      </c>
      <c r="K206" s="520"/>
      <c r="L206" s="520"/>
      <c r="M206" s="522">
        <f>M131+M149+M167+M176+M185+M122</f>
        <v>104862575</v>
      </c>
      <c r="N206" s="522">
        <f>N131+N149+N167+N176+N185+N122</f>
        <v>0</v>
      </c>
      <c r="O206" s="573"/>
      <c r="P206" s="574"/>
      <c r="Q206" s="522">
        <f>Q131+Q149+Q167+Q176+Q185+Q122</f>
        <v>104862575</v>
      </c>
      <c r="R206" s="522">
        <f>R131+R149+R167+R176+R185+R122</f>
        <v>0</v>
      </c>
      <c r="S206" s="522"/>
      <c r="T206" s="522">
        <f>T131+T149+T167+T176+T185+T122</f>
        <v>0</v>
      </c>
      <c r="U206" s="522">
        <f>U131+U149+U167+U176+U185+U122</f>
        <v>0</v>
      </c>
      <c r="V206" s="575"/>
      <c r="W206" s="522">
        <f>W131+W149+W167+W176+W185+W122</f>
        <v>104862575</v>
      </c>
      <c r="X206" s="576"/>
      <c r="Y206" s="3">
        <f t="shared" si="9"/>
        <v>197</v>
      </c>
      <c r="AA206" s="522">
        <v>88829139.909999996</v>
      </c>
      <c r="AC206" s="522">
        <f t="shared" si="7"/>
        <v>16033435.090000004</v>
      </c>
      <c r="AE206" s="42">
        <f t="shared" si="8"/>
        <v>0.18049747083271073</v>
      </c>
      <c r="AG206" s="162"/>
      <c r="AI206" t="s">
        <v>57</v>
      </c>
      <c r="AJ206" s="10"/>
    </row>
    <row r="207" spans="1:36">
      <c r="A207" s="519"/>
      <c r="B207" s="58"/>
      <c r="C207" s="32" t="s">
        <v>413</v>
      </c>
      <c r="D207" s="572"/>
      <c r="E207" s="523">
        <f>+G207-Adjustments!G207</f>
        <v>0</v>
      </c>
      <c r="F207" s="523">
        <f>+F23+F41+F50+F59+F68+F77+F86+F95+F104+F113+F122+F131+F140+F149+F158+F167+F176+F185+F194+F32</f>
        <v>229422742.55599999</v>
      </c>
      <c r="G207" s="523">
        <f>+G23+G41+G50+G59+G68+G77+G86+G95+G104+G113+G122+G131+G140+G149+G158+G167+G176+G185+G194+G32</f>
        <v>0</v>
      </c>
      <c r="H207" s="523">
        <f>+H23+H41+H50+H59+H68+H77+H86+H95+H104+H113+H122+H131+H140+H149+H158+H167+H176+H185+H194+H32</f>
        <v>0</v>
      </c>
      <c r="I207" s="523">
        <f>+I23+I41+I50+I59+I68+I77+I86+I95+I104+I113+I122+I131+I140+I149+I158+I167+I176+I185+I194+I32</f>
        <v>229422742.55599999</v>
      </c>
      <c r="J207" s="7">
        <f>+I207-'ROR-Model'!I207</f>
        <v>0</v>
      </c>
      <c r="K207" s="520"/>
      <c r="L207" s="521"/>
      <c r="M207" s="523">
        <f>+M23+M41+M50+M59+M68+M77+M86+M95+M104+M113+M122+M131+M140+M149+M158+M167+M176+M185+M194+M32</f>
        <v>229422742.55599999</v>
      </c>
      <c r="N207" s="523">
        <f>+N23+N41+N50+N59+N68+N77+N86+N95+N104+N113+N122+N131+N140+N149+N158+N167+N176+N185+N194+N32</f>
        <v>0</v>
      </c>
      <c r="O207" s="573"/>
      <c r="P207" s="577"/>
      <c r="Q207" s="523">
        <f>+Q23+Q41+Q50+Q59+Q68+Q77+Q86+Q95+Q104+Q113+Q122+Q131+Q140+Q149+Q158+Q167+Q176+Q185+Q194+Q32</f>
        <v>229422742.55599999</v>
      </c>
      <c r="R207" s="523">
        <f>+R23+R41+R50+R59+R68+R77+R86+R95+R104+R113+R122+R131+R140+R149+R158+R167+R176+R185+R194+R32</f>
        <v>0</v>
      </c>
      <c r="S207" s="523"/>
      <c r="T207" s="523">
        <f>+T23+T41+T50+T59+T68+T77+T86+T95+T104+T113+T122+T131+T140+T149+T158+T167+T176+T185+T194+T32</f>
        <v>0</v>
      </c>
      <c r="U207" s="523">
        <f>+U23+U41+U50+U59+U68+U77+U86+U95+U104+U113+U122+U131+U140+U149+U158+U167+U176+U185+U194+U32</f>
        <v>0</v>
      </c>
      <c r="V207" s="575"/>
      <c r="W207" s="523">
        <f>+W23+W41+W50+W59+W68+W77+W86+W95+W104+W113+W122+W131+W140+W149+W158+W167+W176+W185+W194+W32</f>
        <v>229422742.55599999</v>
      </c>
      <c r="X207" s="576"/>
      <c r="Y207" s="3">
        <f t="shared" si="9"/>
        <v>198</v>
      </c>
      <c r="AA207" s="523">
        <v>190583877.79999998</v>
      </c>
      <c r="AC207" s="523">
        <f t="shared" si="7"/>
        <v>38838864.756000012</v>
      </c>
      <c r="AE207" s="42">
        <f t="shared" si="8"/>
        <v>0.20378882623407307</v>
      </c>
      <c r="AG207" s="162"/>
      <c r="AH207" s="1"/>
      <c r="AI207" t="s">
        <v>413</v>
      </c>
      <c r="AJ207" s="10"/>
    </row>
    <row r="208" spans="1:36">
      <c r="A208" s="136"/>
      <c r="B208" s="32"/>
      <c r="C208" s="32"/>
      <c r="D208" s="47"/>
      <c r="E208" s="7">
        <f>+G208-Adjustments!G208</f>
        <v>0</v>
      </c>
      <c r="F208" s="7"/>
      <c r="G208" s="7"/>
      <c r="H208" s="7"/>
      <c r="I208" s="7"/>
      <c r="J208" s="7">
        <f>+I208-'ROR-Model'!I208</f>
        <v>0</v>
      </c>
      <c r="K208" s="7"/>
      <c r="L208" s="7"/>
      <c r="M208" s="7"/>
      <c r="N208" s="7"/>
      <c r="O208" s="120"/>
      <c r="P208" s="126"/>
      <c r="Q208" s="7"/>
      <c r="R208" s="7"/>
      <c r="S208" s="126"/>
      <c r="T208" s="7"/>
      <c r="U208" s="7"/>
      <c r="V208" s="124"/>
      <c r="W208" s="7"/>
      <c r="X208" s="139"/>
      <c r="Y208" s="3">
        <f t="shared" si="9"/>
        <v>199</v>
      </c>
      <c r="AA208" s="7"/>
      <c r="AC208" s="7" t="str">
        <f t="shared" si="7"/>
        <v/>
      </c>
      <c r="AE208" s="42" t="str">
        <f t="shared" si="8"/>
        <v/>
      </c>
      <c r="AG208" s="162"/>
      <c r="AJ208" s="10"/>
    </row>
    <row r="209" spans="1:36">
      <c r="A209" s="136"/>
      <c r="B209" s="58"/>
      <c r="C209" s="58"/>
      <c r="D209" s="47"/>
      <c r="E209" s="7">
        <f>+G209-Adjustments!G209</f>
        <v>0</v>
      </c>
      <c r="F209" s="7"/>
      <c r="G209" s="7"/>
      <c r="H209" s="7"/>
      <c r="I209" s="7"/>
      <c r="J209" s="7">
        <f>+I209-'ROR-Model'!I209</f>
        <v>0</v>
      </c>
      <c r="K209" s="7"/>
      <c r="L209" s="7"/>
      <c r="M209" s="7"/>
      <c r="N209" s="7"/>
      <c r="O209" s="120"/>
      <c r="P209" s="126"/>
      <c r="Q209" s="7"/>
      <c r="R209" s="7"/>
      <c r="S209" s="126"/>
      <c r="T209" s="7"/>
      <c r="U209" s="7"/>
      <c r="V209" s="124"/>
      <c r="W209" s="7"/>
      <c r="X209" s="139"/>
      <c r="Y209" s="3">
        <f t="shared" si="9"/>
        <v>200</v>
      </c>
      <c r="AA209" s="7"/>
      <c r="AC209" s="7" t="str">
        <f t="shared" ref="AC209:AC272" si="10">IF(ABS(AA209)&gt;0,W209-AA209,"")</f>
        <v/>
      </c>
      <c r="AE209" s="42" t="str">
        <f t="shared" si="8"/>
        <v/>
      </c>
      <c r="AG209" s="162"/>
      <c r="AH209" s="1"/>
      <c r="AI209" s="1"/>
      <c r="AJ209" s="10"/>
    </row>
    <row r="210" spans="1:36">
      <c r="A210" s="116" t="s">
        <v>414</v>
      </c>
      <c r="B210" s="32" t="s">
        <v>13</v>
      </c>
      <c r="C210" s="32" t="s">
        <v>14</v>
      </c>
      <c r="D210" s="47"/>
      <c r="E210" s="7">
        <f>+G210-Adjustments!G210</f>
        <v>0</v>
      </c>
      <c r="F210" s="7">
        <f>Revenue!$F$209</f>
        <v>0</v>
      </c>
      <c r="G210" s="7">
        <f>+Adjustments!V210</f>
        <v>0</v>
      </c>
      <c r="H210" s="7"/>
      <c r="I210" s="7">
        <f>SUM($F$210:$H$210)</f>
        <v>0</v>
      </c>
      <c r="J210" s="7">
        <f>+I210-'ROR-Model'!I210</f>
        <v>0</v>
      </c>
      <c r="K210" s="7"/>
      <c r="L210" s="7" t="s">
        <v>12</v>
      </c>
      <c r="M210" s="7">
        <f>VLOOKUP($L210,$L$2:$N$7,2,FALSE)*I210</f>
        <v>0</v>
      </c>
      <c r="N210" s="7">
        <f>VLOOKUP($L210,$L$2:$N$7,3,FALSE)*I210</f>
        <v>0</v>
      </c>
      <c r="O210" s="120"/>
      <c r="P210" s="126" t="s">
        <v>510</v>
      </c>
      <c r="Q210" s="7">
        <f>IF(P210="G",M210,IF(P210="PT",0,ERR))</f>
        <v>0</v>
      </c>
      <c r="R210" s="7">
        <f>IF(P210="PT",M210,IF(P210="G",0,ERR))</f>
        <v>0</v>
      </c>
      <c r="S210" s="126" t="s">
        <v>510</v>
      </c>
      <c r="T210" s="7">
        <f>IF(S210="G",N210,IF(S210="PT",0,ERR))</f>
        <v>0</v>
      </c>
      <c r="U210" s="7">
        <f>IF(S210="PT",N210,IF(S210="G",0,ERR))</f>
        <v>0</v>
      </c>
      <c r="V210" s="124"/>
      <c r="W210" s="7">
        <f>HLOOKUP($W$9,'ROR-Model'!$Q$10:$U$1273,Y210)</f>
        <v>0</v>
      </c>
      <c r="X210" s="139"/>
      <c r="Y210" s="3">
        <f t="shared" si="9"/>
        <v>201</v>
      </c>
      <c r="AA210" s="7">
        <v>0</v>
      </c>
      <c r="AC210" s="7" t="str">
        <f t="shared" si="10"/>
        <v/>
      </c>
      <c r="AE210" s="42" t="str">
        <f t="shared" ref="AE210:AE273" si="11">IF(ABS(AA210)&gt;0,AC210/AA210,"")</f>
        <v/>
      </c>
      <c r="AG210" s="162" t="s">
        <v>414</v>
      </c>
      <c r="AH210" t="s">
        <v>13</v>
      </c>
      <c r="AI210" t="s">
        <v>14</v>
      </c>
      <c r="AJ210" s="10"/>
    </row>
    <row r="211" spans="1:36">
      <c r="A211" s="136"/>
      <c r="B211" s="32"/>
      <c r="C211" s="32"/>
      <c r="D211" s="47"/>
      <c r="E211" s="7">
        <f>+G211-Adjustments!G211</f>
        <v>0</v>
      </c>
      <c r="F211" s="7"/>
      <c r="G211" s="7"/>
      <c r="H211" s="7"/>
      <c r="I211" s="7"/>
      <c r="J211" s="7">
        <f>+I211-'ROR-Model'!I211</f>
        <v>0</v>
      </c>
      <c r="K211" s="7"/>
      <c r="L211" s="7"/>
      <c r="M211" s="7"/>
      <c r="N211" s="7"/>
      <c r="O211" s="120"/>
      <c r="P211" s="126"/>
      <c r="Q211" s="7"/>
      <c r="R211" s="7"/>
      <c r="S211" s="126"/>
      <c r="T211" s="7"/>
      <c r="U211" s="7"/>
      <c r="V211" s="124"/>
      <c r="W211" s="7"/>
      <c r="X211" s="139"/>
      <c r="Y211" s="3">
        <f t="shared" si="9"/>
        <v>202</v>
      </c>
      <c r="AA211" s="7"/>
      <c r="AC211" s="7" t="str">
        <f t="shared" si="10"/>
        <v/>
      </c>
      <c r="AE211" s="42" t="str">
        <f t="shared" si="11"/>
        <v/>
      </c>
      <c r="AG211" s="162"/>
      <c r="AJ211" s="10"/>
    </row>
    <row r="212" spans="1:36">
      <c r="A212" s="136"/>
      <c r="B212" s="32"/>
      <c r="C212" s="32" t="s">
        <v>15</v>
      </c>
      <c r="D212" s="47"/>
      <c r="E212" s="7">
        <f>+G212-Adjustments!G212</f>
        <v>0</v>
      </c>
      <c r="F212" s="7">
        <f>Revenue!$F$211</f>
        <v>0</v>
      </c>
      <c r="G212" s="7">
        <f>+Adjustments!V212</f>
        <v>0</v>
      </c>
      <c r="H212" s="7"/>
      <c r="I212" s="7">
        <f>SUM($F$212:$H$212)</f>
        <v>0</v>
      </c>
      <c r="J212" s="7">
        <f>+I212-'ROR-Model'!I212</f>
        <v>0</v>
      </c>
      <c r="K212" s="7"/>
      <c r="L212" s="7" t="s">
        <v>12</v>
      </c>
      <c r="M212" s="7">
        <f>VLOOKUP($L212,$L$2:$N$7,2,FALSE)*I212</f>
        <v>0</v>
      </c>
      <c r="N212" s="7">
        <f>VLOOKUP($L212,$L$2:$N$7,3,FALSE)*I212</f>
        <v>0</v>
      </c>
      <c r="O212" s="120"/>
      <c r="P212" s="126" t="s">
        <v>509</v>
      </c>
      <c r="Q212" s="7">
        <f>IF(P212="G",M212,IF(P212="PT",0,ERR))</f>
        <v>0</v>
      </c>
      <c r="R212" s="7">
        <f>IF(P212="PT",M212,IF(P212="G",0,ERR))</f>
        <v>0</v>
      </c>
      <c r="S212" s="126" t="s">
        <v>509</v>
      </c>
      <c r="T212" s="7">
        <f>IF(S212="G",N212,IF(S212="PT",0,ERR))</f>
        <v>0</v>
      </c>
      <c r="U212" s="7">
        <f>IF(S212="PT",N212,IF(S212="G",0,ERR))</f>
        <v>0</v>
      </c>
      <c r="V212" s="124"/>
      <c r="W212" s="7">
        <f>HLOOKUP($W$9,'ROR-Model'!$Q$10:$U$1273,Y212)</f>
        <v>0</v>
      </c>
      <c r="X212" s="139"/>
      <c r="Y212" s="3">
        <f t="shared" si="9"/>
        <v>203</v>
      </c>
      <c r="AA212" s="7">
        <v>0</v>
      </c>
      <c r="AC212" s="7" t="str">
        <f t="shared" si="10"/>
        <v/>
      </c>
      <c r="AE212" s="42" t="str">
        <f t="shared" si="11"/>
        <v/>
      </c>
      <c r="AG212" s="162"/>
      <c r="AI212" t="s">
        <v>15</v>
      </c>
      <c r="AJ212" s="10"/>
    </row>
    <row r="213" spans="1:36">
      <c r="A213" s="136"/>
      <c r="B213" s="32"/>
      <c r="C213" s="32"/>
      <c r="D213" s="47"/>
      <c r="E213" s="7">
        <f>+G213-Adjustments!G213</f>
        <v>0</v>
      </c>
      <c r="F213" s="7"/>
      <c r="G213" s="7"/>
      <c r="H213" s="7"/>
      <c r="I213" s="7"/>
      <c r="J213" s="7">
        <f>+I213-'ROR-Model'!I213</f>
        <v>0</v>
      </c>
      <c r="K213" s="7"/>
      <c r="L213" s="7"/>
      <c r="M213" s="7"/>
      <c r="N213" s="7"/>
      <c r="O213" s="120"/>
      <c r="P213" s="126"/>
      <c r="Q213" s="7"/>
      <c r="R213" s="7"/>
      <c r="S213" s="126"/>
      <c r="T213" s="7"/>
      <c r="U213" s="7"/>
      <c r="V213" s="124"/>
      <c r="W213" s="7"/>
      <c r="X213" s="139"/>
      <c r="Y213" s="3">
        <f t="shared" si="9"/>
        <v>204</v>
      </c>
      <c r="AA213" s="7"/>
      <c r="AC213" s="7" t="str">
        <f t="shared" si="10"/>
        <v/>
      </c>
      <c r="AE213" s="42" t="str">
        <f t="shared" si="11"/>
        <v/>
      </c>
      <c r="AG213" s="162"/>
      <c r="AJ213" s="10"/>
    </row>
    <row r="214" spans="1:36">
      <c r="A214" s="136"/>
      <c r="B214" s="32"/>
      <c r="C214" s="32" t="s">
        <v>16</v>
      </c>
      <c r="D214" s="47"/>
      <c r="E214" s="7">
        <f>+G214-Adjustments!G214</f>
        <v>0</v>
      </c>
      <c r="F214" s="7">
        <f>Revenue!$F$213</f>
        <v>0</v>
      </c>
      <c r="G214" s="7">
        <f>+Adjustments!V214</f>
        <v>0</v>
      </c>
      <c r="H214" s="7"/>
      <c r="I214" s="7">
        <f>SUM($F$214:$H$214)</f>
        <v>0</v>
      </c>
      <c r="J214" s="7">
        <f>+I214-'ROR-Model'!I214</f>
        <v>0</v>
      </c>
      <c r="K214" s="7"/>
      <c r="L214" s="7" t="s">
        <v>12</v>
      </c>
      <c r="M214" s="7">
        <f>VLOOKUP($L214,$L$2:$N$7,2,FALSE)*I214</f>
        <v>0</v>
      </c>
      <c r="N214" s="7">
        <f>VLOOKUP($L214,$L$2:$N$7,3,FALSE)*I214</f>
        <v>0</v>
      </c>
      <c r="O214" s="120"/>
      <c r="P214" s="126" t="s">
        <v>509</v>
      </c>
      <c r="Q214" s="7">
        <f>IF(P214="G",M214,IF(P214="PT",0,ERR))</f>
        <v>0</v>
      </c>
      <c r="R214" s="7">
        <f>IF(P214="PT",M214,IF(P214="G",0,ERR))</f>
        <v>0</v>
      </c>
      <c r="S214" s="126" t="s">
        <v>509</v>
      </c>
      <c r="T214" s="7">
        <f>IF(S214="G",N214,IF(S214="PT",0,ERR))</f>
        <v>0</v>
      </c>
      <c r="U214" s="7">
        <f>IF(S214="PT",N214,IF(S214="G",0,ERR))</f>
        <v>0</v>
      </c>
      <c r="V214" s="124"/>
      <c r="W214" s="7">
        <f>HLOOKUP($W$9,'ROR-Model'!$Q$10:$U$1273,Y214)</f>
        <v>0</v>
      </c>
      <c r="X214" s="139"/>
      <c r="Y214" s="3">
        <f t="shared" si="9"/>
        <v>205</v>
      </c>
      <c r="AA214" s="7">
        <v>0</v>
      </c>
      <c r="AC214" s="7" t="str">
        <f t="shared" si="10"/>
        <v/>
      </c>
      <c r="AE214" s="42" t="str">
        <f t="shared" si="11"/>
        <v/>
      </c>
      <c r="AG214" s="162"/>
      <c r="AI214" t="s">
        <v>16</v>
      </c>
      <c r="AJ214" s="10"/>
    </row>
    <row r="215" spans="1:36">
      <c r="A215" s="136"/>
      <c r="B215" s="32"/>
      <c r="C215" s="32" t="s">
        <v>17</v>
      </c>
      <c r="D215" s="47"/>
      <c r="E215" s="140">
        <f>+G215-Adjustments!G215</f>
        <v>0</v>
      </c>
      <c r="F215" s="140">
        <f>SUM(F210:F214)</f>
        <v>0</v>
      </c>
      <c r="G215" s="140">
        <f>SUM(G210:G214)</f>
        <v>0</v>
      </c>
      <c r="H215" s="140">
        <f>SUM(H210:H214)</f>
        <v>0</v>
      </c>
      <c r="I215" s="140">
        <f>SUM(I210:I214)</f>
        <v>0</v>
      </c>
      <c r="J215" s="7">
        <f>+I215-'ROR-Model'!I215</f>
        <v>0</v>
      </c>
      <c r="K215" s="7"/>
      <c r="L215" s="140"/>
      <c r="M215" s="140">
        <f>SUM(M210:M214)</f>
        <v>0</v>
      </c>
      <c r="N215" s="140">
        <f>SUM(N210:N214)</f>
        <v>0</v>
      </c>
      <c r="O215" s="120"/>
      <c r="P215" s="201"/>
      <c r="Q215" s="140">
        <f>SUM(Q210:Q214)</f>
        <v>0</v>
      </c>
      <c r="R215" s="140">
        <f>SUM(R210:R214)</f>
        <v>0</v>
      </c>
      <c r="S215" s="201"/>
      <c r="T215" s="140">
        <f>SUM(T210:T214)</f>
        <v>0</v>
      </c>
      <c r="U215" s="140">
        <f>SUM(U210:U214)</f>
        <v>0</v>
      </c>
      <c r="V215" s="124"/>
      <c r="W215" s="140">
        <f>HLOOKUP($W$9,'ROR-Model'!$Q$10:$U$1273,Y215)</f>
        <v>0</v>
      </c>
      <c r="X215" s="139"/>
      <c r="Y215" s="3">
        <f t="shared" si="9"/>
        <v>206</v>
      </c>
      <c r="AA215" s="140">
        <v>0</v>
      </c>
      <c r="AC215" s="140" t="str">
        <f t="shared" si="10"/>
        <v/>
      </c>
      <c r="AE215" s="42" t="str">
        <f t="shared" si="11"/>
        <v/>
      </c>
      <c r="AG215" s="162"/>
      <c r="AI215" t="s">
        <v>17</v>
      </c>
      <c r="AJ215" s="10"/>
    </row>
    <row r="216" spans="1:36">
      <c r="A216" s="136"/>
      <c r="B216" s="32"/>
      <c r="C216" s="32"/>
      <c r="D216" s="47"/>
      <c r="E216" s="7">
        <f>+G216-Adjustments!G216</f>
        <v>0</v>
      </c>
      <c r="F216" s="7"/>
      <c r="G216" s="7"/>
      <c r="H216" s="7"/>
      <c r="I216" s="7"/>
      <c r="J216" s="7">
        <f>+I216-'ROR-Model'!I216</f>
        <v>0</v>
      </c>
      <c r="K216" s="7"/>
      <c r="L216" s="7"/>
      <c r="M216" s="7"/>
      <c r="N216" s="7"/>
      <c r="O216" s="120"/>
      <c r="P216" s="126"/>
      <c r="Q216" s="7"/>
      <c r="R216" s="7"/>
      <c r="S216" s="126"/>
      <c r="T216" s="7"/>
      <c r="U216" s="7"/>
      <c r="V216" s="124"/>
      <c r="W216" s="7"/>
      <c r="X216" s="139"/>
      <c r="Y216" s="3">
        <f t="shared" si="9"/>
        <v>207</v>
      </c>
      <c r="AA216" s="7"/>
      <c r="AC216" s="7" t="str">
        <f t="shared" si="10"/>
        <v/>
      </c>
      <c r="AE216" s="42" t="str">
        <f t="shared" si="11"/>
        <v/>
      </c>
      <c r="AG216" s="162"/>
      <c r="AJ216" s="10"/>
    </row>
    <row r="217" spans="1:36">
      <c r="A217" s="136"/>
      <c r="B217" s="32"/>
      <c r="C217" s="32" t="s">
        <v>18</v>
      </c>
      <c r="D217" s="47"/>
      <c r="E217" s="7">
        <f>+G217-Adjustments!G217</f>
        <v>0</v>
      </c>
      <c r="F217" s="7">
        <f>Revenue!$F$216</f>
        <v>0</v>
      </c>
      <c r="G217" s="7">
        <f>+Adjustments!V217</f>
        <v>0</v>
      </c>
      <c r="H217" s="7"/>
      <c r="I217" s="7">
        <f>SUM($F$217:$H$217)</f>
        <v>0</v>
      </c>
      <c r="J217" s="7">
        <f>+I217-'ROR-Model'!I217</f>
        <v>0</v>
      </c>
      <c r="K217" s="7"/>
      <c r="L217" s="7" t="s">
        <v>12</v>
      </c>
      <c r="M217" s="7">
        <f>VLOOKUP($L217,$L$2:$N$7,2,FALSE)*I217</f>
        <v>0</v>
      </c>
      <c r="N217" s="7">
        <f>VLOOKUP($L217,$L$2:$N$7,3,FALSE)*I217</f>
        <v>0</v>
      </c>
      <c r="O217" s="120"/>
      <c r="P217" s="126" t="s">
        <v>510</v>
      </c>
      <c r="Q217" s="7">
        <f>IF(P217="G",M217,IF(P217="PT",0,ERR))</f>
        <v>0</v>
      </c>
      <c r="R217" s="7">
        <f>IF(P217="PT",M217,IF(P217="G",0,ERR))</f>
        <v>0</v>
      </c>
      <c r="S217" s="126" t="s">
        <v>510</v>
      </c>
      <c r="T217" s="7">
        <f>IF(S217="G",N217,IF(S217="PT",0,ERR))</f>
        <v>0</v>
      </c>
      <c r="U217" s="7">
        <f>IF(S217="PT",N217,IF(S217="G",0,ERR))</f>
        <v>0</v>
      </c>
      <c r="V217" s="124"/>
      <c r="W217" s="7">
        <f>HLOOKUP($W$9,'ROR-Model'!$Q$10:$U$1273,Y217)</f>
        <v>0</v>
      </c>
      <c r="X217" s="139"/>
      <c r="Y217" s="3">
        <f t="shared" si="9"/>
        <v>208</v>
      </c>
      <c r="AA217" s="7">
        <v>0</v>
      </c>
      <c r="AC217" s="7" t="str">
        <f t="shared" si="10"/>
        <v/>
      </c>
      <c r="AE217" s="42" t="str">
        <f t="shared" si="11"/>
        <v/>
      </c>
      <c r="AG217" s="162"/>
      <c r="AI217" t="s">
        <v>18</v>
      </c>
      <c r="AJ217" s="10"/>
    </row>
    <row r="218" spans="1:36">
      <c r="A218" s="136"/>
      <c r="B218" s="32"/>
      <c r="C218" s="32"/>
      <c r="D218" s="47"/>
      <c r="E218" s="7">
        <f>+G218-Adjustments!G218</f>
        <v>0</v>
      </c>
      <c r="F218" s="7"/>
      <c r="G218" s="7"/>
      <c r="H218" s="7"/>
      <c r="I218" s="7"/>
      <c r="J218" s="7">
        <f>+I218-'ROR-Model'!I218</f>
        <v>0</v>
      </c>
      <c r="K218" s="7"/>
      <c r="L218" s="7"/>
      <c r="M218" s="7"/>
      <c r="N218" s="7"/>
      <c r="O218" s="120"/>
      <c r="P218" s="126"/>
      <c r="Q218" s="7"/>
      <c r="R218" s="7"/>
      <c r="S218" s="126"/>
      <c r="T218" s="7"/>
      <c r="U218" s="7"/>
      <c r="V218" s="124"/>
      <c r="W218" s="7"/>
      <c r="X218" s="139"/>
      <c r="Y218" s="3">
        <f t="shared" si="9"/>
        <v>209</v>
      </c>
      <c r="AA218" s="7"/>
      <c r="AC218" s="7" t="str">
        <f t="shared" si="10"/>
        <v/>
      </c>
      <c r="AE218" s="42" t="str">
        <f t="shared" si="11"/>
        <v/>
      </c>
      <c r="AG218" s="162"/>
      <c r="AJ218" s="10"/>
    </row>
    <row r="219" spans="1:36">
      <c r="A219" s="136"/>
      <c r="B219" s="32" t="s">
        <v>78</v>
      </c>
      <c r="C219" s="32" t="s">
        <v>14</v>
      </c>
      <c r="D219" s="47"/>
      <c r="E219" s="7">
        <f>+G219-Adjustments!G219</f>
        <v>0</v>
      </c>
      <c r="F219" s="7">
        <f>Revenue!$F$218</f>
        <v>0</v>
      </c>
      <c r="G219" s="7">
        <f>+Adjustments!V219</f>
        <v>0</v>
      </c>
      <c r="H219" s="7"/>
      <c r="I219" s="7">
        <f>SUM($F$219:$H$219)</f>
        <v>0</v>
      </c>
      <c r="J219" s="7">
        <f>+I219-'ROR-Model'!I219</f>
        <v>0</v>
      </c>
      <c r="K219" s="7"/>
      <c r="L219" s="7" t="s">
        <v>12</v>
      </c>
      <c r="M219" s="7">
        <f>VLOOKUP($L219,$L$2:$N$7,2,FALSE)*I219</f>
        <v>0</v>
      </c>
      <c r="N219" s="7">
        <f>VLOOKUP($L219,$L$2:$N$7,3,FALSE)*I219</f>
        <v>0</v>
      </c>
      <c r="O219" s="120"/>
      <c r="P219" s="126" t="s">
        <v>510</v>
      </c>
      <c r="Q219" s="7">
        <f>IF(P219="G",M219,IF(P219="PT",0,ERR))</f>
        <v>0</v>
      </c>
      <c r="R219" s="7">
        <f>IF(P219="PT",M219,IF(P219="G",0,ERR))</f>
        <v>0</v>
      </c>
      <c r="S219" s="126" t="s">
        <v>510</v>
      </c>
      <c r="T219" s="7">
        <f>IF(S219="G",N219,IF(S219="PT",0,ERR))</f>
        <v>0</v>
      </c>
      <c r="U219" s="7">
        <f>IF(S219="PT",N219,IF(S219="G",0,ERR))</f>
        <v>0</v>
      </c>
      <c r="V219" s="124"/>
      <c r="W219" s="7">
        <f>HLOOKUP($W$9,'ROR-Model'!$Q$10:$U$1273,Y219)</f>
        <v>0</v>
      </c>
      <c r="X219" s="139"/>
      <c r="Y219" s="3">
        <f t="shared" si="9"/>
        <v>210</v>
      </c>
      <c r="AA219" s="7">
        <v>0</v>
      </c>
      <c r="AC219" s="7" t="str">
        <f t="shared" si="10"/>
        <v/>
      </c>
      <c r="AE219" s="42" t="str">
        <f t="shared" si="11"/>
        <v/>
      </c>
      <c r="AG219" s="162"/>
      <c r="AH219" t="s">
        <v>78</v>
      </c>
      <c r="AI219" t="s">
        <v>14</v>
      </c>
      <c r="AJ219" s="10"/>
    </row>
    <row r="220" spans="1:36">
      <c r="A220" s="136"/>
      <c r="B220" s="32"/>
      <c r="C220" s="32"/>
      <c r="D220" s="47"/>
      <c r="E220" s="7">
        <f>+G220-Adjustments!G220</f>
        <v>0</v>
      </c>
      <c r="F220" s="7"/>
      <c r="G220" s="7"/>
      <c r="H220" s="7"/>
      <c r="I220" s="7"/>
      <c r="J220" s="7">
        <f>+I220-'ROR-Model'!I220</f>
        <v>0</v>
      </c>
      <c r="K220" s="7"/>
      <c r="L220" s="7"/>
      <c r="M220" s="7"/>
      <c r="N220" s="7"/>
      <c r="O220" s="120"/>
      <c r="P220" s="126"/>
      <c r="Q220" s="7"/>
      <c r="R220" s="7"/>
      <c r="S220" s="126"/>
      <c r="T220" s="7"/>
      <c r="U220" s="7"/>
      <c r="V220" s="124"/>
      <c r="W220" s="7"/>
      <c r="X220" s="139"/>
      <c r="Y220" s="3">
        <f t="shared" si="9"/>
        <v>211</v>
      </c>
      <c r="AA220" s="7"/>
      <c r="AC220" s="7" t="str">
        <f t="shared" si="10"/>
        <v/>
      </c>
      <c r="AE220" s="42" t="str">
        <f t="shared" si="11"/>
        <v/>
      </c>
      <c r="AG220" s="162"/>
      <c r="AJ220" s="10"/>
    </row>
    <row r="221" spans="1:36">
      <c r="A221" s="136"/>
      <c r="B221" s="32"/>
      <c r="C221" s="32" t="s">
        <v>15</v>
      </c>
      <c r="D221" s="47"/>
      <c r="E221" s="7">
        <f>+G221-Adjustments!G221</f>
        <v>0</v>
      </c>
      <c r="F221" s="7">
        <f>Revenue!$F$220</f>
        <v>0</v>
      </c>
      <c r="G221" s="7">
        <f>+Adjustments!V221</f>
        <v>0</v>
      </c>
      <c r="H221" s="7"/>
      <c r="I221" s="7">
        <f>SUM($F$221:$H$221)</f>
        <v>0</v>
      </c>
      <c r="J221" s="7">
        <f>+I221-'ROR-Model'!I221</f>
        <v>0</v>
      </c>
      <c r="K221" s="7"/>
      <c r="L221" s="7" t="s">
        <v>12</v>
      </c>
      <c r="M221" s="7">
        <f>VLOOKUP($L221,$L$2:$N$7,2,FALSE)*I221</f>
        <v>0</v>
      </c>
      <c r="N221" s="7">
        <f>VLOOKUP($L221,$L$2:$N$7,3,FALSE)*I221</f>
        <v>0</v>
      </c>
      <c r="O221" s="120"/>
      <c r="P221" s="126" t="s">
        <v>509</v>
      </c>
      <c r="Q221" s="7">
        <f>IF(P221="G",M221,IF(P221="PT",0,ERR))</f>
        <v>0</v>
      </c>
      <c r="R221" s="7">
        <f>IF(P221="PT",M221,IF(P221="G",0,ERR))</f>
        <v>0</v>
      </c>
      <c r="S221" s="126" t="s">
        <v>509</v>
      </c>
      <c r="T221" s="7">
        <f>IF(S221="G",N221,IF(S221="PT",0,ERR))</f>
        <v>0</v>
      </c>
      <c r="U221" s="7">
        <f>IF(S221="PT",N221,IF(S221="G",0,ERR))</f>
        <v>0</v>
      </c>
      <c r="V221" s="124"/>
      <c r="W221" s="7">
        <f>HLOOKUP($W$9,'ROR-Model'!$Q$10:$U$1273,Y221)</f>
        <v>0</v>
      </c>
      <c r="X221" s="139"/>
      <c r="Y221" s="3">
        <f t="shared" si="9"/>
        <v>212</v>
      </c>
      <c r="AA221" s="7">
        <v>0</v>
      </c>
      <c r="AC221" s="7" t="str">
        <f t="shared" si="10"/>
        <v/>
      </c>
      <c r="AE221" s="42" t="str">
        <f t="shared" si="11"/>
        <v/>
      </c>
      <c r="AG221" s="162"/>
      <c r="AI221" t="s">
        <v>15</v>
      </c>
      <c r="AJ221" s="10"/>
    </row>
    <row r="222" spans="1:36">
      <c r="A222" s="136"/>
      <c r="B222" s="32"/>
      <c r="C222" s="32"/>
      <c r="D222" s="47"/>
      <c r="E222" s="7">
        <f>+G222-Adjustments!G222</f>
        <v>0</v>
      </c>
      <c r="F222" s="7"/>
      <c r="G222" s="7"/>
      <c r="H222" s="7"/>
      <c r="I222" s="7"/>
      <c r="J222" s="7">
        <f>+I222-'ROR-Model'!I222</f>
        <v>0</v>
      </c>
      <c r="K222" s="7"/>
      <c r="L222" s="7"/>
      <c r="M222" s="7"/>
      <c r="N222" s="7"/>
      <c r="O222" s="120"/>
      <c r="P222" s="126"/>
      <c r="Q222" s="7"/>
      <c r="R222" s="7"/>
      <c r="S222" s="126"/>
      <c r="T222" s="7"/>
      <c r="U222" s="7"/>
      <c r="V222" s="124"/>
      <c r="W222" s="7"/>
      <c r="X222" s="139"/>
      <c r="Y222" s="3">
        <f t="shared" si="9"/>
        <v>213</v>
      </c>
      <c r="AA222" s="7"/>
      <c r="AC222" s="7" t="str">
        <f t="shared" si="10"/>
        <v/>
      </c>
      <c r="AE222" s="42" t="str">
        <f t="shared" si="11"/>
        <v/>
      </c>
      <c r="AG222" s="162"/>
      <c r="AJ222" s="10"/>
    </row>
    <row r="223" spans="1:36">
      <c r="A223" s="136"/>
      <c r="B223" s="32"/>
      <c r="C223" s="32" t="s">
        <v>16</v>
      </c>
      <c r="D223" s="47"/>
      <c r="E223" s="7">
        <f>+G223-Adjustments!G223</f>
        <v>0</v>
      </c>
      <c r="F223" s="7">
        <f>Revenue!$F$222</f>
        <v>0</v>
      </c>
      <c r="G223" s="7">
        <f>+Adjustments!V223</f>
        <v>0</v>
      </c>
      <c r="H223" s="7"/>
      <c r="I223" s="7">
        <f>SUM($F$223:$H$223)</f>
        <v>0</v>
      </c>
      <c r="J223" s="7">
        <f>+I223-'ROR-Model'!I223</f>
        <v>0</v>
      </c>
      <c r="K223" s="7"/>
      <c r="L223" s="7" t="s">
        <v>12</v>
      </c>
      <c r="M223" s="7">
        <f>VLOOKUP($L223,$L$2:$N$7,2,FALSE)*I223</f>
        <v>0</v>
      </c>
      <c r="N223" s="7">
        <f>VLOOKUP($L223,$L$2:$N$7,3,FALSE)*I223</f>
        <v>0</v>
      </c>
      <c r="O223" s="120"/>
      <c r="P223" s="126" t="s">
        <v>509</v>
      </c>
      <c r="Q223" s="7">
        <f>IF(P223="G",M223,IF(P223="PT",0,ERR))</f>
        <v>0</v>
      </c>
      <c r="R223" s="7">
        <f>IF(P223="PT",M223,IF(P223="G",0,ERR))</f>
        <v>0</v>
      </c>
      <c r="S223" s="126" t="s">
        <v>509</v>
      </c>
      <c r="T223" s="7">
        <f>IF(S223="G",N223,IF(S223="PT",0,ERR))</f>
        <v>0</v>
      </c>
      <c r="U223" s="7">
        <f>IF(S223="PT",N223,IF(S223="G",0,ERR))</f>
        <v>0</v>
      </c>
      <c r="V223" s="124"/>
      <c r="W223" s="7">
        <f>HLOOKUP($W$9,'ROR-Model'!$Q$10:$U$1273,Y223)</f>
        <v>0</v>
      </c>
      <c r="X223" s="139"/>
      <c r="Y223" s="3">
        <f t="shared" si="9"/>
        <v>214</v>
      </c>
      <c r="AA223" s="7">
        <v>0</v>
      </c>
      <c r="AC223" s="7" t="str">
        <f t="shared" si="10"/>
        <v/>
      </c>
      <c r="AE223" s="42" t="str">
        <f t="shared" si="11"/>
        <v/>
      </c>
      <c r="AG223" s="162"/>
      <c r="AI223" t="s">
        <v>16</v>
      </c>
      <c r="AJ223" s="10"/>
    </row>
    <row r="224" spans="1:36">
      <c r="A224" s="136"/>
      <c r="B224" s="32"/>
      <c r="C224" s="32" t="s">
        <v>17</v>
      </c>
      <c r="D224" s="47"/>
      <c r="E224" s="140">
        <f>+G224-Adjustments!G224</f>
        <v>0</v>
      </c>
      <c r="F224" s="140">
        <f>SUM(F219:F223)</f>
        <v>0</v>
      </c>
      <c r="G224" s="140">
        <f>SUM(G219:G223)</f>
        <v>0</v>
      </c>
      <c r="H224" s="140">
        <f>SUM(H219:H223)</f>
        <v>0</v>
      </c>
      <c r="I224" s="140">
        <f>SUM(I219:I223)</f>
        <v>0</v>
      </c>
      <c r="J224" s="7">
        <f>+I224-'ROR-Model'!I224</f>
        <v>0</v>
      </c>
      <c r="K224" s="7"/>
      <c r="L224" s="140"/>
      <c r="M224" s="140">
        <f>SUM(M219:M223)</f>
        <v>0</v>
      </c>
      <c r="N224" s="140">
        <f>SUM(N219:N223)</f>
        <v>0</v>
      </c>
      <c r="O224" s="120"/>
      <c r="P224" s="201"/>
      <c r="Q224" s="140">
        <f>SUM(Q219:Q223)</f>
        <v>0</v>
      </c>
      <c r="R224" s="140">
        <f>SUM(R219:R223)</f>
        <v>0</v>
      </c>
      <c r="S224" s="201"/>
      <c r="T224" s="140">
        <f>SUM(T219:T223)</f>
        <v>0</v>
      </c>
      <c r="U224" s="140">
        <f>SUM(U219:U223)</f>
        <v>0</v>
      </c>
      <c r="V224" s="124"/>
      <c r="W224" s="140">
        <f>HLOOKUP($W$9,'ROR-Model'!$Q$10:$U$1273,Y224)</f>
        <v>0</v>
      </c>
      <c r="X224" s="139"/>
      <c r="Y224" s="3">
        <f t="shared" si="9"/>
        <v>215</v>
      </c>
      <c r="AA224" s="140">
        <v>0</v>
      </c>
      <c r="AC224" s="140" t="str">
        <f t="shared" si="10"/>
        <v/>
      </c>
      <c r="AE224" s="42" t="str">
        <f t="shared" si="11"/>
        <v/>
      </c>
      <c r="AG224" s="162"/>
      <c r="AI224" t="s">
        <v>17</v>
      </c>
      <c r="AJ224" s="10"/>
    </row>
    <row r="225" spans="1:36">
      <c r="A225" s="136"/>
      <c r="B225" s="32"/>
      <c r="C225" s="32"/>
      <c r="D225" s="47"/>
      <c r="E225" s="7">
        <f>+G225-Adjustments!G225</f>
        <v>0</v>
      </c>
      <c r="F225" s="7"/>
      <c r="G225" s="7"/>
      <c r="H225" s="7"/>
      <c r="I225" s="7"/>
      <c r="J225" s="7">
        <f>+I225-'ROR-Model'!I225</f>
        <v>0</v>
      </c>
      <c r="K225" s="7"/>
      <c r="L225" s="7"/>
      <c r="M225" s="7"/>
      <c r="N225" s="7"/>
      <c r="O225" s="120"/>
      <c r="P225" s="126"/>
      <c r="Q225" s="7"/>
      <c r="R225" s="7"/>
      <c r="S225" s="126"/>
      <c r="T225" s="7"/>
      <c r="U225" s="7"/>
      <c r="V225" s="124"/>
      <c r="W225" s="7"/>
      <c r="X225" s="139"/>
      <c r="Y225" s="3">
        <f t="shared" si="9"/>
        <v>216</v>
      </c>
      <c r="AA225" s="7"/>
      <c r="AC225" s="7" t="str">
        <f t="shared" si="10"/>
        <v/>
      </c>
      <c r="AE225" s="42" t="str">
        <f t="shared" si="11"/>
        <v/>
      </c>
      <c r="AG225" s="162"/>
      <c r="AJ225" s="10"/>
    </row>
    <row r="226" spans="1:36">
      <c r="A226" s="136"/>
      <c r="B226" s="32"/>
      <c r="C226" s="32" t="s">
        <v>18</v>
      </c>
      <c r="D226" s="47"/>
      <c r="E226" s="7">
        <f>+G226-Adjustments!G226</f>
        <v>0</v>
      </c>
      <c r="F226" s="7">
        <f>Revenue!$F$225</f>
        <v>0</v>
      </c>
      <c r="G226" s="7">
        <f>+Adjustments!V226</f>
        <v>0</v>
      </c>
      <c r="H226" s="7"/>
      <c r="I226" s="7">
        <f>SUM($F$226:$H$226)</f>
        <v>0</v>
      </c>
      <c r="J226" s="7">
        <f>+I226-'ROR-Model'!I226</f>
        <v>0</v>
      </c>
      <c r="K226" s="7"/>
      <c r="L226" s="7" t="s">
        <v>12</v>
      </c>
      <c r="M226" s="7">
        <f>VLOOKUP($L226,$L$2:$N$7,2,FALSE)*I226</f>
        <v>0</v>
      </c>
      <c r="N226" s="7">
        <f>VLOOKUP($L226,$L$2:$N$7,3,FALSE)*I226</f>
        <v>0</v>
      </c>
      <c r="O226" s="120"/>
      <c r="P226" s="126" t="s">
        <v>510</v>
      </c>
      <c r="Q226" s="7">
        <f>IF(P226="G",M226,IF(P226="PT",0,ERR))</f>
        <v>0</v>
      </c>
      <c r="R226" s="7">
        <f>IF(P226="PT",M226,IF(P226="G",0,ERR))</f>
        <v>0</v>
      </c>
      <c r="S226" s="126" t="s">
        <v>510</v>
      </c>
      <c r="T226" s="7">
        <f>IF(S226="G",N226,IF(S226="PT",0,ERR))</f>
        <v>0</v>
      </c>
      <c r="U226" s="7">
        <f>IF(S226="PT",N226,IF(S226="G",0,ERR))</f>
        <v>0</v>
      </c>
      <c r="V226" s="124"/>
      <c r="W226" s="7">
        <f>HLOOKUP($W$9,'ROR-Model'!$Q$10:$U$1273,Y226)</f>
        <v>0</v>
      </c>
      <c r="X226" s="139"/>
      <c r="Y226" s="3">
        <f t="shared" si="9"/>
        <v>217</v>
      </c>
      <c r="AA226" s="7">
        <v>0</v>
      </c>
      <c r="AC226" s="7" t="str">
        <f t="shared" si="10"/>
        <v/>
      </c>
      <c r="AE226" s="42" t="str">
        <f t="shared" si="11"/>
        <v/>
      </c>
      <c r="AG226" s="162"/>
      <c r="AI226" t="s">
        <v>18</v>
      </c>
      <c r="AJ226" s="10"/>
    </row>
    <row r="227" spans="1:36" ht="13.5" thickBot="1">
      <c r="A227" s="136"/>
      <c r="B227" s="32"/>
      <c r="C227" s="32"/>
      <c r="D227" s="47"/>
      <c r="E227" s="24">
        <f>+G227-Adjustments!G227</f>
        <v>0</v>
      </c>
      <c r="F227" s="24"/>
      <c r="G227" s="24"/>
      <c r="H227" s="24"/>
      <c r="I227" s="24"/>
      <c r="J227" s="7">
        <f>+I227-'ROR-Model'!I227</f>
        <v>0</v>
      </c>
      <c r="K227" s="7"/>
      <c r="L227" s="24"/>
      <c r="M227" s="24"/>
      <c r="N227" s="24"/>
      <c r="O227" s="120"/>
      <c r="P227" s="202"/>
      <c r="Q227" s="24"/>
      <c r="R227" s="24"/>
      <c r="S227" s="202"/>
      <c r="T227" s="24"/>
      <c r="U227" s="24"/>
      <c r="V227" s="124"/>
      <c r="W227" s="24"/>
      <c r="X227" s="139"/>
      <c r="Y227" s="3">
        <f t="shared" si="9"/>
        <v>218</v>
      </c>
      <c r="AA227" s="24"/>
      <c r="AC227" s="24" t="str">
        <f t="shared" si="10"/>
        <v/>
      </c>
      <c r="AE227" s="42" t="str">
        <f t="shared" si="11"/>
        <v/>
      </c>
      <c r="AG227" s="162"/>
      <c r="AJ227" s="10"/>
    </row>
    <row r="228" spans="1:36" ht="13.5" thickTop="1">
      <c r="A228" s="136"/>
      <c r="B228" s="32" t="s">
        <v>494</v>
      </c>
      <c r="C228" s="32"/>
      <c r="D228" s="47"/>
      <c r="E228" s="7">
        <f>+G228-Adjustments!G228</f>
        <v>0</v>
      </c>
      <c r="F228" s="7"/>
      <c r="G228" s="7"/>
      <c r="H228" s="7"/>
      <c r="I228" s="7"/>
      <c r="J228" s="7">
        <f>+I228-'ROR-Model'!I228</f>
        <v>0</v>
      </c>
      <c r="K228" s="7"/>
      <c r="L228" s="7"/>
      <c r="M228" s="7"/>
      <c r="N228" s="7"/>
      <c r="O228" s="120"/>
      <c r="P228" s="126"/>
      <c r="Q228" s="7"/>
      <c r="R228" s="7"/>
      <c r="S228" s="126"/>
      <c r="T228" s="7"/>
      <c r="U228" s="7"/>
      <c r="V228" s="124"/>
      <c r="W228" s="7"/>
      <c r="X228" s="139"/>
      <c r="Y228" s="3">
        <f t="shared" si="9"/>
        <v>219</v>
      </c>
      <c r="AA228" s="7"/>
      <c r="AC228" s="7" t="str">
        <f t="shared" si="10"/>
        <v/>
      </c>
      <c r="AE228" s="42" t="str">
        <f t="shared" si="11"/>
        <v/>
      </c>
      <c r="AG228" s="162"/>
      <c r="AH228" t="s">
        <v>494</v>
      </c>
      <c r="AJ228" s="10"/>
    </row>
    <row r="229" spans="1:36">
      <c r="A229" s="136"/>
      <c r="B229" s="58"/>
      <c r="C229" s="32" t="s">
        <v>14</v>
      </c>
      <c r="D229" s="47"/>
      <c r="E229" s="7">
        <f>+G229-Adjustments!G229</f>
        <v>0</v>
      </c>
      <c r="F229" s="7">
        <f>+F210+F219</f>
        <v>0</v>
      </c>
      <c r="G229" s="7">
        <f>+G210+G219</f>
        <v>0</v>
      </c>
      <c r="H229" s="7">
        <f>+H210+H219</f>
        <v>0</v>
      </c>
      <c r="I229" s="7">
        <f>+I210+I219</f>
        <v>0</v>
      </c>
      <c r="J229" s="7">
        <f>+I229-'ROR-Model'!I229</f>
        <v>0</v>
      </c>
      <c r="K229" s="7"/>
      <c r="L229" s="7"/>
      <c r="M229" s="7">
        <f>+M210+M219</f>
        <v>0</v>
      </c>
      <c r="N229" s="7">
        <f>+N210+N219</f>
        <v>0</v>
      </c>
      <c r="O229" s="120"/>
      <c r="P229" s="126"/>
      <c r="Q229" s="7">
        <f>+Q210+Q219</f>
        <v>0</v>
      </c>
      <c r="R229" s="7">
        <f>+R210+R219</f>
        <v>0</v>
      </c>
      <c r="S229" s="126"/>
      <c r="T229" s="7">
        <f>+T210+T219</f>
        <v>0</v>
      </c>
      <c r="U229" s="7">
        <f>+U210+U219</f>
        <v>0</v>
      </c>
      <c r="V229" s="124"/>
      <c r="W229" s="7">
        <f>HLOOKUP($W$9,'ROR-Model'!$Q$10:$U$1273,Y229)</f>
        <v>0</v>
      </c>
      <c r="X229" s="139"/>
      <c r="Y229" s="3">
        <f t="shared" si="9"/>
        <v>220</v>
      </c>
      <c r="AA229" s="7">
        <v>0</v>
      </c>
      <c r="AC229" s="7" t="str">
        <f t="shared" si="10"/>
        <v/>
      </c>
      <c r="AE229" s="42" t="str">
        <f t="shared" si="11"/>
        <v/>
      </c>
      <c r="AG229" s="162"/>
      <c r="AH229" s="1"/>
      <c r="AI229" t="s">
        <v>14</v>
      </c>
      <c r="AJ229" s="10"/>
    </row>
    <row r="230" spans="1:36">
      <c r="A230" s="136"/>
      <c r="B230" s="58"/>
      <c r="C230" s="32" t="s">
        <v>15</v>
      </c>
      <c r="D230" s="47"/>
      <c r="E230" s="7">
        <f>+G230-Adjustments!G230</f>
        <v>0</v>
      </c>
      <c r="F230" s="7">
        <f>+F212+F221</f>
        <v>0</v>
      </c>
      <c r="G230" s="7">
        <f>+G212+G221</f>
        <v>0</v>
      </c>
      <c r="H230" s="7">
        <f>+H212+H221</f>
        <v>0</v>
      </c>
      <c r="I230" s="7">
        <f>+I212+I221</f>
        <v>0</v>
      </c>
      <c r="J230" s="7">
        <f>+I230-'ROR-Model'!I230</f>
        <v>0</v>
      </c>
      <c r="K230" s="7"/>
      <c r="L230" s="7"/>
      <c r="M230" s="7">
        <f>+M212+M221</f>
        <v>0</v>
      </c>
      <c r="N230" s="7">
        <f>+N212+N221</f>
        <v>0</v>
      </c>
      <c r="O230" s="120"/>
      <c r="P230" s="126"/>
      <c r="Q230" s="7">
        <f>+Q212+Q221</f>
        <v>0</v>
      </c>
      <c r="R230" s="7">
        <f>+R212+R221</f>
        <v>0</v>
      </c>
      <c r="S230" s="126"/>
      <c r="T230" s="7">
        <f>+T212+T221</f>
        <v>0</v>
      </c>
      <c r="U230" s="7">
        <f>+U212+U221</f>
        <v>0</v>
      </c>
      <c r="V230" s="124"/>
      <c r="W230" s="7">
        <f>HLOOKUP($W$9,'ROR-Model'!$Q$10:$U$1273,Y230)</f>
        <v>0</v>
      </c>
      <c r="X230" s="139"/>
      <c r="Y230" s="3">
        <f t="shared" si="9"/>
        <v>221</v>
      </c>
      <c r="AA230" s="7">
        <v>0</v>
      </c>
      <c r="AC230" s="7" t="str">
        <f t="shared" si="10"/>
        <v/>
      </c>
      <c r="AE230" s="42" t="str">
        <f t="shared" si="11"/>
        <v/>
      </c>
      <c r="AG230" s="162"/>
      <c r="AH230" s="1"/>
      <c r="AI230" t="s">
        <v>15</v>
      </c>
      <c r="AJ230" s="10"/>
    </row>
    <row r="231" spans="1:36">
      <c r="A231" s="136"/>
      <c r="B231" s="58"/>
      <c r="C231" s="32" t="s">
        <v>16</v>
      </c>
      <c r="D231" s="47"/>
      <c r="E231" s="7">
        <f>+G231-Adjustments!G231</f>
        <v>0</v>
      </c>
      <c r="F231" s="7">
        <f>+F214+F223</f>
        <v>0</v>
      </c>
      <c r="G231" s="7">
        <f t="shared" ref="G231:I232" si="12">+G214+G223</f>
        <v>0</v>
      </c>
      <c r="H231" s="7">
        <f t="shared" si="12"/>
        <v>0</v>
      </c>
      <c r="I231" s="7">
        <f t="shared" si="12"/>
        <v>0</v>
      </c>
      <c r="J231" s="7">
        <f>+I231-'ROR-Model'!I231</f>
        <v>0</v>
      </c>
      <c r="K231" s="7"/>
      <c r="L231" s="7"/>
      <c r="M231" s="7">
        <f>+M214+M223</f>
        <v>0</v>
      </c>
      <c r="N231" s="7">
        <f>+N214+N223</f>
        <v>0</v>
      </c>
      <c r="O231" s="120"/>
      <c r="P231" s="126"/>
      <c r="Q231" s="7">
        <f>+Q214+Q223</f>
        <v>0</v>
      </c>
      <c r="R231" s="7">
        <f>+R214+R223</f>
        <v>0</v>
      </c>
      <c r="S231" s="126"/>
      <c r="T231" s="7">
        <f>+T214+T223</f>
        <v>0</v>
      </c>
      <c r="U231" s="7">
        <f>+U214+U223</f>
        <v>0</v>
      </c>
      <c r="V231" s="124"/>
      <c r="W231" s="7">
        <f>HLOOKUP($W$9,'ROR-Model'!$Q$10:$U$1273,Y231)</f>
        <v>0</v>
      </c>
      <c r="X231" s="139"/>
      <c r="Y231" s="3">
        <f t="shared" si="9"/>
        <v>222</v>
      </c>
      <c r="AA231" s="7">
        <v>0</v>
      </c>
      <c r="AC231" s="7" t="str">
        <f t="shared" si="10"/>
        <v/>
      </c>
      <c r="AE231" s="42" t="str">
        <f t="shared" si="11"/>
        <v/>
      </c>
      <c r="AG231" s="162"/>
      <c r="AH231" s="1"/>
      <c r="AI231" t="s">
        <v>16</v>
      </c>
      <c r="AJ231" s="10"/>
    </row>
    <row r="232" spans="1:36">
      <c r="A232" s="136"/>
      <c r="B232" s="58"/>
      <c r="C232" s="32" t="s">
        <v>415</v>
      </c>
      <c r="D232" s="47"/>
      <c r="E232" s="140">
        <f>+G232-Adjustments!G232</f>
        <v>0</v>
      </c>
      <c r="F232" s="140">
        <f>+F215+F224</f>
        <v>0</v>
      </c>
      <c r="G232" s="140">
        <f t="shared" si="12"/>
        <v>0</v>
      </c>
      <c r="H232" s="140">
        <f t="shared" si="12"/>
        <v>0</v>
      </c>
      <c r="I232" s="140">
        <f t="shared" si="12"/>
        <v>0</v>
      </c>
      <c r="J232" s="7">
        <f>+I232-'ROR-Model'!I232</f>
        <v>0</v>
      </c>
      <c r="K232" s="7"/>
      <c r="L232" s="140"/>
      <c r="M232" s="140">
        <f>+M215+M224</f>
        <v>0</v>
      </c>
      <c r="N232" s="140">
        <f>+N215+N224</f>
        <v>0</v>
      </c>
      <c r="O232" s="120"/>
      <c r="P232" s="201"/>
      <c r="Q232" s="140">
        <f>+Q215+Q224</f>
        <v>0</v>
      </c>
      <c r="R232" s="140">
        <f>+R215+R224</f>
        <v>0</v>
      </c>
      <c r="S232" s="201"/>
      <c r="T232" s="140">
        <f>+T215+T224</f>
        <v>0</v>
      </c>
      <c r="U232" s="140">
        <f>+U215+U224</f>
        <v>0</v>
      </c>
      <c r="V232" s="124"/>
      <c r="W232" s="140">
        <f>HLOOKUP($W$9,'ROR-Model'!$Q$10:$U$1273,Y232)</f>
        <v>0</v>
      </c>
      <c r="X232" s="139"/>
      <c r="Y232" s="3">
        <f t="shared" si="9"/>
        <v>223</v>
      </c>
      <c r="AA232" s="140">
        <v>0</v>
      </c>
      <c r="AC232" s="140" t="str">
        <f t="shared" si="10"/>
        <v/>
      </c>
      <c r="AE232" s="42" t="str">
        <f t="shared" si="11"/>
        <v/>
      </c>
      <c r="AG232" s="162"/>
      <c r="AH232" s="1"/>
      <c r="AI232" t="s">
        <v>415</v>
      </c>
      <c r="AJ232" s="10"/>
    </row>
    <row r="233" spans="1:36">
      <c r="A233" s="136"/>
      <c r="B233" s="58"/>
      <c r="C233" s="32"/>
      <c r="D233" s="47"/>
      <c r="E233" s="7">
        <f>+G233-Adjustments!G233</f>
        <v>0</v>
      </c>
      <c r="F233" s="7"/>
      <c r="G233" s="7"/>
      <c r="H233" s="7"/>
      <c r="I233" s="7"/>
      <c r="J233" s="7">
        <f>+I233-'ROR-Model'!I233</f>
        <v>0</v>
      </c>
      <c r="K233" s="7"/>
      <c r="L233" s="7"/>
      <c r="M233" s="7"/>
      <c r="N233" s="7"/>
      <c r="O233" s="120"/>
      <c r="P233" s="126"/>
      <c r="Q233" s="7"/>
      <c r="R233" s="7"/>
      <c r="S233" s="126"/>
      <c r="T233" s="7"/>
      <c r="U233" s="7"/>
      <c r="V233" s="124"/>
      <c r="W233" s="7"/>
      <c r="X233" s="139"/>
      <c r="Y233" s="3">
        <f t="shared" si="9"/>
        <v>224</v>
      </c>
      <c r="AA233" s="7"/>
      <c r="AC233" s="7" t="str">
        <f t="shared" si="10"/>
        <v/>
      </c>
      <c r="AE233" s="42" t="str">
        <f t="shared" si="11"/>
        <v/>
      </c>
      <c r="AG233" s="162"/>
      <c r="AH233" s="1"/>
      <c r="AJ233" s="10"/>
    </row>
    <row r="234" spans="1:36">
      <c r="A234" s="519"/>
      <c r="B234" s="58"/>
      <c r="C234" s="32" t="s">
        <v>56</v>
      </c>
      <c r="D234" s="572"/>
      <c r="E234" s="520">
        <f>+G234-Adjustments!G234</f>
        <v>0</v>
      </c>
      <c r="F234" s="520">
        <f>F217+F226</f>
        <v>0</v>
      </c>
      <c r="G234" s="520">
        <f>G217+G226</f>
        <v>0</v>
      </c>
      <c r="H234" s="520">
        <f>H217+H226</f>
        <v>0</v>
      </c>
      <c r="I234" s="520">
        <f>I217+I226</f>
        <v>0</v>
      </c>
      <c r="J234" s="7">
        <f>+I234-'ROR-Model'!I234</f>
        <v>0</v>
      </c>
      <c r="K234" s="520"/>
      <c r="L234" s="520"/>
      <c r="M234" s="520">
        <f>M217+M226</f>
        <v>0</v>
      </c>
      <c r="N234" s="520">
        <f>N217+N226</f>
        <v>0</v>
      </c>
      <c r="O234" s="573"/>
      <c r="P234" s="574"/>
      <c r="Q234" s="520">
        <f>Q217+Q226</f>
        <v>0</v>
      </c>
      <c r="R234" s="520">
        <f>R217+R226</f>
        <v>0</v>
      </c>
      <c r="S234" s="574"/>
      <c r="T234" s="520">
        <f>T217+T226</f>
        <v>0</v>
      </c>
      <c r="U234" s="520">
        <f>U217+U226</f>
        <v>0</v>
      </c>
      <c r="V234" s="575"/>
      <c r="W234" s="520">
        <f>HLOOKUP($W$9,'ROR-Model'!$Q$10:$U$1273,Y234)</f>
        <v>0</v>
      </c>
      <c r="X234" s="576"/>
      <c r="Y234" s="3">
        <f t="shared" si="9"/>
        <v>225</v>
      </c>
      <c r="AA234" s="520">
        <v>0</v>
      </c>
      <c r="AC234" s="520" t="str">
        <f t="shared" si="10"/>
        <v/>
      </c>
      <c r="AE234" s="42" t="str">
        <f t="shared" si="11"/>
        <v/>
      </c>
      <c r="AG234" s="162"/>
      <c r="AH234" s="1"/>
      <c r="AI234" t="s">
        <v>56</v>
      </c>
      <c r="AJ234" s="10"/>
    </row>
    <row r="235" spans="1:36">
      <c r="A235" s="519"/>
      <c r="B235" s="32"/>
      <c r="C235" s="32" t="s">
        <v>57</v>
      </c>
      <c r="D235" s="572"/>
      <c r="E235" s="520">
        <f>+G235-Adjustments!G235</f>
        <v>0</v>
      </c>
      <c r="F235" s="520">
        <v>0</v>
      </c>
      <c r="G235" s="520">
        <v>0</v>
      </c>
      <c r="H235" s="520">
        <v>0</v>
      </c>
      <c r="I235" s="520">
        <v>0</v>
      </c>
      <c r="J235" s="7">
        <f>+I235-'ROR-Model'!I235</f>
        <v>0</v>
      </c>
      <c r="K235" s="520"/>
      <c r="L235" s="520"/>
      <c r="M235" s="520">
        <v>0</v>
      </c>
      <c r="N235" s="520">
        <v>0</v>
      </c>
      <c r="O235" s="573"/>
      <c r="P235" s="574"/>
      <c r="Q235" s="520">
        <v>0</v>
      </c>
      <c r="R235" s="520">
        <v>0</v>
      </c>
      <c r="S235" s="574"/>
      <c r="T235" s="520">
        <v>0</v>
      </c>
      <c r="U235" s="520">
        <v>0</v>
      </c>
      <c r="V235" s="575"/>
      <c r="W235" s="520">
        <f>HLOOKUP($W$9,'ROR-Model'!$Q$10:$U$1273,Y235)</f>
        <v>0</v>
      </c>
      <c r="X235" s="576"/>
      <c r="Y235" s="3">
        <f t="shared" si="9"/>
        <v>226</v>
      </c>
      <c r="AA235" s="520">
        <v>0</v>
      </c>
      <c r="AC235" s="520" t="str">
        <f t="shared" si="10"/>
        <v/>
      </c>
      <c r="AE235" s="42" t="str">
        <f t="shared" si="11"/>
        <v/>
      </c>
      <c r="AG235" s="162"/>
      <c r="AI235" t="s">
        <v>57</v>
      </c>
      <c r="AJ235" s="10"/>
    </row>
    <row r="236" spans="1:36">
      <c r="A236" s="519"/>
      <c r="B236" s="58"/>
      <c r="C236" s="32" t="s">
        <v>416</v>
      </c>
      <c r="D236" s="572"/>
      <c r="E236" s="521">
        <f>+G236-Adjustments!G236</f>
        <v>0</v>
      </c>
      <c r="F236" s="521">
        <f>+F217+F226</f>
        <v>0</v>
      </c>
      <c r="G236" s="521">
        <f>+G217+G226</f>
        <v>0</v>
      </c>
      <c r="H236" s="521">
        <f>+H217+H226</f>
        <v>0</v>
      </c>
      <c r="I236" s="521">
        <f>+I217+I226</f>
        <v>0</v>
      </c>
      <c r="J236" s="7">
        <f>+I236-'ROR-Model'!I236</f>
        <v>0</v>
      </c>
      <c r="K236" s="520"/>
      <c r="L236" s="521"/>
      <c r="M236" s="521">
        <f>+M217+M226</f>
        <v>0</v>
      </c>
      <c r="N236" s="521">
        <f>+N217+N226</f>
        <v>0</v>
      </c>
      <c r="O236" s="573"/>
      <c r="P236" s="577"/>
      <c r="Q236" s="521">
        <f>+Q217+Q226</f>
        <v>0</v>
      </c>
      <c r="R236" s="521">
        <f>+R217+R226</f>
        <v>0</v>
      </c>
      <c r="S236" s="577"/>
      <c r="T236" s="521">
        <f>+T217+T226</f>
        <v>0</v>
      </c>
      <c r="U236" s="521">
        <f>+U217+U226</f>
        <v>0</v>
      </c>
      <c r="V236" s="575"/>
      <c r="W236" s="521">
        <f>HLOOKUP($W$9,'ROR-Model'!$Q$10:$U$1273,Y236)</f>
        <v>0</v>
      </c>
      <c r="X236" s="576"/>
      <c r="Y236" s="3">
        <f t="shared" si="9"/>
        <v>227</v>
      </c>
      <c r="AA236" s="521">
        <v>0</v>
      </c>
      <c r="AC236" s="521" t="str">
        <f t="shared" si="10"/>
        <v/>
      </c>
      <c r="AE236" s="42" t="str">
        <f t="shared" si="11"/>
        <v/>
      </c>
      <c r="AG236" s="162"/>
      <c r="AH236" s="1"/>
      <c r="AI236" t="s">
        <v>416</v>
      </c>
      <c r="AJ236" s="10"/>
    </row>
    <row r="237" spans="1:36">
      <c r="A237" s="136"/>
      <c r="B237" s="14"/>
      <c r="C237" s="15"/>
      <c r="D237" s="47"/>
      <c r="E237" s="7">
        <f>+G237-Adjustments!G237</f>
        <v>0</v>
      </c>
      <c r="F237" s="7"/>
      <c r="G237" s="7"/>
      <c r="H237" s="7"/>
      <c r="I237" s="7"/>
      <c r="J237" s="7">
        <f>+I237-'ROR-Model'!I237</f>
        <v>0</v>
      </c>
      <c r="K237" s="7"/>
      <c r="L237" s="7"/>
      <c r="M237" s="7"/>
      <c r="N237" s="7"/>
      <c r="O237" s="120"/>
      <c r="P237" s="126"/>
      <c r="Q237" s="7"/>
      <c r="R237" s="7"/>
      <c r="S237" s="126"/>
      <c r="T237" s="7"/>
      <c r="U237" s="7"/>
      <c r="V237" s="124"/>
      <c r="W237" s="7"/>
      <c r="X237" s="139"/>
      <c r="Y237" s="3">
        <f t="shared" si="9"/>
        <v>228</v>
      </c>
      <c r="AA237" s="7"/>
      <c r="AC237" s="7" t="str">
        <f t="shared" si="10"/>
        <v/>
      </c>
      <c r="AE237" s="42" t="str">
        <f t="shared" si="11"/>
        <v/>
      </c>
      <c r="AG237" s="162"/>
      <c r="AH237" s="1"/>
      <c r="AI237" s="1"/>
      <c r="AJ237" s="10"/>
    </row>
    <row r="238" spans="1:36">
      <c r="A238" s="116" t="s">
        <v>23</v>
      </c>
      <c r="B238" s="14"/>
      <c r="C238" s="15"/>
      <c r="D238" s="47"/>
      <c r="E238" s="7">
        <f>+G238-Adjustments!G238</f>
        <v>0</v>
      </c>
      <c r="F238" s="7"/>
      <c r="G238" s="7"/>
      <c r="H238" s="7"/>
      <c r="I238" s="7"/>
      <c r="J238" s="7">
        <f>+I238-'ROR-Model'!I238</f>
        <v>0</v>
      </c>
      <c r="K238" s="7"/>
      <c r="L238" s="7"/>
      <c r="M238" s="7"/>
      <c r="N238" s="7"/>
      <c r="O238" s="120"/>
      <c r="P238" s="126"/>
      <c r="Q238" s="7"/>
      <c r="R238" s="7"/>
      <c r="S238" s="126"/>
      <c r="T238" s="7"/>
      <c r="U238" s="7"/>
      <c r="V238" s="124"/>
      <c r="W238" s="7"/>
      <c r="X238" s="139"/>
      <c r="Y238" s="3">
        <f t="shared" si="9"/>
        <v>229</v>
      </c>
      <c r="AA238" s="7"/>
      <c r="AC238" s="7" t="str">
        <f t="shared" si="10"/>
        <v/>
      </c>
      <c r="AE238" s="42" t="str">
        <f t="shared" si="11"/>
        <v/>
      </c>
      <c r="AG238" s="162" t="s">
        <v>23</v>
      </c>
      <c r="AH238" s="1"/>
      <c r="AI238" s="1"/>
      <c r="AJ238" s="10"/>
    </row>
    <row r="239" spans="1:36">
      <c r="A239" s="136"/>
      <c r="B239" s="58" t="s">
        <v>13</v>
      </c>
      <c r="C239" s="58" t="s">
        <v>14</v>
      </c>
      <c r="D239" s="47"/>
      <c r="E239" s="7">
        <f>+G239-Adjustments!G239</f>
        <v>0</v>
      </c>
      <c r="F239" s="7">
        <f>Revenue!$F$238</f>
        <v>13042442.240000002</v>
      </c>
      <c r="G239" s="7">
        <f>+Adjustments!V239</f>
        <v>0</v>
      </c>
      <c r="H239" s="7"/>
      <c r="I239" s="7">
        <f>SUM($F$239:$H$239)</f>
        <v>13042442.240000002</v>
      </c>
      <c r="J239" s="7">
        <f>+I239-'ROR-Model'!I239</f>
        <v>0</v>
      </c>
      <c r="K239" s="7"/>
      <c r="L239" s="7" t="s">
        <v>23</v>
      </c>
      <c r="M239" s="7">
        <f>VLOOKUP($L239,$L$2:$N$7,2,FALSE)*I239</f>
        <v>0</v>
      </c>
      <c r="N239" s="7">
        <f>VLOOKUP($L239,$L$2:$N$7,3,FALSE)*I239</f>
        <v>13042442.240000002</v>
      </c>
      <c r="O239" s="120"/>
      <c r="P239" s="126" t="s">
        <v>510</v>
      </c>
      <c r="Q239" s="7">
        <f>IF(P239="G",M239,IF(P239="PT",0,ERR))</f>
        <v>0</v>
      </c>
      <c r="R239" s="7">
        <f>IF(P239="PT",M239,IF(P239="G",0,ERR))</f>
        <v>0</v>
      </c>
      <c r="S239" s="126" t="s">
        <v>510</v>
      </c>
      <c r="T239" s="7">
        <f>IF(S239="G",N239,IF(S239="PT",0,ERR))</f>
        <v>13042442.240000002</v>
      </c>
      <c r="U239" s="7">
        <f>IF(S239="PT",N239,IF(S239="G",0,ERR))</f>
        <v>0</v>
      </c>
      <c r="V239" s="124"/>
      <c r="W239" s="7">
        <f>HLOOKUP($W$9,'ROR-Model'!$Q$10:$U$1273,Y239)</f>
        <v>0</v>
      </c>
      <c r="X239" s="139"/>
      <c r="Y239" s="3">
        <f t="shared" si="9"/>
        <v>230</v>
      </c>
      <c r="AA239" s="7">
        <v>0</v>
      </c>
      <c r="AC239" s="7" t="str">
        <f t="shared" si="10"/>
        <v/>
      </c>
      <c r="AE239" s="42" t="str">
        <f t="shared" si="11"/>
        <v/>
      </c>
      <c r="AG239" s="162"/>
      <c r="AH239" s="1" t="s">
        <v>13</v>
      </c>
      <c r="AI239" s="1" t="s">
        <v>14</v>
      </c>
      <c r="AJ239" s="10"/>
    </row>
    <row r="240" spans="1:36">
      <c r="A240" s="136"/>
      <c r="B240" s="32"/>
      <c r="C240" s="32"/>
      <c r="D240" s="47"/>
      <c r="E240" s="7">
        <f>+G240-Adjustments!G240</f>
        <v>0</v>
      </c>
      <c r="F240" s="7"/>
      <c r="G240" s="7"/>
      <c r="H240" s="7"/>
      <c r="I240" s="7"/>
      <c r="J240" s="7">
        <f>+I240-'ROR-Model'!I240</f>
        <v>0</v>
      </c>
      <c r="K240" s="7"/>
      <c r="L240" s="7"/>
      <c r="M240" s="7"/>
      <c r="N240" s="7"/>
      <c r="O240" s="120"/>
      <c r="P240" s="126"/>
      <c r="Q240" s="7"/>
      <c r="R240" s="7"/>
      <c r="S240" s="126"/>
      <c r="T240" s="7"/>
      <c r="U240" s="7"/>
      <c r="V240" s="124"/>
      <c r="W240" s="7"/>
      <c r="X240" s="139"/>
      <c r="Y240" s="3">
        <f t="shared" si="9"/>
        <v>231</v>
      </c>
      <c r="AA240" s="7"/>
      <c r="AC240" s="7" t="str">
        <f t="shared" si="10"/>
        <v/>
      </c>
      <c r="AE240" s="42" t="str">
        <f t="shared" si="11"/>
        <v/>
      </c>
      <c r="AG240" s="162"/>
      <c r="AJ240" s="10"/>
    </row>
    <row r="241" spans="1:36">
      <c r="A241" s="136"/>
      <c r="B241" s="32"/>
      <c r="C241" s="32"/>
      <c r="D241" s="47"/>
      <c r="E241" s="7">
        <f>+G241-Adjustments!G241</f>
        <v>0</v>
      </c>
      <c r="F241" s="7"/>
      <c r="G241" s="7">
        <f>+Adjustments!V241</f>
        <v>0</v>
      </c>
      <c r="H241" s="7"/>
      <c r="I241" s="7">
        <f>SUM($F$241:$H$241)</f>
        <v>0</v>
      </c>
      <c r="J241" s="7">
        <f>+I241-'ROR-Model'!I241</f>
        <v>0</v>
      </c>
      <c r="K241" s="7"/>
      <c r="L241" s="7" t="s">
        <v>23</v>
      </c>
      <c r="M241" s="7">
        <f>VLOOKUP($L241,$L$2:$N$7,2,FALSE)*I241</f>
        <v>0</v>
      </c>
      <c r="N241" s="7">
        <f>VLOOKUP($L241,$L$2:$N$7,3,FALSE)*I241</f>
        <v>0</v>
      </c>
      <c r="O241" s="120"/>
      <c r="P241" s="126"/>
      <c r="Q241" s="7"/>
      <c r="R241" s="7"/>
      <c r="S241" s="126"/>
      <c r="T241" s="7"/>
      <c r="U241" s="7"/>
      <c r="V241" s="124"/>
      <c r="W241" s="7"/>
      <c r="X241" s="139"/>
      <c r="Y241" s="3">
        <f t="shared" si="9"/>
        <v>232</v>
      </c>
      <c r="AA241" s="7"/>
      <c r="AC241" s="7" t="str">
        <f t="shared" si="10"/>
        <v/>
      </c>
      <c r="AE241" s="42" t="str">
        <f t="shared" si="11"/>
        <v/>
      </c>
      <c r="AG241" s="162"/>
      <c r="AJ241" s="10"/>
    </row>
    <row r="242" spans="1:36">
      <c r="A242" s="136"/>
      <c r="B242" s="32"/>
      <c r="C242" s="32"/>
      <c r="D242" s="47"/>
      <c r="E242" s="7">
        <f>+G242-Adjustments!G242</f>
        <v>0</v>
      </c>
      <c r="F242" s="7"/>
      <c r="G242" s="7"/>
      <c r="H242" s="7"/>
      <c r="I242" s="7"/>
      <c r="J242" s="7">
        <f>+I242-'ROR-Model'!I242</f>
        <v>0</v>
      </c>
      <c r="K242" s="7"/>
      <c r="L242" s="7"/>
      <c r="M242" s="7"/>
      <c r="N242" s="7"/>
      <c r="O242" s="120"/>
      <c r="P242" s="126"/>
      <c r="Q242" s="7"/>
      <c r="R242" s="7"/>
      <c r="S242" s="126"/>
      <c r="T242" s="7"/>
      <c r="U242" s="7"/>
      <c r="V242" s="124"/>
      <c r="W242" s="7"/>
      <c r="X242" s="139"/>
      <c r="Y242" s="3">
        <f t="shared" si="9"/>
        <v>233</v>
      </c>
      <c r="AA242" s="7"/>
      <c r="AC242" s="7" t="str">
        <f t="shared" si="10"/>
        <v/>
      </c>
      <c r="AE242" s="42" t="str">
        <f t="shared" si="11"/>
        <v/>
      </c>
      <c r="AG242" s="162"/>
      <c r="AJ242" s="10"/>
    </row>
    <row r="243" spans="1:36">
      <c r="A243" s="136"/>
      <c r="B243" s="58"/>
      <c r="C243" s="58" t="s">
        <v>16</v>
      </c>
      <c r="D243" s="47"/>
      <c r="E243" s="7">
        <f>+G243-Adjustments!G243</f>
        <v>0</v>
      </c>
      <c r="F243" s="7">
        <f>Revenue!$F$242</f>
        <v>30259333.300000004</v>
      </c>
      <c r="G243" s="7">
        <f>+Adjustments!V243</f>
        <v>0</v>
      </c>
      <c r="H243" s="7"/>
      <c r="I243" s="7">
        <f>SUM($F$243:$H$243)</f>
        <v>30259333.300000004</v>
      </c>
      <c r="J243" s="7">
        <f>+I243-'ROR-Model'!I243</f>
        <v>0</v>
      </c>
      <c r="K243" s="7"/>
      <c r="L243" s="7" t="s">
        <v>23</v>
      </c>
      <c r="M243" s="7">
        <f>VLOOKUP($L243,$L$2:$N$7,2,FALSE)*I243</f>
        <v>0</v>
      </c>
      <c r="N243" s="7">
        <f>VLOOKUP($L243,$L$2:$N$7,3,FALSE)*I243</f>
        <v>30259333.300000004</v>
      </c>
      <c r="O243" s="120"/>
      <c r="P243" s="126" t="s">
        <v>509</v>
      </c>
      <c r="Q243" s="7">
        <f>IF(P243="G",M243,IF(P243="PT",0,ERR))</f>
        <v>0</v>
      </c>
      <c r="R243" s="7">
        <f>IF(P243="PT",M243,IF(P243="G",0,ERR))</f>
        <v>0</v>
      </c>
      <c r="S243" s="126" t="s">
        <v>509</v>
      </c>
      <c r="T243" s="7">
        <f>IF(S243="G",N243,IF(S243="PT",0,ERR))</f>
        <v>0</v>
      </c>
      <c r="U243" s="7">
        <f>IF(S243="PT",N243,IF(S243="G",0,ERR))</f>
        <v>30259333.300000004</v>
      </c>
      <c r="V243" s="124"/>
      <c r="W243" s="7">
        <f>HLOOKUP($W$9,'ROR-Model'!$Q$10:$U$1273,Y243)</f>
        <v>0</v>
      </c>
      <c r="X243" s="139"/>
      <c r="Y243" s="3">
        <f t="shared" si="9"/>
        <v>234</v>
      </c>
      <c r="AA243" s="7">
        <v>0</v>
      </c>
      <c r="AC243" s="7" t="str">
        <f t="shared" si="10"/>
        <v/>
      </c>
      <c r="AE243" s="42" t="str">
        <f t="shared" si="11"/>
        <v/>
      </c>
      <c r="AG243" s="162"/>
      <c r="AH243" s="1"/>
      <c r="AI243" s="1" t="s">
        <v>16</v>
      </c>
      <c r="AJ243" s="10"/>
    </row>
    <row r="244" spans="1:36">
      <c r="A244" s="136"/>
      <c r="B244" s="58"/>
      <c r="C244" s="58" t="s">
        <v>17</v>
      </c>
      <c r="D244" s="47"/>
      <c r="E244" s="140">
        <f>+G244-Adjustments!G244</f>
        <v>0</v>
      </c>
      <c r="F244" s="140">
        <f>SUM(F239:F243)</f>
        <v>43301775.540000007</v>
      </c>
      <c r="G244" s="140">
        <f>SUM(G239:G243)</f>
        <v>0</v>
      </c>
      <c r="H244" s="140">
        <f>SUM(H239:H243)</f>
        <v>0</v>
      </c>
      <c r="I244" s="140">
        <f>SUM(I239:I243)</f>
        <v>43301775.540000007</v>
      </c>
      <c r="J244" s="7">
        <f>+I244-'ROR-Model'!I244</f>
        <v>0</v>
      </c>
      <c r="K244" s="7"/>
      <c r="L244" s="140"/>
      <c r="M244" s="140">
        <f>SUM(M239:M243)</f>
        <v>0</v>
      </c>
      <c r="N244" s="140">
        <f>SUM(N239:N243)</f>
        <v>43301775.540000007</v>
      </c>
      <c r="O244" s="120"/>
      <c r="P244" s="201"/>
      <c r="Q244" s="140">
        <f>SUM(Q239:Q243)</f>
        <v>0</v>
      </c>
      <c r="R244" s="140">
        <f>SUM(R239:R243)</f>
        <v>0</v>
      </c>
      <c r="S244" s="201"/>
      <c r="T244" s="140">
        <f>SUM(T239:T243)</f>
        <v>13042442.240000002</v>
      </c>
      <c r="U244" s="140">
        <f>SUM(U239:U243)</f>
        <v>30259333.300000004</v>
      </c>
      <c r="V244" s="124"/>
      <c r="W244" s="140">
        <f>HLOOKUP($W$9,'ROR-Model'!$Q$10:$U$1273,Y244)</f>
        <v>0</v>
      </c>
      <c r="X244" s="139"/>
      <c r="Y244" s="3">
        <f t="shared" si="9"/>
        <v>235</v>
      </c>
      <c r="AA244" s="140">
        <v>0</v>
      </c>
      <c r="AC244" s="140" t="str">
        <f t="shared" si="10"/>
        <v/>
      </c>
      <c r="AE244" s="42" t="str">
        <f t="shared" si="11"/>
        <v/>
      </c>
      <c r="AG244" s="162"/>
      <c r="AH244" s="1"/>
      <c r="AI244" s="1" t="s">
        <v>17</v>
      </c>
      <c r="AJ244" s="10"/>
    </row>
    <row r="245" spans="1:36">
      <c r="A245" s="136"/>
      <c r="B245" s="58"/>
      <c r="C245" s="58"/>
      <c r="D245" s="47"/>
      <c r="E245" s="7">
        <f>+G245-Adjustments!G245</f>
        <v>0</v>
      </c>
      <c r="F245" s="7"/>
      <c r="G245" s="7"/>
      <c r="H245" s="7"/>
      <c r="I245" s="7"/>
      <c r="J245" s="7">
        <f>+I245-'ROR-Model'!I245</f>
        <v>0</v>
      </c>
      <c r="K245" s="7"/>
      <c r="L245" s="7"/>
      <c r="M245" s="7"/>
      <c r="N245" s="7"/>
      <c r="O245" s="120"/>
      <c r="P245" s="126"/>
      <c r="Q245" s="7"/>
      <c r="R245" s="7"/>
      <c r="S245" s="126"/>
      <c r="T245" s="7"/>
      <c r="U245" s="7"/>
      <c r="V245" s="124"/>
      <c r="W245" s="7"/>
      <c r="X245" s="139"/>
      <c r="Y245" s="3">
        <f t="shared" si="9"/>
        <v>236</v>
      </c>
      <c r="AA245" s="7"/>
      <c r="AC245" s="7" t="str">
        <f t="shared" si="10"/>
        <v/>
      </c>
      <c r="AE245" s="42" t="str">
        <f t="shared" si="11"/>
        <v/>
      </c>
      <c r="AG245" s="162"/>
      <c r="AH245" s="1"/>
      <c r="AI245" s="1"/>
      <c r="AJ245" s="10"/>
    </row>
    <row r="246" spans="1:36">
      <c r="A246" s="136"/>
      <c r="B246" s="58"/>
      <c r="C246" s="58" t="s">
        <v>18</v>
      </c>
      <c r="D246" s="47"/>
      <c r="E246" s="7">
        <f>+G246-Adjustments!G246</f>
        <v>0</v>
      </c>
      <c r="F246" s="7">
        <f>Revenue!$F$245</f>
        <v>3819211.71</v>
      </c>
      <c r="G246" s="7">
        <f>+Adjustments!V246</f>
        <v>0</v>
      </c>
      <c r="H246" s="7"/>
      <c r="I246" s="7">
        <f>SUM($F$246:$H$246)</f>
        <v>3819211.71</v>
      </c>
      <c r="J246" s="7">
        <f>+I246-'ROR-Model'!I246</f>
        <v>0</v>
      </c>
      <c r="K246" s="7"/>
      <c r="L246" s="7" t="s">
        <v>23</v>
      </c>
      <c r="M246" s="7">
        <f>VLOOKUP($L246,$L$2:$N$7,2,FALSE)*I246</f>
        <v>0</v>
      </c>
      <c r="N246" s="7">
        <f>VLOOKUP($L246,$L$2:$N$7,3,FALSE)*I246</f>
        <v>3819211.71</v>
      </c>
      <c r="O246" s="120"/>
      <c r="P246" s="126" t="s">
        <v>510</v>
      </c>
      <c r="Q246" s="7">
        <f>IF(P246="G",M246,IF(P246="PT",0,ERR))</f>
        <v>0</v>
      </c>
      <c r="R246" s="7">
        <f>IF(P246="PT",M246,IF(P246="G",0,ERR))</f>
        <v>0</v>
      </c>
      <c r="S246" s="126" t="s">
        <v>510</v>
      </c>
      <c r="T246" s="7">
        <f>IF(S246="G",N246,IF(S246="PT",0,ERR))</f>
        <v>3819211.71</v>
      </c>
      <c r="U246" s="7">
        <f>IF(S246="PT",N246,IF(S246="G",0,ERR))</f>
        <v>0</v>
      </c>
      <c r="V246" s="124"/>
      <c r="W246" s="7">
        <f>HLOOKUP($W$9,'ROR-Model'!$Q$10:$U$1273,Y246)</f>
        <v>0</v>
      </c>
      <c r="X246" s="139"/>
      <c r="Y246" s="3">
        <f t="shared" si="9"/>
        <v>237</v>
      </c>
      <c r="AA246" s="7">
        <v>0</v>
      </c>
      <c r="AC246" s="7" t="str">
        <f t="shared" si="10"/>
        <v/>
      </c>
      <c r="AE246" s="42" t="str">
        <f t="shared" si="11"/>
        <v/>
      </c>
      <c r="AG246" s="162"/>
      <c r="AH246" s="1"/>
      <c r="AI246" s="1" t="s">
        <v>18</v>
      </c>
      <c r="AJ246" s="10"/>
    </row>
    <row r="247" spans="1:36">
      <c r="A247" s="136"/>
      <c r="B247" s="32"/>
      <c r="C247" s="32"/>
      <c r="D247" s="47"/>
      <c r="E247" s="7">
        <f>+G247-Adjustments!G247</f>
        <v>0</v>
      </c>
      <c r="F247" s="7"/>
      <c r="G247" s="7"/>
      <c r="H247" s="7"/>
      <c r="I247" s="7"/>
      <c r="J247" s="7">
        <f>+I247-'ROR-Model'!I247</f>
        <v>0</v>
      </c>
      <c r="K247" s="7"/>
      <c r="L247" s="7"/>
      <c r="M247" s="7"/>
      <c r="N247" s="7"/>
      <c r="O247" s="120"/>
      <c r="P247" s="126"/>
      <c r="Q247" s="7"/>
      <c r="R247" s="7"/>
      <c r="S247" s="126"/>
      <c r="T247" s="7"/>
      <c r="U247" s="7"/>
      <c r="V247" s="124"/>
      <c r="W247" s="7"/>
      <c r="X247" s="139"/>
      <c r="Y247" s="3">
        <f t="shared" si="9"/>
        <v>238</v>
      </c>
      <c r="AA247" s="7"/>
      <c r="AC247" s="7" t="str">
        <f t="shared" si="10"/>
        <v/>
      </c>
      <c r="AE247" s="42" t="str">
        <f t="shared" si="11"/>
        <v/>
      </c>
      <c r="AG247" s="162"/>
      <c r="AJ247" s="10"/>
    </row>
    <row r="248" spans="1:36">
      <c r="A248" s="136"/>
      <c r="B248" s="58" t="s">
        <v>745</v>
      </c>
      <c r="C248" s="58" t="s">
        <v>14</v>
      </c>
      <c r="D248" s="47"/>
      <c r="E248" s="7">
        <f>+G248-Adjustments!G248</f>
        <v>0</v>
      </c>
      <c r="F248" s="7">
        <f>Revenue!$F$247</f>
        <v>289555.15999999997</v>
      </c>
      <c r="G248" s="7">
        <f>+Adjustments!V248</f>
        <v>0</v>
      </c>
      <c r="H248" s="7"/>
      <c r="I248" s="7">
        <f>SUM($F$248:$H$248)</f>
        <v>289555.15999999997</v>
      </c>
      <c r="J248" s="7">
        <f>+I248-'ROR-Model'!I248</f>
        <v>0</v>
      </c>
      <c r="K248" s="7"/>
      <c r="L248" s="7" t="s">
        <v>23</v>
      </c>
      <c r="M248" s="7">
        <f>VLOOKUP($L248,$L$2:$N$7,2,FALSE)*I248</f>
        <v>0</v>
      </c>
      <c r="N248" s="7">
        <f>VLOOKUP($L248,$L$2:$N$7,3,FALSE)*I248</f>
        <v>289555.15999999997</v>
      </c>
      <c r="O248" s="120"/>
      <c r="P248" s="126" t="s">
        <v>510</v>
      </c>
      <c r="Q248" s="7">
        <f>IF(P248="G",M248,IF(P248="PT",0,ERR))</f>
        <v>0</v>
      </c>
      <c r="R248" s="7">
        <f>IF(P248="PT",M248,IF(P248="G",0,ERR))</f>
        <v>0</v>
      </c>
      <c r="S248" s="126" t="s">
        <v>510</v>
      </c>
      <c r="T248" s="7">
        <f>IF(S248="G",N248,IF(S248="PT",0,ERR))</f>
        <v>289555.15999999997</v>
      </c>
      <c r="U248" s="7">
        <f>IF(S248="PT",N248,IF(S248="G",0,ERR))</f>
        <v>0</v>
      </c>
      <c r="V248" s="124"/>
      <c r="W248" s="7">
        <f>HLOOKUP($W$9,'ROR-Model'!$Q$10:$U$1273,Y248)</f>
        <v>0</v>
      </c>
      <c r="X248" s="139"/>
      <c r="Y248" s="3">
        <f t="shared" si="9"/>
        <v>239</v>
      </c>
      <c r="AA248" s="7">
        <v>0</v>
      </c>
      <c r="AC248" s="7" t="str">
        <f t="shared" si="10"/>
        <v/>
      </c>
      <c r="AE248" s="42" t="str">
        <f t="shared" si="11"/>
        <v/>
      </c>
      <c r="AG248" s="162"/>
      <c r="AH248" s="1" t="s">
        <v>745</v>
      </c>
      <c r="AI248" s="1" t="s">
        <v>14</v>
      </c>
      <c r="AJ248" s="10"/>
    </row>
    <row r="249" spans="1:36">
      <c r="A249" s="136"/>
      <c r="B249" s="58"/>
      <c r="C249" s="58"/>
      <c r="D249" s="47"/>
      <c r="E249" s="7">
        <f>+G249-Adjustments!G249</f>
        <v>0</v>
      </c>
      <c r="F249" s="7"/>
      <c r="G249" s="7"/>
      <c r="H249" s="7"/>
      <c r="I249" s="7"/>
      <c r="J249" s="7">
        <f>+I249-'ROR-Model'!I249</f>
        <v>0</v>
      </c>
      <c r="K249" s="7"/>
      <c r="L249" s="7"/>
      <c r="M249" s="7"/>
      <c r="N249" s="7"/>
      <c r="O249" s="120"/>
      <c r="P249" s="126"/>
      <c r="Q249" s="7"/>
      <c r="R249" s="7"/>
      <c r="S249" s="126"/>
      <c r="T249" s="7"/>
      <c r="U249" s="7"/>
      <c r="V249" s="124"/>
      <c r="W249" s="7"/>
      <c r="X249" s="139"/>
      <c r="Y249" s="3">
        <f t="shared" si="9"/>
        <v>240</v>
      </c>
      <c r="AA249" s="7"/>
      <c r="AC249" s="7" t="str">
        <f t="shared" si="10"/>
        <v/>
      </c>
      <c r="AE249" s="42" t="str">
        <f t="shared" si="11"/>
        <v/>
      </c>
      <c r="AG249" s="162"/>
      <c r="AH249" s="1"/>
      <c r="AI249" s="1"/>
      <c r="AJ249" s="10"/>
    </row>
    <row r="250" spans="1:36">
      <c r="A250" s="136"/>
      <c r="B250" s="58"/>
      <c r="C250" s="58"/>
      <c r="D250" s="47"/>
      <c r="E250" s="7">
        <f>+G250-Adjustments!G250</f>
        <v>0</v>
      </c>
      <c r="F250" s="7"/>
      <c r="G250" s="7">
        <f>+Adjustments!V250</f>
        <v>0</v>
      </c>
      <c r="H250" s="7"/>
      <c r="I250" s="7">
        <f>SUM($F$250:$H$250)</f>
        <v>0</v>
      </c>
      <c r="J250" s="7">
        <f>+I250-'ROR-Model'!I250</f>
        <v>0</v>
      </c>
      <c r="K250" s="7"/>
      <c r="L250" s="7" t="s">
        <v>23</v>
      </c>
      <c r="M250" s="7">
        <f>VLOOKUP($L250,$L$2:$N$7,2,FALSE)*I250</f>
        <v>0</v>
      </c>
      <c r="N250" s="7">
        <f>VLOOKUP($L250,$L$2:$N$7,3,FALSE)*I250</f>
        <v>0</v>
      </c>
      <c r="O250" s="120"/>
      <c r="P250" s="126"/>
      <c r="Q250" s="7"/>
      <c r="R250" s="7"/>
      <c r="S250" s="126"/>
      <c r="T250" s="7"/>
      <c r="U250" s="7"/>
      <c r="V250" s="124"/>
      <c r="W250" s="7"/>
      <c r="X250" s="139"/>
      <c r="Y250" s="3">
        <f t="shared" si="9"/>
        <v>241</v>
      </c>
      <c r="AA250" s="7"/>
      <c r="AC250" s="7" t="str">
        <f t="shared" si="10"/>
        <v/>
      </c>
      <c r="AE250" s="42" t="str">
        <f t="shared" si="11"/>
        <v/>
      </c>
      <c r="AG250" s="162"/>
      <c r="AH250" s="1"/>
      <c r="AI250" s="1"/>
      <c r="AJ250" s="10"/>
    </row>
    <row r="251" spans="1:36">
      <c r="A251" s="136"/>
      <c r="B251" s="32"/>
      <c r="C251" s="32"/>
      <c r="D251" s="47"/>
      <c r="E251" s="7">
        <f>+G251-Adjustments!G251</f>
        <v>0</v>
      </c>
      <c r="F251" s="7"/>
      <c r="G251" s="7"/>
      <c r="H251" s="7"/>
      <c r="I251" s="7"/>
      <c r="J251" s="7">
        <f>+I251-'ROR-Model'!I251</f>
        <v>0</v>
      </c>
      <c r="K251" s="7"/>
      <c r="L251" s="7"/>
      <c r="M251" s="7"/>
      <c r="N251" s="7"/>
      <c r="O251" s="120"/>
      <c r="P251" s="126"/>
      <c r="Q251" s="7"/>
      <c r="R251" s="7"/>
      <c r="S251" s="126"/>
      <c r="T251" s="7"/>
      <c r="U251" s="7"/>
      <c r="V251" s="124"/>
      <c r="W251" s="7"/>
      <c r="X251" s="139"/>
      <c r="Y251" s="3">
        <f t="shared" si="9"/>
        <v>242</v>
      </c>
      <c r="AA251" s="7"/>
      <c r="AC251" s="7" t="str">
        <f t="shared" si="10"/>
        <v/>
      </c>
      <c r="AE251" s="42" t="str">
        <f t="shared" si="11"/>
        <v/>
      </c>
      <c r="AG251" s="162"/>
      <c r="AJ251" s="10"/>
    </row>
    <row r="252" spans="1:36">
      <c r="A252" s="136"/>
      <c r="B252" s="58"/>
      <c r="C252" s="58" t="s">
        <v>16</v>
      </c>
      <c r="D252" s="47"/>
      <c r="E252" s="7">
        <f>+G252-Adjustments!G252</f>
        <v>0</v>
      </c>
      <c r="F252" s="7">
        <f>Revenue!$F$251</f>
        <v>1755859.54</v>
      </c>
      <c r="G252" s="7">
        <f>+Adjustments!V252</f>
        <v>0</v>
      </c>
      <c r="H252" s="7"/>
      <c r="I252" s="7">
        <f>SUM($F$252:$H$252)</f>
        <v>1755859.54</v>
      </c>
      <c r="J252" s="7">
        <f>+I252-'ROR-Model'!I252</f>
        <v>0</v>
      </c>
      <c r="K252" s="7"/>
      <c r="L252" s="7" t="s">
        <v>23</v>
      </c>
      <c r="M252" s="7">
        <f>VLOOKUP($L252,$L$2:$N$7,2,FALSE)*I252</f>
        <v>0</v>
      </c>
      <c r="N252" s="7">
        <f>VLOOKUP($L252,$L$2:$N$7,3,FALSE)*I252</f>
        <v>1755859.54</v>
      </c>
      <c r="O252" s="120"/>
      <c r="P252" s="126" t="s">
        <v>509</v>
      </c>
      <c r="Q252" s="7">
        <f>IF(P252="G",M252,IF(P252="PT",0,ERR))</f>
        <v>0</v>
      </c>
      <c r="R252" s="7">
        <f>IF(P252="PT",M252,IF(P252="G",0,ERR))</f>
        <v>0</v>
      </c>
      <c r="S252" s="126" t="s">
        <v>509</v>
      </c>
      <c r="T252" s="7">
        <f>IF(S252="G",N252,IF(S252="PT",0,ERR))</f>
        <v>0</v>
      </c>
      <c r="U252" s="7">
        <f>IF(S252="PT",N252,IF(S252="G",0,ERR))</f>
        <v>1755859.54</v>
      </c>
      <c r="V252" s="124"/>
      <c r="W252" s="7">
        <f>HLOOKUP($W$9,'ROR-Model'!$Q$10:$U$1273,Y252)</f>
        <v>0</v>
      </c>
      <c r="X252" s="139"/>
      <c r="Y252" s="3">
        <f t="shared" si="9"/>
        <v>243</v>
      </c>
      <c r="AA252" s="7">
        <v>0</v>
      </c>
      <c r="AC252" s="7" t="str">
        <f t="shared" si="10"/>
        <v/>
      </c>
      <c r="AE252" s="42" t="str">
        <f t="shared" si="11"/>
        <v/>
      </c>
      <c r="AG252" s="162"/>
      <c r="AH252" s="1"/>
      <c r="AI252" s="1" t="s">
        <v>16</v>
      </c>
      <c r="AJ252" s="10"/>
    </row>
    <row r="253" spans="1:36">
      <c r="A253" s="136"/>
      <c r="B253" s="58"/>
      <c r="C253" s="58" t="s">
        <v>17</v>
      </c>
      <c r="D253" s="47"/>
      <c r="E253" s="140">
        <f>+G253-Adjustments!G253</f>
        <v>0</v>
      </c>
      <c r="F253" s="140">
        <f>SUM(F248:F252)</f>
        <v>2045414.7</v>
      </c>
      <c r="G253" s="140">
        <f>SUM(G248:G252)</f>
        <v>0</v>
      </c>
      <c r="H253" s="140">
        <f>SUM(H248:H252)</f>
        <v>0</v>
      </c>
      <c r="I253" s="140">
        <f>SUM(I248:I252)</f>
        <v>2045414.7</v>
      </c>
      <c r="J253" s="7">
        <f>+I253-'ROR-Model'!I253</f>
        <v>0</v>
      </c>
      <c r="K253" s="7"/>
      <c r="L253" s="140"/>
      <c r="M253" s="140">
        <f>SUM(M248:M252)</f>
        <v>0</v>
      </c>
      <c r="N253" s="140">
        <f>SUM(N248:N252)</f>
        <v>2045414.7</v>
      </c>
      <c r="O253" s="120"/>
      <c r="P253" s="201"/>
      <c r="Q253" s="140">
        <f>SUM(Q248:Q252)</f>
        <v>0</v>
      </c>
      <c r="R253" s="140">
        <f>SUM(R248:R252)</f>
        <v>0</v>
      </c>
      <c r="S253" s="201"/>
      <c r="T253" s="140">
        <f>SUM(T248:T252)</f>
        <v>289555.15999999997</v>
      </c>
      <c r="U253" s="140">
        <f>SUM(U248:U252)</f>
        <v>1755859.54</v>
      </c>
      <c r="V253" s="124"/>
      <c r="W253" s="140">
        <f>HLOOKUP($W$9,'ROR-Model'!$Q$10:$U$1273,Y253)</f>
        <v>0</v>
      </c>
      <c r="X253" s="139"/>
      <c r="Y253" s="3">
        <f t="shared" si="9"/>
        <v>244</v>
      </c>
      <c r="AA253" s="140">
        <v>0</v>
      </c>
      <c r="AC253" s="140" t="str">
        <f t="shared" si="10"/>
        <v/>
      </c>
      <c r="AE253" s="42" t="str">
        <f t="shared" si="11"/>
        <v/>
      </c>
      <c r="AG253" s="162"/>
      <c r="AH253" s="1"/>
      <c r="AI253" s="1" t="s">
        <v>17</v>
      </c>
      <c r="AJ253" s="10"/>
    </row>
    <row r="254" spans="1:36">
      <c r="A254" s="136"/>
      <c r="B254" s="58"/>
      <c r="C254" s="58"/>
      <c r="D254" s="47"/>
      <c r="E254" s="7">
        <f>+G254-Adjustments!G254</f>
        <v>0</v>
      </c>
      <c r="F254" s="7"/>
      <c r="G254" s="7"/>
      <c r="H254" s="7"/>
      <c r="I254" s="7"/>
      <c r="J254" s="7">
        <f>+I254-'ROR-Model'!I254</f>
        <v>0</v>
      </c>
      <c r="K254" s="7"/>
      <c r="L254" s="7"/>
      <c r="M254" s="7"/>
      <c r="N254" s="7"/>
      <c r="O254" s="120"/>
      <c r="P254" s="126"/>
      <c r="Q254" s="7"/>
      <c r="R254" s="7"/>
      <c r="S254" s="126"/>
      <c r="T254" s="7"/>
      <c r="U254" s="7"/>
      <c r="V254" s="124"/>
      <c r="W254" s="7"/>
      <c r="X254" s="139"/>
      <c r="Y254" s="3">
        <f t="shared" si="9"/>
        <v>245</v>
      </c>
      <c r="AA254" s="7"/>
      <c r="AC254" s="7" t="str">
        <f t="shared" si="10"/>
        <v/>
      </c>
      <c r="AE254" s="42" t="str">
        <f t="shared" si="11"/>
        <v/>
      </c>
      <c r="AG254" s="162"/>
      <c r="AH254" s="1"/>
      <c r="AI254" s="1"/>
      <c r="AJ254" s="10"/>
    </row>
    <row r="255" spans="1:36">
      <c r="A255" s="136"/>
      <c r="B255" s="58"/>
      <c r="C255" s="58" t="s">
        <v>18</v>
      </c>
      <c r="D255" s="47"/>
      <c r="E255" s="7">
        <f>+G255-Adjustments!G255</f>
        <v>0</v>
      </c>
      <c r="F255" s="7">
        <f>Revenue!$F$254</f>
        <v>224812.68399999998</v>
      </c>
      <c r="G255" s="7">
        <f>+Adjustments!V255</f>
        <v>0</v>
      </c>
      <c r="H255" s="7"/>
      <c r="I255" s="7">
        <f>SUM($F$255:$H$255)</f>
        <v>224812.68399999998</v>
      </c>
      <c r="J255" s="7">
        <f>+I255-'ROR-Model'!I255</f>
        <v>0</v>
      </c>
      <c r="K255" s="7"/>
      <c r="L255" s="7" t="s">
        <v>23</v>
      </c>
      <c r="M255" s="7">
        <f>VLOOKUP($L255,$L$2:$N$7,2,FALSE)*I255</f>
        <v>0</v>
      </c>
      <c r="N255" s="7">
        <f>VLOOKUP($L255,$L$2:$N$7,3,FALSE)*I255</f>
        <v>224812.68399999998</v>
      </c>
      <c r="O255" s="120"/>
      <c r="P255" s="126" t="s">
        <v>510</v>
      </c>
      <c r="Q255" s="7">
        <f>IF(P255="G",M255,IF(P255="PT",0,ERR))</f>
        <v>0</v>
      </c>
      <c r="R255" s="7">
        <f>IF(P255="PT",M255,IF(P255="G",0,ERR))</f>
        <v>0</v>
      </c>
      <c r="S255" s="126" t="s">
        <v>510</v>
      </c>
      <c r="T255" s="7">
        <f>IF(S255="G",N255,IF(S255="PT",0,ERR))</f>
        <v>224812.68399999998</v>
      </c>
      <c r="U255" s="7">
        <f>IF(S255="PT",N255,IF(S255="G",0,ERR))</f>
        <v>0</v>
      </c>
      <c r="V255" s="124"/>
      <c r="W255" s="7">
        <f>HLOOKUP($W$9,'ROR-Model'!$Q$10:$U$1273,Y255)</f>
        <v>0</v>
      </c>
      <c r="X255" s="139"/>
      <c r="Y255" s="3">
        <f t="shared" si="9"/>
        <v>246</v>
      </c>
      <c r="AA255" s="7">
        <v>0</v>
      </c>
      <c r="AC255" s="7" t="str">
        <f t="shared" si="10"/>
        <v/>
      </c>
      <c r="AE255" s="42" t="str">
        <f t="shared" si="11"/>
        <v/>
      </c>
      <c r="AG255" s="162"/>
      <c r="AH255" s="1"/>
      <c r="AI255" s="1" t="s">
        <v>18</v>
      </c>
      <c r="AJ255" s="10"/>
    </row>
    <row r="256" spans="1:36">
      <c r="A256" s="136"/>
      <c r="B256" s="32"/>
      <c r="C256" s="32"/>
      <c r="D256" s="47"/>
      <c r="E256" s="7">
        <f>+G256-Adjustments!G256</f>
        <v>0</v>
      </c>
      <c r="F256" s="7"/>
      <c r="G256" s="7"/>
      <c r="H256" s="7"/>
      <c r="I256" s="7"/>
      <c r="J256" s="7">
        <f>+I256-'ROR-Model'!I256</f>
        <v>0</v>
      </c>
      <c r="K256" s="7"/>
      <c r="L256" s="7"/>
      <c r="M256" s="7"/>
      <c r="N256" s="7"/>
      <c r="O256" s="120"/>
      <c r="P256" s="126"/>
      <c r="Q256" s="7"/>
      <c r="R256" s="7"/>
      <c r="S256" s="126"/>
      <c r="T256" s="7"/>
      <c r="U256" s="7"/>
      <c r="V256" s="124"/>
      <c r="W256" s="7"/>
      <c r="X256" s="139"/>
      <c r="Y256" s="3">
        <f t="shared" si="9"/>
        <v>247</v>
      </c>
      <c r="AA256" s="7"/>
      <c r="AC256" s="7" t="str">
        <f t="shared" si="10"/>
        <v/>
      </c>
      <c r="AE256" s="42" t="str">
        <f t="shared" si="11"/>
        <v/>
      </c>
      <c r="AG256" s="162"/>
      <c r="AJ256" s="10"/>
    </row>
    <row r="257" spans="1:36">
      <c r="A257" s="136"/>
      <c r="B257" s="58" t="s">
        <v>746</v>
      </c>
      <c r="C257" s="58" t="s">
        <v>14</v>
      </c>
      <c r="D257" s="47"/>
      <c r="E257" s="7">
        <f>+G257-Adjustments!G257</f>
        <v>0</v>
      </c>
      <c r="F257" s="7">
        <f>Revenue!$F$256</f>
        <v>25838.856622309999</v>
      </c>
      <c r="G257" s="7">
        <f>+Adjustments!V257</f>
        <v>0</v>
      </c>
      <c r="H257" s="7"/>
      <c r="I257" s="7">
        <f>SUM($F$257:$H$257)</f>
        <v>25838.856622309999</v>
      </c>
      <c r="J257" s="7">
        <f>+I257-'ROR-Model'!I257</f>
        <v>0</v>
      </c>
      <c r="K257" s="7"/>
      <c r="L257" s="7" t="s">
        <v>23</v>
      </c>
      <c r="M257" s="7">
        <f>VLOOKUP($L257,$L$2:$N$7,2,FALSE)*I257</f>
        <v>0</v>
      </c>
      <c r="N257" s="7">
        <f>VLOOKUP($L257,$L$2:$N$7,3,FALSE)*I257</f>
        <v>25838.856622309999</v>
      </c>
      <c r="O257" s="120"/>
      <c r="P257" s="126" t="s">
        <v>510</v>
      </c>
      <c r="Q257" s="7">
        <f>IF(P257="G",M257,IF(P257="PT",0,ERR))</f>
        <v>0</v>
      </c>
      <c r="R257" s="7">
        <f>IF(P257="PT",M257,IF(P257="G",0,ERR))</f>
        <v>0</v>
      </c>
      <c r="S257" s="126" t="s">
        <v>510</v>
      </c>
      <c r="T257" s="7">
        <f>IF(S257="G",N257,IF(S257="PT",0,ERR))</f>
        <v>25838.856622309999</v>
      </c>
      <c r="U257" s="7">
        <f>IF(S257="PT",N257,IF(S257="G",0,ERR))</f>
        <v>0</v>
      </c>
      <c r="V257" s="124"/>
      <c r="W257" s="7">
        <f>HLOOKUP($W$9,'ROR-Model'!$Q$10:$U$1273,Y257)</f>
        <v>0</v>
      </c>
      <c r="X257" s="139"/>
      <c r="Y257" s="3">
        <f t="shared" si="9"/>
        <v>248</v>
      </c>
      <c r="AA257" s="7">
        <v>0</v>
      </c>
      <c r="AC257" s="7" t="str">
        <f t="shared" si="10"/>
        <v/>
      </c>
      <c r="AE257" s="42" t="str">
        <f t="shared" si="11"/>
        <v/>
      </c>
      <c r="AG257" s="162"/>
      <c r="AH257" s="1" t="s">
        <v>746</v>
      </c>
      <c r="AI257" s="1" t="s">
        <v>14</v>
      </c>
      <c r="AJ257" s="10"/>
    </row>
    <row r="258" spans="1:36">
      <c r="A258" s="136"/>
      <c r="B258" s="58"/>
      <c r="C258" s="58"/>
      <c r="D258" s="47"/>
      <c r="E258" s="7">
        <f>+G258-Adjustments!G258</f>
        <v>0</v>
      </c>
      <c r="F258" s="7"/>
      <c r="G258" s="7"/>
      <c r="H258" s="7"/>
      <c r="I258" s="7"/>
      <c r="J258" s="7">
        <f>+I258-'ROR-Model'!I258</f>
        <v>0</v>
      </c>
      <c r="K258" s="7"/>
      <c r="L258" s="7"/>
      <c r="M258" s="7"/>
      <c r="N258" s="7"/>
      <c r="O258" s="120"/>
      <c r="P258" s="126"/>
      <c r="Q258" s="7"/>
      <c r="R258" s="7"/>
      <c r="S258" s="126"/>
      <c r="T258" s="7"/>
      <c r="U258" s="7"/>
      <c r="V258" s="124"/>
      <c r="W258" s="7"/>
      <c r="X258" s="139"/>
      <c r="Y258" s="3">
        <f t="shared" si="9"/>
        <v>249</v>
      </c>
      <c r="AA258" s="7"/>
      <c r="AC258" s="7" t="str">
        <f t="shared" si="10"/>
        <v/>
      </c>
      <c r="AE258" s="42" t="str">
        <f t="shared" si="11"/>
        <v/>
      </c>
      <c r="AG258" s="162"/>
      <c r="AH258" s="1"/>
      <c r="AI258" s="1"/>
      <c r="AJ258" s="10"/>
    </row>
    <row r="259" spans="1:36">
      <c r="A259" s="136"/>
      <c r="B259" s="58"/>
      <c r="C259" s="58"/>
      <c r="D259" s="47"/>
      <c r="E259" s="7">
        <f>+G259-Adjustments!G259</f>
        <v>0</v>
      </c>
      <c r="F259" s="7"/>
      <c r="G259" s="7">
        <f>+Adjustments!V259</f>
        <v>0</v>
      </c>
      <c r="H259" s="7"/>
      <c r="I259" s="7">
        <f>SUM($F$259:$H$259)</f>
        <v>0</v>
      </c>
      <c r="J259" s="7">
        <f>+I259-'ROR-Model'!I259</f>
        <v>0</v>
      </c>
      <c r="K259" s="7"/>
      <c r="L259" s="7" t="s">
        <v>23</v>
      </c>
      <c r="M259" s="7">
        <f>VLOOKUP($L259,$L$2:$N$7,2,FALSE)*I259</f>
        <v>0</v>
      </c>
      <c r="N259" s="7">
        <f>VLOOKUP($L259,$L$2:$N$7,3,FALSE)*I259</f>
        <v>0</v>
      </c>
      <c r="O259" s="120"/>
      <c r="P259" s="126"/>
      <c r="Q259" s="7"/>
      <c r="R259" s="7"/>
      <c r="S259" s="126"/>
      <c r="T259" s="7"/>
      <c r="U259" s="7"/>
      <c r="V259" s="124"/>
      <c r="W259" s="7"/>
      <c r="X259" s="139"/>
      <c r="Y259" s="3">
        <f t="shared" si="9"/>
        <v>250</v>
      </c>
      <c r="AA259" s="7"/>
      <c r="AC259" s="7" t="str">
        <f t="shared" si="10"/>
        <v/>
      </c>
      <c r="AE259" s="42" t="str">
        <f t="shared" si="11"/>
        <v/>
      </c>
      <c r="AG259" s="162"/>
      <c r="AH259" s="1"/>
      <c r="AI259" s="1"/>
      <c r="AJ259" s="10"/>
    </row>
    <row r="260" spans="1:36">
      <c r="A260" s="136"/>
      <c r="B260" s="32"/>
      <c r="C260" s="32"/>
      <c r="D260" s="47"/>
      <c r="E260" s="7">
        <f>+G260-Adjustments!G260</f>
        <v>0</v>
      </c>
      <c r="F260" s="7"/>
      <c r="G260" s="7"/>
      <c r="H260" s="7"/>
      <c r="I260" s="7"/>
      <c r="J260" s="7">
        <f>+I260-'ROR-Model'!I260</f>
        <v>0</v>
      </c>
      <c r="K260" s="7"/>
      <c r="L260" s="7"/>
      <c r="M260" s="7"/>
      <c r="N260" s="7"/>
      <c r="O260" s="120"/>
      <c r="P260" s="126"/>
      <c r="Q260" s="7"/>
      <c r="R260" s="7"/>
      <c r="S260" s="126"/>
      <c r="T260" s="7"/>
      <c r="U260" s="7"/>
      <c r="V260" s="124"/>
      <c r="W260" s="7"/>
      <c r="X260" s="139"/>
      <c r="Y260" s="3">
        <f t="shared" si="9"/>
        <v>251</v>
      </c>
      <c r="AA260" s="7"/>
      <c r="AC260" s="7" t="str">
        <f t="shared" si="10"/>
        <v/>
      </c>
      <c r="AE260" s="42" t="str">
        <f t="shared" si="11"/>
        <v/>
      </c>
      <c r="AG260" s="162"/>
      <c r="AJ260" s="10"/>
    </row>
    <row r="261" spans="1:36">
      <c r="A261" s="136"/>
      <c r="B261" s="58"/>
      <c r="C261" s="58" t="s">
        <v>16</v>
      </c>
      <c r="D261" s="47"/>
      <c r="E261" s="7">
        <f>+G261-Adjustments!G261</f>
        <v>0</v>
      </c>
      <c r="F261" s="7">
        <f>Revenue!$F$260</f>
        <v>28529.2419763</v>
      </c>
      <c r="G261" s="7">
        <f>+Adjustments!V261</f>
        <v>0</v>
      </c>
      <c r="H261" s="7"/>
      <c r="I261" s="7">
        <f>SUM($F$261:$H$261)</f>
        <v>28529.2419763</v>
      </c>
      <c r="J261" s="7">
        <f>+I261-'ROR-Model'!I261</f>
        <v>0</v>
      </c>
      <c r="K261" s="7"/>
      <c r="L261" s="7" t="s">
        <v>23</v>
      </c>
      <c r="M261" s="7">
        <f>VLOOKUP($L261,$L$2:$N$7,2,FALSE)*I261</f>
        <v>0</v>
      </c>
      <c r="N261" s="7">
        <f>VLOOKUP($L261,$L$2:$N$7,3,FALSE)*I261</f>
        <v>28529.2419763</v>
      </c>
      <c r="O261" s="120"/>
      <c r="P261" s="126" t="s">
        <v>509</v>
      </c>
      <c r="Q261" s="7">
        <f>IF(P261="G",M261,IF(P261="PT",0,ERR))</f>
        <v>0</v>
      </c>
      <c r="R261" s="7">
        <f>IF(P261="PT",M261,IF(P261="G",0,ERR))</f>
        <v>0</v>
      </c>
      <c r="S261" s="126" t="s">
        <v>509</v>
      </c>
      <c r="T261" s="7">
        <f>IF(S261="G",N261,IF(S261="PT",0,ERR))</f>
        <v>0</v>
      </c>
      <c r="U261" s="7">
        <f>IF(S261="PT",N261,IF(S261="G",0,ERR))</f>
        <v>28529.2419763</v>
      </c>
      <c r="V261" s="124"/>
      <c r="W261" s="7">
        <f>HLOOKUP($W$9,'ROR-Model'!$Q$10:$U$1273,Y261)</f>
        <v>0</v>
      </c>
      <c r="X261" s="139"/>
      <c r="Y261" s="3">
        <f t="shared" si="9"/>
        <v>252</v>
      </c>
      <c r="AA261" s="7">
        <v>0</v>
      </c>
      <c r="AC261" s="7" t="str">
        <f t="shared" si="10"/>
        <v/>
      </c>
      <c r="AE261" s="42" t="str">
        <f t="shared" si="11"/>
        <v/>
      </c>
      <c r="AG261" s="162"/>
      <c r="AH261" s="1"/>
      <c r="AI261" s="1" t="s">
        <v>16</v>
      </c>
      <c r="AJ261" s="10"/>
    </row>
    <row r="262" spans="1:36">
      <c r="A262" s="136"/>
      <c r="B262" s="58"/>
      <c r="C262" s="58" t="s">
        <v>17</v>
      </c>
      <c r="D262" s="47"/>
      <c r="E262" s="140">
        <f>+G262-Adjustments!G262</f>
        <v>0</v>
      </c>
      <c r="F262" s="140">
        <f>SUM(F257:F261)</f>
        <v>54368.098598609999</v>
      </c>
      <c r="G262" s="140">
        <f>SUM(G257:G261)</f>
        <v>0</v>
      </c>
      <c r="H262" s="140">
        <f>SUM(H257:H261)</f>
        <v>0</v>
      </c>
      <c r="I262" s="140">
        <f>SUM(I257:I261)</f>
        <v>54368.098598609999</v>
      </c>
      <c r="J262" s="7">
        <f>+I262-'ROR-Model'!I262</f>
        <v>0</v>
      </c>
      <c r="K262" s="7"/>
      <c r="L262" s="140"/>
      <c r="M262" s="140">
        <f>SUM(M257:M261)</f>
        <v>0</v>
      </c>
      <c r="N262" s="140">
        <f>SUM(N257:N261)</f>
        <v>54368.098598609999</v>
      </c>
      <c r="O262" s="120"/>
      <c r="P262" s="201"/>
      <c r="Q262" s="140">
        <f>SUM(Q257:Q261)</f>
        <v>0</v>
      </c>
      <c r="R262" s="140">
        <f>SUM(R257:R261)</f>
        <v>0</v>
      </c>
      <c r="S262" s="201"/>
      <c r="T262" s="140">
        <f>SUM(T257:T261)</f>
        <v>25838.856622309999</v>
      </c>
      <c r="U262" s="140">
        <f>SUM(U257:U261)</f>
        <v>28529.2419763</v>
      </c>
      <c r="V262" s="124"/>
      <c r="W262" s="140">
        <f>HLOOKUP($W$9,'ROR-Model'!$Q$10:$U$1273,Y262)</f>
        <v>0</v>
      </c>
      <c r="X262" s="139"/>
      <c r="Y262" s="3">
        <f t="shared" si="9"/>
        <v>253</v>
      </c>
      <c r="AA262" s="140">
        <v>0</v>
      </c>
      <c r="AC262" s="140" t="str">
        <f t="shared" si="10"/>
        <v/>
      </c>
      <c r="AE262" s="42" t="str">
        <f t="shared" si="11"/>
        <v/>
      </c>
      <c r="AG262" s="162"/>
      <c r="AH262" s="1"/>
      <c r="AI262" s="1" t="s">
        <v>17</v>
      </c>
      <c r="AJ262" s="10"/>
    </row>
    <row r="263" spans="1:36">
      <c r="A263" s="136"/>
      <c r="B263" s="58"/>
      <c r="C263" s="58"/>
      <c r="D263" s="47"/>
      <c r="E263" s="7">
        <f>+G263-Adjustments!G263</f>
        <v>0</v>
      </c>
      <c r="F263" s="7"/>
      <c r="G263" s="7"/>
      <c r="H263" s="7"/>
      <c r="I263" s="7"/>
      <c r="J263" s="7">
        <f>+I263-'ROR-Model'!I263</f>
        <v>0</v>
      </c>
      <c r="K263" s="7"/>
      <c r="L263" s="7"/>
      <c r="M263" s="7"/>
      <c r="N263" s="7"/>
      <c r="O263" s="120"/>
      <c r="P263" s="126"/>
      <c r="Q263" s="7"/>
      <c r="R263" s="7"/>
      <c r="S263" s="126"/>
      <c r="T263" s="7"/>
      <c r="U263" s="7"/>
      <c r="V263" s="124"/>
      <c r="W263" s="7"/>
      <c r="X263" s="139"/>
      <c r="Y263" s="3">
        <f t="shared" si="9"/>
        <v>254</v>
      </c>
      <c r="AA263" s="7"/>
      <c r="AC263" s="7" t="str">
        <f t="shared" si="10"/>
        <v/>
      </c>
      <c r="AE263" s="42" t="str">
        <f t="shared" si="11"/>
        <v/>
      </c>
      <c r="AG263" s="162"/>
      <c r="AH263" s="1"/>
      <c r="AI263" s="1"/>
      <c r="AJ263" s="10"/>
    </row>
    <row r="264" spans="1:36">
      <c r="A264" s="136"/>
      <c r="B264" s="58"/>
      <c r="C264" s="58" t="s">
        <v>18</v>
      </c>
      <c r="D264" s="47"/>
      <c r="E264" s="7">
        <f>+G264-Adjustments!G264</f>
        <v>0</v>
      </c>
      <c r="F264" s="7">
        <f>Revenue!$F$263</f>
        <v>3791.5159999999996</v>
      </c>
      <c r="G264" s="7">
        <f>+Adjustments!V264</f>
        <v>0</v>
      </c>
      <c r="H264" s="7"/>
      <c r="I264" s="7">
        <f>SUM($F$264:$H$264)</f>
        <v>3791.5159999999996</v>
      </c>
      <c r="J264" s="7">
        <f>+I264-'ROR-Model'!I264</f>
        <v>0</v>
      </c>
      <c r="K264" s="7"/>
      <c r="L264" s="7" t="s">
        <v>23</v>
      </c>
      <c r="M264" s="7">
        <f>VLOOKUP($L264,$L$2:$N$7,2,FALSE)*I264</f>
        <v>0</v>
      </c>
      <c r="N264" s="7">
        <f>VLOOKUP($L264,$L$2:$N$7,3,FALSE)*I264</f>
        <v>3791.5159999999996</v>
      </c>
      <c r="O264" s="120"/>
      <c r="P264" s="126" t="s">
        <v>510</v>
      </c>
      <c r="Q264" s="7">
        <f>IF(P264="G",M264,IF(P264="PT",0,ERR))</f>
        <v>0</v>
      </c>
      <c r="R264" s="7">
        <f>IF(P264="PT",M264,IF(P264="G",0,ERR))</f>
        <v>0</v>
      </c>
      <c r="S264" s="126" t="s">
        <v>510</v>
      </c>
      <c r="T264" s="7">
        <f>IF(S264="G",N264,IF(S264="PT",0,ERR))</f>
        <v>3791.5159999999996</v>
      </c>
      <c r="U264" s="7">
        <f>IF(S264="PT",N264,IF(S264="G",0,ERR))</f>
        <v>0</v>
      </c>
      <c r="V264" s="124"/>
      <c r="W264" s="7">
        <f>HLOOKUP($W$9,'ROR-Model'!$Q$10:$U$1273,Y264)</f>
        <v>0</v>
      </c>
      <c r="X264" s="139"/>
      <c r="Y264" s="3">
        <f t="shared" si="9"/>
        <v>255</v>
      </c>
      <c r="AA264" s="7">
        <v>0</v>
      </c>
      <c r="AC264" s="7" t="str">
        <f t="shared" si="10"/>
        <v/>
      </c>
      <c r="AE264" s="42" t="str">
        <f t="shared" si="11"/>
        <v/>
      </c>
      <c r="AG264" s="162"/>
      <c r="AH264" s="1"/>
      <c r="AI264" s="1" t="s">
        <v>18</v>
      </c>
      <c r="AJ264" s="10"/>
    </row>
    <row r="265" spans="1:36">
      <c r="A265" s="136"/>
      <c r="B265" s="32"/>
      <c r="C265" s="32"/>
      <c r="D265" s="47"/>
      <c r="E265" s="7">
        <f>+G265-Adjustments!G265</f>
        <v>0</v>
      </c>
      <c r="F265" s="7"/>
      <c r="G265" s="7"/>
      <c r="H265" s="7"/>
      <c r="I265" s="7"/>
      <c r="J265" s="7">
        <f>+I265-'ROR-Model'!I265</f>
        <v>0</v>
      </c>
      <c r="K265" s="7"/>
      <c r="L265" s="7"/>
      <c r="M265" s="7"/>
      <c r="N265" s="7"/>
      <c r="O265" s="120"/>
      <c r="P265" s="126"/>
      <c r="Q265" s="7"/>
      <c r="R265" s="7"/>
      <c r="S265" s="126"/>
      <c r="T265" s="7"/>
      <c r="U265" s="7"/>
      <c r="V265" s="124"/>
      <c r="W265" s="7"/>
      <c r="X265" s="139"/>
      <c r="Y265" s="3">
        <f t="shared" si="9"/>
        <v>256</v>
      </c>
      <c r="AA265" s="7"/>
      <c r="AC265" s="7" t="str">
        <f t="shared" si="10"/>
        <v/>
      </c>
      <c r="AE265" s="42" t="str">
        <f t="shared" si="11"/>
        <v/>
      </c>
      <c r="AG265" s="162"/>
      <c r="AJ265" s="10"/>
    </row>
    <row r="266" spans="1:36">
      <c r="A266" s="136"/>
      <c r="B266" s="58" t="s">
        <v>708</v>
      </c>
      <c r="C266" s="58" t="s">
        <v>14</v>
      </c>
      <c r="D266" s="47"/>
      <c r="E266" s="7">
        <f>+G266-Adjustments!G266</f>
        <v>0</v>
      </c>
      <c r="F266" s="7">
        <f>Revenue!$F$265</f>
        <v>0</v>
      </c>
      <c r="G266" s="7">
        <f>+Adjustments!V266</f>
        <v>0</v>
      </c>
      <c r="H266" s="7"/>
      <c r="I266" s="7">
        <f>SUM($F$266:$H$266)</f>
        <v>0</v>
      </c>
      <c r="J266" s="7">
        <f>+I266-'ROR-Model'!I266</f>
        <v>0</v>
      </c>
      <c r="K266" s="7"/>
      <c r="L266" s="7" t="s">
        <v>23</v>
      </c>
      <c r="M266" s="7">
        <f>VLOOKUP($L266,$L$2:$N$7,2,FALSE)*I266</f>
        <v>0</v>
      </c>
      <c r="N266" s="7">
        <f>VLOOKUP($L266,$L$2:$N$7,3,FALSE)*I266</f>
        <v>0</v>
      </c>
      <c r="O266" s="120"/>
      <c r="P266" s="126" t="s">
        <v>510</v>
      </c>
      <c r="Q266" s="7">
        <f>IF(P266="G",M266,IF(P266="PT",0,ERR))</f>
        <v>0</v>
      </c>
      <c r="R266" s="7">
        <f>IF(P266="PT",M266,IF(P266="G",0,ERR))</f>
        <v>0</v>
      </c>
      <c r="S266" s="126" t="s">
        <v>510</v>
      </c>
      <c r="T266" s="7">
        <f>IF(S266="G",N266,IF(S266="PT",0,ERR))</f>
        <v>0</v>
      </c>
      <c r="U266" s="7">
        <f>IF(S266="PT",N266,IF(S266="G",0,ERR))</f>
        <v>0</v>
      </c>
      <c r="V266" s="124"/>
      <c r="W266" s="7">
        <f>HLOOKUP($W$9,'ROR-Model'!$Q$10:$U$1273,Y266)</f>
        <v>0</v>
      </c>
      <c r="X266" s="139"/>
      <c r="Y266" s="3">
        <f t="shared" si="9"/>
        <v>257</v>
      </c>
      <c r="AA266" s="7">
        <v>0</v>
      </c>
      <c r="AC266" s="7" t="str">
        <f t="shared" si="10"/>
        <v/>
      </c>
      <c r="AE266" s="42" t="str">
        <f t="shared" si="11"/>
        <v/>
      </c>
      <c r="AG266" s="162"/>
      <c r="AH266" s="1" t="s">
        <v>708</v>
      </c>
      <c r="AI266" s="1" t="s">
        <v>14</v>
      </c>
      <c r="AJ266" s="10"/>
    </row>
    <row r="267" spans="1:36">
      <c r="A267" s="136"/>
      <c r="B267" s="58"/>
      <c r="C267" s="58"/>
      <c r="D267" s="47"/>
      <c r="E267" s="7">
        <f>+G267-Adjustments!G267</f>
        <v>0</v>
      </c>
      <c r="F267" s="7"/>
      <c r="G267" s="7"/>
      <c r="H267" s="7"/>
      <c r="I267" s="7"/>
      <c r="J267" s="7">
        <f>+I267-'ROR-Model'!I267</f>
        <v>0</v>
      </c>
      <c r="K267" s="7"/>
      <c r="L267" s="7"/>
      <c r="M267" s="7"/>
      <c r="N267" s="7"/>
      <c r="O267" s="120"/>
      <c r="P267" s="126"/>
      <c r="Q267" s="7"/>
      <c r="R267" s="7"/>
      <c r="S267" s="126"/>
      <c r="T267" s="7"/>
      <c r="U267" s="7"/>
      <c r="V267" s="124"/>
      <c r="W267" s="7"/>
      <c r="X267" s="139"/>
      <c r="Y267" s="3">
        <f t="shared" si="9"/>
        <v>258</v>
      </c>
      <c r="AA267" s="7"/>
      <c r="AC267" s="7" t="str">
        <f t="shared" si="10"/>
        <v/>
      </c>
      <c r="AE267" s="42" t="str">
        <f t="shared" si="11"/>
        <v/>
      </c>
      <c r="AG267" s="162"/>
      <c r="AH267" s="1"/>
      <c r="AI267" s="1"/>
      <c r="AJ267" s="10"/>
    </row>
    <row r="268" spans="1:36">
      <c r="A268" s="136"/>
      <c r="B268" s="58"/>
      <c r="C268" s="58"/>
      <c r="D268" s="47"/>
      <c r="E268" s="7">
        <f>+G268-Adjustments!G268</f>
        <v>0</v>
      </c>
      <c r="F268" s="7"/>
      <c r="G268" s="7">
        <f>+Adjustments!V268</f>
        <v>0</v>
      </c>
      <c r="H268" s="7"/>
      <c r="I268" s="7">
        <f>SUM($F$268:$H$268)</f>
        <v>0</v>
      </c>
      <c r="J268" s="7">
        <f>+I268-'ROR-Model'!I268</f>
        <v>0</v>
      </c>
      <c r="K268" s="7"/>
      <c r="L268" s="7" t="s">
        <v>23</v>
      </c>
      <c r="M268" s="7">
        <f>VLOOKUP($L268,$L$2:$N$7,2,FALSE)*I268</f>
        <v>0</v>
      </c>
      <c r="N268" s="7">
        <f>VLOOKUP($L268,$L$2:$N$7,3,FALSE)*I268</f>
        <v>0</v>
      </c>
      <c r="O268" s="120"/>
      <c r="P268" s="126"/>
      <c r="Q268" s="7"/>
      <c r="R268" s="7"/>
      <c r="S268" s="126"/>
      <c r="T268" s="7"/>
      <c r="U268" s="7"/>
      <c r="V268" s="124"/>
      <c r="W268" s="7"/>
      <c r="X268" s="139"/>
      <c r="Y268" s="3">
        <f t="shared" ref="Y268:Y333" si="13">Y267+1</f>
        <v>259</v>
      </c>
      <c r="AA268" s="7"/>
      <c r="AC268" s="7" t="str">
        <f t="shared" si="10"/>
        <v/>
      </c>
      <c r="AE268" s="42" t="str">
        <f t="shared" si="11"/>
        <v/>
      </c>
      <c r="AG268" s="162"/>
      <c r="AH268" s="1"/>
      <c r="AI268" s="1"/>
      <c r="AJ268" s="10"/>
    </row>
    <row r="269" spans="1:36">
      <c r="A269" s="136"/>
      <c r="B269" s="32"/>
      <c r="C269" s="32"/>
      <c r="D269" s="47"/>
      <c r="E269" s="7">
        <f>+G269-Adjustments!G269</f>
        <v>0</v>
      </c>
      <c r="F269" s="7"/>
      <c r="G269" s="7"/>
      <c r="H269" s="7"/>
      <c r="I269" s="7"/>
      <c r="J269" s="7">
        <f>+I269-'ROR-Model'!I269</f>
        <v>0</v>
      </c>
      <c r="K269" s="7"/>
      <c r="L269" s="7"/>
      <c r="M269" s="7"/>
      <c r="N269" s="7"/>
      <c r="O269" s="120"/>
      <c r="P269" s="126"/>
      <c r="Q269" s="7"/>
      <c r="R269" s="7"/>
      <c r="S269" s="126"/>
      <c r="T269" s="7"/>
      <c r="U269" s="7"/>
      <c r="V269" s="124"/>
      <c r="W269" s="7"/>
      <c r="X269" s="139"/>
      <c r="Y269" s="3">
        <f t="shared" si="13"/>
        <v>260</v>
      </c>
      <c r="AA269" s="7"/>
      <c r="AC269" s="7" t="str">
        <f t="shared" si="10"/>
        <v/>
      </c>
      <c r="AE269" s="42" t="str">
        <f t="shared" si="11"/>
        <v/>
      </c>
      <c r="AG269" s="162"/>
      <c r="AJ269" s="10"/>
    </row>
    <row r="270" spans="1:36">
      <c r="A270" s="136"/>
      <c r="B270" s="58"/>
      <c r="C270" s="58" t="s">
        <v>16</v>
      </c>
      <c r="D270" s="47"/>
      <c r="E270" s="7">
        <f>+G270-Adjustments!G270</f>
        <v>0</v>
      </c>
      <c r="F270" s="7">
        <f>Revenue!$F$269</f>
        <v>0</v>
      </c>
      <c r="G270" s="7">
        <f>+Adjustments!V270</f>
        <v>0</v>
      </c>
      <c r="H270" s="7"/>
      <c r="I270" s="7">
        <f>SUM($F$270:$H$270)</f>
        <v>0</v>
      </c>
      <c r="J270" s="7">
        <f>+I270-'ROR-Model'!I270</f>
        <v>0</v>
      </c>
      <c r="K270" s="7"/>
      <c r="L270" s="7" t="s">
        <v>23</v>
      </c>
      <c r="M270" s="7">
        <f>VLOOKUP($L270,$L$2:$N$7,2,FALSE)*I270</f>
        <v>0</v>
      </c>
      <c r="N270" s="7">
        <f>VLOOKUP($L270,$L$2:$N$7,3,FALSE)*I270</f>
        <v>0</v>
      </c>
      <c r="O270" s="120"/>
      <c r="P270" s="126" t="s">
        <v>509</v>
      </c>
      <c r="Q270" s="7">
        <f>IF(P270="G",M270,IF(P270="PT",0,ERR))</f>
        <v>0</v>
      </c>
      <c r="R270" s="7">
        <f>IF(P270="PT",M270,IF(P270="G",0,ERR))</f>
        <v>0</v>
      </c>
      <c r="S270" s="126" t="s">
        <v>509</v>
      </c>
      <c r="T270" s="7">
        <f>IF(S270="G",N270,IF(S270="PT",0,ERR))</f>
        <v>0</v>
      </c>
      <c r="U270" s="7">
        <f>IF(S270="PT",N270,IF(S270="G",0,ERR))</f>
        <v>0</v>
      </c>
      <c r="V270" s="124"/>
      <c r="W270" s="7">
        <f>HLOOKUP($W$9,'ROR-Model'!$Q$10:$U$1273,Y270)</f>
        <v>0</v>
      </c>
      <c r="X270" s="139"/>
      <c r="Y270" s="3">
        <f t="shared" si="13"/>
        <v>261</v>
      </c>
      <c r="AA270" s="7">
        <v>0</v>
      </c>
      <c r="AC270" s="7" t="str">
        <f t="shared" si="10"/>
        <v/>
      </c>
      <c r="AE270" s="42" t="str">
        <f t="shared" si="11"/>
        <v/>
      </c>
      <c r="AG270" s="162"/>
      <c r="AH270" s="1"/>
      <c r="AI270" s="1" t="s">
        <v>16</v>
      </c>
      <c r="AJ270" s="10"/>
    </row>
    <row r="271" spans="1:36">
      <c r="A271" s="136"/>
      <c r="B271" s="58"/>
      <c r="C271" s="58" t="s">
        <v>17</v>
      </c>
      <c r="D271" s="47"/>
      <c r="E271" s="140">
        <f>+G271-Adjustments!G271</f>
        <v>0</v>
      </c>
      <c r="F271" s="140">
        <f>SUM(F266:F270)</f>
        <v>0</v>
      </c>
      <c r="G271" s="140">
        <f>SUM(G266:G270)</f>
        <v>0</v>
      </c>
      <c r="H271" s="140">
        <f>SUM(H266:H270)</f>
        <v>0</v>
      </c>
      <c r="I271" s="140">
        <f>SUM(I266:I270)</f>
        <v>0</v>
      </c>
      <c r="J271" s="7">
        <f>+I271-'ROR-Model'!I271</f>
        <v>0</v>
      </c>
      <c r="K271" s="7"/>
      <c r="L271" s="140"/>
      <c r="M271" s="140">
        <f>SUM(M266:M270)</f>
        <v>0</v>
      </c>
      <c r="N271" s="140">
        <f>SUM(N266:N270)</f>
        <v>0</v>
      </c>
      <c r="O271" s="120"/>
      <c r="P271" s="201"/>
      <c r="Q271" s="140">
        <f>SUM(Q266:Q270)</f>
        <v>0</v>
      </c>
      <c r="R271" s="140">
        <f>SUM(R266:R270)</f>
        <v>0</v>
      </c>
      <c r="S271" s="201"/>
      <c r="T271" s="140">
        <f>SUM(T266:T270)</f>
        <v>0</v>
      </c>
      <c r="U271" s="140">
        <f>SUM(U266:U270)</f>
        <v>0</v>
      </c>
      <c r="V271" s="124"/>
      <c r="W271" s="140">
        <f>HLOOKUP($W$9,'ROR-Model'!$Q$10:$U$1273,Y271)</f>
        <v>0</v>
      </c>
      <c r="X271" s="139"/>
      <c r="Y271" s="3">
        <f t="shared" si="13"/>
        <v>262</v>
      </c>
      <c r="AA271" s="140">
        <v>0</v>
      </c>
      <c r="AC271" s="140" t="str">
        <f t="shared" si="10"/>
        <v/>
      </c>
      <c r="AE271" s="42" t="str">
        <f t="shared" si="11"/>
        <v/>
      </c>
      <c r="AG271" s="162"/>
      <c r="AH271" s="1"/>
      <c r="AI271" s="1" t="s">
        <v>17</v>
      </c>
      <c r="AJ271" s="10"/>
    </row>
    <row r="272" spans="1:36">
      <c r="A272" s="136"/>
      <c r="B272" s="58"/>
      <c r="C272" s="58"/>
      <c r="D272" s="47"/>
      <c r="E272" s="7">
        <f>+G272-Adjustments!G272</f>
        <v>0</v>
      </c>
      <c r="F272" s="7"/>
      <c r="G272" s="7"/>
      <c r="H272" s="7"/>
      <c r="I272" s="7"/>
      <c r="J272" s="7">
        <f>+I272-'ROR-Model'!I272</f>
        <v>0</v>
      </c>
      <c r="K272" s="7"/>
      <c r="L272" s="7"/>
      <c r="M272" s="7"/>
      <c r="N272" s="7"/>
      <c r="O272" s="120"/>
      <c r="P272" s="126"/>
      <c r="Q272" s="7"/>
      <c r="R272" s="7"/>
      <c r="S272" s="126"/>
      <c r="T272" s="7"/>
      <c r="U272" s="7"/>
      <c r="V272" s="124"/>
      <c r="W272" s="7"/>
      <c r="X272" s="139"/>
      <c r="Y272" s="3">
        <f t="shared" si="13"/>
        <v>263</v>
      </c>
      <c r="AA272" s="7"/>
      <c r="AC272" s="7" t="str">
        <f t="shared" si="10"/>
        <v/>
      </c>
      <c r="AE272" s="42" t="str">
        <f t="shared" si="11"/>
        <v/>
      </c>
      <c r="AG272" s="162"/>
      <c r="AH272" s="1"/>
      <c r="AI272" s="1"/>
      <c r="AJ272" s="10"/>
    </row>
    <row r="273" spans="1:36">
      <c r="A273" s="136"/>
      <c r="B273" s="58"/>
      <c r="C273" s="58" t="s">
        <v>18</v>
      </c>
      <c r="D273" s="47"/>
      <c r="E273" s="7">
        <f>+G273-Adjustments!G273</f>
        <v>0</v>
      </c>
      <c r="F273" s="7">
        <f>Revenue!$F$272</f>
        <v>0</v>
      </c>
      <c r="G273" s="7">
        <f>+Adjustments!V273</f>
        <v>0</v>
      </c>
      <c r="H273" s="7"/>
      <c r="I273" s="7">
        <f>SUM($F$273:$H$273)</f>
        <v>0</v>
      </c>
      <c r="J273" s="7">
        <f>+I273-'ROR-Model'!I273</f>
        <v>0</v>
      </c>
      <c r="K273" s="7"/>
      <c r="L273" s="7" t="s">
        <v>23</v>
      </c>
      <c r="M273" s="7">
        <f>VLOOKUP($L273,$L$2:$N$7,2,FALSE)*I273</f>
        <v>0</v>
      </c>
      <c r="N273" s="7">
        <f>VLOOKUP($L273,$L$2:$N$7,3,FALSE)*I273</f>
        <v>0</v>
      </c>
      <c r="O273" s="120"/>
      <c r="P273" s="126" t="s">
        <v>510</v>
      </c>
      <c r="Q273" s="7">
        <f>IF(P273="G",M273,IF(P273="PT",0,ERR))</f>
        <v>0</v>
      </c>
      <c r="R273" s="7">
        <f>IF(P273="PT",M273,IF(P273="G",0,ERR))</f>
        <v>0</v>
      </c>
      <c r="S273" s="126" t="s">
        <v>510</v>
      </c>
      <c r="T273" s="7">
        <f>IF(S273="G",N273,IF(S273="PT",0,ERR))</f>
        <v>0</v>
      </c>
      <c r="U273" s="7">
        <f>IF(S273="PT",N273,IF(S273="G",0,ERR))</f>
        <v>0</v>
      </c>
      <c r="V273" s="124"/>
      <c r="W273" s="7">
        <f>HLOOKUP($W$9,'ROR-Model'!$Q$10:$U$1273,Y273)</f>
        <v>0</v>
      </c>
      <c r="X273" s="139"/>
      <c r="Y273" s="3">
        <f t="shared" si="13"/>
        <v>264</v>
      </c>
      <c r="AA273" s="7">
        <v>0</v>
      </c>
      <c r="AC273" s="7" t="str">
        <f t="shared" ref="AC273:AC336" si="14">IF(ABS(AA273)&gt;0,W273-AA273,"")</f>
        <v/>
      </c>
      <c r="AE273" s="42" t="str">
        <f t="shared" si="11"/>
        <v/>
      </c>
      <c r="AG273" s="162"/>
      <c r="AH273" s="1"/>
      <c r="AI273" s="1" t="s">
        <v>18</v>
      </c>
      <c r="AJ273" s="10"/>
    </row>
    <row r="274" spans="1:36">
      <c r="A274" s="136"/>
      <c r="B274" s="32"/>
      <c r="C274" s="32"/>
      <c r="D274" s="47"/>
      <c r="E274" s="7">
        <f>+G274-Adjustments!G274</f>
        <v>0</v>
      </c>
      <c r="F274" s="7"/>
      <c r="G274" s="7"/>
      <c r="H274" s="7"/>
      <c r="I274" s="7"/>
      <c r="J274" s="7">
        <f>+I274-'ROR-Model'!I274</f>
        <v>0</v>
      </c>
      <c r="K274" s="7"/>
      <c r="L274" s="7"/>
      <c r="M274" s="7"/>
      <c r="N274" s="7"/>
      <c r="O274" s="120"/>
      <c r="P274" s="126"/>
      <c r="Q274" s="7"/>
      <c r="R274" s="7"/>
      <c r="S274" s="126"/>
      <c r="T274" s="7"/>
      <c r="U274" s="7"/>
      <c r="V274" s="124"/>
      <c r="W274" s="7"/>
      <c r="X274" s="139"/>
      <c r="Y274" s="3">
        <f t="shared" si="13"/>
        <v>265</v>
      </c>
      <c r="AA274" s="7"/>
      <c r="AC274" s="7" t="str">
        <f t="shared" si="14"/>
        <v/>
      </c>
      <c r="AE274" s="42" t="str">
        <f t="shared" ref="AE274:AE337" si="15">IF(ABS(AA274)&gt;0,AC274/AA274,"")</f>
        <v/>
      </c>
      <c r="AG274" s="162"/>
      <c r="AJ274" s="10"/>
    </row>
    <row r="275" spans="1:36">
      <c r="A275" s="461"/>
      <c r="B275" s="58" t="s">
        <v>78</v>
      </c>
      <c r="C275" s="32" t="s">
        <v>14</v>
      </c>
      <c r="D275" s="265"/>
      <c r="E275" s="301">
        <f>+G275-Adjustments!G275</f>
        <v>0</v>
      </c>
      <c r="F275" s="301">
        <f>Revenue!$F$274</f>
        <v>38776.410000000003</v>
      </c>
      <c r="G275" s="301">
        <f>+Adjustments!V275</f>
        <v>0</v>
      </c>
      <c r="H275" s="301"/>
      <c r="I275" s="301">
        <f>SUM($F$275:$H$275)</f>
        <v>38776.410000000003</v>
      </c>
      <c r="J275" s="7">
        <f>+I275-'ROR-Model'!I275</f>
        <v>0</v>
      </c>
      <c r="K275" s="301"/>
      <c r="L275" s="301" t="s">
        <v>23</v>
      </c>
      <c r="M275" s="301">
        <f>VLOOKUP($L275,$L$2:$N$7,2,FALSE)*I275</f>
        <v>0</v>
      </c>
      <c r="N275" s="301">
        <f>VLOOKUP($L275,$L$2:$N$7,3,FALSE)*I275</f>
        <v>38776.410000000003</v>
      </c>
      <c r="O275" s="578"/>
      <c r="P275" s="475" t="s">
        <v>510</v>
      </c>
      <c r="Q275" s="301">
        <f>IF(P275="G",M275,IF(P275="PT",0,ERR))</f>
        <v>0</v>
      </c>
      <c r="R275" s="301">
        <f>IF(P275="PT",M275,IF(P275="G",0,ERR))</f>
        <v>0</v>
      </c>
      <c r="S275" s="475" t="s">
        <v>509</v>
      </c>
      <c r="T275" s="301">
        <f>IF(S275="G",N275,IF(S275="PT",0,ERR))</f>
        <v>0</v>
      </c>
      <c r="U275" s="301">
        <f>IF(S275="PT",N275,IF(S275="G",0,ERR))</f>
        <v>38776.410000000003</v>
      </c>
      <c r="V275" s="579"/>
      <c r="W275" s="301">
        <f>HLOOKUP($W$9,'ROR-Model'!$Q$10:$U$1273,Y275)</f>
        <v>0</v>
      </c>
      <c r="X275" s="303"/>
      <c r="Y275" s="3">
        <f t="shared" si="13"/>
        <v>266</v>
      </c>
      <c r="AA275" s="301">
        <v>0</v>
      </c>
      <c r="AC275" s="301" t="str">
        <f t="shared" si="14"/>
        <v/>
      </c>
      <c r="AE275" s="42" t="str">
        <f t="shared" si="15"/>
        <v/>
      </c>
      <c r="AG275" s="162"/>
      <c r="AH275" s="1" t="s">
        <v>78</v>
      </c>
      <c r="AI275" t="s">
        <v>14</v>
      </c>
      <c r="AJ275" s="10"/>
    </row>
    <row r="276" spans="1:36">
      <c r="A276" s="136"/>
      <c r="B276" s="32"/>
      <c r="C276" s="32"/>
      <c r="D276" s="101" t="s">
        <v>423</v>
      </c>
      <c r="E276" s="7">
        <f>+G276-Adjustments!G276</f>
        <v>0</v>
      </c>
      <c r="F276" s="7"/>
      <c r="G276" s="7"/>
      <c r="H276" s="7"/>
      <c r="I276" s="7"/>
      <c r="J276" s="7">
        <f>+I276-'ROR-Model'!I276</f>
        <v>0</v>
      </c>
      <c r="K276" s="7"/>
      <c r="L276" s="7"/>
      <c r="M276" s="7"/>
      <c r="N276" s="7"/>
      <c r="O276" s="120"/>
      <c r="P276" s="126"/>
      <c r="Q276" s="7"/>
      <c r="R276" s="7"/>
      <c r="S276" s="126"/>
      <c r="T276" s="7"/>
      <c r="U276" s="7"/>
      <c r="V276" s="124"/>
      <c r="W276" s="7"/>
      <c r="X276" s="139"/>
      <c r="Y276" s="3">
        <f t="shared" si="13"/>
        <v>267</v>
      </c>
      <c r="AA276" s="7"/>
      <c r="AC276" s="7" t="str">
        <f t="shared" si="14"/>
        <v/>
      </c>
      <c r="AE276" s="42" t="str">
        <f t="shared" si="15"/>
        <v/>
      </c>
      <c r="AG276" s="162"/>
      <c r="AJ276" s="10" t="s">
        <v>423</v>
      </c>
    </row>
    <row r="277" spans="1:36">
      <c r="A277" s="136"/>
      <c r="B277" s="32"/>
      <c r="C277" s="32" t="s">
        <v>15</v>
      </c>
      <c r="D277" s="47"/>
      <c r="E277" s="7">
        <f>+G277-Adjustments!G277</f>
        <v>0</v>
      </c>
      <c r="F277" s="7">
        <f>Revenue!$F$276</f>
        <v>-346.29999999999984</v>
      </c>
      <c r="G277" s="7">
        <f>+Adjustments!V277</f>
        <v>0</v>
      </c>
      <c r="H277" s="7"/>
      <c r="I277" s="7">
        <f>SUM($F$277:$H$277)</f>
        <v>-346.29999999999984</v>
      </c>
      <c r="J277" s="7">
        <f>+I277-'ROR-Model'!I277</f>
        <v>0</v>
      </c>
      <c r="K277" s="7"/>
      <c r="L277" s="7" t="s">
        <v>23</v>
      </c>
      <c r="M277" s="7">
        <f>VLOOKUP($L277,$L$2:$N$7,2,FALSE)*I277</f>
        <v>0</v>
      </c>
      <c r="N277" s="7">
        <f>VLOOKUP($L277,$L$2:$N$7,3,FALSE)*I277</f>
        <v>-346.29999999999984</v>
      </c>
      <c r="O277" s="120"/>
      <c r="P277" s="126"/>
      <c r="Q277" s="7"/>
      <c r="R277" s="7"/>
      <c r="S277" s="475" t="s">
        <v>509</v>
      </c>
      <c r="T277" s="301">
        <f>IF(S277="G",N277,IF(S277="PT",0,ERR))</f>
        <v>0</v>
      </c>
      <c r="U277" s="301">
        <f>IF(S277="PT",N277,IF(S277="G",0,ERR))</f>
        <v>-346.29999999999984</v>
      </c>
      <c r="V277" s="124"/>
      <c r="W277" s="7"/>
      <c r="X277" s="139"/>
      <c r="Y277" s="3">
        <f t="shared" si="13"/>
        <v>268</v>
      </c>
      <c r="AA277" s="7"/>
      <c r="AC277" s="7" t="str">
        <f t="shared" si="14"/>
        <v/>
      </c>
      <c r="AE277" s="42" t="str">
        <f t="shared" si="15"/>
        <v/>
      </c>
      <c r="AG277" s="162"/>
      <c r="AI277" t="s">
        <v>15</v>
      </c>
      <c r="AJ277" s="10"/>
    </row>
    <row r="278" spans="1:36">
      <c r="A278" s="136"/>
      <c r="B278" s="32"/>
      <c r="C278" s="32"/>
      <c r="D278" s="47"/>
      <c r="E278" s="7">
        <f>+G278-Adjustments!G278</f>
        <v>0</v>
      </c>
      <c r="F278" s="7"/>
      <c r="G278" s="7"/>
      <c r="H278" s="7"/>
      <c r="I278" s="7"/>
      <c r="J278" s="7">
        <f>+I278-'ROR-Model'!I278</f>
        <v>0</v>
      </c>
      <c r="K278" s="7"/>
      <c r="L278" s="7"/>
      <c r="M278" s="7"/>
      <c r="N278" s="7"/>
      <c r="O278" s="120"/>
      <c r="P278" s="126"/>
      <c r="Q278" s="7"/>
      <c r="R278" s="7"/>
      <c r="S278" s="126"/>
      <c r="T278" s="7"/>
      <c r="U278" s="7"/>
      <c r="V278" s="124"/>
      <c r="W278" s="7"/>
      <c r="X278" s="139"/>
      <c r="Y278" s="3">
        <f t="shared" si="13"/>
        <v>269</v>
      </c>
      <c r="AA278" s="7"/>
      <c r="AC278" s="7" t="str">
        <f t="shared" si="14"/>
        <v/>
      </c>
      <c r="AE278" s="42" t="str">
        <f t="shared" si="15"/>
        <v/>
      </c>
      <c r="AG278" s="162"/>
      <c r="AJ278" s="10"/>
    </row>
    <row r="279" spans="1:36">
      <c r="A279" s="136"/>
      <c r="B279" s="58"/>
      <c r="C279" s="32" t="s">
        <v>16</v>
      </c>
      <c r="D279" s="47"/>
      <c r="E279" s="7">
        <f>+G279-Adjustments!G279</f>
        <v>0</v>
      </c>
      <c r="F279" s="7">
        <f>Revenue!$F$278</f>
        <v>723134.59000000008</v>
      </c>
      <c r="G279" s="7">
        <f>+Adjustments!V279</f>
        <v>0</v>
      </c>
      <c r="H279" s="7"/>
      <c r="I279" s="7">
        <f>SUM($F$279:$H$279)</f>
        <v>723134.59000000008</v>
      </c>
      <c r="J279" s="7">
        <f>+I279-'ROR-Model'!I279</f>
        <v>0</v>
      </c>
      <c r="K279" s="7"/>
      <c r="L279" s="7" t="s">
        <v>23</v>
      </c>
      <c r="M279" s="7">
        <f>VLOOKUP($L279,$L$2:$N$7,2,FALSE)*I279</f>
        <v>0</v>
      </c>
      <c r="N279" s="7">
        <f>VLOOKUP($L279,$L$2:$N$7,3,FALSE)*I279</f>
        <v>723134.59000000008</v>
      </c>
      <c r="O279" s="120"/>
      <c r="P279" s="126" t="s">
        <v>509</v>
      </c>
      <c r="Q279" s="7">
        <f>IF(P279="G",M279,IF(P279="PT",0,ERR))</f>
        <v>0</v>
      </c>
      <c r="R279" s="7">
        <f>IF(P279="PT",M279,IF(P279="G",0,ERR))</f>
        <v>0</v>
      </c>
      <c r="S279" s="126" t="s">
        <v>509</v>
      </c>
      <c r="T279" s="7">
        <f>IF(S279="G",N279,IF(S279="PT",0,ERR))</f>
        <v>0</v>
      </c>
      <c r="U279" s="7">
        <f>IF(S279="PT",N279,IF(S279="G",0,ERR))</f>
        <v>723134.59000000008</v>
      </c>
      <c r="V279" s="124"/>
      <c r="W279" s="7">
        <f>HLOOKUP($W$9,'ROR-Model'!$Q$10:$U$1273,Y279)</f>
        <v>0</v>
      </c>
      <c r="X279" s="139"/>
      <c r="Y279" s="3">
        <f t="shared" si="13"/>
        <v>270</v>
      </c>
      <c r="AA279" s="7">
        <v>0</v>
      </c>
      <c r="AC279" s="7" t="str">
        <f t="shared" si="14"/>
        <v/>
      </c>
      <c r="AE279" s="42" t="str">
        <f t="shared" si="15"/>
        <v/>
      </c>
      <c r="AG279" s="162"/>
      <c r="AH279" s="1"/>
      <c r="AI279" t="s">
        <v>16</v>
      </c>
      <c r="AJ279" s="10"/>
    </row>
    <row r="280" spans="1:36">
      <c r="A280" s="136"/>
      <c r="B280" s="58"/>
      <c r="C280" s="32" t="s">
        <v>17</v>
      </c>
      <c r="D280" s="47"/>
      <c r="E280" s="140">
        <f>+G280-Adjustments!G280</f>
        <v>0</v>
      </c>
      <c r="F280" s="140">
        <f>SUM(F275:F279)</f>
        <v>761564.70000000007</v>
      </c>
      <c r="G280" s="140">
        <f>SUM(G275:G279)</f>
        <v>0</v>
      </c>
      <c r="H280" s="140">
        <f>SUM(H275:H279)</f>
        <v>0</v>
      </c>
      <c r="I280" s="140">
        <f>SUM(I275:I279)</f>
        <v>761564.70000000007</v>
      </c>
      <c r="J280" s="7">
        <f>+I280-'ROR-Model'!I280</f>
        <v>0</v>
      </c>
      <c r="K280" s="7"/>
      <c r="L280" s="140"/>
      <c r="M280" s="140">
        <f>SUM(M275:M279)</f>
        <v>0</v>
      </c>
      <c r="N280" s="140">
        <f>SUM(N275:N279)</f>
        <v>761564.70000000007</v>
      </c>
      <c r="O280" s="120"/>
      <c r="P280" s="201"/>
      <c r="Q280" s="140">
        <f>SUM(Q275:Q279)</f>
        <v>0</v>
      </c>
      <c r="R280" s="140">
        <f>SUM(R275:R279)</f>
        <v>0</v>
      </c>
      <c r="S280" s="201"/>
      <c r="T280" s="140">
        <f>SUM(T275:T279)</f>
        <v>0</v>
      </c>
      <c r="U280" s="140">
        <f>SUM(U275:U279)</f>
        <v>761564.70000000007</v>
      </c>
      <c r="V280" s="124"/>
      <c r="W280" s="140">
        <f>HLOOKUP($W$9,'ROR-Model'!$Q$10:$U$1273,Y280)</f>
        <v>0</v>
      </c>
      <c r="X280" s="139"/>
      <c r="Y280" s="3">
        <f t="shared" si="13"/>
        <v>271</v>
      </c>
      <c r="AA280" s="140">
        <v>0</v>
      </c>
      <c r="AC280" s="140" t="str">
        <f t="shared" si="14"/>
        <v/>
      </c>
      <c r="AE280" s="42" t="str">
        <f t="shared" si="15"/>
        <v/>
      </c>
      <c r="AG280" s="162"/>
      <c r="AH280" s="1"/>
      <c r="AI280" t="s">
        <v>17</v>
      </c>
      <c r="AJ280" s="10"/>
    </row>
    <row r="281" spans="1:36">
      <c r="A281" s="136"/>
      <c r="B281" s="58"/>
      <c r="C281" s="32"/>
      <c r="D281" s="47"/>
      <c r="E281" s="7">
        <f>+G281-Adjustments!G281</f>
        <v>0</v>
      </c>
      <c r="F281" s="7"/>
      <c r="G281" s="7"/>
      <c r="H281" s="7"/>
      <c r="I281" s="7"/>
      <c r="J281" s="7">
        <f>+I281-'ROR-Model'!I281</f>
        <v>0</v>
      </c>
      <c r="K281" s="7"/>
      <c r="L281" s="7"/>
      <c r="M281" s="7"/>
      <c r="N281" s="7"/>
      <c r="O281" s="120"/>
      <c r="P281" s="126"/>
      <c r="Q281" s="7"/>
      <c r="R281" s="7"/>
      <c r="S281" s="126"/>
      <c r="T281" s="7"/>
      <c r="U281" s="7"/>
      <c r="V281" s="124"/>
      <c r="W281" s="7"/>
      <c r="X281" s="139"/>
      <c r="Y281" s="3">
        <f t="shared" si="13"/>
        <v>272</v>
      </c>
      <c r="AA281" s="7"/>
      <c r="AC281" s="7" t="str">
        <f t="shared" si="14"/>
        <v/>
      </c>
      <c r="AE281" s="42" t="str">
        <f t="shared" si="15"/>
        <v/>
      </c>
      <c r="AG281" s="162"/>
      <c r="AH281" s="1"/>
      <c r="AJ281" s="10"/>
    </row>
    <row r="282" spans="1:36">
      <c r="A282" s="136"/>
      <c r="B282" s="58"/>
      <c r="C282" s="32" t="s">
        <v>18</v>
      </c>
      <c r="D282" s="47"/>
      <c r="E282" s="7">
        <f>+G282-Adjustments!G282</f>
        <v>0</v>
      </c>
      <c r="F282" s="7">
        <f>Revenue!$F$281</f>
        <v>87551.849000000002</v>
      </c>
      <c r="G282" s="7">
        <f>+Adjustments!V282</f>
        <v>0</v>
      </c>
      <c r="H282" s="7"/>
      <c r="I282" s="7">
        <f>SUM($F$282:$H$282)</f>
        <v>87551.849000000002</v>
      </c>
      <c r="J282" s="7">
        <f>+I282-'ROR-Model'!I282</f>
        <v>0</v>
      </c>
      <c r="K282" s="7"/>
      <c r="L282" s="7" t="s">
        <v>23</v>
      </c>
      <c r="M282" s="7">
        <f>VLOOKUP($L282,$L$2:$N$7,2,FALSE)*I282</f>
        <v>0</v>
      </c>
      <c r="N282" s="7">
        <f>VLOOKUP($L282,$L$2:$N$7,3,FALSE)*I282</f>
        <v>87551.849000000002</v>
      </c>
      <c r="O282" s="120"/>
      <c r="P282" s="126" t="s">
        <v>510</v>
      </c>
      <c r="Q282" s="7">
        <f>IF(P282="G",M282,IF(P282="PT",0,ERR))</f>
        <v>0</v>
      </c>
      <c r="R282" s="7">
        <f>IF(P282="PT",M282,IF(P282="G",0,ERR))</f>
        <v>0</v>
      </c>
      <c r="S282" s="126" t="s">
        <v>509</v>
      </c>
      <c r="T282" s="7">
        <f>IF(S282="G",N282,IF(S282="PT",0,ERR))</f>
        <v>0</v>
      </c>
      <c r="U282" s="7">
        <f>IF(S282="PT",N282,IF(S282="G",0,ERR))</f>
        <v>87551.849000000002</v>
      </c>
      <c r="V282" s="124"/>
      <c r="W282" s="7">
        <f>HLOOKUP($W$9,'ROR-Model'!$Q$10:$U$1273,Y282)</f>
        <v>0</v>
      </c>
      <c r="X282" s="139"/>
      <c r="Y282" s="3">
        <f t="shared" si="13"/>
        <v>273</v>
      </c>
      <c r="AA282" s="7">
        <v>0</v>
      </c>
      <c r="AC282" s="7" t="str">
        <f t="shared" si="14"/>
        <v/>
      </c>
      <c r="AE282" s="42" t="str">
        <f t="shared" si="15"/>
        <v/>
      </c>
      <c r="AG282" s="162"/>
      <c r="AH282" s="1"/>
      <c r="AI282" t="s">
        <v>18</v>
      </c>
      <c r="AJ282" s="10"/>
    </row>
    <row r="283" spans="1:36">
      <c r="A283" s="136"/>
      <c r="B283" s="32"/>
      <c r="C283" s="32"/>
      <c r="D283" s="47"/>
      <c r="E283" s="7">
        <f>+G283-Adjustments!G283</f>
        <v>0</v>
      </c>
      <c r="F283" s="7"/>
      <c r="G283" s="7"/>
      <c r="H283" s="7"/>
      <c r="I283" s="7"/>
      <c r="J283" s="7">
        <f>+I283-'ROR-Model'!I283</f>
        <v>0</v>
      </c>
      <c r="K283" s="7"/>
      <c r="L283" s="7"/>
      <c r="M283" s="7"/>
      <c r="N283" s="7"/>
      <c r="O283" s="120"/>
      <c r="P283" s="126"/>
      <c r="Q283" s="7"/>
      <c r="R283" s="7"/>
      <c r="S283" s="126"/>
      <c r="T283" s="7"/>
      <c r="U283" s="7"/>
      <c r="V283" s="124"/>
      <c r="W283" s="7"/>
      <c r="X283" s="139"/>
      <c r="Y283" s="3">
        <f t="shared" si="13"/>
        <v>274</v>
      </c>
      <c r="AA283" s="7"/>
      <c r="AC283" s="7" t="str">
        <f t="shared" si="14"/>
        <v/>
      </c>
      <c r="AE283" s="42" t="str">
        <f t="shared" si="15"/>
        <v/>
      </c>
      <c r="AG283" s="162"/>
      <c r="AJ283" s="10"/>
    </row>
    <row r="284" spans="1:36">
      <c r="A284" s="136"/>
      <c r="B284" s="58" t="s">
        <v>79</v>
      </c>
      <c r="C284" s="32" t="s">
        <v>14</v>
      </c>
      <c r="D284" s="47"/>
      <c r="E284" s="7">
        <f>+G284-Adjustments!G284</f>
        <v>0</v>
      </c>
      <c r="F284" s="7">
        <f>Revenue!$F$283</f>
        <v>0</v>
      </c>
      <c r="G284" s="7">
        <f>+Adjustments!V284</f>
        <v>0</v>
      </c>
      <c r="H284" s="7"/>
      <c r="I284" s="7">
        <f>SUM($F$284:$H$284)</f>
        <v>0</v>
      </c>
      <c r="J284" s="7">
        <f>+I284-'ROR-Model'!I284</f>
        <v>0</v>
      </c>
      <c r="K284" s="7"/>
      <c r="L284" s="7" t="s">
        <v>23</v>
      </c>
      <c r="M284" s="7">
        <f>VLOOKUP($L284,$L$2:$N$7,2,FALSE)*I284</f>
        <v>0</v>
      </c>
      <c r="N284" s="7">
        <f>VLOOKUP($L284,$L$2:$N$7,3,FALSE)*I284</f>
        <v>0</v>
      </c>
      <c r="O284" s="120"/>
      <c r="P284" s="126" t="s">
        <v>510</v>
      </c>
      <c r="Q284" s="7">
        <f>IF(P284="G",M284,IF(P284="PT",0,ERR))</f>
        <v>0</v>
      </c>
      <c r="R284" s="7">
        <f>IF(P284="PT",M284,IF(P284="G",0,ERR))</f>
        <v>0</v>
      </c>
      <c r="S284" s="475" t="s">
        <v>509</v>
      </c>
      <c r="T284" s="7">
        <f>IF(S284="G",N284,IF(S284="PT",0,ERR))</f>
        <v>0</v>
      </c>
      <c r="U284" s="7">
        <f>IF(S284="PT",N284,IF(S284="G",0,ERR))</f>
        <v>0</v>
      </c>
      <c r="V284" s="124"/>
      <c r="W284" s="7">
        <f>HLOOKUP($W$9,'ROR-Model'!$Q$10:$U$1273,Y284)</f>
        <v>0</v>
      </c>
      <c r="X284" s="139"/>
      <c r="Y284" s="3">
        <f t="shared" si="13"/>
        <v>275</v>
      </c>
      <c r="AA284" s="7">
        <v>0</v>
      </c>
      <c r="AC284" s="7" t="str">
        <f t="shared" si="14"/>
        <v/>
      </c>
      <c r="AE284" s="42" t="str">
        <f t="shared" si="15"/>
        <v/>
      </c>
      <c r="AG284" s="162"/>
      <c r="AH284" s="1" t="s">
        <v>79</v>
      </c>
      <c r="AI284" t="s">
        <v>14</v>
      </c>
      <c r="AJ284" s="10"/>
    </row>
    <row r="285" spans="1:36">
      <c r="A285" s="136"/>
      <c r="B285" s="32"/>
      <c r="C285" s="32"/>
      <c r="D285" s="101" t="s">
        <v>423</v>
      </c>
      <c r="E285" s="7">
        <f>+G285-Adjustments!G285</f>
        <v>0</v>
      </c>
      <c r="F285" s="7"/>
      <c r="G285" s="7"/>
      <c r="H285" s="7"/>
      <c r="I285" s="7"/>
      <c r="J285" s="7">
        <f>+I285-'ROR-Model'!I285</f>
        <v>0</v>
      </c>
      <c r="K285" s="7"/>
      <c r="L285" s="7"/>
      <c r="M285" s="7"/>
      <c r="N285" s="7"/>
      <c r="O285" s="120"/>
      <c r="P285" s="126"/>
      <c r="Q285" s="7"/>
      <c r="R285" s="7"/>
      <c r="S285" s="126"/>
      <c r="T285" s="7"/>
      <c r="U285" s="7"/>
      <c r="V285" s="124"/>
      <c r="W285" s="7"/>
      <c r="X285" s="139"/>
      <c r="Y285" s="3">
        <f t="shared" si="13"/>
        <v>276</v>
      </c>
      <c r="AA285" s="7"/>
      <c r="AC285" s="7" t="str">
        <f t="shared" si="14"/>
        <v/>
      </c>
      <c r="AE285" s="42" t="str">
        <f t="shared" si="15"/>
        <v/>
      </c>
      <c r="AG285" s="162"/>
      <c r="AJ285" s="10" t="s">
        <v>423</v>
      </c>
    </row>
    <row r="286" spans="1:36">
      <c r="A286" s="136"/>
      <c r="B286" s="32"/>
      <c r="C286" s="32" t="s">
        <v>15</v>
      </c>
      <c r="D286" s="47"/>
      <c r="E286" s="7">
        <f>+G286-Adjustments!G286</f>
        <v>0</v>
      </c>
      <c r="F286" s="7">
        <f>Revenue!$F$285</f>
        <v>0</v>
      </c>
      <c r="G286" s="7">
        <f>+Adjustments!V286</f>
        <v>0</v>
      </c>
      <c r="H286" s="7"/>
      <c r="I286" s="7">
        <f>SUM($F$286:$H$286)</f>
        <v>0</v>
      </c>
      <c r="J286" s="7">
        <f>+I286-'ROR-Model'!I286</f>
        <v>0</v>
      </c>
      <c r="K286" s="7"/>
      <c r="L286" s="7" t="s">
        <v>23</v>
      </c>
      <c r="M286" s="7">
        <f>VLOOKUP($L286,$L$2:$N$7,2,FALSE)*I286</f>
        <v>0</v>
      </c>
      <c r="N286" s="7">
        <f>VLOOKUP($L286,$L$2:$N$7,3,FALSE)*I286</f>
        <v>0</v>
      </c>
      <c r="O286" s="120"/>
      <c r="P286" s="126" t="s">
        <v>509</v>
      </c>
      <c r="Q286" s="7"/>
      <c r="R286" s="7"/>
      <c r="S286" s="126" t="s">
        <v>509</v>
      </c>
      <c r="T286" s="7">
        <f>IF(S286="G",N286,IF(S286="PT",0,ERR))</f>
        <v>0</v>
      </c>
      <c r="U286" s="7">
        <f>IF(S286="PT",N286,IF(S286="G",0,ERR))</f>
        <v>0</v>
      </c>
      <c r="V286" s="124"/>
      <c r="W286" s="7">
        <f>HLOOKUP($W$9,'ROR-Model'!$Q$10:$U$1273,Y286)</f>
        <v>0</v>
      </c>
      <c r="X286" s="139"/>
      <c r="Y286" s="3">
        <f t="shared" si="13"/>
        <v>277</v>
      </c>
      <c r="AA286" s="7">
        <v>0</v>
      </c>
      <c r="AC286" s="7" t="str">
        <f t="shared" si="14"/>
        <v/>
      </c>
      <c r="AE286" s="42" t="str">
        <f t="shared" si="15"/>
        <v/>
      </c>
      <c r="AG286" s="162"/>
      <c r="AI286" t="s">
        <v>15</v>
      </c>
      <c r="AJ286" s="10"/>
    </row>
    <row r="287" spans="1:36">
      <c r="A287" s="136"/>
      <c r="B287" s="32"/>
      <c r="C287" s="32"/>
      <c r="D287" s="47"/>
      <c r="E287" s="7">
        <f>+G287-Adjustments!G287</f>
        <v>0</v>
      </c>
      <c r="F287" s="7"/>
      <c r="G287" s="7"/>
      <c r="H287" s="7"/>
      <c r="I287" s="7"/>
      <c r="J287" s="7">
        <f>+I287-'ROR-Model'!I287</f>
        <v>0</v>
      </c>
      <c r="K287" s="7"/>
      <c r="L287" s="7"/>
      <c r="M287" s="7"/>
      <c r="N287" s="7"/>
      <c r="O287" s="120"/>
      <c r="P287" s="126"/>
      <c r="Q287" s="7"/>
      <c r="R287" s="7"/>
      <c r="S287" s="126"/>
      <c r="T287" s="7"/>
      <c r="U287" s="7"/>
      <c r="V287" s="124"/>
      <c r="W287" s="7"/>
      <c r="X287" s="139"/>
      <c r="Y287" s="3">
        <f t="shared" si="13"/>
        <v>278</v>
      </c>
      <c r="AA287" s="7"/>
      <c r="AC287" s="7" t="str">
        <f t="shared" si="14"/>
        <v/>
      </c>
      <c r="AE287" s="42" t="str">
        <f t="shared" si="15"/>
        <v/>
      </c>
      <c r="AG287" s="162"/>
      <c r="AJ287" s="10"/>
    </row>
    <row r="288" spans="1:36">
      <c r="A288" s="136"/>
      <c r="B288" s="58"/>
      <c r="C288" s="32" t="s">
        <v>16</v>
      </c>
      <c r="D288" s="47"/>
      <c r="E288" s="7">
        <f>+G288-Adjustments!G288</f>
        <v>0</v>
      </c>
      <c r="F288" s="7">
        <f>Revenue!$F$287</f>
        <v>0</v>
      </c>
      <c r="G288" s="7">
        <f>+Adjustments!V288</f>
        <v>0</v>
      </c>
      <c r="H288" s="7"/>
      <c r="I288" s="7">
        <f>SUM($F$288:$H$288)</f>
        <v>0</v>
      </c>
      <c r="J288" s="7">
        <f>+I288-'ROR-Model'!I288</f>
        <v>0</v>
      </c>
      <c r="K288" s="7"/>
      <c r="L288" s="7" t="s">
        <v>23</v>
      </c>
      <c r="M288" s="7">
        <f>VLOOKUP($L288,$L$2:$N$7,2,FALSE)*I288</f>
        <v>0</v>
      </c>
      <c r="N288" s="7">
        <f>VLOOKUP($L288,$L$2:$N$7,3,FALSE)*I288</f>
        <v>0</v>
      </c>
      <c r="O288" s="120"/>
      <c r="P288" s="126" t="s">
        <v>509</v>
      </c>
      <c r="Q288" s="7">
        <f>IF(P288="G",M288,IF(P288="PT",0,ERR))</f>
        <v>0</v>
      </c>
      <c r="R288" s="7">
        <f>IF(P288="PT",M288,IF(P288="G",0,ERR))</f>
        <v>0</v>
      </c>
      <c r="S288" s="126" t="s">
        <v>509</v>
      </c>
      <c r="T288" s="7">
        <f>IF(S288="G",N288,IF(S288="PT",0,ERR))</f>
        <v>0</v>
      </c>
      <c r="U288" s="7">
        <f>IF(S288="PT",N288,IF(S288="G",0,ERR))</f>
        <v>0</v>
      </c>
      <c r="V288" s="124"/>
      <c r="W288" s="7">
        <f>HLOOKUP($W$9,'ROR-Model'!$Q$10:$U$1273,Y288)</f>
        <v>0</v>
      </c>
      <c r="X288" s="139"/>
      <c r="Y288" s="3">
        <f t="shared" si="13"/>
        <v>279</v>
      </c>
      <c r="AA288" s="7">
        <v>0</v>
      </c>
      <c r="AC288" s="7" t="str">
        <f t="shared" si="14"/>
        <v/>
      </c>
      <c r="AE288" s="42" t="str">
        <f t="shared" si="15"/>
        <v/>
      </c>
      <c r="AG288" s="162"/>
      <c r="AH288" s="1"/>
      <c r="AI288" t="s">
        <v>16</v>
      </c>
      <c r="AJ288" s="10"/>
    </row>
    <row r="289" spans="1:36">
      <c r="A289" s="136"/>
      <c r="B289" s="58"/>
      <c r="C289" s="32" t="s">
        <v>17</v>
      </c>
      <c r="D289" s="47"/>
      <c r="E289" s="140">
        <f>+G289-Adjustments!G289</f>
        <v>0</v>
      </c>
      <c r="F289" s="140">
        <f>SUM(F284:F288)</f>
        <v>0</v>
      </c>
      <c r="G289" s="140">
        <f>SUM(G284:G288)</f>
        <v>0</v>
      </c>
      <c r="H289" s="140">
        <f>SUM(H284:H288)</f>
        <v>0</v>
      </c>
      <c r="I289" s="140">
        <f>SUM(I284:I288)</f>
        <v>0</v>
      </c>
      <c r="J289" s="7">
        <f>+I289-'ROR-Model'!I289</f>
        <v>0</v>
      </c>
      <c r="K289" s="7"/>
      <c r="L289" s="140"/>
      <c r="M289" s="140">
        <f>SUM(M284:M288)</f>
        <v>0</v>
      </c>
      <c r="N289" s="140">
        <f>SUM(N284:N288)</f>
        <v>0</v>
      </c>
      <c r="O289" s="120"/>
      <c r="P289" s="201"/>
      <c r="Q289" s="140">
        <f>SUM(Q284:Q288)</f>
        <v>0</v>
      </c>
      <c r="R289" s="140">
        <f>SUM(R284:R288)</f>
        <v>0</v>
      </c>
      <c r="S289" s="201"/>
      <c r="T289" s="140">
        <f>SUM(T284:T288)</f>
        <v>0</v>
      </c>
      <c r="U289" s="140">
        <f>SUM(U284:U288)</f>
        <v>0</v>
      </c>
      <c r="V289" s="124"/>
      <c r="W289" s="140">
        <f>HLOOKUP($W$9,'ROR-Model'!$Q$10:$U$1273,Y289)</f>
        <v>0</v>
      </c>
      <c r="X289" s="139"/>
      <c r="Y289" s="3">
        <f t="shared" si="13"/>
        <v>280</v>
      </c>
      <c r="AA289" s="140">
        <v>0</v>
      </c>
      <c r="AC289" s="140" t="str">
        <f t="shared" si="14"/>
        <v/>
      </c>
      <c r="AE289" s="42" t="str">
        <f t="shared" si="15"/>
        <v/>
      </c>
      <c r="AG289" s="162"/>
      <c r="AH289" s="1"/>
      <c r="AI289" t="s">
        <v>17</v>
      </c>
      <c r="AJ289" s="10"/>
    </row>
    <row r="290" spans="1:36">
      <c r="A290" s="136"/>
      <c r="B290" s="58"/>
      <c r="C290" s="32"/>
      <c r="D290" s="47"/>
      <c r="E290" s="7">
        <f>+G290-Adjustments!G290</f>
        <v>0</v>
      </c>
      <c r="F290" s="7"/>
      <c r="G290" s="7"/>
      <c r="H290" s="7"/>
      <c r="I290" s="7"/>
      <c r="J290" s="7">
        <f>+I290-'ROR-Model'!I290</f>
        <v>0</v>
      </c>
      <c r="K290" s="7"/>
      <c r="L290" s="7"/>
      <c r="M290" s="7"/>
      <c r="N290" s="7"/>
      <c r="O290" s="120"/>
      <c r="P290" s="126"/>
      <c r="Q290" s="7"/>
      <c r="R290" s="7"/>
      <c r="S290" s="126"/>
      <c r="T290" s="7"/>
      <c r="U290" s="7"/>
      <c r="V290" s="124"/>
      <c r="W290" s="7"/>
      <c r="X290" s="139"/>
      <c r="Y290" s="3">
        <f t="shared" si="13"/>
        <v>281</v>
      </c>
      <c r="AA290" s="7"/>
      <c r="AC290" s="7" t="str">
        <f t="shared" si="14"/>
        <v/>
      </c>
      <c r="AE290" s="42" t="str">
        <f t="shared" si="15"/>
        <v/>
      </c>
      <c r="AG290" s="162"/>
      <c r="AH290" s="1"/>
      <c r="AJ290" s="10"/>
    </row>
    <row r="291" spans="1:36">
      <c r="A291" s="136"/>
      <c r="B291" s="58"/>
      <c r="C291" s="32" t="s">
        <v>18</v>
      </c>
      <c r="D291" s="47"/>
      <c r="E291" s="7">
        <f>+G291-Adjustments!G291</f>
        <v>0</v>
      </c>
      <c r="F291" s="7">
        <f>Revenue!$F$290</f>
        <v>0</v>
      </c>
      <c r="G291" s="7">
        <f>+Adjustments!V291</f>
        <v>0</v>
      </c>
      <c r="H291" s="7"/>
      <c r="I291" s="7">
        <f>SUM($F$291:$H$291)</f>
        <v>0</v>
      </c>
      <c r="J291" s="7">
        <f>+I291-'ROR-Model'!I291</f>
        <v>0</v>
      </c>
      <c r="K291" s="7"/>
      <c r="L291" s="7" t="s">
        <v>23</v>
      </c>
      <c r="M291" s="7">
        <f>VLOOKUP($L291,$L$2:$N$7,2,FALSE)*I291</f>
        <v>0</v>
      </c>
      <c r="N291" s="7">
        <f>VLOOKUP($L291,$L$2:$N$7,3,FALSE)*I291</f>
        <v>0</v>
      </c>
      <c r="O291" s="120"/>
      <c r="P291" s="126" t="s">
        <v>510</v>
      </c>
      <c r="Q291" s="7">
        <f>IF(P291="G",M291,IF(P291="PT",0,ERR))</f>
        <v>0</v>
      </c>
      <c r="R291" s="7">
        <f>IF(P291="PT",M291,IF(P291="G",0,ERR))</f>
        <v>0</v>
      </c>
      <c r="S291" s="475" t="s">
        <v>509</v>
      </c>
      <c r="T291" s="7">
        <f>IF(S291="G",N291,IF(S291="PT",0,ERR))</f>
        <v>0</v>
      </c>
      <c r="U291" s="7">
        <f>IF(S291="PT",N291,IF(S291="G",0,ERR))</f>
        <v>0</v>
      </c>
      <c r="V291" s="124"/>
      <c r="W291" s="7">
        <f>HLOOKUP($W$9,'ROR-Model'!$Q$10:$U$1273,Y291)</f>
        <v>0</v>
      </c>
      <c r="X291" s="139"/>
      <c r="Y291" s="3">
        <f t="shared" si="13"/>
        <v>282</v>
      </c>
      <c r="AA291" s="7">
        <v>0</v>
      </c>
      <c r="AC291" s="7" t="str">
        <f t="shared" si="14"/>
        <v/>
      </c>
      <c r="AE291" s="42" t="str">
        <f t="shared" si="15"/>
        <v/>
      </c>
      <c r="AG291" s="162"/>
      <c r="AH291" s="1"/>
      <c r="AI291" t="s">
        <v>18</v>
      </c>
      <c r="AJ291" s="10"/>
    </row>
    <row r="292" spans="1:36">
      <c r="A292" s="136"/>
      <c r="B292" s="32"/>
      <c r="C292" s="32"/>
      <c r="D292" s="47"/>
      <c r="E292" s="7">
        <f>+G292-Adjustments!G292</f>
        <v>0</v>
      </c>
      <c r="F292" s="7"/>
      <c r="G292" s="7"/>
      <c r="H292" s="7"/>
      <c r="I292" s="7"/>
      <c r="J292" s="7">
        <f>+I292-'ROR-Model'!I292</f>
        <v>0</v>
      </c>
      <c r="K292" s="7"/>
      <c r="L292" s="7"/>
      <c r="M292" s="7"/>
      <c r="N292" s="7"/>
      <c r="O292" s="120"/>
      <c r="P292" s="126"/>
      <c r="Q292" s="7"/>
      <c r="R292" s="7"/>
      <c r="S292" s="126"/>
      <c r="T292" s="7"/>
      <c r="U292" s="7"/>
      <c r="V292" s="124"/>
      <c r="W292" s="7"/>
      <c r="X292" s="139"/>
      <c r="Y292" s="3">
        <f t="shared" si="13"/>
        <v>283</v>
      </c>
      <c r="AA292" s="7"/>
      <c r="AC292" s="7" t="str">
        <f t="shared" si="14"/>
        <v/>
      </c>
      <c r="AE292" s="42" t="str">
        <f t="shared" si="15"/>
        <v/>
      </c>
      <c r="AG292" s="162"/>
      <c r="AJ292" s="10"/>
    </row>
    <row r="293" spans="1:36">
      <c r="A293" s="461"/>
      <c r="B293" s="32" t="s">
        <v>24</v>
      </c>
      <c r="C293" s="32" t="s">
        <v>14</v>
      </c>
      <c r="D293" s="265"/>
      <c r="E293" s="301">
        <f>+G293-Adjustments!G293</f>
        <v>0</v>
      </c>
      <c r="F293" s="301">
        <f>Revenue!$F$292</f>
        <v>0</v>
      </c>
      <c r="G293" s="301">
        <f>+Adjustments!V293</f>
        <v>0</v>
      </c>
      <c r="H293" s="301"/>
      <c r="I293" s="301">
        <f>SUM($F$293:$H$293)</f>
        <v>0</v>
      </c>
      <c r="J293" s="7">
        <f>+I293-'ROR-Model'!I293</f>
        <v>0</v>
      </c>
      <c r="K293" s="301"/>
      <c r="L293" s="301" t="s">
        <v>23</v>
      </c>
      <c r="M293" s="301">
        <f>VLOOKUP($L293,$L$2:$N$7,2,FALSE)*I293</f>
        <v>0</v>
      </c>
      <c r="N293" s="301">
        <f>VLOOKUP($L293,$L$2:$N$7,3,FALSE)*I293</f>
        <v>0</v>
      </c>
      <c r="O293" s="578"/>
      <c r="P293" s="475" t="s">
        <v>510</v>
      </c>
      <c r="Q293" s="301">
        <f>IF(P293="G",M293,IF(P293="PT",0,ERR))</f>
        <v>0</v>
      </c>
      <c r="R293" s="301">
        <f>IF(P293="PT",M293,IF(P293="G",0,ERR))</f>
        <v>0</v>
      </c>
      <c r="S293" s="475" t="s">
        <v>509</v>
      </c>
      <c r="T293" s="7">
        <f>IF(S293="G",N293,IF(S293="PT",0,ERR))</f>
        <v>0</v>
      </c>
      <c r="U293" s="301">
        <f>IF(S293="PT",N293,IF(S293="G",0,ERR))</f>
        <v>0</v>
      </c>
      <c r="V293" s="579"/>
      <c r="W293" s="301">
        <f>HLOOKUP($W$9,'ROR-Model'!$Q$10:$U$1273,Y293)</f>
        <v>0</v>
      </c>
      <c r="X293" s="303"/>
      <c r="Y293" s="3">
        <f t="shared" si="13"/>
        <v>284</v>
      </c>
      <c r="AA293" s="301">
        <v>0</v>
      </c>
      <c r="AC293" s="301" t="str">
        <f t="shared" si="14"/>
        <v/>
      </c>
      <c r="AE293" s="42" t="str">
        <f t="shared" si="15"/>
        <v/>
      </c>
      <c r="AG293" s="162"/>
      <c r="AH293" t="s">
        <v>24</v>
      </c>
      <c r="AI293" t="s">
        <v>14</v>
      </c>
      <c r="AJ293" s="10"/>
    </row>
    <row r="294" spans="1:36">
      <c r="A294" s="136"/>
      <c r="B294" s="32" t="s">
        <v>637</v>
      </c>
      <c r="C294" s="32" t="s">
        <v>417</v>
      </c>
      <c r="D294" s="101"/>
      <c r="E294" s="7">
        <f>+G294-Adjustments!G294</f>
        <v>0</v>
      </c>
      <c r="F294" s="7"/>
      <c r="G294" s="7"/>
      <c r="H294" s="7"/>
      <c r="I294" s="7"/>
      <c r="J294" s="7">
        <f>+I294-'ROR-Model'!I294</f>
        <v>0</v>
      </c>
      <c r="K294" s="7"/>
      <c r="L294" s="7"/>
      <c r="M294" s="7"/>
      <c r="N294" s="7"/>
      <c r="O294" s="120"/>
      <c r="P294" s="126"/>
      <c r="Q294" s="7"/>
      <c r="R294" s="7"/>
      <c r="S294" s="126"/>
      <c r="T294" s="7"/>
      <c r="U294" s="7"/>
      <c r="V294" s="124"/>
      <c r="W294" s="7"/>
      <c r="X294" s="139"/>
      <c r="Y294" s="3">
        <f t="shared" si="13"/>
        <v>285</v>
      </c>
      <c r="AA294" s="7"/>
      <c r="AC294" s="7" t="str">
        <f t="shared" si="14"/>
        <v/>
      </c>
      <c r="AE294" s="42" t="str">
        <f t="shared" si="15"/>
        <v/>
      </c>
      <c r="AG294" s="162"/>
      <c r="AH294" t="s">
        <v>637</v>
      </c>
      <c r="AI294" t="s">
        <v>417</v>
      </c>
      <c r="AJ294" s="10"/>
    </row>
    <row r="295" spans="1:36">
      <c r="A295" s="136"/>
      <c r="B295" s="32"/>
      <c r="C295" s="32"/>
      <c r="D295" s="47"/>
      <c r="E295" s="7">
        <f>+G295-Adjustments!G295</f>
        <v>0</v>
      </c>
      <c r="F295" s="7"/>
      <c r="G295" s="7">
        <f>+Adjustments!V295</f>
        <v>0</v>
      </c>
      <c r="H295" s="7"/>
      <c r="I295" s="7">
        <f>SUM($F$295:$H$295)</f>
        <v>0</v>
      </c>
      <c r="J295" s="7">
        <f>+I295-'ROR-Model'!I295</f>
        <v>0</v>
      </c>
      <c r="K295" s="7"/>
      <c r="L295" s="7" t="s">
        <v>23</v>
      </c>
      <c r="M295" s="7">
        <f>VLOOKUP($L295,$L$2:$N$7,2,FALSE)*I295</f>
        <v>0</v>
      </c>
      <c r="N295" s="7">
        <f>VLOOKUP($L295,$L$2:$N$7,3,FALSE)*I295</f>
        <v>0</v>
      </c>
      <c r="O295" s="120"/>
      <c r="P295" s="126"/>
      <c r="Q295" s="7"/>
      <c r="R295" s="7"/>
      <c r="S295" s="126"/>
      <c r="T295" s="7"/>
      <c r="U295" s="7"/>
      <c r="V295" s="124"/>
      <c r="W295" s="7"/>
      <c r="X295" s="139"/>
      <c r="Y295" s="3">
        <f t="shared" si="13"/>
        <v>286</v>
      </c>
      <c r="AA295" s="7"/>
      <c r="AC295" s="7" t="str">
        <f t="shared" si="14"/>
        <v/>
      </c>
      <c r="AE295" s="42" t="str">
        <f t="shared" si="15"/>
        <v/>
      </c>
      <c r="AG295" s="162"/>
      <c r="AJ295" s="10"/>
    </row>
    <row r="296" spans="1:36">
      <c r="A296" s="136"/>
      <c r="B296" s="32"/>
      <c r="C296" s="32"/>
      <c r="D296" s="47"/>
      <c r="E296" s="7">
        <f>+G296-Adjustments!G296</f>
        <v>0</v>
      </c>
      <c r="F296" s="7"/>
      <c r="G296" s="7"/>
      <c r="H296" s="7"/>
      <c r="I296" s="7"/>
      <c r="J296" s="7">
        <f>+I296-'ROR-Model'!I296</f>
        <v>0</v>
      </c>
      <c r="K296" s="7"/>
      <c r="L296" s="7"/>
      <c r="M296" s="7"/>
      <c r="N296" s="7"/>
      <c r="O296" s="120"/>
      <c r="P296" s="126"/>
      <c r="Q296" s="7"/>
      <c r="R296" s="7"/>
      <c r="S296" s="126"/>
      <c r="T296" s="7"/>
      <c r="U296" s="7"/>
      <c r="V296" s="124"/>
      <c r="W296" s="7"/>
      <c r="X296" s="139"/>
      <c r="Y296" s="3">
        <f t="shared" si="13"/>
        <v>287</v>
      </c>
      <c r="AA296" s="7"/>
      <c r="AC296" s="7" t="str">
        <f t="shared" si="14"/>
        <v/>
      </c>
      <c r="AE296" s="42" t="str">
        <f t="shared" si="15"/>
        <v/>
      </c>
      <c r="AG296" s="162"/>
      <c r="AJ296" s="10"/>
    </row>
    <row r="297" spans="1:36">
      <c r="A297" s="136"/>
      <c r="B297" s="58"/>
      <c r="C297" s="58" t="s">
        <v>16</v>
      </c>
      <c r="D297" s="47"/>
      <c r="E297" s="7">
        <f>+G297-Adjustments!G297</f>
        <v>0</v>
      </c>
      <c r="F297" s="7">
        <f>Revenue!$F$296</f>
        <v>0</v>
      </c>
      <c r="G297" s="7">
        <f>+Adjustments!V297</f>
        <v>0</v>
      </c>
      <c r="H297" s="7"/>
      <c r="I297" s="7">
        <f>SUM($F$297:$H$297)</f>
        <v>0</v>
      </c>
      <c r="J297" s="7">
        <f>+I297-'ROR-Model'!I297</f>
        <v>0</v>
      </c>
      <c r="K297" s="7"/>
      <c r="L297" s="7" t="s">
        <v>23</v>
      </c>
      <c r="M297" s="7">
        <f>VLOOKUP($L297,$L$2:$N$7,2,FALSE)*I297</f>
        <v>0</v>
      </c>
      <c r="N297" s="7">
        <f>VLOOKUP($L297,$L$2:$N$7,3,FALSE)*I297</f>
        <v>0</v>
      </c>
      <c r="O297" s="120"/>
      <c r="P297" s="126" t="s">
        <v>509</v>
      </c>
      <c r="Q297" s="7">
        <f>IF(P297="G",M297,IF(P297="PT",0,ERR))</f>
        <v>0</v>
      </c>
      <c r="R297" s="7">
        <f>IF(P297="PT",M297,IF(P297="G",0,ERR))</f>
        <v>0</v>
      </c>
      <c r="S297" s="126" t="s">
        <v>509</v>
      </c>
      <c r="T297" s="7">
        <f>IF(S297="G",N297,IF(S297="PT",0,ERR))</f>
        <v>0</v>
      </c>
      <c r="U297" s="7">
        <f>IF(S297="PT",N297,IF(S297="G",0,ERR))</f>
        <v>0</v>
      </c>
      <c r="V297" s="124"/>
      <c r="W297" s="7">
        <f>HLOOKUP($W$9,'ROR-Model'!$Q$10:$U$1273,Y297)</f>
        <v>0</v>
      </c>
      <c r="X297" s="139"/>
      <c r="Y297" s="3">
        <f t="shared" si="13"/>
        <v>288</v>
      </c>
      <c r="AA297" s="7">
        <v>0</v>
      </c>
      <c r="AC297" s="7" t="str">
        <f t="shared" si="14"/>
        <v/>
      </c>
      <c r="AE297" s="42" t="str">
        <f t="shared" si="15"/>
        <v/>
      </c>
      <c r="AG297" s="162"/>
      <c r="AH297" s="1"/>
      <c r="AI297" s="1" t="s">
        <v>16</v>
      </c>
      <c r="AJ297" s="10"/>
    </row>
    <row r="298" spans="1:36">
      <c r="A298" s="136"/>
      <c r="B298" s="58"/>
      <c r="C298" s="58" t="s">
        <v>17</v>
      </c>
      <c r="D298" s="47"/>
      <c r="E298" s="140">
        <f>+G298-Adjustments!G298</f>
        <v>0</v>
      </c>
      <c r="F298" s="140">
        <f>SUM(F293:F297)</f>
        <v>0</v>
      </c>
      <c r="G298" s="140">
        <f>SUM(G293:G297)</f>
        <v>0</v>
      </c>
      <c r="H298" s="140">
        <f>SUM(H293:H297)</f>
        <v>0</v>
      </c>
      <c r="I298" s="140">
        <f>SUM(I293:I297)</f>
        <v>0</v>
      </c>
      <c r="J298" s="7">
        <f>+I298-'ROR-Model'!I298</f>
        <v>0</v>
      </c>
      <c r="K298" s="7"/>
      <c r="L298" s="140"/>
      <c r="M298" s="140">
        <f>SUM(M293:M297)</f>
        <v>0</v>
      </c>
      <c r="N298" s="140">
        <f>SUM(N293:N297)</f>
        <v>0</v>
      </c>
      <c r="O298" s="120"/>
      <c r="P298" s="201"/>
      <c r="Q298" s="140">
        <f>SUM(Q293:Q297)</f>
        <v>0</v>
      </c>
      <c r="R298" s="140">
        <f>SUM(R293:R297)</f>
        <v>0</v>
      </c>
      <c r="S298" s="201"/>
      <c r="T298" s="140">
        <f>SUM(T293:T297)</f>
        <v>0</v>
      </c>
      <c r="U298" s="140">
        <f>SUM(U293:U297)</f>
        <v>0</v>
      </c>
      <c r="V298" s="124"/>
      <c r="W298" s="140">
        <f>HLOOKUP($W$9,'ROR-Model'!$Q$10:$U$1273,Y298)</f>
        <v>0</v>
      </c>
      <c r="X298" s="139"/>
      <c r="Y298" s="3">
        <f t="shared" si="13"/>
        <v>289</v>
      </c>
      <c r="AA298" s="140">
        <v>0</v>
      </c>
      <c r="AC298" s="140" t="str">
        <f t="shared" si="14"/>
        <v/>
      </c>
      <c r="AE298" s="42" t="str">
        <f t="shared" si="15"/>
        <v/>
      </c>
      <c r="AG298" s="162"/>
      <c r="AH298" s="1"/>
      <c r="AI298" s="1" t="s">
        <v>17</v>
      </c>
      <c r="AJ298" s="10"/>
    </row>
    <row r="299" spans="1:36">
      <c r="A299" s="136"/>
      <c r="B299" s="58"/>
      <c r="C299" s="58"/>
      <c r="D299" s="47"/>
      <c r="E299" s="7">
        <f>+G299-Adjustments!G299</f>
        <v>0</v>
      </c>
      <c r="F299" s="7"/>
      <c r="G299" s="7"/>
      <c r="H299" s="7"/>
      <c r="I299" s="7"/>
      <c r="J299" s="7">
        <f>+I299-'ROR-Model'!I299</f>
        <v>0</v>
      </c>
      <c r="K299" s="7"/>
      <c r="L299" s="7"/>
      <c r="M299" s="7"/>
      <c r="N299" s="7"/>
      <c r="O299" s="120"/>
      <c r="P299" s="126"/>
      <c r="Q299" s="7"/>
      <c r="R299" s="7"/>
      <c r="S299" s="126"/>
      <c r="T299" s="7"/>
      <c r="U299" s="7"/>
      <c r="V299" s="124"/>
      <c r="W299" s="7"/>
      <c r="X299" s="139"/>
      <c r="Y299" s="3">
        <f t="shared" si="13"/>
        <v>290</v>
      </c>
      <c r="AA299" s="7"/>
      <c r="AC299" s="7" t="str">
        <f t="shared" si="14"/>
        <v/>
      </c>
      <c r="AE299" s="42" t="str">
        <f t="shared" si="15"/>
        <v/>
      </c>
      <c r="AG299" s="162"/>
      <c r="AH299" s="1"/>
      <c r="AI299" s="1"/>
      <c r="AJ299" s="10"/>
    </row>
    <row r="300" spans="1:36">
      <c r="A300" s="136"/>
      <c r="B300" s="58"/>
      <c r="C300" s="58" t="s">
        <v>18</v>
      </c>
      <c r="D300" s="47"/>
      <c r="E300" s="7">
        <f>+G300-Adjustments!G300</f>
        <v>0</v>
      </c>
      <c r="F300" s="7">
        <f>Revenue!$F$299</f>
        <v>0</v>
      </c>
      <c r="G300" s="7">
        <f>+Adjustments!V300</f>
        <v>0</v>
      </c>
      <c r="H300" s="7"/>
      <c r="I300" s="7">
        <f>SUM($F$300:$H$300)</f>
        <v>0</v>
      </c>
      <c r="J300" s="7">
        <f>+I300-'ROR-Model'!I300</f>
        <v>0</v>
      </c>
      <c r="K300" s="7"/>
      <c r="L300" s="7" t="s">
        <v>23</v>
      </c>
      <c r="M300" s="7">
        <f>VLOOKUP($L300,$L$2:$N$7,2,FALSE)*I300</f>
        <v>0</v>
      </c>
      <c r="N300" s="7">
        <f>VLOOKUP($L300,$L$2:$N$7,3,FALSE)*I300</f>
        <v>0</v>
      </c>
      <c r="O300" s="120"/>
      <c r="P300" s="126" t="s">
        <v>510</v>
      </c>
      <c r="Q300" s="7">
        <f>IF(P300="G",M300,IF(P300="PT",0,ERR))</f>
        <v>0</v>
      </c>
      <c r="R300" s="7">
        <f>IF(P300="PT",M300,IF(P300="G",0,ERR))</f>
        <v>0</v>
      </c>
      <c r="S300" s="126" t="s">
        <v>509</v>
      </c>
      <c r="T300" s="7">
        <f>IF(S300="G",N300,IF(S300="PT",0,ERR))</f>
        <v>0</v>
      </c>
      <c r="U300" s="7">
        <f>IF(S300="PT",N300,IF(S300="G",0,ERR))</f>
        <v>0</v>
      </c>
      <c r="V300" s="124"/>
      <c r="W300" s="7">
        <f>HLOOKUP($W$9,'ROR-Model'!$Q$10:$U$1273,Y300)</f>
        <v>0</v>
      </c>
      <c r="X300" s="139"/>
      <c r="Y300" s="3">
        <f t="shared" si="13"/>
        <v>291</v>
      </c>
      <c r="AA300" s="7">
        <v>0</v>
      </c>
      <c r="AC300" s="7" t="str">
        <f t="shared" si="14"/>
        <v/>
      </c>
      <c r="AE300" s="42" t="str">
        <f t="shared" si="15"/>
        <v/>
      </c>
      <c r="AG300" s="162"/>
      <c r="AH300" s="1"/>
      <c r="AI300" s="1" t="s">
        <v>18</v>
      </c>
      <c r="AJ300" s="10"/>
    </row>
    <row r="301" spans="1:36">
      <c r="A301" s="136"/>
      <c r="B301" s="32"/>
      <c r="C301" s="32"/>
      <c r="D301" s="47"/>
      <c r="E301" s="7">
        <f>+G301-Adjustments!G301</f>
        <v>0</v>
      </c>
      <c r="F301" s="7"/>
      <c r="G301" s="7"/>
      <c r="H301" s="7"/>
      <c r="I301" s="7"/>
      <c r="J301" s="7">
        <f>+I301-'ROR-Model'!I301</f>
        <v>0</v>
      </c>
      <c r="K301" s="7"/>
      <c r="L301" s="7"/>
      <c r="M301" s="7"/>
      <c r="N301" s="7"/>
      <c r="O301" s="120"/>
      <c r="P301" s="126"/>
      <c r="Q301" s="7"/>
      <c r="R301" s="7"/>
      <c r="S301" s="126"/>
      <c r="T301" s="7"/>
      <c r="U301" s="7"/>
      <c r="V301" s="124"/>
      <c r="W301" s="7"/>
      <c r="X301" s="139"/>
      <c r="Y301" s="3">
        <f t="shared" si="13"/>
        <v>292</v>
      </c>
      <c r="AA301" s="7"/>
      <c r="AC301" s="7" t="str">
        <f t="shared" si="14"/>
        <v/>
      </c>
      <c r="AE301" s="42" t="str">
        <f t="shared" si="15"/>
        <v/>
      </c>
      <c r="AG301" s="162"/>
      <c r="AJ301" s="10"/>
    </row>
    <row r="302" spans="1:36">
      <c r="A302" s="461"/>
      <c r="B302" s="58" t="s">
        <v>25</v>
      </c>
      <c r="C302" s="58" t="s">
        <v>14</v>
      </c>
      <c r="D302" s="265"/>
      <c r="E302" s="301">
        <f>+G302-Adjustments!G302</f>
        <v>0</v>
      </c>
      <c r="F302" s="301">
        <f>Revenue!$F$301</f>
        <v>75685.260000000009</v>
      </c>
      <c r="G302" s="301">
        <f>+Adjustments!V302</f>
        <v>0</v>
      </c>
      <c r="H302" s="301"/>
      <c r="I302" s="301">
        <f>SUM($F$302:$H$302)</f>
        <v>75685.260000000009</v>
      </c>
      <c r="J302" s="7">
        <f>+I302-'ROR-Model'!I302</f>
        <v>0</v>
      </c>
      <c r="K302" s="301"/>
      <c r="L302" s="301" t="s">
        <v>23</v>
      </c>
      <c r="M302" s="301">
        <f>VLOOKUP($L302,$L$2:$N$7,2,FALSE)*I302</f>
        <v>0</v>
      </c>
      <c r="N302" s="301">
        <f>VLOOKUP($L302,$L$2:$N$7,3,FALSE)*I302</f>
        <v>75685.260000000009</v>
      </c>
      <c r="O302" s="578"/>
      <c r="P302" s="475" t="s">
        <v>510</v>
      </c>
      <c r="Q302" s="301">
        <f>IF(P302="G",M302,IF(P302="PT",0,ERR))</f>
        <v>0</v>
      </c>
      <c r="R302" s="301">
        <f>IF(P302="PT",M302,IF(P302="G",0,ERR))</f>
        <v>0</v>
      </c>
      <c r="S302" s="475" t="s">
        <v>509</v>
      </c>
      <c r="T302" s="301">
        <f>IF(S302="G",N302,IF(S302="PT",0,ERR))</f>
        <v>0</v>
      </c>
      <c r="U302" s="301">
        <f>IF(S302="PT",N302,IF(S302="G",0,ERR))</f>
        <v>75685.260000000009</v>
      </c>
      <c r="V302" s="579"/>
      <c r="W302" s="301">
        <f>HLOOKUP($W$9,'ROR-Model'!$Q$10:$U$1273,Y302)</f>
        <v>0</v>
      </c>
      <c r="X302" s="303"/>
      <c r="Y302" s="3">
        <f t="shared" si="13"/>
        <v>293</v>
      </c>
      <c r="AA302" s="301">
        <v>0</v>
      </c>
      <c r="AC302" s="301" t="str">
        <f t="shared" si="14"/>
        <v/>
      </c>
      <c r="AE302" s="42" t="str">
        <f t="shared" si="15"/>
        <v/>
      </c>
      <c r="AG302" s="162"/>
      <c r="AH302" s="1" t="s">
        <v>25</v>
      </c>
      <c r="AI302" s="1" t="s">
        <v>14</v>
      </c>
      <c r="AJ302" s="10"/>
    </row>
    <row r="303" spans="1:36">
      <c r="A303" s="136"/>
      <c r="B303" s="32"/>
      <c r="C303" s="58"/>
      <c r="D303" s="101" t="s">
        <v>423</v>
      </c>
      <c r="E303" s="7">
        <f>+G303-Adjustments!G303</f>
        <v>0</v>
      </c>
      <c r="F303" s="7"/>
      <c r="G303" s="7"/>
      <c r="H303" s="7"/>
      <c r="I303" s="7"/>
      <c r="J303" s="7">
        <f>+I303-'ROR-Model'!I303</f>
        <v>0</v>
      </c>
      <c r="K303" s="7"/>
      <c r="L303" s="7"/>
      <c r="M303" s="7"/>
      <c r="N303" s="7"/>
      <c r="O303" s="120"/>
      <c r="P303" s="126"/>
      <c r="Q303" s="7"/>
      <c r="R303" s="7"/>
      <c r="S303" s="126"/>
      <c r="T303" s="7"/>
      <c r="U303" s="7"/>
      <c r="V303" s="124"/>
      <c r="W303" s="7"/>
      <c r="X303" s="139"/>
      <c r="Y303" s="3">
        <f t="shared" si="13"/>
        <v>294</v>
      </c>
      <c r="AA303" s="7"/>
      <c r="AC303" s="7" t="str">
        <f t="shared" si="14"/>
        <v/>
      </c>
      <c r="AE303" s="42" t="str">
        <f t="shared" si="15"/>
        <v/>
      </c>
      <c r="AG303" s="162"/>
      <c r="AI303" s="1"/>
      <c r="AJ303" s="10" t="s">
        <v>423</v>
      </c>
    </row>
    <row r="304" spans="1:36">
      <c r="A304" s="136"/>
      <c r="B304" s="32"/>
      <c r="C304" s="58"/>
      <c r="D304" s="47"/>
      <c r="E304" s="7">
        <f>+G304-Adjustments!G304</f>
        <v>0</v>
      </c>
      <c r="F304" s="7"/>
      <c r="G304" s="7">
        <f>+Adjustments!V304</f>
        <v>0</v>
      </c>
      <c r="H304" s="7"/>
      <c r="I304" s="7">
        <f>SUM($F$304:$H$304)</f>
        <v>0</v>
      </c>
      <c r="J304" s="7">
        <f>+I304-'ROR-Model'!I304</f>
        <v>0</v>
      </c>
      <c r="K304" s="7"/>
      <c r="L304" s="7" t="s">
        <v>23</v>
      </c>
      <c r="M304" s="7">
        <f>VLOOKUP($L304,$L$2:$N$7,2,FALSE)*I304</f>
        <v>0</v>
      </c>
      <c r="N304" s="7">
        <f>VLOOKUP($L304,$L$2:$N$7,3,FALSE)*I304</f>
        <v>0</v>
      </c>
      <c r="O304" s="120"/>
      <c r="P304" s="126"/>
      <c r="Q304" s="7"/>
      <c r="R304" s="7"/>
      <c r="S304" s="126"/>
      <c r="T304" s="7"/>
      <c r="U304" s="7"/>
      <c r="V304" s="124"/>
      <c r="W304" s="7"/>
      <c r="X304" s="139"/>
      <c r="Y304" s="3">
        <f t="shared" si="13"/>
        <v>295</v>
      </c>
      <c r="AA304" s="7"/>
      <c r="AC304" s="7" t="str">
        <f t="shared" si="14"/>
        <v/>
      </c>
      <c r="AE304" s="42" t="str">
        <f t="shared" si="15"/>
        <v/>
      </c>
      <c r="AG304" s="162"/>
      <c r="AI304" s="1"/>
      <c r="AJ304" s="10"/>
    </row>
    <row r="305" spans="1:36">
      <c r="A305" s="136"/>
      <c r="B305" s="32"/>
      <c r="C305" s="58"/>
      <c r="D305" s="47"/>
      <c r="E305" s="7">
        <f>+G305-Adjustments!G305</f>
        <v>0</v>
      </c>
      <c r="F305" s="7"/>
      <c r="G305" s="7"/>
      <c r="H305" s="7"/>
      <c r="I305" s="7"/>
      <c r="J305" s="7">
        <f>+I305-'ROR-Model'!I305</f>
        <v>0</v>
      </c>
      <c r="K305" s="7"/>
      <c r="L305" s="7"/>
      <c r="M305" s="7"/>
      <c r="N305" s="7"/>
      <c r="O305" s="120"/>
      <c r="P305" s="126"/>
      <c r="Q305" s="7"/>
      <c r="R305" s="7"/>
      <c r="S305" s="126"/>
      <c r="T305" s="7"/>
      <c r="U305" s="7"/>
      <c r="V305" s="124"/>
      <c r="W305" s="7"/>
      <c r="X305" s="139"/>
      <c r="Y305" s="3">
        <f t="shared" si="13"/>
        <v>296</v>
      </c>
      <c r="AA305" s="7"/>
      <c r="AC305" s="7" t="str">
        <f t="shared" si="14"/>
        <v/>
      </c>
      <c r="AE305" s="42" t="str">
        <f t="shared" si="15"/>
        <v/>
      </c>
      <c r="AG305" s="162"/>
      <c r="AI305" s="1"/>
      <c r="AJ305" s="10"/>
    </row>
    <row r="306" spans="1:36">
      <c r="A306" s="136"/>
      <c r="B306" s="58"/>
      <c r="C306" s="58" t="s">
        <v>16</v>
      </c>
      <c r="D306" s="47"/>
      <c r="E306" s="7">
        <f>+G306-Adjustments!G306</f>
        <v>0</v>
      </c>
      <c r="F306" s="7">
        <f>Revenue!$F$305</f>
        <v>0</v>
      </c>
      <c r="G306" s="7">
        <f>+Adjustments!V306</f>
        <v>0</v>
      </c>
      <c r="H306" s="7"/>
      <c r="I306" s="7">
        <f>SUM($F$306:$H$306)</f>
        <v>0</v>
      </c>
      <c r="J306" s="7">
        <f>+I306-'ROR-Model'!I306</f>
        <v>0</v>
      </c>
      <c r="K306" s="7"/>
      <c r="L306" s="7" t="s">
        <v>23</v>
      </c>
      <c r="M306" s="7">
        <f>VLOOKUP($L306,$L$2:$N$7,2,FALSE)*I306</f>
        <v>0</v>
      </c>
      <c r="N306" s="7">
        <f>VLOOKUP($L306,$L$2:$N$7,3,FALSE)*I306</f>
        <v>0</v>
      </c>
      <c r="O306" s="120"/>
      <c r="P306" s="126" t="s">
        <v>509</v>
      </c>
      <c r="Q306" s="7">
        <f>IF(P306="G",M306,IF(P306="PT",0,ERR))</f>
        <v>0</v>
      </c>
      <c r="R306" s="7">
        <f>IF(P306="PT",M306,IF(P306="G",0,ERR))</f>
        <v>0</v>
      </c>
      <c r="S306" s="126" t="s">
        <v>509</v>
      </c>
      <c r="T306" s="7">
        <f>IF(S306="G",N306,IF(S306="PT",0,ERR))</f>
        <v>0</v>
      </c>
      <c r="U306" s="7">
        <f>IF(S306="PT",N306,IF(S306="G",0,ERR))</f>
        <v>0</v>
      </c>
      <c r="V306" s="124"/>
      <c r="W306" s="7">
        <f>HLOOKUP($W$9,'ROR-Model'!$Q$10:$U$1273,Y306)</f>
        <v>0</v>
      </c>
      <c r="X306" s="139"/>
      <c r="Y306" s="3">
        <f t="shared" si="13"/>
        <v>297</v>
      </c>
      <c r="AA306" s="7">
        <v>0</v>
      </c>
      <c r="AC306" s="7" t="str">
        <f t="shared" si="14"/>
        <v/>
      </c>
      <c r="AE306" s="42" t="str">
        <f t="shared" si="15"/>
        <v/>
      </c>
      <c r="AG306" s="162"/>
      <c r="AH306" s="1"/>
      <c r="AI306" s="1" t="s">
        <v>16</v>
      </c>
      <c r="AJ306" s="10"/>
    </row>
    <row r="307" spans="1:36">
      <c r="A307" s="136"/>
      <c r="B307" s="58"/>
      <c r="C307" s="58" t="s">
        <v>17</v>
      </c>
      <c r="D307" s="47"/>
      <c r="E307" s="140">
        <f>+G307-Adjustments!G307</f>
        <v>0</v>
      </c>
      <c r="F307" s="140">
        <f>SUM(F302:F306)</f>
        <v>75685.260000000009</v>
      </c>
      <c r="G307" s="140">
        <f>SUM(G302:G306)</f>
        <v>0</v>
      </c>
      <c r="H307" s="140">
        <f>SUM(H302:H306)</f>
        <v>0</v>
      </c>
      <c r="I307" s="140">
        <f>SUM(I302:I306)</f>
        <v>75685.260000000009</v>
      </c>
      <c r="J307" s="7">
        <f>+I307-'ROR-Model'!I307</f>
        <v>0</v>
      </c>
      <c r="K307" s="7"/>
      <c r="L307" s="140"/>
      <c r="M307" s="140">
        <f>SUM(M302:M306)</f>
        <v>0</v>
      </c>
      <c r="N307" s="140">
        <f>SUM(N302:N306)</f>
        <v>75685.260000000009</v>
      </c>
      <c r="O307" s="120"/>
      <c r="P307" s="201"/>
      <c r="Q307" s="140">
        <f>SUM(Q302:Q306)</f>
        <v>0</v>
      </c>
      <c r="R307" s="140">
        <f>SUM(R302:R306)</f>
        <v>0</v>
      </c>
      <c r="S307" s="201"/>
      <c r="T307" s="140">
        <f>SUM(T302:T306)</f>
        <v>0</v>
      </c>
      <c r="U307" s="140">
        <f>SUM(U302:U306)</f>
        <v>75685.260000000009</v>
      </c>
      <c r="V307" s="124"/>
      <c r="W307" s="140">
        <f>HLOOKUP($W$9,'ROR-Model'!$Q$10:$U$1273,Y307)</f>
        <v>0</v>
      </c>
      <c r="X307" s="139"/>
      <c r="Y307" s="3">
        <f t="shared" si="13"/>
        <v>298</v>
      </c>
      <c r="AA307" s="140">
        <v>0</v>
      </c>
      <c r="AC307" s="140" t="str">
        <f t="shared" si="14"/>
        <v/>
      </c>
      <c r="AE307" s="42" t="str">
        <f t="shared" si="15"/>
        <v/>
      </c>
      <c r="AG307" s="162"/>
      <c r="AH307" s="1"/>
      <c r="AI307" s="1" t="s">
        <v>17</v>
      </c>
      <c r="AJ307" s="10"/>
    </row>
    <row r="308" spans="1:36">
      <c r="A308" s="136"/>
      <c r="B308" s="58"/>
      <c r="C308" s="58"/>
      <c r="D308" s="47"/>
      <c r="E308" s="7">
        <f>+G308-Adjustments!G308</f>
        <v>0</v>
      </c>
      <c r="F308" s="7"/>
      <c r="G308" s="7"/>
      <c r="H308" s="7"/>
      <c r="I308" s="7"/>
      <c r="J308" s="7">
        <f>+I308-'ROR-Model'!I308</f>
        <v>0</v>
      </c>
      <c r="K308" s="7"/>
      <c r="L308" s="7"/>
      <c r="M308" s="7"/>
      <c r="N308" s="7"/>
      <c r="O308" s="120"/>
      <c r="P308" s="126"/>
      <c r="Q308" s="7"/>
      <c r="R308" s="7"/>
      <c r="S308" s="126"/>
      <c r="T308" s="7"/>
      <c r="U308" s="7"/>
      <c r="V308" s="124"/>
      <c r="W308" s="7"/>
      <c r="X308" s="139"/>
      <c r="Y308" s="3">
        <f t="shared" si="13"/>
        <v>299</v>
      </c>
      <c r="AA308" s="7"/>
      <c r="AC308" s="7" t="str">
        <f t="shared" si="14"/>
        <v/>
      </c>
      <c r="AE308" s="42" t="str">
        <f t="shared" si="15"/>
        <v/>
      </c>
      <c r="AG308" s="162"/>
      <c r="AH308" s="1"/>
      <c r="AI308" s="1"/>
      <c r="AJ308" s="10"/>
    </row>
    <row r="309" spans="1:36">
      <c r="A309" s="136"/>
      <c r="B309" s="58"/>
      <c r="C309" s="58" t="s">
        <v>18</v>
      </c>
      <c r="D309" s="47"/>
      <c r="E309" s="7">
        <f>+G309-Adjustments!G309</f>
        <v>0</v>
      </c>
      <c r="F309" s="7">
        <f>Revenue!$F$308</f>
        <v>184143</v>
      </c>
      <c r="G309" s="7">
        <f>+Adjustments!V309</f>
        <v>0</v>
      </c>
      <c r="H309" s="7"/>
      <c r="I309" s="7">
        <f>SUM($F$309:$H$309)</f>
        <v>184143</v>
      </c>
      <c r="J309" s="7">
        <f>+I309-'ROR-Model'!I309</f>
        <v>0</v>
      </c>
      <c r="K309" s="7"/>
      <c r="L309" s="7" t="s">
        <v>23</v>
      </c>
      <c r="M309" s="7">
        <f>VLOOKUP($L309,$L$2:$N$7,2,FALSE)*I309</f>
        <v>0</v>
      </c>
      <c r="N309" s="7">
        <f>VLOOKUP($L309,$L$2:$N$7,3,FALSE)*I309</f>
        <v>184143</v>
      </c>
      <c r="O309" s="120"/>
      <c r="P309" s="126" t="s">
        <v>510</v>
      </c>
      <c r="Q309" s="7">
        <f>IF(P309="G",M309,IF(P309="PT",0,ERR))</f>
        <v>0</v>
      </c>
      <c r="R309" s="7">
        <f>IF(P309="PT",M309,IF(P309="G",0,ERR))</f>
        <v>0</v>
      </c>
      <c r="S309" s="126" t="s">
        <v>509</v>
      </c>
      <c r="T309" s="7">
        <f>IF(S309="G",N309,IF(S309="PT",0,ERR))</f>
        <v>0</v>
      </c>
      <c r="U309" s="7">
        <f>IF(S309="PT",N309,IF(S309="G",0,ERR))</f>
        <v>184143</v>
      </c>
      <c r="V309" s="124"/>
      <c r="W309" s="7">
        <f>HLOOKUP($W$9,'ROR-Model'!$Q$10:$U$1273,Y309)</f>
        <v>0</v>
      </c>
      <c r="X309" s="139"/>
      <c r="Y309" s="3">
        <f t="shared" si="13"/>
        <v>300</v>
      </c>
      <c r="AA309" s="7">
        <v>0</v>
      </c>
      <c r="AC309" s="7" t="str">
        <f t="shared" si="14"/>
        <v/>
      </c>
      <c r="AE309" s="42" t="str">
        <f t="shared" si="15"/>
        <v/>
      </c>
      <c r="AG309" s="162"/>
      <c r="AH309" s="1"/>
      <c r="AI309" s="1" t="s">
        <v>18</v>
      </c>
      <c r="AJ309" s="10"/>
    </row>
    <row r="310" spans="1:36">
      <c r="A310" s="136"/>
      <c r="B310" s="32"/>
      <c r="C310" s="32"/>
      <c r="D310" s="47"/>
      <c r="E310" s="7">
        <f>+G310-Adjustments!G310</f>
        <v>0</v>
      </c>
      <c r="F310" s="7"/>
      <c r="G310" s="7"/>
      <c r="H310" s="7"/>
      <c r="I310" s="7"/>
      <c r="J310" s="7">
        <f>+I310-'ROR-Model'!I310</f>
        <v>0</v>
      </c>
      <c r="K310" s="7"/>
      <c r="L310" s="7"/>
      <c r="M310" s="7"/>
      <c r="N310" s="7"/>
      <c r="O310" s="120"/>
      <c r="P310" s="126"/>
      <c r="Q310" s="7"/>
      <c r="R310" s="7"/>
      <c r="S310" s="126"/>
      <c r="T310" s="7"/>
      <c r="U310" s="7"/>
      <c r="V310" s="124"/>
      <c r="W310" s="7"/>
      <c r="X310" s="139"/>
      <c r="Y310" s="3">
        <f t="shared" si="13"/>
        <v>301</v>
      </c>
      <c r="AA310" s="7"/>
      <c r="AC310" s="7" t="str">
        <f t="shared" si="14"/>
        <v/>
      </c>
      <c r="AE310" s="42" t="str">
        <f t="shared" si="15"/>
        <v/>
      </c>
      <c r="AG310" s="162"/>
      <c r="AJ310" s="10"/>
    </row>
    <row r="311" spans="1:36">
      <c r="A311" s="461"/>
      <c r="B311" s="32" t="s">
        <v>24</v>
      </c>
      <c r="C311" s="58" t="s">
        <v>14</v>
      </c>
      <c r="D311" s="265"/>
      <c r="E311" s="301">
        <f>+G311-Adjustments!G311</f>
        <v>0</v>
      </c>
      <c r="F311" s="301">
        <f>Revenue!$F$310</f>
        <v>23862.760000000002</v>
      </c>
      <c r="G311" s="301">
        <f>+Adjustments!V311</f>
        <v>0</v>
      </c>
      <c r="H311" s="301"/>
      <c r="I311" s="301">
        <f>SUM($F$311:$H$311)</f>
        <v>23862.760000000002</v>
      </c>
      <c r="J311" s="7">
        <f>+I311-'ROR-Model'!I311</f>
        <v>0</v>
      </c>
      <c r="K311" s="301"/>
      <c r="L311" s="301" t="s">
        <v>23</v>
      </c>
      <c r="M311" s="301">
        <f>VLOOKUP($L311,$L$2:$N$7,2,FALSE)*I311</f>
        <v>0</v>
      </c>
      <c r="N311" s="301">
        <f>VLOOKUP($L311,$L$2:$N$7,3,FALSE)*I311</f>
        <v>23862.760000000002</v>
      </c>
      <c r="O311" s="578"/>
      <c r="P311" s="475" t="s">
        <v>510</v>
      </c>
      <c r="Q311" s="301">
        <f>IF(P311="G",M311,IF(P311="PT",0,ERR))</f>
        <v>0</v>
      </c>
      <c r="R311" s="301">
        <f>IF(P311="PT",M311,IF(P311="G",0,ERR))</f>
        <v>0</v>
      </c>
      <c r="S311" s="126" t="s">
        <v>509</v>
      </c>
      <c r="T311" s="301">
        <f>IF(S311="G",N311,IF(S311="PT",0,ERR))</f>
        <v>0</v>
      </c>
      <c r="U311" s="301">
        <f>IF(S311="PT",N311,IF(S311="G",0,ERR))</f>
        <v>23862.760000000002</v>
      </c>
      <c r="V311" s="579"/>
      <c r="W311" s="301">
        <f>HLOOKUP($W$9,'ROR-Model'!$Q$10:$U$1273,Y311)</f>
        <v>0</v>
      </c>
      <c r="X311" s="303"/>
      <c r="Y311" s="3">
        <f t="shared" si="13"/>
        <v>302</v>
      </c>
      <c r="AA311" s="301">
        <v>0</v>
      </c>
      <c r="AC311" s="301" t="str">
        <f t="shared" si="14"/>
        <v/>
      </c>
      <c r="AE311" s="42" t="str">
        <f t="shared" si="15"/>
        <v/>
      </c>
      <c r="AG311" s="162"/>
      <c r="AH311" t="s">
        <v>24</v>
      </c>
      <c r="AI311" s="1" t="s">
        <v>14</v>
      </c>
      <c r="AJ311" s="10"/>
    </row>
    <row r="312" spans="1:36">
      <c r="A312" s="136"/>
      <c r="B312" s="32" t="s">
        <v>638</v>
      </c>
      <c r="C312" s="58"/>
      <c r="D312" s="101" t="s">
        <v>423</v>
      </c>
      <c r="E312" s="7">
        <f>+G312-Adjustments!G312</f>
        <v>0</v>
      </c>
      <c r="F312" s="7"/>
      <c r="G312" s="7"/>
      <c r="H312" s="7"/>
      <c r="I312" s="7"/>
      <c r="J312" s="7">
        <f>+I312-'ROR-Model'!I312</f>
        <v>0</v>
      </c>
      <c r="K312" s="7"/>
      <c r="L312" s="7"/>
      <c r="M312" s="7"/>
      <c r="N312" s="7"/>
      <c r="O312" s="120"/>
      <c r="P312" s="126"/>
      <c r="Q312" s="7"/>
      <c r="R312" s="7"/>
      <c r="S312" s="126"/>
      <c r="T312" s="7"/>
      <c r="U312" s="7"/>
      <c r="V312" s="124"/>
      <c r="W312" s="7"/>
      <c r="X312" s="139"/>
      <c r="Y312" s="3">
        <f t="shared" si="13"/>
        <v>303</v>
      </c>
      <c r="AA312" s="7"/>
      <c r="AC312" s="7" t="str">
        <f t="shared" si="14"/>
        <v/>
      </c>
      <c r="AE312" s="42" t="str">
        <f t="shared" si="15"/>
        <v/>
      </c>
      <c r="AG312" s="162"/>
      <c r="AH312" t="s">
        <v>638</v>
      </c>
      <c r="AI312" s="1"/>
      <c r="AJ312" s="10" t="s">
        <v>423</v>
      </c>
    </row>
    <row r="313" spans="1:36">
      <c r="A313" s="136"/>
      <c r="B313" s="32"/>
      <c r="C313" s="58"/>
      <c r="D313" s="47"/>
      <c r="E313" s="7">
        <f>+G313-Adjustments!G313</f>
        <v>0</v>
      </c>
      <c r="F313" s="7"/>
      <c r="G313" s="7">
        <f>+Adjustments!V313</f>
        <v>0</v>
      </c>
      <c r="H313" s="7"/>
      <c r="I313" s="7">
        <f>SUM($F$313:$H$313)</f>
        <v>0</v>
      </c>
      <c r="J313" s="7">
        <f>+I313-'ROR-Model'!I313</f>
        <v>0</v>
      </c>
      <c r="K313" s="7"/>
      <c r="L313" s="7" t="s">
        <v>23</v>
      </c>
      <c r="M313" s="7">
        <f>VLOOKUP($L313,$L$2:$N$7,2,FALSE)*I313</f>
        <v>0</v>
      </c>
      <c r="N313" s="7">
        <f>VLOOKUP($L313,$L$2:$N$7,3,FALSE)*I313</f>
        <v>0</v>
      </c>
      <c r="O313" s="120"/>
      <c r="P313" s="126"/>
      <c r="Q313" s="7"/>
      <c r="R313" s="7"/>
      <c r="S313" s="126"/>
      <c r="T313" s="7"/>
      <c r="U313" s="7"/>
      <c r="V313" s="124"/>
      <c r="W313" s="7"/>
      <c r="X313" s="139"/>
      <c r="Y313" s="3">
        <f t="shared" si="13"/>
        <v>304</v>
      </c>
      <c r="AA313" s="7"/>
      <c r="AC313" s="7" t="str">
        <f t="shared" si="14"/>
        <v/>
      </c>
      <c r="AE313" s="42" t="str">
        <f t="shared" si="15"/>
        <v/>
      </c>
      <c r="AG313" s="162"/>
      <c r="AI313" s="1"/>
      <c r="AJ313" s="10"/>
    </row>
    <row r="314" spans="1:36">
      <c r="A314" s="136"/>
      <c r="B314" s="32"/>
      <c r="C314" s="58"/>
      <c r="D314" s="47"/>
      <c r="E314" s="7">
        <f>+G314-Adjustments!G314</f>
        <v>0</v>
      </c>
      <c r="F314" s="7"/>
      <c r="G314" s="7"/>
      <c r="H314" s="7"/>
      <c r="I314" s="7"/>
      <c r="J314" s="7">
        <f>+I314-'ROR-Model'!I314</f>
        <v>0</v>
      </c>
      <c r="K314" s="7"/>
      <c r="L314" s="7"/>
      <c r="M314" s="7"/>
      <c r="N314" s="7"/>
      <c r="O314" s="120"/>
      <c r="P314" s="126"/>
      <c r="Q314" s="7"/>
      <c r="R314" s="7"/>
      <c r="S314" s="126"/>
      <c r="T314" s="7"/>
      <c r="U314" s="7"/>
      <c r="V314" s="124"/>
      <c r="W314" s="7"/>
      <c r="X314" s="139"/>
      <c r="Y314" s="3">
        <f t="shared" si="13"/>
        <v>305</v>
      </c>
      <c r="AA314" s="7"/>
      <c r="AC314" s="7" t="str">
        <f t="shared" si="14"/>
        <v/>
      </c>
      <c r="AE314" s="42" t="str">
        <f t="shared" si="15"/>
        <v/>
      </c>
      <c r="AG314" s="162"/>
      <c r="AI314" s="1"/>
      <c r="AJ314" s="10"/>
    </row>
    <row r="315" spans="1:36">
      <c r="A315" s="136"/>
      <c r="B315" s="58"/>
      <c r="C315" s="58" t="s">
        <v>16</v>
      </c>
      <c r="D315" s="47"/>
      <c r="E315" s="7">
        <f>+G315-Adjustments!G315</f>
        <v>0</v>
      </c>
      <c r="F315" s="7">
        <f>Revenue!$F$314</f>
        <v>0</v>
      </c>
      <c r="G315" s="7">
        <f>+Adjustments!V315</f>
        <v>0</v>
      </c>
      <c r="H315" s="7"/>
      <c r="I315" s="7">
        <f>SUM($F$315:$H$315)</f>
        <v>0</v>
      </c>
      <c r="J315" s="7">
        <f>+I315-'ROR-Model'!I315</f>
        <v>0</v>
      </c>
      <c r="K315" s="7"/>
      <c r="L315" s="7" t="s">
        <v>23</v>
      </c>
      <c r="M315" s="7">
        <f>VLOOKUP($L315,$L$2:$N$7,2,FALSE)*I315</f>
        <v>0</v>
      </c>
      <c r="N315" s="7">
        <f>VLOOKUP($L315,$L$2:$N$7,3,FALSE)*I315</f>
        <v>0</v>
      </c>
      <c r="O315" s="120"/>
      <c r="P315" s="126" t="s">
        <v>509</v>
      </c>
      <c r="Q315" s="7">
        <f>IF(P315="G",M315,IF(P315="PT",0,ERR))</f>
        <v>0</v>
      </c>
      <c r="R315" s="7">
        <f>IF(P315="PT",M315,IF(P315="G",0,ERR))</f>
        <v>0</v>
      </c>
      <c r="S315" s="126" t="s">
        <v>509</v>
      </c>
      <c r="T315" s="7">
        <f>IF(S315="G",N315,IF(S315="PT",0,ERR))</f>
        <v>0</v>
      </c>
      <c r="U315" s="7">
        <f>IF(S315="PT",N315,IF(S315="G",0,ERR))</f>
        <v>0</v>
      </c>
      <c r="V315" s="124"/>
      <c r="W315" s="7">
        <f>HLOOKUP($W$9,'ROR-Model'!$Q$10:$U$1273,Y315)</f>
        <v>0</v>
      </c>
      <c r="X315" s="139"/>
      <c r="Y315" s="3">
        <f t="shared" si="13"/>
        <v>306</v>
      </c>
      <c r="AA315" s="7">
        <v>0</v>
      </c>
      <c r="AC315" s="7" t="str">
        <f t="shared" si="14"/>
        <v/>
      </c>
      <c r="AE315" s="42" t="str">
        <f t="shared" si="15"/>
        <v/>
      </c>
      <c r="AG315" s="162"/>
      <c r="AH315" s="1"/>
      <c r="AI315" s="1" t="s">
        <v>16</v>
      </c>
      <c r="AJ315" s="10"/>
    </row>
    <row r="316" spans="1:36">
      <c r="A316" s="136"/>
      <c r="B316" s="58"/>
      <c r="C316" s="58" t="s">
        <v>17</v>
      </c>
      <c r="D316" s="47"/>
      <c r="E316" s="140">
        <f>+G316-Adjustments!G316</f>
        <v>0</v>
      </c>
      <c r="F316" s="140">
        <f>SUM(F311:F315)</f>
        <v>23862.760000000002</v>
      </c>
      <c r="G316" s="140">
        <f>SUM(G311:G315)</f>
        <v>0</v>
      </c>
      <c r="H316" s="140">
        <f>SUM(H311:H315)</f>
        <v>0</v>
      </c>
      <c r="I316" s="140">
        <f>SUM(I311:I315)</f>
        <v>23862.760000000002</v>
      </c>
      <c r="J316" s="7">
        <f>+I316-'ROR-Model'!I316</f>
        <v>0</v>
      </c>
      <c r="K316" s="7"/>
      <c r="L316" s="140"/>
      <c r="M316" s="140">
        <f>SUM(M311:M315)</f>
        <v>0</v>
      </c>
      <c r="N316" s="140">
        <f>SUM(N311:N315)</f>
        <v>23862.760000000002</v>
      </c>
      <c r="O316" s="120"/>
      <c r="P316" s="201"/>
      <c r="Q316" s="140">
        <f>SUM(Q311:Q315)</f>
        <v>0</v>
      </c>
      <c r="R316" s="140">
        <f>SUM(R311:R315)</f>
        <v>0</v>
      </c>
      <c r="S316" s="201"/>
      <c r="T316" s="140">
        <f>SUM(T311:T315)</f>
        <v>0</v>
      </c>
      <c r="U316" s="140">
        <f>SUM(U311:U315)</f>
        <v>23862.760000000002</v>
      </c>
      <c r="V316" s="124"/>
      <c r="W316" s="140">
        <f>HLOOKUP($W$9,'ROR-Model'!$Q$10:$U$1273,Y316)</f>
        <v>0</v>
      </c>
      <c r="X316" s="139"/>
      <c r="Y316" s="3">
        <f t="shared" si="13"/>
        <v>307</v>
      </c>
      <c r="AA316" s="140">
        <v>0</v>
      </c>
      <c r="AC316" s="140" t="str">
        <f t="shared" si="14"/>
        <v/>
      </c>
      <c r="AE316" s="42" t="str">
        <f t="shared" si="15"/>
        <v/>
      </c>
      <c r="AG316" s="162"/>
      <c r="AH316" s="1"/>
      <c r="AI316" s="1" t="s">
        <v>17</v>
      </c>
      <c r="AJ316" s="10"/>
    </row>
    <row r="317" spans="1:36">
      <c r="A317" s="136"/>
      <c r="B317" s="58"/>
      <c r="C317" s="58"/>
      <c r="D317" s="47"/>
      <c r="E317" s="7">
        <f>+G317-Adjustments!G317</f>
        <v>0</v>
      </c>
      <c r="F317" s="7"/>
      <c r="G317" s="7"/>
      <c r="H317" s="7"/>
      <c r="I317" s="7"/>
      <c r="J317" s="7">
        <f>+I317-'ROR-Model'!I317</f>
        <v>0</v>
      </c>
      <c r="K317" s="7"/>
      <c r="L317" s="7"/>
      <c r="M317" s="7"/>
      <c r="N317" s="7"/>
      <c r="O317" s="120"/>
      <c r="P317" s="126"/>
      <c r="Q317" s="7"/>
      <c r="R317" s="7"/>
      <c r="S317" s="126"/>
      <c r="T317" s="7"/>
      <c r="U317" s="7"/>
      <c r="V317" s="124"/>
      <c r="W317" s="7"/>
      <c r="X317" s="139"/>
      <c r="Y317" s="3">
        <f t="shared" si="13"/>
        <v>308</v>
      </c>
      <c r="AA317" s="7"/>
      <c r="AC317" s="7" t="str">
        <f t="shared" si="14"/>
        <v/>
      </c>
      <c r="AE317" s="42" t="str">
        <f t="shared" si="15"/>
        <v/>
      </c>
      <c r="AG317" s="162"/>
      <c r="AH317" s="1"/>
      <c r="AI317" s="1"/>
      <c r="AJ317" s="10"/>
    </row>
    <row r="318" spans="1:36">
      <c r="A318" s="136"/>
      <c r="B318" s="58"/>
      <c r="C318" s="58" t="s">
        <v>18</v>
      </c>
      <c r="D318" s="47"/>
      <c r="E318" s="7">
        <f>+G318-Adjustments!G318</f>
        <v>0</v>
      </c>
      <c r="F318" s="7">
        <f>Revenue!$F$317</f>
        <v>286300</v>
      </c>
      <c r="G318" s="7">
        <f>+Adjustments!V318</f>
        <v>0</v>
      </c>
      <c r="H318" s="7"/>
      <c r="I318" s="7">
        <f>SUM($F$318:$H$318)</f>
        <v>286300</v>
      </c>
      <c r="J318" s="7">
        <f>+I318-'ROR-Model'!I318</f>
        <v>0</v>
      </c>
      <c r="K318" s="7"/>
      <c r="L318" s="7" t="s">
        <v>23</v>
      </c>
      <c r="M318" s="7">
        <f>VLOOKUP($L318,$L$2:$N$7,2,FALSE)*I318</f>
        <v>0</v>
      </c>
      <c r="N318" s="7">
        <f>VLOOKUP($L318,$L$2:$N$7,3,FALSE)*I318</f>
        <v>286300</v>
      </c>
      <c r="O318" s="120"/>
      <c r="P318" s="126" t="s">
        <v>510</v>
      </c>
      <c r="Q318" s="7">
        <f>IF(P318="G",M318,IF(P318="PT",0,ERR))</f>
        <v>0</v>
      </c>
      <c r="R318" s="7">
        <f>IF(P318="PT",M318,IF(P318="G",0,ERR))</f>
        <v>0</v>
      </c>
      <c r="S318" s="126" t="s">
        <v>509</v>
      </c>
      <c r="T318" s="7">
        <f>IF(S318="G",N318,IF(S318="PT",0,ERR))</f>
        <v>0</v>
      </c>
      <c r="U318" s="7">
        <f>IF(S318="PT",N318,IF(S318="G",0,ERR))</f>
        <v>286300</v>
      </c>
      <c r="V318" s="124"/>
      <c r="W318" s="7">
        <f>HLOOKUP($W$9,'ROR-Model'!$Q$10:$U$1273,Y318)</f>
        <v>0</v>
      </c>
      <c r="X318" s="139"/>
      <c r="Y318" s="3">
        <f t="shared" si="13"/>
        <v>309</v>
      </c>
      <c r="AA318" s="7">
        <v>0</v>
      </c>
      <c r="AC318" s="7" t="str">
        <f t="shared" si="14"/>
        <v/>
      </c>
      <c r="AE318" s="42" t="str">
        <f t="shared" si="15"/>
        <v/>
      </c>
      <c r="AG318" s="162"/>
      <c r="AH318" s="1"/>
      <c r="AI318" s="1" t="s">
        <v>18</v>
      </c>
      <c r="AJ318" s="10"/>
    </row>
    <row r="319" spans="1:36">
      <c r="A319" s="136"/>
      <c r="B319" s="58"/>
      <c r="C319" s="58"/>
      <c r="D319" s="4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120"/>
      <c r="P319" s="126"/>
      <c r="Q319" s="7"/>
      <c r="R319" s="7"/>
      <c r="S319" s="301"/>
      <c r="T319" s="7"/>
      <c r="U319" s="7"/>
      <c r="V319" s="124"/>
      <c r="W319" s="7"/>
      <c r="X319" s="139"/>
      <c r="Y319" s="3">
        <f t="shared" si="13"/>
        <v>310</v>
      </c>
      <c r="AA319" s="7"/>
      <c r="AC319" s="7" t="str">
        <f t="shared" si="14"/>
        <v/>
      </c>
      <c r="AE319" s="42" t="str">
        <f t="shared" si="15"/>
        <v/>
      </c>
      <c r="AG319" s="162"/>
      <c r="AH319" s="1"/>
      <c r="AI319" s="1"/>
      <c r="AJ319" s="10"/>
    </row>
    <row r="320" spans="1:36">
      <c r="A320" s="461"/>
      <c r="B320" s="32" t="s">
        <v>634</v>
      </c>
      <c r="C320" s="32" t="s">
        <v>86</v>
      </c>
      <c r="D320" s="265"/>
      <c r="E320" s="301"/>
      <c r="F320" s="301">
        <f>Revenue!$F$319</f>
        <v>17708.80999999991</v>
      </c>
      <c r="G320" s="301">
        <f>+Adjustments!V320</f>
        <v>0</v>
      </c>
      <c r="H320" s="301"/>
      <c r="I320" s="301">
        <f>SUM($F$320:$H$320)</f>
        <v>17708.80999999991</v>
      </c>
      <c r="J320" s="301">
        <f>+I320-'ROR-Model'!I320</f>
        <v>0</v>
      </c>
      <c r="K320" s="301"/>
      <c r="L320" s="301" t="s">
        <v>23</v>
      </c>
      <c r="M320" s="301">
        <f>VLOOKUP($L320,$L$2:$N$7,2,FALSE)*I320</f>
        <v>0</v>
      </c>
      <c r="N320" s="301">
        <f>VLOOKUP($L320,$L$2:$N$7,3,FALSE)*I320</f>
        <v>17708.80999999991</v>
      </c>
      <c r="O320" s="578"/>
      <c r="P320" s="475" t="s">
        <v>510</v>
      </c>
      <c r="Q320" s="301">
        <f>IF(P320="G",M320,IF(P320="PT",0,ERR))</f>
        <v>0</v>
      </c>
      <c r="R320" s="301">
        <f>IF(P320="PT",M320,IF(P320="G",0,ERR))</f>
        <v>0</v>
      </c>
      <c r="S320" s="475" t="s">
        <v>510</v>
      </c>
      <c r="T320" s="301">
        <f>IF(S320="G",N320,IF(S320="PT",0,ERR))</f>
        <v>17708.80999999991</v>
      </c>
      <c r="U320" s="301">
        <f>IF(S320="PT",N320,IF(S320="G",0,ERR))</f>
        <v>0</v>
      </c>
      <c r="V320" s="579"/>
      <c r="W320" s="301">
        <f>HLOOKUP($W$9,'ROR-Model'!$Q$10:$U$1273,Y320)</f>
        <v>0</v>
      </c>
      <c r="X320" s="303"/>
      <c r="Y320" s="3">
        <f t="shared" si="13"/>
        <v>311</v>
      </c>
      <c r="AA320" s="301">
        <v>0</v>
      </c>
      <c r="AC320" s="301" t="str">
        <f t="shared" si="14"/>
        <v/>
      </c>
      <c r="AE320" s="42" t="str">
        <f t="shared" si="15"/>
        <v/>
      </c>
      <c r="AG320" s="162"/>
      <c r="AH320" t="s">
        <v>634</v>
      </c>
      <c r="AI320" t="s">
        <v>86</v>
      </c>
      <c r="AJ320" s="10"/>
    </row>
    <row r="321" spans="1:36" ht="13.5" thickBot="1">
      <c r="A321" s="461"/>
      <c r="B321" s="32" t="s">
        <v>103</v>
      </c>
      <c r="C321" s="32" t="s">
        <v>86</v>
      </c>
      <c r="D321" s="265"/>
      <c r="E321" s="470">
        <f>+G321-Adjustments!G321</f>
        <v>0</v>
      </c>
      <c r="F321" s="470">
        <f>Revenue!$F$320</f>
        <v>107131.26999999999</v>
      </c>
      <c r="G321" s="470">
        <f>+Adjustments!V321</f>
        <v>-107131.26999999999</v>
      </c>
      <c r="H321" s="470"/>
      <c r="I321" s="470">
        <f>SUM($F$321:$H$321)</f>
        <v>0</v>
      </c>
      <c r="J321" s="301">
        <f>+I321-'ROR-Model'!I321</f>
        <v>0</v>
      </c>
      <c r="K321" s="301"/>
      <c r="L321" s="301" t="s">
        <v>23</v>
      </c>
      <c r="M321" s="301">
        <f>VLOOKUP($L321,$L$2:$N$7,2,FALSE)*I321</f>
        <v>0</v>
      </c>
      <c r="N321" s="301">
        <f>VLOOKUP($L321,$L$2:$N$7,3,FALSE)*I321</f>
        <v>0</v>
      </c>
      <c r="O321" s="578"/>
      <c r="P321" s="475" t="s">
        <v>510</v>
      </c>
      <c r="Q321" s="301">
        <f>IF(P321="G",M321,IF(P321="PT",0,ERR))</f>
        <v>0</v>
      </c>
      <c r="R321" s="301">
        <f>IF(P321="PT",M321,IF(P321="G",0,ERR))</f>
        <v>0</v>
      </c>
      <c r="S321" s="475" t="s">
        <v>510</v>
      </c>
      <c r="T321" s="301">
        <f>IF(S321="G",N321,IF(S321="PT",0,ERR))</f>
        <v>0</v>
      </c>
      <c r="U321" s="301">
        <f>IF(S321="PT",N321,IF(S321="G",0,ERR))</f>
        <v>0</v>
      </c>
      <c r="V321" s="579"/>
      <c r="W321" s="301">
        <f>HLOOKUP($W$9,'ROR-Model'!$Q$10:$U$1273,Y321)</f>
        <v>0</v>
      </c>
      <c r="X321" s="303"/>
      <c r="Y321" s="3">
        <f t="shared" si="13"/>
        <v>312</v>
      </c>
      <c r="AA321" s="301">
        <v>0</v>
      </c>
      <c r="AC321" s="301" t="str">
        <f t="shared" si="14"/>
        <v/>
      </c>
      <c r="AE321" s="42" t="str">
        <f t="shared" si="15"/>
        <v/>
      </c>
      <c r="AG321" s="162"/>
      <c r="AH321" t="s">
        <v>103</v>
      </c>
      <c r="AI321" t="s">
        <v>86</v>
      </c>
      <c r="AJ321" s="10"/>
    </row>
    <row r="322" spans="1:36" ht="13.5" thickTop="1">
      <c r="A322" s="136"/>
      <c r="B322" s="32" t="s">
        <v>495</v>
      </c>
      <c r="C322" s="32"/>
      <c r="D322" s="47"/>
      <c r="E322" s="7">
        <f>+G322-Adjustments!G322</f>
        <v>0</v>
      </c>
      <c r="F322" s="7"/>
      <c r="G322" s="7"/>
      <c r="H322" s="7"/>
      <c r="I322" s="7"/>
      <c r="J322" s="7">
        <f>+I322-'ROR-Model'!I322</f>
        <v>0</v>
      </c>
      <c r="K322" s="7"/>
      <c r="L322" s="7"/>
      <c r="M322" s="7"/>
      <c r="N322" s="7"/>
      <c r="O322" s="120"/>
      <c r="P322" s="126"/>
      <c r="Q322" s="7"/>
      <c r="R322" s="7"/>
      <c r="S322" s="126"/>
      <c r="T322" s="7"/>
      <c r="U322" s="7"/>
      <c r="V322" s="124"/>
      <c r="W322" s="7"/>
      <c r="X322" s="139"/>
      <c r="Y322" s="3">
        <f t="shared" si="13"/>
        <v>313</v>
      </c>
      <c r="AA322" s="7"/>
      <c r="AC322" s="7" t="str">
        <f t="shared" si="14"/>
        <v/>
      </c>
      <c r="AE322" s="42" t="str">
        <f t="shared" si="15"/>
        <v/>
      </c>
      <c r="AG322" s="162"/>
      <c r="AH322" t="s">
        <v>495</v>
      </c>
      <c r="AJ322" s="10"/>
    </row>
    <row r="323" spans="1:36">
      <c r="A323" s="136"/>
      <c r="B323" s="58"/>
      <c r="C323" s="58" t="s">
        <v>14</v>
      </c>
      <c r="D323" s="47"/>
      <c r="E323" s="9">
        <f>+G323-Adjustments!G323</f>
        <v>0</v>
      </c>
      <c r="F323" s="9">
        <f>+F239+F248+F257+F266+F320+F321+F275</f>
        <v>13521452.746622313</v>
      </c>
      <c r="G323" s="9">
        <f>+G239+G248+G257+G266+G275+G320+G321</f>
        <v>-107131.26999999999</v>
      </c>
      <c r="H323" s="9">
        <f>+H239+H248+H257+H266+H275+H320+H321</f>
        <v>0</v>
      </c>
      <c r="I323" s="9">
        <f>+I239+I248+I257+I266+I320+I321</f>
        <v>13375545.066622313</v>
      </c>
      <c r="J323" s="7">
        <f>+I323-'ROR-Model'!I323</f>
        <v>0</v>
      </c>
      <c r="K323" s="7"/>
      <c r="L323" s="7"/>
      <c r="M323" s="9">
        <f>+M239+M248+M257+M266+M275+M320+M321</f>
        <v>0</v>
      </c>
      <c r="N323" s="9">
        <f>+N239+N248+N257+N266+N275+N320+N321</f>
        <v>13414321.476622313</v>
      </c>
      <c r="O323" s="120"/>
      <c r="P323" s="126"/>
      <c r="Q323" s="9">
        <f>+Q239+Q248+Q257+Q266+Q275+Q320+Q321</f>
        <v>0</v>
      </c>
      <c r="R323" s="9">
        <f>+R239+R248+R257+R266+R275+R320+R321</f>
        <v>0</v>
      </c>
      <c r="S323" s="126"/>
      <c r="T323" s="9">
        <f>+T239+T248+T257+T266+T275+T320+T321</f>
        <v>13375545.066622313</v>
      </c>
      <c r="U323" s="9">
        <f>+U239+U248+U257+U266+U275+U320+U321</f>
        <v>38776.410000000003</v>
      </c>
      <c r="V323" s="124"/>
      <c r="W323" s="9">
        <f>HLOOKUP($W$9,'ROR-Model'!$Q$10:$U$1273,Y323)</f>
        <v>0</v>
      </c>
      <c r="X323" s="139"/>
      <c r="Y323" s="3">
        <f t="shared" si="13"/>
        <v>314</v>
      </c>
      <c r="AA323" s="9">
        <v>0</v>
      </c>
      <c r="AC323" s="9" t="str">
        <f t="shared" si="14"/>
        <v/>
      </c>
      <c r="AE323" s="42" t="str">
        <f t="shared" si="15"/>
        <v/>
      </c>
      <c r="AG323" s="162"/>
      <c r="AH323" s="1"/>
      <c r="AI323" s="1" t="s">
        <v>14</v>
      </c>
      <c r="AJ323" s="10"/>
    </row>
    <row r="324" spans="1:36">
      <c r="A324" s="136"/>
      <c r="B324" s="58"/>
      <c r="C324" s="58" t="s">
        <v>15</v>
      </c>
      <c r="D324" s="47"/>
      <c r="E324" s="9">
        <f>+G324-Adjustments!G324</f>
        <v>0</v>
      </c>
      <c r="F324" s="9">
        <f>+F277+F286</f>
        <v>-346.29999999999984</v>
      </c>
      <c r="G324" s="9">
        <f>+G277+G286</f>
        <v>0</v>
      </c>
      <c r="H324" s="9">
        <f>+H277+H286</f>
        <v>0</v>
      </c>
      <c r="I324" s="9">
        <f>+I277+I286</f>
        <v>-346.29999999999984</v>
      </c>
      <c r="J324" s="7">
        <f>+I324-'ROR-Model'!I324</f>
        <v>0</v>
      </c>
      <c r="K324" s="7"/>
      <c r="L324" s="7"/>
      <c r="M324" s="9">
        <f>+M277+M286</f>
        <v>0</v>
      </c>
      <c r="N324" s="9">
        <f>+N277+N286</f>
        <v>-346.29999999999984</v>
      </c>
      <c r="O324" s="120"/>
      <c r="P324" s="126"/>
      <c r="Q324" s="9">
        <f>+Q277+Q286</f>
        <v>0</v>
      </c>
      <c r="R324" s="9">
        <f>+R277+R286</f>
        <v>0</v>
      </c>
      <c r="S324" s="126"/>
      <c r="T324" s="9">
        <f>+T277+T286</f>
        <v>0</v>
      </c>
      <c r="U324" s="9">
        <f>+U277+U286</f>
        <v>-346.29999999999984</v>
      </c>
      <c r="V324" s="124"/>
      <c r="W324" s="9">
        <f>HLOOKUP($W$9,'ROR-Model'!$Q$10:$U$1273,Y324)</f>
        <v>0</v>
      </c>
      <c r="X324" s="139"/>
      <c r="Y324" s="3">
        <f t="shared" si="13"/>
        <v>315</v>
      </c>
      <c r="AA324" s="9">
        <v>0</v>
      </c>
      <c r="AC324" s="9" t="str">
        <f t="shared" si="14"/>
        <v/>
      </c>
      <c r="AE324" s="42" t="str">
        <f t="shared" si="15"/>
        <v/>
      </c>
      <c r="AG324" s="162"/>
      <c r="AH324" s="1"/>
      <c r="AI324" s="1" t="s">
        <v>15</v>
      </c>
      <c r="AJ324" s="10"/>
    </row>
    <row r="325" spans="1:36">
      <c r="A325" s="136"/>
      <c r="B325" s="58"/>
      <c r="C325" s="32" t="s">
        <v>498</v>
      </c>
      <c r="D325" s="47"/>
      <c r="E325" s="9">
        <f>+G325-Adjustments!G325</f>
        <v>0</v>
      </c>
      <c r="F325" s="9">
        <f>+F284+F293+F302+F311</f>
        <v>99548.020000000019</v>
      </c>
      <c r="G325" s="9">
        <f>+G284+G293+G302+G311</f>
        <v>0</v>
      </c>
      <c r="H325" s="9">
        <f>+H284+H293+H302+H311</f>
        <v>0</v>
      </c>
      <c r="I325" s="9">
        <f>+I275+I284+I293+I302+I311</f>
        <v>138324.43000000002</v>
      </c>
      <c r="J325" s="7"/>
      <c r="K325" s="7"/>
      <c r="L325" s="7"/>
      <c r="M325" s="9">
        <f>+M284+M293+M302+M311</f>
        <v>0</v>
      </c>
      <c r="N325" s="9">
        <f>+N275+N284+N293+N302+N311</f>
        <v>138324.43000000002</v>
      </c>
      <c r="O325" s="120"/>
      <c r="P325" s="126"/>
      <c r="Q325" s="9">
        <f>+Q284+Q293+Q302+Q311</f>
        <v>0</v>
      </c>
      <c r="R325" s="9">
        <f>+R284+R293+R302+R311</f>
        <v>0</v>
      </c>
      <c r="S325" s="126"/>
      <c r="T325" s="9">
        <f>+T284+T293+T302+T311</f>
        <v>0</v>
      </c>
      <c r="U325" s="9">
        <f>+N275+U284+U293+U302+U311</f>
        <v>138324.43000000002</v>
      </c>
      <c r="V325" s="124"/>
      <c r="W325" s="9">
        <f>HLOOKUP($W$9,'ROR-Model'!$Q$10:$U$1273,Y325)</f>
        <v>0</v>
      </c>
      <c r="X325" s="139"/>
      <c r="Y325" s="3">
        <f t="shared" si="13"/>
        <v>316</v>
      </c>
      <c r="AA325" s="9">
        <v>0</v>
      </c>
      <c r="AC325" s="9" t="str">
        <f t="shared" si="14"/>
        <v/>
      </c>
      <c r="AE325" s="42" t="str">
        <f t="shared" si="15"/>
        <v/>
      </c>
      <c r="AG325" s="162"/>
      <c r="AH325" s="1"/>
      <c r="AI325" t="s">
        <v>498</v>
      </c>
      <c r="AJ325" s="10"/>
    </row>
    <row r="326" spans="1:36">
      <c r="A326" s="136"/>
      <c r="B326" s="58"/>
      <c r="C326" s="58" t="s">
        <v>16</v>
      </c>
      <c r="D326" s="47"/>
      <c r="E326" s="9">
        <f>+G326-Adjustments!G326</f>
        <v>0</v>
      </c>
      <c r="F326" s="9">
        <f>+F243+F252+F261+F270+F279+F288+F297+F306+F315</f>
        <v>32766856.671976302</v>
      </c>
      <c r="G326" s="9">
        <f t="shared" ref="G326:I326" si="16">+G243+G252+G261+G270+G279+G288+G297+G306+G315</f>
        <v>0</v>
      </c>
      <c r="H326" s="9">
        <f t="shared" si="16"/>
        <v>0</v>
      </c>
      <c r="I326" s="9">
        <f t="shared" si="16"/>
        <v>32766856.671976302</v>
      </c>
      <c r="J326" s="7">
        <f>+I326-'ROR-Model'!I326</f>
        <v>0</v>
      </c>
      <c r="K326" s="7"/>
      <c r="L326" s="7"/>
      <c r="M326" s="9">
        <f>+M243+M252+M261+M270+M279+M288+M297+M306+M315</f>
        <v>0</v>
      </c>
      <c r="N326" s="9">
        <f>+N243+N252+N261+N270+N279+N288+N297+N306+N315</f>
        <v>32766856.671976302</v>
      </c>
      <c r="O326" s="120"/>
      <c r="P326" s="126"/>
      <c r="Q326" s="9">
        <f>+Q243+Q252+Q261+Q270+Q279+Q288+Q297+Q306+Q315</f>
        <v>0</v>
      </c>
      <c r="R326" s="9">
        <f>+R243+R252+R261+R270+R279+R288+R297+R306+R315</f>
        <v>0</v>
      </c>
      <c r="S326" s="126"/>
      <c r="T326" s="9">
        <f>+T243+T252+T261+T270+T279+T288+T297+T306+T315</f>
        <v>0</v>
      </c>
      <c r="U326" s="9">
        <f>+U243+U252+U261+U270+U279+U288+U297+U306+U315</f>
        <v>32766856.671976302</v>
      </c>
      <c r="V326" s="124"/>
      <c r="W326" s="9">
        <f>HLOOKUP($W$9,'ROR-Model'!$Q$10:$U$1273,Y326)</f>
        <v>0</v>
      </c>
      <c r="X326" s="139"/>
      <c r="Y326" s="3">
        <f t="shared" si="13"/>
        <v>317</v>
      </c>
      <c r="AA326" s="9">
        <v>0</v>
      </c>
      <c r="AC326" s="9" t="str">
        <f t="shared" si="14"/>
        <v/>
      </c>
      <c r="AE326" s="42" t="str">
        <f t="shared" si="15"/>
        <v/>
      </c>
      <c r="AG326" s="162"/>
      <c r="AH326" s="1"/>
      <c r="AI326" s="1" t="s">
        <v>16</v>
      </c>
      <c r="AJ326" s="10"/>
    </row>
    <row r="327" spans="1:36">
      <c r="A327" s="136"/>
      <c r="B327" s="58"/>
      <c r="C327" s="58" t="s">
        <v>26</v>
      </c>
      <c r="D327" s="47"/>
      <c r="E327" s="172">
        <f>+G327-Adjustments!G327</f>
        <v>0</v>
      </c>
      <c r="F327" s="172">
        <f>+F244+F253+F262+F271+F280+F289+F298+F307+F316+F320+F321</f>
        <v>46387511.138598621</v>
      </c>
      <c r="G327" s="172">
        <f t="shared" ref="G327:I327" si="17">+G244+G253+G262+G271+G280+G289+G298+G307+G316+G320+G321</f>
        <v>-107131.26999999999</v>
      </c>
      <c r="H327" s="172">
        <f t="shared" si="17"/>
        <v>0</v>
      </c>
      <c r="I327" s="172">
        <f t="shared" si="17"/>
        <v>46280379.868598618</v>
      </c>
      <c r="J327" s="7">
        <f>+I327-'ROR-Model'!I327</f>
        <v>0</v>
      </c>
      <c r="K327" s="7"/>
      <c r="L327" s="172"/>
      <c r="M327" s="172">
        <f t="shared" ref="M327:N327" si="18">+M244+M253+M262+M271+M280+M289+M298+M307+M316+M320+M321</f>
        <v>0</v>
      </c>
      <c r="N327" s="172">
        <f t="shared" si="18"/>
        <v>46280379.868598618</v>
      </c>
      <c r="O327" s="120"/>
      <c r="P327" s="201"/>
      <c r="Q327" s="172">
        <f t="shared" ref="Q327:U327" si="19">+Q244+Q253+Q262+Q271+Q280+Q289+Q298+Q307+Q316+Q320+Q321</f>
        <v>0</v>
      </c>
      <c r="R327" s="172">
        <f t="shared" si="19"/>
        <v>0</v>
      </c>
      <c r="S327" s="172"/>
      <c r="T327" s="172">
        <f t="shared" si="19"/>
        <v>13375545.066622313</v>
      </c>
      <c r="U327" s="172">
        <f t="shared" si="19"/>
        <v>32904834.801976305</v>
      </c>
      <c r="V327" s="124"/>
      <c r="W327" s="172">
        <f>HLOOKUP($W$9,'ROR-Model'!$Q$10:$U$1273,Y327)</f>
        <v>0</v>
      </c>
      <c r="X327" s="139"/>
      <c r="Y327" s="3">
        <f t="shared" si="13"/>
        <v>318</v>
      </c>
      <c r="AA327" s="172">
        <v>0</v>
      </c>
      <c r="AC327" s="172" t="str">
        <f t="shared" si="14"/>
        <v/>
      </c>
      <c r="AE327" s="42" t="str">
        <f t="shared" si="15"/>
        <v/>
      </c>
      <c r="AG327" s="162"/>
      <c r="AH327" s="1"/>
      <c r="AI327" s="1" t="s">
        <v>26</v>
      </c>
      <c r="AJ327" s="10"/>
    </row>
    <row r="328" spans="1:36">
      <c r="A328" s="136"/>
      <c r="B328" s="58"/>
      <c r="C328" s="58"/>
      <c r="D328" s="47"/>
      <c r="E328" s="9">
        <f>+G328-Adjustments!G328</f>
        <v>0</v>
      </c>
      <c r="F328" s="9"/>
      <c r="G328" s="9"/>
      <c r="H328" s="9"/>
      <c r="I328" s="9"/>
      <c r="J328" s="7">
        <f>+I328-'ROR-Model'!I328</f>
        <v>0</v>
      </c>
      <c r="K328" s="7"/>
      <c r="L328" s="7"/>
      <c r="M328" s="9"/>
      <c r="N328" s="9"/>
      <c r="O328" s="120"/>
      <c r="P328" s="126"/>
      <c r="Q328" s="9"/>
      <c r="R328" s="9"/>
      <c r="S328" s="126"/>
      <c r="T328" s="9"/>
      <c r="U328" s="9"/>
      <c r="V328" s="124"/>
      <c r="W328" s="9"/>
      <c r="X328" s="139"/>
      <c r="Y328" s="3">
        <f t="shared" si="13"/>
        <v>319</v>
      </c>
      <c r="AA328" s="9"/>
      <c r="AC328" s="9" t="str">
        <f t="shared" si="14"/>
        <v/>
      </c>
      <c r="AE328" s="42" t="str">
        <f t="shared" si="15"/>
        <v/>
      </c>
      <c r="AG328" s="162"/>
      <c r="AH328" s="1"/>
      <c r="AI328" s="1"/>
      <c r="AJ328" s="10"/>
    </row>
    <row r="329" spans="1:36">
      <c r="A329" s="519"/>
      <c r="B329" s="58"/>
      <c r="C329" s="32" t="s">
        <v>56</v>
      </c>
      <c r="D329" s="572"/>
      <c r="E329" s="524">
        <f>+G329-Adjustments!G329</f>
        <v>0</v>
      </c>
      <c r="F329" s="524">
        <f>F246+F255+F264+F273+F282+F291</f>
        <v>4135367.7589999996</v>
      </c>
      <c r="G329" s="524">
        <f>G246+G255+G264+G273+G282+G291</f>
        <v>0</v>
      </c>
      <c r="H329" s="524">
        <f>H246+H255+H264+H273+H282+H291</f>
        <v>0</v>
      </c>
      <c r="I329" s="524">
        <f>I246+I255+I264+I273+I282+I291</f>
        <v>4135367.7589999996</v>
      </c>
      <c r="J329" s="7">
        <f>+I329-'ROR-Model'!I329</f>
        <v>0</v>
      </c>
      <c r="K329" s="520"/>
      <c r="L329" s="520"/>
      <c r="M329" s="524">
        <f>M246+M255+M264+M273+M282+M291</f>
        <v>0</v>
      </c>
      <c r="N329" s="524">
        <f>N246+N255+N264+N273+N282+N291</f>
        <v>4135367.7589999996</v>
      </c>
      <c r="O329" s="573"/>
      <c r="P329" s="574"/>
      <c r="Q329" s="524">
        <f>Q246+Q255+Q264+Q273+Q282+Q291</f>
        <v>0</v>
      </c>
      <c r="R329" s="524">
        <f>R246+R255+R264+R273+R282+R291</f>
        <v>0</v>
      </c>
      <c r="S329" s="574"/>
      <c r="T329" s="524">
        <f>T246+T255+T264+T273+T282+T291</f>
        <v>4047815.9099999997</v>
      </c>
      <c r="U329" s="524">
        <f>U246+U255+U264+U273+U282+U291</f>
        <v>87551.849000000002</v>
      </c>
      <c r="V329" s="575"/>
      <c r="W329" s="524">
        <f>HLOOKUP($W$9,'ROR-Model'!$Q$10:$U$1273,Y329)</f>
        <v>0</v>
      </c>
      <c r="X329" s="576"/>
      <c r="Y329" s="3">
        <f t="shared" si="13"/>
        <v>320</v>
      </c>
      <c r="AA329" s="524">
        <v>0</v>
      </c>
      <c r="AC329" s="524" t="str">
        <f t="shared" si="14"/>
        <v/>
      </c>
      <c r="AE329" s="42" t="str">
        <f t="shared" si="15"/>
        <v/>
      </c>
      <c r="AG329" s="162"/>
      <c r="AH329" s="1"/>
      <c r="AI329" t="s">
        <v>56</v>
      </c>
      <c r="AJ329" s="10"/>
    </row>
    <row r="330" spans="1:36">
      <c r="A330" s="519"/>
      <c r="B330" s="58"/>
      <c r="C330" s="58" t="s">
        <v>57</v>
      </c>
      <c r="D330" s="572"/>
      <c r="E330" s="524">
        <f>+G330-Adjustments!G330</f>
        <v>0</v>
      </c>
      <c r="F330" s="524">
        <f>F309+F318+F300</f>
        <v>470443</v>
      </c>
      <c r="G330" s="524">
        <f>G309+G318+G300</f>
        <v>0</v>
      </c>
      <c r="H330" s="524">
        <f>H309+H318+H300</f>
        <v>0</v>
      </c>
      <c r="I330" s="524">
        <f>I309+I318+I300</f>
        <v>470443</v>
      </c>
      <c r="J330" s="7">
        <f>+I330-'ROR-Model'!I330</f>
        <v>0</v>
      </c>
      <c r="K330" s="520"/>
      <c r="L330" s="520"/>
      <c r="M330" s="524">
        <f>M309+M318+M300</f>
        <v>0</v>
      </c>
      <c r="N330" s="524">
        <f>N309+N318+N300</f>
        <v>470443</v>
      </c>
      <c r="O330" s="573"/>
      <c r="P330" s="574"/>
      <c r="Q330" s="524">
        <f>Q309+Q318+Q300</f>
        <v>0</v>
      </c>
      <c r="R330" s="524">
        <f>R309+R318+R300</f>
        <v>0</v>
      </c>
      <c r="S330" s="574"/>
      <c r="T330" s="524">
        <f>T309+T318+T300</f>
        <v>0</v>
      </c>
      <c r="U330" s="524">
        <f>U309+U318+U300</f>
        <v>470443</v>
      </c>
      <c r="V330" s="575"/>
      <c r="W330" s="524">
        <f>HLOOKUP($W$9,'ROR-Model'!$Q$10:$U$1273,Y330)</f>
        <v>0</v>
      </c>
      <c r="X330" s="576"/>
      <c r="Y330" s="3">
        <f t="shared" si="13"/>
        <v>321</v>
      </c>
      <c r="AA330" s="524">
        <v>0</v>
      </c>
      <c r="AC330" s="524" t="str">
        <f t="shared" si="14"/>
        <v/>
      </c>
      <c r="AE330" s="42" t="str">
        <f t="shared" si="15"/>
        <v/>
      </c>
      <c r="AG330" s="162"/>
      <c r="AH330" s="1"/>
      <c r="AI330" s="1" t="s">
        <v>57</v>
      </c>
      <c r="AJ330" s="10"/>
    </row>
    <row r="331" spans="1:36">
      <c r="A331" s="519"/>
      <c r="B331" s="58"/>
      <c r="C331" s="58" t="s">
        <v>27</v>
      </c>
      <c r="D331" s="572"/>
      <c r="E331" s="525">
        <f>+G331-Adjustments!G331</f>
        <v>0</v>
      </c>
      <c r="F331" s="525">
        <f>+F246+F255+F264+F273+F282+F291+F300+F309+F318</f>
        <v>4605810.7589999996</v>
      </c>
      <c r="G331" s="525">
        <f>+G246+G255+G264+G273+G282+G291+G300+G309+G318</f>
        <v>0</v>
      </c>
      <c r="H331" s="525">
        <f>+H246+H255+H264+H273+H282+H291+H300+H309+H318</f>
        <v>0</v>
      </c>
      <c r="I331" s="525">
        <f>+I246+I255+I264+I273+I282+I291+I300+I309+I318</f>
        <v>4605810.7589999996</v>
      </c>
      <c r="J331" s="7">
        <f>+I331-'ROR-Model'!I331</f>
        <v>0</v>
      </c>
      <c r="K331" s="520"/>
      <c r="L331" s="521"/>
      <c r="M331" s="525">
        <f>+M246+M255+M264+M273+M282+M291+M300+M309+M318</f>
        <v>0</v>
      </c>
      <c r="N331" s="525">
        <f>+N246+N255+N264+N273+N282+N291+N300+N309+N318</f>
        <v>4605810.7589999996</v>
      </c>
      <c r="O331" s="573"/>
      <c r="P331" s="577"/>
      <c r="Q331" s="525">
        <f>+Q246+Q255+Q264+Q273+Q282+Q291+Q300+Q309+Q318</f>
        <v>0</v>
      </c>
      <c r="R331" s="525">
        <f>+R246+R255+R264+R273+R282+R291+R300+R309+R318</f>
        <v>0</v>
      </c>
      <c r="S331" s="577"/>
      <c r="T331" s="525">
        <f>+T246+T255+T264+T273+T282+T291+T300+T309+T318</f>
        <v>4047815.9099999997</v>
      </c>
      <c r="U331" s="525">
        <f>+U246+U255+U264+U273+U282+U291+U300+U309+U318</f>
        <v>557994.84899999993</v>
      </c>
      <c r="V331" s="575"/>
      <c r="W331" s="525">
        <f>HLOOKUP($W$9,'ROR-Model'!$Q$10:$U$1273,Y331)</f>
        <v>0</v>
      </c>
      <c r="X331" s="576"/>
      <c r="Y331" s="3">
        <f t="shared" si="13"/>
        <v>322</v>
      </c>
      <c r="AA331" s="525">
        <v>0</v>
      </c>
      <c r="AC331" s="525" t="str">
        <f t="shared" si="14"/>
        <v/>
      </c>
      <c r="AE331" s="42" t="str">
        <f t="shared" si="15"/>
        <v/>
      </c>
      <c r="AG331" s="162"/>
      <c r="AH331" s="1"/>
      <c r="AI331" s="1" t="s">
        <v>27</v>
      </c>
      <c r="AJ331" s="10"/>
    </row>
    <row r="332" spans="1:36">
      <c r="A332" s="136"/>
      <c r="B332" s="32"/>
      <c r="C332" s="32"/>
      <c r="D332" s="47"/>
      <c r="E332" s="7">
        <f>+G332-Adjustments!G332</f>
        <v>0</v>
      </c>
      <c r="F332" s="7"/>
      <c r="G332" s="7"/>
      <c r="H332" s="7"/>
      <c r="I332" s="7"/>
      <c r="J332" s="7">
        <f>+I332-'ROR-Model'!I332</f>
        <v>0</v>
      </c>
      <c r="K332" s="7"/>
      <c r="L332" s="7"/>
      <c r="M332" s="7"/>
      <c r="N332" s="7"/>
      <c r="O332" s="120"/>
      <c r="P332" s="126"/>
      <c r="Q332" s="7"/>
      <c r="R332" s="7"/>
      <c r="S332" s="126"/>
      <c r="T332" s="7"/>
      <c r="U332" s="7"/>
      <c r="V332" s="124"/>
      <c r="W332" s="7"/>
      <c r="X332" s="139"/>
      <c r="Y332" s="3">
        <f t="shared" si="13"/>
        <v>323</v>
      </c>
      <c r="AA332" s="7"/>
      <c r="AC332" s="7" t="str">
        <f t="shared" si="14"/>
        <v/>
      </c>
      <c r="AE332" s="42" t="str">
        <f t="shared" si="15"/>
        <v/>
      </c>
      <c r="AG332" s="162"/>
      <c r="AJ332" s="10"/>
    </row>
    <row r="333" spans="1:36">
      <c r="A333" s="116" t="s">
        <v>28</v>
      </c>
      <c r="B333" s="58"/>
      <c r="C333" s="58"/>
      <c r="D333" s="47"/>
      <c r="E333" s="7">
        <f>+G333-Adjustments!G333</f>
        <v>0</v>
      </c>
      <c r="F333" s="7"/>
      <c r="G333" s="7"/>
      <c r="H333" s="7"/>
      <c r="I333" s="7"/>
      <c r="J333" s="7">
        <f>+I333-'ROR-Model'!I333</f>
        <v>0</v>
      </c>
      <c r="K333" s="7"/>
      <c r="L333" s="7"/>
      <c r="M333" s="7"/>
      <c r="N333" s="7"/>
      <c r="O333" s="120"/>
      <c r="P333" s="126"/>
      <c r="Q333" s="7"/>
      <c r="R333" s="7"/>
      <c r="S333" s="126"/>
      <c r="T333" s="7"/>
      <c r="U333" s="7"/>
      <c r="V333" s="124"/>
      <c r="W333" s="7"/>
      <c r="X333" s="139"/>
      <c r="Y333" s="3">
        <f t="shared" si="13"/>
        <v>324</v>
      </c>
      <c r="AA333" s="7"/>
      <c r="AC333" s="7" t="str">
        <f t="shared" si="14"/>
        <v/>
      </c>
      <c r="AE333" s="42" t="str">
        <f t="shared" si="15"/>
        <v/>
      </c>
      <c r="AG333" s="162" t="s">
        <v>28</v>
      </c>
      <c r="AH333" s="1"/>
      <c r="AI333" s="1"/>
      <c r="AJ333" s="10"/>
    </row>
    <row r="334" spans="1:36">
      <c r="A334" s="136"/>
      <c r="B334" s="32" t="s">
        <v>79</v>
      </c>
      <c r="C334" s="32" t="s">
        <v>14</v>
      </c>
      <c r="D334" s="47"/>
      <c r="E334" s="7">
        <f>+G334-Adjustments!G334</f>
        <v>0</v>
      </c>
      <c r="F334" s="7">
        <f>Revenue!$F$333</f>
        <v>0</v>
      </c>
      <c r="G334" s="7">
        <f>+Adjustments!V334</f>
        <v>0</v>
      </c>
      <c r="H334" s="7"/>
      <c r="I334" s="7">
        <f>SUM($F$334:$H$334)</f>
        <v>0</v>
      </c>
      <c r="J334" s="7">
        <f>+I334-'ROR-Model'!I334</f>
        <v>0</v>
      </c>
      <c r="K334" s="7"/>
      <c r="L334" s="7" t="s">
        <v>637</v>
      </c>
      <c r="M334" s="7">
        <f>VLOOKUP($L334,$L$2:$N$7,2,FALSE)*I334</f>
        <v>0</v>
      </c>
      <c r="N334" s="7">
        <f>VLOOKUP($L334,$L$2:$N$7,3,FALSE)*I334</f>
        <v>0</v>
      </c>
      <c r="O334" s="120"/>
      <c r="P334" s="126" t="s">
        <v>510</v>
      </c>
      <c r="Q334" s="7">
        <f>IF(P334="G",M334,IF(P334="PT",0,ERR))</f>
        <v>0</v>
      </c>
      <c r="R334" s="7">
        <f>IF(P334="PT",M334,IF(P334="G",0,ERR))</f>
        <v>0</v>
      </c>
      <c r="S334" s="126" t="s">
        <v>510</v>
      </c>
      <c r="T334" s="7">
        <f>IF(S334="G",N334,IF(S334="PT",0,ERR))</f>
        <v>0</v>
      </c>
      <c r="U334" s="7">
        <f>IF(S334="PT",N334,IF(S334="G",0,ERR))</f>
        <v>0</v>
      </c>
      <c r="V334" s="124"/>
      <c r="W334" s="7">
        <f>HLOOKUP($W$9,'ROR-Model'!$Q$10:$U$1273,Y334)</f>
        <v>0</v>
      </c>
      <c r="X334" s="139"/>
      <c r="Y334" s="3">
        <f t="shared" ref="Y334:Y397" si="20">Y333+1</f>
        <v>325</v>
      </c>
      <c r="AA334" s="7">
        <v>0</v>
      </c>
      <c r="AC334" s="7" t="str">
        <f t="shared" si="14"/>
        <v/>
      </c>
      <c r="AE334" s="42" t="str">
        <f t="shared" si="15"/>
        <v/>
      </c>
      <c r="AG334" s="162"/>
      <c r="AH334" t="s">
        <v>79</v>
      </c>
      <c r="AI334" t="s">
        <v>14</v>
      </c>
      <c r="AJ334" s="10"/>
    </row>
    <row r="335" spans="1:36">
      <c r="A335" s="136"/>
      <c r="B335" s="32"/>
      <c r="C335" s="32"/>
      <c r="D335" s="47"/>
      <c r="E335" s="7">
        <f>+G335-Adjustments!G335</f>
        <v>0</v>
      </c>
      <c r="F335" s="7"/>
      <c r="G335" s="7"/>
      <c r="H335" s="7"/>
      <c r="I335" s="7"/>
      <c r="J335" s="7">
        <f>+I335-'ROR-Model'!I335</f>
        <v>0</v>
      </c>
      <c r="K335" s="7"/>
      <c r="L335" s="7"/>
      <c r="M335" s="29"/>
      <c r="N335" s="29"/>
      <c r="O335" s="120"/>
      <c r="P335" s="126"/>
      <c r="Q335" s="7"/>
      <c r="R335" s="7"/>
      <c r="S335" s="126"/>
      <c r="T335" s="7"/>
      <c r="U335" s="7"/>
      <c r="V335" s="124"/>
      <c r="W335" s="7"/>
      <c r="X335" s="139"/>
      <c r="Y335" s="3">
        <f t="shared" si="20"/>
        <v>326</v>
      </c>
      <c r="AA335" s="7"/>
      <c r="AC335" s="7" t="str">
        <f t="shared" si="14"/>
        <v/>
      </c>
      <c r="AE335" s="42" t="str">
        <f t="shared" si="15"/>
        <v/>
      </c>
      <c r="AG335" s="162"/>
      <c r="AJ335" s="10"/>
    </row>
    <row r="336" spans="1:36">
      <c r="A336" s="136"/>
      <c r="B336" s="32"/>
      <c r="C336" s="32"/>
      <c r="D336" s="47"/>
      <c r="E336" s="7">
        <f>+G336-Adjustments!G336</f>
        <v>0</v>
      </c>
      <c r="F336" s="7"/>
      <c r="G336" s="7">
        <f>+Adjustments!V336</f>
        <v>0</v>
      </c>
      <c r="H336" s="7"/>
      <c r="I336" s="7">
        <f>SUM($F$336:$H$336)</f>
        <v>0</v>
      </c>
      <c r="J336" s="7">
        <f>+I336-'ROR-Model'!I336</f>
        <v>0</v>
      </c>
      <c r="K336" s="7"/>
      <c r="L336" s="7" t="s">
        <v>23</v>
      </c>
      <c r="M336" s="7">
        <f>VLOOKUP($L336,$L$2:$N$7,2,FALSE)*I336</f>
        <v>0</v>
      </c>
      <c r="N336" s="7">
        <f>VLOOKUP($L336,$L$2:$N$7,3,FALSE)*I336</f>
        <v>0</v>
      </c>
      <c r="O336" s="120"/>
      <c r="P336" s="126"/>
      <c r="Q336" s="7"/>
      <c r="R336" s="7"/>
      <c r="S336" s="126"/>
      <c r="T336" s="7"/>
      <c r="U336" s="7"/>
      <c r="V336" s="124"/>
      <c r="W336" s="7"/>
      <c r="X336" s="139"/>
      <c r="Y336" s="3">
        <f t="shared" si="20"/>
        <v>327</v>
      </c>
      <c r="AA336" s="7"/>
      <c r="AC336" s="7" t="str">
        <f t="shared" si="14"/>
        <v/>
      </c>
      <c r="AE336" s="42" t="str">
        <f t="shared" si="15"/>
        <v/>
      </c>
      <c r="AG336" s="162"/>
      <c r="AJ336" s="10"/>
    </row>
    <row r="337" spans="1:36">
      <c r="A337" s="136"/>
      <c r="B337" s="32"/>
      <c r="C337" s="32"/>
      <c r="D337" s="47"/>
      <c r="E337" s="7">
        <f>+G337-Adjustments!G337</f>
        <v>0</v>
      </c>
      <c r="F337" s="7"/>
      <c r="G337" s="7"/>
      <c r="H337" s="7"/>
      <c r="I337" s="7"/>
      <c r="J337" s="7">
        <f>+I337-'ROR-Model'!I337</f>
        <v>0</v>
      </c>
      <c r="K337" s="7"/>
      <c r="L337" s="7"/>
      <c r="M337" s="7"/>
      <c r="N337" s="7"/>
      <c r="O337" s="120"/>
      <c r="P337" s="126"/>
      <c r="Q337" s="7"/>
      <c r="R337" s="7"/>
      <c r="S337" s="126"/>
      <c r="T337" s="7"/>
      <c r="U337" s="7"/>
      <c r="V337" s="124"/>
      <c r="W337" s="7"/>
      <c r="X337" s="139"/>
      <c r="Y337" s="3">
        <f t="shared" si="20"/>
        <v>328</v>
      </c>
      <c r="AA337" s="7"/>
      <c r="AC337" s="7" t="str">
        <f t="shared" ref="AC337:AC400" si="21">IF(ABS(AA337)&gt;0,W337-AA337,"")</f>
        <v/>
      </c>
      <c r="AE337" s="42" t="str">
        <f t="shared" si="15"/>
        <v/>
      </c>
      <c r="AG337" s="162"/>
      <c r="AJ337" s="10"/>
    </row>
    <row r="338" spans="1:36">
      <c r="A338" s="136"/>
      <c r="B338" s="32"/>
      <c r="C338" s="32" t="s">
        <v>16</v>
      </c>
      <c r="D338" s="47"/>
      <c r="E338" s="7">
        <f>+G338-Adjustments!G338</f>
        <v>0</v>
      </c>
      <c r="F338" s="7">
        <f>Revenue!$F$337</f>
        <v>0</v>
      </c>
      <c r="G338" s="7">
        <f>+Adjustments!V338</f>
        <v>0</v>
      </c>
      <c r="H338" s="7"/>
      <c r="I338" s="7">
        <f>SUM($F$338:$H$338)</f>
        <v>0</v>
      </c>
      <c r="J338" s="7">
        <f>+I338-'ROR-Model'!I338</f>
        <v>0</v>
      </c>
      <c r="K338" s="7"/>
      <c r="L338" s="7" t="s">
        <v>23</v>
      </c>
      <c r="M338" s="7">
        <f>VLOOKUP($L338,$L$2:$N$7,2,FALSE)*I338</f>
        <v>0</v>
      </c>
      <c r="N338" s="7">
        <f>VLOOKUP($L338,$L$2:$N$7,3,FALSE)*I338</f>
        <v>0</v>
      </c>
      <c r="O338" s="120"/>
      <c r="P338" s="126" t="s">
        <v>509</v>
      </c>
      <c r="Q338" s="7">
        <f>IF(P338="G",M338,IF(P338="PT",0,ERR))</f>
        <v>0</v>
      </c>
      <c r="R338" s="7">
        <f>IF(P338="PT",M338,IF(P338="G",0,ERR))</f>
        <v>0</v>
      </c>
      <c r="S338" s="126" t="s">
        <v>509</v>
      </c>
      <c r="T338" s="7">
        <f>IF(S338="G",N338,IF(S338="PT",0,ERR))</f>
        <v>0</v>
      </c>
      <c r="U338" s="7">
        <f>IF(S338="PT",N338,IF(S338="G",0,ERR))</f>
        <v>0</v>
      </c>
      <c r="V338" s="124"/>
      <c r="W338" s="7">
        <f>HLOOKUP($W$9,'ROR-Model'!$Q$10:$U$1273,Y338)</f>
        <v>0</v>
      </c>
      <c r="X338" s="139"/>
      <c r="Y338" s="3">
        <f t="shared" si="20"/>
        <v>329</v>
      </c>
      <c r="AA338" s="7">
        <v>0</v>
      </c>
      <c r="AC338" s="7" t="str">
        <f t="shared" si="21"/>
        <v/>
      </c>
      <c r="AE338" s="42" t="str">
        <f t="shared" ref="AE338:AE401" si="22">IF(ABS(AA338)&gt;0,AC338/AA338,"")</f>
        <v/>
      </c>
      <c r="AG338" s="162"/>
      <c r="AI338" t="s">
        <v>16</v>
      </c>
      <c r="AJ338" s="10"/>
    </row>
    <row r="339" spans="1:36">
      <c r="A339" s="136"/>
      <c r="B339" s="32"/>
      <c r="C339" s="32" t="s">
        <v>17</v>
      </c>
      <c r="D339" s="47"/>
      <c r="E339" s="140">
        <f>+G339-Adjustments!G339</f>
        <v>0</v>
      </c>
      <c r="F339" s="140">
        <f>SUM(F334:F338)</f>
        <v>0</v>
      </c>
      <c r="G339" s="140">
        <f>SUM(G334:G338)</f>
        <v>0</v>
      </c>
      <c r="H339" s="140">
        <f>SUM(H334:H338)</f>
        <v>0</v>
      </c>
      <c r="I339" s="140">
        <f>SUM(I334:I338)</f>
        <v>0</v>
      </c>
      <c r="J339" s="7">
        <f>+I339-'ROR-Model'!I339</f>
        <v>0</v>
      </c>
      <c r="K339" s="7"/>
      <c r="L339" s="140"/>
      <c r="M339" s="140">
        <f>SUM(M334:M338)</f>
        <v>0</v>
      </c>
      <c r="N339" s="140">
        <f>SUM(N334:N338)</f>
        <v>0</v>
      </c>
      <c r="O339" s="120"/>
      <c r="P339" s="201"/>
      <c r="Q339" s="140">
        <f>SUM(Q334:Q338)</f>
        <v>0</v>
      </c>
      <c r="R339" s="140">
        <f>SUM(R334:R338)</f>
        <v>0</v>
      </c>
      <c r="S339" s="201"/>
      <c r="T339" s="140">
        <f>SUM(T334:T338)</f>
        <v>0</v>
      </c>
      <c r="U339" s="140">
        <f>SUM(U334:U338)</f>
        <v>0</v>
      </c>
      <c r="V339" s="124"/>
      <c r="W339" s="140">
        <f>HLOOKUP($W$9,'ROR-Model'!$Q$10:$U$1273,Y339)</f>
        <v>0</v>
      </c>
      <c r="X339" s="139"/>
      <c r="Y339" s="3">
        <f t="shared" si="20"/>
        <v>330</v>
      </c>
      <c r="AA339" s="140">
        <v>0</v>
      </c>
      <c r="AC339" s="140" t="str">
        <f t="shared" si="21"/>
        <v/>
      </c>
      <c r="AE339" s="42" t="str">
        <f t="shared" si="22"/>
        <v/>
      </c>
      <c r="AG339" s="162"/>
      <c r="AI339" t="s">
        <v>17</v>
      </c>
      <c r="AJ339" s="10"/>
    </row>
    <row r="340" spans="1:36">
      <c r="A340" s="136"/>
      <c r="B340" s="32"/>
      <c r="C340" s="32"/>
      <c r="D340" s="47"/>
      <c r="E340" s="7">
        <f>+G340-Adjustments!G340</f>
        <v>0</v>
      </c>
      <c r="F340" s="7"/>
      <c r="G340" s="7"/>
      <c r="H340" s="7"/>
      <c r="I340" s="7"/>
      <c r="J340" s="7">
        <f>+I340-'ROR-Model'!I340</f>
        <v>0</v>
      </c>
      <c r="K340" s="7"/>
      <c r="L340" s="7"/>
      <c r="M340" s="7"/>
      <c r="N340" s="7"/>
      <c r="O340" s="120"/>
      <c r="P340" s="126"/>
      <c r="Q340" s="7"/>
      <c r="R340" s="7"/>
      <c r="S340" s="126"/>
      <c r="T340" s="7"/>
      <c r="U340" s="7"/>
      <c r="V340" s="124"/>
      <c r="W340" s="7"/>
      <c r="X340" s="139"/>
      <c r="Y340" s="3">
        <f t="shared" si="20"/>
        <v>331</v>
      </c>
      <c r="AA340" s="7"/>
      <c r="AC340" s="7" t="str">
        <f t="shared" si="21"/>
        <v/>
      </c>
      <c r="AE340" s="42" t="str">
        <f t="shared" si="22"/>
        <v/>
      </c>
      <c r="AG340" s="162"/>
      <c r="AJ340" s="10"/>
    </row>
    <row r="341" spans="1:36">
      <c r="A341" s="136"/>
      <c r="B341" s="32"/>
      <c r="C341" s="32" t="s">
        <v>18</v>
      </c>
      <c r="D341" s="47"/>
      <c r="E341" s="7">
        <f>+G341-Adjustments!G341</f>
        <v>0</v>
      </c>
      <c r="F341" s="7">
        <f>Revenue!$F$340</f>
        <v>0</v>
      </c>
      <c r="G341" s="7">
        <f>+Adjustments!V341</f>
        <v>0</v>
      </c>
      <c r="H341" s="7"/>
      <c r="I341" s="7">
        <f>SUM($F$341:$H$341)</f>
        <v>0</v>
      </c>
      <c r="J341" s="7">
        <f>+I341-'ROR-Model'!I341</f>
        <v>0</v>
      </c>
      <c r="K341" s="7"/>
      <c r="L341" s="7" t="s">
        <v>23</v>
      </c>
      <c r="M341" s="7">
        <f>VLOOKUP($L341,$L$2:$N$7,2,FALSE)*I341</f>
        <v>0</v>
      </c>
      <c r="N341" s="7">
        <f>VLOOKUP($L341,$L$2:$N$7,3,FALSE)*I341</f>
        <v>0</v>
      </c>
      <c r="O341" s="120"/>
      <c r="P341" s="126" t="s">
        <v>510</v>
      </c>
      <c r="Q341" s="7">
        <f>IF(P341="G",M341,IF(P341="PT",0,ERR))</f>
        <v>0</v>
      </c>
      <c r="R341" s="7">
        <f>IF(P341="PT",M341,IF(P341="G",0,ERR))</f>
        <v>0</v>
      </c>
      <c r="S341" s="126" t="s">
        <v>510</v>
      </c>
      <c r="T341" s="7">
        <f>IF(S341="G",N341,IF(S341="PT",0,ERR))</f>
        <v>0</v>
      </c>
      <c r="U341" s="7">
        <f>IF(S341="PT",N341,IF(S341="G",0,ERR))</f>
        <v>0</v>
      </c>
      <c r="V341" s="124"/>
      <c r="W341" s="7">
        <f>HLOOKUP($W$9,'ROR-Model'!$Q$10:$U$1273,Y341)</f>
        <v>0</v>
      </c>
      <c r="X341" s="139"/>
      <c r="Y341" s="3">
        <f t="shared" si="20"/>
        <v>332</v>
      </c>
      <c r="AA341" s="7">
        <v>0</v>
      </c>
      <c r="AC341" s="7" t="str">
        <f t="shared" si="21"/>
        <v/>
      </c>
      <c r="AE341" s="42" t="str">
        <f t="shared" si="22"/>
        <v/>
      </c>
      <c r="AG341" s="162"/>
      <c r="AI341" t="s">
        <v>18</v>
      </c>
      <c r="AJ341" s="10"/>
    </row>
    <row r="342" spans="1:36">
      <c r="A342" s="136"/>
      <c r="B342" s="58"/>
      <c r="C342" s="58"/>
      <c r="D342" s="47"/>
      <c r="E342" s="7">
        <f>+G342-Adjustments!G342</f>
        <v>0</v>
      </c>
      <c r="F342" s="7"/>
      <c r="G342" s="7"/>
      <c r="H342" s="7"/>
      <c r="I342" s="7"/>
      <c r="J342" s="7">
        <f>+I342-'ROR-Model'!I342</f>
        <v>0</v>
      </c>
      <c r="K342" s="7"/>
      <c r="L342" s="7"/>
      <c r="M342" s="7"/>
      <c r="N342" s="7"/>
      <c r="O342" s="120"/>
      <c r="P342" s="126"/>
      <c r="Q342" s="7"/>
      <c r="R342" s="7"/>
      <c r="S342" s="126"/>
      <c r="T342" s="7"/>
      <c r="U342" s="7"/>
      <c r="V342" s="124"/>
      <c r="W342" s="7"/>
      <c r="X342" s="139"/>
      <c r="Y342" s="3">
        <f t="shared" si="20"/>
        <v>333</v>
      </c>
      <c r="AA342" s="7"/>
      <c r="AC342" s="7" t="str">
        <f t="shared" si="21"/>
        <v/>
      </c>
      <c r="AE342" s="42" t="str">
        <f t="shared" si="22"/>
        <v/>
      </c>
      <c r="AG342" s="162"/>
      <c r="AH342" s="1"/>
      <c r="AI342" s="1"/>
      <c r="AJ342" s="10"/>
    </row>
    <row r="343" spans="1:36">
      <c r="A343" s="136"/>
      <c r="B343" s="32" t="s">
        <v>24</v>
      </c>
      <c r="C343" s="32" t="s">
        <v>14</v>
      </c>
      <c r="D343" s="47"/>
      <c r="E343" s="7">
        <f>+G343-Adjustments!G343</f>
        <v>0</v>
      </c>
      <c r="F343" s="7">
        <f>Revenue!$F$342</f>
        <v>0</v>
      </c>
      <c r="G343" s="7">
        <f>+Adjustments!V343</f>
        <v>0</v>
      </c>
      <c r="H343" s="7"/>
      <c r="I343" s="7">
        <f>SUM($F$343:$H$343)</f>
        <v>0</v>
      </c>
      <c r="J343" s="7">
        <f>+I343-'ROR-Model'!I343</f>
        <v>0</v>
      </c>
      <c r="K343" s="7"/>
      <c r="L343" s="7" t="s">
        <v>637</v>
      </c>
      <c r="M343" s="7">
        <f>VLOOKUP($L343,$L$2:$N$7,2,FALSE)*I343</f>
        <v>0</v>
      </c>
      <c r="N343" s="7">
        <f>VLOOKUP($L343,$L$2:$N$7,3,FALSE)*I343</f>
        <v>0</v>
      </c>
      <c r="O343" s="120"/>
      <c r="P343" s="126" t="s">
        <v>510</v>
      </c>
      <c r="Q343" s="7">
        <f>IF(P343="G",M343,IF(P343="PT",0,ERR))</f>
        <v>0</v>
      </c>
      <c r="R343" s="7">
        <f>IF(P343="PT",M343,IF(P343="G",0,ERR))</f>
        <v>0</v>
      </c>
      <c r="S343" s="126" t="s">
        <v>510</v>
      </c>
      <c r="T343" s="7">
        <f>IF(S343="G",N343,IF(S343="PT",0,ERR))</f>
        <v>0</v>
      </c>
      <c r="U343" s="7">
        <f>IF(S343="PT",N343,IF(S343="G",0,ERR))</f>
        <v>0</v>
      </c>
      <c r="V343" s="124"/>
      <c r="W343" s="7">
        <f>HLOOKUP($W$9,'ROR-Model'!$Q$10:$U$1273,Y343)</f>
        <v>0</v>
      </c>
      <c r="X343" s="139"/>
      <c r="Y343" s="3">
        <f t="shared" si="20"/>
        <v>334</v>
      </c>
      <c r="AA343" s="7">
        <v>0</v>
      </c>
      <c r="AC343" s="7" t="str">
        <f t="shared" si="21"/>
        <v/>
      </c>
      <c r="AE343" s="42" t="str">
        <f t="shared" si="22"/>
        <v/>
      </c>
      <c r="AG343" s="162"/>
      <c r="AH343" t="s">
        <v>24</v>
      </c>
      <c r="AI343" t="s">
        <v>14</v>
      </c>
      <c r="AJ343" s="10"/>
    </row>
    <row r="344" spans="1:36">
      <c r="A344" s="136"/>
      <c r="B344" s="32"/>
      <c r="C344" s="32"/>
      <c r="D344" s="47"/>
      <c r="E344" s="7">
        <f>+G344-Adjustments!G344</f>
        <v>0</v>
      </c>
      <c r="F344" s="7"/>
      <c r="G344" s="7"/>
      <c r="H344" s="7"/>
      <c r="I344" s="7"/>
      <c r="J344" s="7">
        <f>+I344-'ROR-Model'!I344</f>
        <v>0</v>
      </c>
      <c r="K344" s="7"/>
      <c r="L344" s="7"/>
      <c r="M344" s="7"/>
      <c r="N344" s="7"/>
      <c r="O344" s="120"/>
      <c r="P344" s="126"/>
      <c r="Q344" s="7"/>
      <c r="R344" s="7"/>
      <c r="S344" s="126"/>
      <c r="T344" s="7"/>
      <c r="U344" s="7"/>
      <c r="V344" s="124"/>
      <c r="W344" s="7"/>
      <c r="X344" s="139"/>
      <c r="Y344" s="3">
        <f t="shared" si="20"/>
        <v>335</v>
      </c>
      <c r="AA344" s="7"/>
      <c r="AC344" s="7" t="str">
        <f t="shared" si="21"/>
        <v/>
      </c>
      <c r="AE344" s="42" t="str">
        <f t="shared" si="22"/>
        <v/>
      </c>
      <c r="AG344" s="162"/>
      <c r="AJ344" s="10"/>
    </row>
    <row r="345" spans="1:36">
      <c r="A345" s="136"/>
      <c r="B345" s="32"/>
      <c r="C345" s="32"/>
      <c r="D345" s="47"/>
      <c r="E345" s="7">
        <f>+G345-Adjustments!G345</f>
        <v>0</v>
      </c>
      <c r="F345" s="7"/>
      <c r="G345" s="7">
        <f>+Adjustments!V345</f>
        <v>0</v>
      </c>
      <c r="H345" s="7"/>
      <c r="I345" s="7">
        <f>SUM($F$345:$H$345)</f>
        <v>0</v>
      </c>
      <c r="J345" s="7">
        <f>+I345-'ROR-Model'!I345</f>
        <v>0</v>
      </c>
      <c r="K345" s="7"/>
      <c r="L345" s="7" t="s">
        <v>23</v>
      </c>
      <c r="M345" s="7">
        <f>VLOOKUP($L345,$L$2:$N$7,2,FALSE)*I345</f>
        <v>0</v>
      </c>
      <c r="N345" s="7">
        <f>VLOOKUP($L345,$L$2:$N$7,3,FALSE)*I345</f>
        <v>0</v>
      </c>
      <c r="O345" s="120"/>
      <c r="P345" s="126"/>
      <c r="Q345" s="7"/>
      <c r="R345" s="7"/>
      <c r="S345" s="126"/>
      <c r="T345" s="7"/>
      <c r="U345" s="7"/>
      <c r="V345" s="124"/>
      <c r="W345" s="7"/>
      <c r="X345" s="139"/>
      <c r="Y345" s="3">
        <f t="shared" si="20"/>
        <v>336</v>
      </c>
      <c r="AA345" s="7"/>
      <c r="AC345" s="7" t="str">
        <f t="shared" si="21"/>
        <v/>
      </c>
      <c r="AE345" s="42" t="str">
        <f t="shared" si="22"/>
        <v/>
      </c>
      <c r="AG345" s="162"/>
      <c r="AJ345" s="10"/>
    </row>
    <row r="346" spans="1:36">
      <c r="A346" s="136"/>
      <c r="B346" s="32"/>
      <c r="C346" s="32"/>
      <c r="D346" s="47"/>
      <c r="E346" s="7">
        <f>+G346-Adjustments!G346</f>
        <v>0</v>
      </c>
      <c r="F346" s="7"/>
      <c r="G346" s="7"/>
      <c r="H346" s="7"/>
      <c r="I346" s="7"/>
      <c r="J346" s="7">
        <f>+I346-'ROR-Model'!I346</f>
        <v>0</v>
      </c>
      <c r="K346" s="7"/>
      <c r="L346" s="7"/>
      <c r="M346" s="7"/>
      <c r="N346" s="7"/>
      <c r="O346" s="120"/>
      <c r="P346" s="126"/>
      <c r="Q346" s="7"/>
      <c r="R346" s="7"/>
      <c r="S346" s="126"/>
      <c r="T346" s="7"/>
      <c r="U346" s="7"/>
      <c r="V346" s="124"/>
      <c r="W346" s="7"/>
      <c r="X346" s="139"/>
      <c r="Y346" s="3">
        <f t="shared" si="20"/>
        <v>337</v>
      </c>
      <c r="AA346" s="7"/>
      <c r="AC346" s="7" t="str">
        <f t="shared" si="21"/>
        <v/>
      </c>
      <c r="AE346" s="42" t="str">
        <f t="shared" si="22"/>
        <v/>
      </c>
      <c r="AG346" s="162"/>
      <c r="AJ346" s="10"/>
    </row>
    <row r="347" spans="1:36">
      <c r="A347" s="136"/>
      <c r="B347" s="32"/>
      <c r="C347" s="32" t="s">
        <v>16</v>
      </c>
      <c r="D347" s="47"/>
      <c r="E347" s="7">
        <f>+G347-Adjustments!G347</f>
        <v>0</v>
      </c>
      <c r="F347" s="7">
        <f>Revenue!$F$346</f>
        <v>0</v>
      </c>
      <c r="G347" s="7">
        <f>+Adjustments!V347</f>
        <v>0</v>
      </c>
      <c r="H347" s="7"/>
      <c r="I347" s="7">
        <f>SUM($F$347:$H$347)</f>
        <v>0</v>
      </c>
      <c r="J347" s="7">
        <f>+I347-'ROR-Model'!I347</f>
        <v>0</v>
      </c>
      <c r="K347" s="7"/>
      <c r="L347" s="7" t="s">
        <v>23</v>
      </c>
      <c r="M347" s="7">
        <f>VLOOKUP($L347,$L$2:$N$7,2,FALSE)*I347</f>
        <v>0</v>
      </c>
      <c r="N347" s="7">
        <f>VLOOKUP($L347,$L$2:$N$7,3,FALSE)*I347</f>
        <v>0</v>
      </c>
      <c r="O347" s="120"/>
      <c r="P347" s="126" t="s">
        <v>509</v>
      </c>
      <c r="Q347" s="7">
        <f>IF(P347="G",M347,IF(P347="PT",0,ERR))</f>
        <v>0</v>
      </c>
      <c r="R347" s="7">
        <f>IF(P347="PT",M347,IF(P347="G",0,ERR))</f>
        <v>0</v>
      </c>
      <c r="S347" s="126" t="s">
        <v>509</v>
      </c>
      <c r="T347" s="7">
        <f>IF(S347="G",N347,IF(S347="PT",0,ERR))</f>
        <v>0</v>
      </c>
      <c r="U347" s="7">
        <f>IF(S347="PT",N347,IF(S347="G",0,ERR))</f>
        <v>0</v>
      </c>
      <c r="V347" s="124"/>
      <c r="W347" s="7">
        <f>HLOOKUP($W$9,'ROR-Model'!$Q$10:$U$1273,Y347)</f>
        <v>0</v>
      </c>
      <c r="X347" s="139"/>
      <c r="Y347" s="3">
        <f t="shared" si="20"/>
        <v>338</v>
      </c>
      <c r="AA347" s="7">
        <v>0</v>
      </c>
      <c r="AC347" s="7" t="str">
        <f t="shared" si="21"/>
        <v/>
      </c>
      <c r="AE347" s="42" t="str">
        <f t="shared" si="22"/>
        <v/>
      </c>
      <c r="AG347" s="162"/>
      <c r="AI347" t="s">
        <v>16</v>
      </c>
      <c r="AJ347" s="10"/>
    </row>
    <row r="348" spans="1:36">
      <c r="A348" s="136"/>
      <c r="B348" s="32"/>
      <c r="C348" s="32" t="s">
        <v>17</v>
      </c>
      <c r="D348" s="47"/>
      <c r="E348" s="140">
        <f>+G348-Adjustments!G348</f>
        <v>0</v>
      </c>
      <c r="F348" s="140">
        <f>SUM(F343:F347)</f>
        <v>0</v>
      </c>
      <c r="G348" s="140">
        <f>SUM(G343:G347)</f>
        <v>0</v>
      </c>
      <c r="H348" s="140">
        <f>SUM(H343:H347)</f>
        <v>0</v>
      </c>
      <c r="I348" s="140">
        <f>SUM(I343:I347)</f>
        <v>0</v>
      </c>
      <c r="J348" s="7">
        <f>+I348-'ROR-Model'!I348</f>
        <v>0</v>
      </c>
      <c r="K348" s="7"/>
      <c r="L348" s="140"/>
      <c r="M348" s="140">
        <f>SUM(M343:M347)</f>
        <v>0</v>
      </c>
      <c r="N348" s="140">
        <f>SUM(N343:N347)</f>
        <v>0</v>
      </c>
      <c r="O348" s="120"/>
      <c r="P348" s="201"/>
      <c r="Q348" s="140">
        <f>SUM(Q343:Q347)</f>
        <v>0</v>
      </c>
      <c r="R348" s="140">
        <f>SUM(R343:R347)</f>
        <v>0</v>
      </c>
      <c r="S348" s="201"/>
      <c r="T348" s="140">
        <f>SUM(T343:T347)</f>
        <v>0</v>
      </c>
      <c r="U348" s="140">
        <f>SUM(U343:U347)</f>
        <v>0</v>
      </c>
      <c r="V348" s="124"/>
      <c r="W348" s="140">
        <f>HLOOKUP($W$9,'ROR-Model'!$Q$10:$U$1273,Y348)</f>
        <v>0</v>
      </c>
      <c r="X348" s="139"/>
      <c r="Y348" s="3">
        <f t="shared" si="20"/>
        <v>339</v>
      </c>
      <c r="AA348" s="140">
        <v>0</v>
      </c>
      <c r="AC348" s="140" t="str">
        <f t="shared" si="21"/>
        <v/>
      </c>
      <c r="AE348" s="42" t="str">
        <f t="shared" si="22"/>
        <v/>
      </c>
      <c r="AG348" s="162"/>
      <c r="AI348" t="s">
        <v>17</v>
      </c>
      <c r="AJ348" s="10"/>
    </row>
    <row r="349" spans="1:36">
      <c r="A349" s="136"/>
      <c r="B349" s="32"/>
      <c r="C349" s="32"/>
      <c r="D349" s="47"/>
      <c r="E349" s="7">
        <f>+G349-Adjustments!G349</f>
        <v>0</v>
      </c>
      <c r="F349" s="7"/>
      <c r="G349" s="7"/>
      <c r="H349" s="7"/>
      <c r="I349" s="7"/>
      <c r="J349" s="7">
        <f>+I349-'ROR-Model'!I349</f>
        <v>0</v>
      </c>
      <c r="K349" s="7"/>
      <c r="L349" s="7"/>
      <c r="M349" s="7"/>
      <c r="N349" s="7"/>
      <c r="O349" s="120"/>
      <c r="P349" s="126"/>
      <c r="Q349" s="7"/>
      <c r="R349" s="7"/>
      <c r="S349" s="126"/>
      <c r="T349" s="7"/>
      <c r="U349" s="7"/>
      <c r="V349" s="124"/>
      <c r="W349" s="7"/>
      <c r="X349" s="139"/>
      <c r="Y349" s="3">
        <f t="shared" si="20"/>
        <v>340</v>
      </c>
      <c r="AA349" s="7"/>
      <c r="AC349" s="7" t="str">
        <f t="shared" si="21"/>
        <v/>
      </c>
      <c r="AE349" s="42" t="str">
        <f t="shared" si="22"/>
        <v/>
      </c>
      <c r="AG349" s="162"/>
      <c r="AJ349" s="10"/>
    </row>
    <row r="350" spans="1:36">
      <c r="A350" s="136"/>
      <c r="B350" s="32"/>
      <c r="C350" s="32" t="s">
        <v>18</v>
      </c>
      <c r="D350" s="47"/>
      <c r="E350" s="7">
        <f>+G350-Adjustments!G350</f>
        <v>0</v>
      </c>
      <c r="F350" s="7">
        <f>Revenue!$F$349</f>
        <v>0</v>
      </c>
      <c r="G350" s="7">
        <f>+Adjustments!V350</f>
        <v>0</v>
      </c>
      <c r="H350" s="7"/>
      <c r="I350" s="7">
        <f>SUM($F$350:$H$350)</f>
        <v>0</v>
      </c>
      <c r="J350" s="7">
        <f>+I350-'ROR-Model'!I350</f>
        <v>0</v>
      </c>
      <c r="K350" s="7"/>
      <c r="L350" s="7" t="s">
        <v>23</v>
      </c>
      <c r="M350" s="7">
        <f>VLOOKUP($L350,$L$2:$N$7,2,FALSE)*I350</f>
        <v>0</v>
      </c>
      <c r="N350" s="7">
        <f>VLOOKUP($L350,$L$2:$N$7,3,FALSE)*I350</f>
        <v>0</v>
      </c>
      <c r="O350" s="120"/>
      <c r="P350" s="126" t="s">
        <v>510</v>
      </c>
      <c r="Q350" s="7">
        <f>IF(P350="G",M350,IF(P350="PT",0,ERR))</f>
        <v>0</v>
      </c>
      <c r="R350" s="7">
        <f>IF(P350="PT",M350,IF(P350="G",0,ERR))</f>
        <v>0</v>
      </c>
      <c r="S350" s="126" t="s">
        <v>510</v>
      </c>
      <c r="T350" s="7">
        <f>IF(S350="G",N350,IF(S350="PT",0,ERR))</f>
        <v>0</v>
      </c>
      <c r="U350" s="7">
        <f>IF(S350="PT",N350,IF(S350="G",0,ERR))</f>
        <v>0</v>
      </c>
      <c r="V350" s="124"/>
      <c r="W350" s="7">
        <f>HLOOKUP($W$9,'ROR-Model'!$Q$10:$U$1273,Y350)</f>
        <v>0</v>
      </c>
      <c r="X350" s="139"/>
      <c r="Y350" s="3">
        <f t="shared" si="20"/>
        <v>341</v>
      </c>
      <c r="AA350" s="7">
        <v>0</v>
      </c>
      <c r="AC350" s="7" t="str">
        <f t="shared" si="21"/>
        <v/>
      </c>
      <c r="AE350" s="42" t="str">
        <f t="shared" si="22"/>
        <v/>
      </c>
      <c r="AG350" s="162"/>
      <c r="AI350" t="s">
        <v>18</v>
      </c>
      <c r="AJ350" s="10"/>
    </row>
    <row r="351" spans="1:36" ht="13.5" thickBot="1">
      <c r="A351" s="136"/>
      <c r="B351" s="58"/>
      <c r="C351" s="58"/>
      <c r="D351" s="47"/>
      <c r="E351" s="24">
        <f>+G351-Adjustments!G351</f>
        <v>0</v>
      </c>
      <c r="F351" s="24"/>
      <c r="G351" s="24"/>
      <c r="H351" s="24"/>
      <c r="I351" s="24"/>
      <c r="J351" s="7">
        <f>+I351-'ROR-Model'!I351</f>
        <v>0</v>
      </c>
      <c r="K351" s="7"/>
      <c r="L351" s="24"/>
      <c r="M351" s="24"/>
      <c r="N351" s="24"/>
      <c r="O351" s="120"/>
      <c r="P351" s="202"/>
      <c r="Q351" s="24"/>
      <c r="R351" s="24"/>
      <c r="S351" s="202"/>
      <c r="T351" s="24"/>
      <c r="U351" s="24"/>
      <c r="V351" s="124"/>
      <c r="W351" s="24"/>
      <c r="X351" s="139"/>
      <c r="Y351" s="3">
        <f t="shared" si="20"/>
        <v>342</v>
      </c>
      <c r="AA351" s="24"/>
      <c r="AC351" s="24" t="str">
        <f t="shared" si="21"/>
        <v/>
      </c>
      <c r="AE351" s="42" t="str">
        <f t="shared" si="22"/>
        <v/>
      </c>
      <c r="AG351" s="162"/>
      <c r="AH351" s="1"/>
      <c r="AI351" s="1"/>
      <c r="AJ351" s="10"/>
    </row>
    <row r="352" spans="1:36" ht="13.5" thickTop="1">
      <c r="A352" s="136"/>
      <c r="B352" s="58" t="s">
        <v>497</v>
      </c>
      <c r="C352" s="32"/>
      <c r="D352" s="47"/>
      <c r="E352" s="7">
        <f>+G352-Adjustments!G352</f>
        <v>0</v>
      </c>
      <c r="F352" s="7"/>
      <c r="G352" s="7"/>
      <c r="H352" s="7"/>
      <c r="I352" s="7"/>
      <c r="J352" s="7">
        <f>+I352-'ROR-Model'!I352</f>
        <v>0</v>
      </c>
      <c r="K352" s="7"/>
      <c r="L352" s="7"/>
      <c r="M352" s="7"/>
      <c r="N352" s="7"/>
      <c r="O352" s="120"/>
      <c r="P352" s="126"/>
      <c r="Q352" s="7"/>
      <c r="R352" s="7"/>
      <c r="S352" s="126"/>
      <c r="T352" s="7"/>
      <c r="U352" s="7"/>
      <c r="V352" s="124"/>
      <c r="W352" s="7"/>
      <c r="X352" s="139"/>
      <c r="Y352" s="3">
        <f t="shared" si="20"/>
        <v>343</v>
      </c>
      <c r="AA352" s="7"/>
      <c r="AC352" s="7" t="str">
        <f t="shared" si="21"/>
        <v/>
      </c>
      <c r="AE352" s="42" t="str">
        <f t="shared" si="22"/>
        <v/>
      </c>
      <c r="AG352" s="162"/>
      <c r="AH352" s="1" t="s">
        <v>497</v>
      </c>
      <c r="AJ352" s="10"/>
    </row>
    <row r="353" spans="1:36">
      <c r="A353" s="136"/>
      <c r="B353" s="58"/>
      <c r="C353" s="32" t="s">
        <v>14</v>
      </c>
      <c r="D353" s="47"/>
      <c r="E353" s="7">
        <f>+G353-Adjustments!G353</f>
        <v>0</v>
      </c>
      <c r="F353" s="7">
        <f>+F334+F343</f>
        <v>0</v>
      </c>
      <c r="G353" s="7">
        <f>+G334+G343</f>
        <v>0</v>
      </c>
      <c r="H353" s="7">
        <f>+H334+H343</f>
        <v>0</v>
      </c>
      <c r="I353" s="7">
        <f>+I334+I343</f>
        <v>0</v>
      </c>
      <c r="J353" s="7">
        <f>+I353-'ROR-Model'!I353</f>
        <v>0</v>
      </c>
      <c r="K353" s="7"/>
      <c r="L353" s="7"/>
      <c r="M353" s="7">
        <f>+M334+M343</f>
        <v>0</v>
      </c>
      <c r="N353" s="7">
        <f>+N334+N343</f>
        <v>0</v>
      </c>
      <c r="O353" s="120"/>
      <c r="P353" s="126"/>
      <c r="Q353" s="7">
        <f>+Q334+Q343</f>
        <v>0</v>
      </c>
      <c r="R353" s="7">
        <f>+R334+R343</f>
        <v>0</v>
      </c>
      <c r="S353" s="126"/>
      <c r="T353" s="7">
        <f>+T334+T343</f>
        <v>0</v>
      </c>
      <c r="U353" s="7">
        <f>+U334+U343</f>
        <v>0</v>
      </c>
      <c r="V353" s="124"/>
      <c r="W353" s="7">
        <f>HLOOKUP($W$9,'ROR-Model'!$Q$10:$U$1273,Y353)</f>
        <v>0</v>
      </c>
      <c r="X353" s="139"/>
      <c r="Y353" s="3">
        <f t="shared" si="20"/>
        <v>344</v>
      </c>
      <c r="AA353" s="7">
        <v>0</v>
      </c>
      <c r="AC353" s="7" t="str">
        <f t="shared" si="21"/>
        <v/>
      </c>
      <c r="AE353" s="42" t="str">
        <f t="shared" si="22"/>
        <v/>
      </c>
      <c r="AG353" s="162"/>
      <c r="AH353" s="1"/>
      <c r="AI353" t="s">
        <v>14</v>
      </c>
      <c r="AJ353" s="10"/>
    </row>
    <row r="354" spans="1:36">
      <c r="A354" s="136"/>
      <c r="B354" s="58"/>
      <c r="C354" s="32" t="s">
        <v>16</v>
      </c>
      <c r="D354" s="47"/>
      <c r="E354" s="7">
        <f>+G354-Adjustments!G354</f>
        <v>0</v>
      </c>
      <c r="F354" s="7">
        <f>+F337+F346</f>
        <v>0</v>
      </c>
      <c r="G354" s="7">
        <f>+G337+G346</f>
        <v>0</v>
      </c>
      <c r="H354" s="7">
        <f>+H337+H346</f>
        <v>0</v>
      </c>
      <c r="I354" s="7">
        <f>+I337+I346</f>
        <v>0</v>
      </c>
      <c r="J354" s="7">
        <f>+I354-'ROR-Model'!I354</f>
        <v>0</v>
      </c>
      <c r="K354" s="7"/>
      <c r="L354" s="7"/>
      <c r="M354" s="7">
        <f>+M337+M346</f>
        <v>0</v>
      </c>
      <c r="N354" s="7">
        <f>+N337+N346</f>
        <v>0</v>
      </c>
      <c r="O354" s="120"/>
      <c r="P354" s="126"/>
      <c r="Q354" s="7">
        <f>+Q337+Q346</f>
        <v>0</v>
      </c>
      <c r="R354" s="7">
        <f>+R337+R346</f>
        <v>0</v>
      </c>
      <c r="S354" s="126"/>
      <c r="T354" s="7">
        <f>+T337+T346</f>
        <v>0</v>
      </c>
      <c r="U354" s="7">
        <f>+U337+U346</f>
        <v>0</v>
      </c>
      <c r="V354" s="124"/>
      <c r="W354" s="7">
        <f>HLOOKUP($W$9,'ROR-Model'!$Q$10:$U$1273,Y354)</f>
        <v>0</v>
      </c>
      <c r="X354" s="139"/>
      <c r="Y354" s="3">
        <f t="shared" si="20"/>
        <v>345</v>
      </c>
      <c r="AA354" s="7">
        <v>0</v>
      </c>
      <c r="AC354" s="7" t="str">
        <f t="shared" si="21"/>
        <v/>
      </c>
      <c r="AE354" s="42" t="str">
        <f t="shared" si="22"/>
        <v/>
      </c>
      <c r="AG354" s="162"/>
      <c r="AH354" s="1"/>
      <c r="AI354" t="s">
        <v>16</v>
      </c>
      <c r="AJ354" s="10"/>
    </row>
    <row r="355" spans="1:36">
      <c r="A355" s="136"/>
      <c r="B355" s="58"/>
      <c r="C355" s="58" t="s">
        <v>29</v>
      </c>
      <c r="D355" s="47"/>
      <c r="E355" s="140">
        <f>+G355-Adjustments!G355</f>
        <v>0</v>
      </c>
      <c r="F355" s="140">
        <f>F339+F348</f>
        <v>0</v>
      </c>
      <c r="G355" s="140">
        <f>G339+G348</f>
        <v>0</v>
      </c>
      <c r="H355" s="140">
        <f>H339+H348</f>
        <v>0</v>
      </c>
      <c r="I355" s="140">
        <f>I339+I348</f>
        <v>0</v>
      </c>
      <c r="J355" s="7">
        <f>+I355-'ROR-Model'!I355</f>
        <v>0</v>
      </c>
      <c r="K355" s="7"/>
      <c r="L355" s="140"/>
      <c r="M355" s="140">
        <f>M339+M348</f>
        <v>0</v>
      </c>
      <c r="N355" s="140">
        <f>N339+N348</f>
        <v>0</v>
      </c>
      <c r="O355" s="120"/>
      <c r="P355" s="201"/>
      <c r="Q355" s="140">
        <f>Q339+Q348</f>
        <v>0</v>
      </c>
      <c r="R355" s="140">
        <f>R339+R348</f>
        <v>0</v>
      </c>
      <c r="S355" s="201"/>
      <c r="T355" s="140">
        <f>T339+T348</f>
        <v>0</v>
      </c>
      <c r="U355" s="140">
        <f>U339+U348</f>
        <v>0</v>
      </c>
      <c r="V355" s="124"/>
      <c r="W355" s="140">
        <f>HLOOKUP($W$9,'ROR-Model'!$Q$10:$U$1273,Y355)</f>
        <v>0</v>
      </c>
      <c r="X355" s="139"/>
      <c r="Y355" s="3">
        <f t="shared" si="20"/>
        <v>346</v>
      </c>
      <c r="AA355" s="140">
        <v>0</v>
      </c>
      <c r="AC355" s="140" t="str">
        <f t="shared" si="21"/>
        <v/>
      </c>
      <c r="AE355" s="42" t="str">
        <f t="shared" si="22"/>
        <v/>
      </c>
      <c r="AG355" s="162"/>
      <c r="AH355" s="1"/>
      <c r="AI355" s="1" t="s">
        <v>29</v>
      </c>
      <c r="AJ355" s="10"/>
    </row>
    <row r="356" spans="1:36">
      <c r="A356" s="136"/>
      <c r="B356" s="58"/>
      <c r="C356" s="58"/>
      <c r="D356" s="47"/>
      <c r="E356" s="7">
        <f>+G356-Adjustments!G356</f>
        <v>0</v>
      </c>
      <c r="F356" s="7"/>
      <c r="G356" s="7"/>
      <c r="H356" s="7"/>
      <c r="I356" s="7"/>
      <c r="J356" s="7">
        <f>+I356-'ROR-Model'!I356</f>
        <v>0</v>
      </c>
      <c r="K356" s="7"/>
      <c r="L356" s="7"/>
      <c r="M356" s="7"/>
      <c r="N356" s="7"/>
      <c r="O356" s="120"/>
      <c r="P356" s="126"/>
      <c r="Q356" s="7"/>
      <c r="R356" s="7"/>
      <c r="S356" s="126"/>
      <c r="T356" s="7"/>
      <c r="U356" s="7"/>
      <c r="V356" s="124"/>
      <c r="W356" s="7"/>
      <c r="X356" s="139"/>
      <c r="Y356" s="3">
        <f t="shared" si="20"/>
        <v>347</v>
      </c>
      <c r="AA356" s="7"/>
      <c r="AC356" s="7" t="str">
        <f t="shared" si="21"/>
        <v/>
      </c>
      <c r="AE356" s="42" t="str">
        <f t="shared" si="22"/>
        <v/>
      </c>
      <c r="AG356" s="162"/>
      <c r="AH356" s="1"/>
      <c r="AI356" s="1"/>
      <c r="AJ356" s="10"/>
    </row>
    <row r="357" spans="1:36">
      <c r="A357" s="519"/>
      <c r="B357" s="32"/>
      <c r="C357" s="58" t="s">
        <v>56</v>
      </c>
      <c r="D357" s="572"/>
      <c r="E357" s="520">
        <f>+G357-Adjustments!G357</f>
        <v>0</v>
      </c>
      <c r="F357" s="520">
        <f>F341</f>
        <v>0</v>
      </c>
      <c r="G357" s="520">
        <f>G341</f>
        <v>0</v>
      </c>
      <c r="H357" s="520">
        <f>H341</f>
        <v>0</v>
      </c>
      <c r="I357" s="520">
        <f>I341</f>
        <v>0</v>
      </c>
      <c r="J357" s="7">
        <f>+I357-'ROR-Model'!I357</f>
        <v>0</v>
      </c>
      <c r="K357" s="520"/>
      <c r="L357" s="520"/>
      <c r="M357" s="520">
        <f>M341</f>
        <v>0</v>
      </c>
      <c r="N357" s="520">
        <f>N341</f>
        <v>0</v>
      </c>
      <c r="O357" s="573"/>
      <c r="P357" s="574"/>
      <c r="Q357" s="520">
        <f>Q341</f>
        <v>0</v>
      </c>
      <c r="R357" s="520">
        <f>R341</f>
        <v>0</v>
      </c>
      <c r="S357" s="574"/>
      <c r="T357" s="520">
        <f>T341</f>
        <v>0</v>
      </c>
      <c r="U357" s="520">
        <f>U341</f>
        <v>0</v>
      </c>
      <c r="V357" s="575"/>
      <c r="W357" s="520">
        <f>HLOOKUP($W$9,'ROR-Model'!$Q$10:$U$1273,Y357)</f>
        <v>0</v>
      </c>
      <c r="X357" s="576"/>
      <c r="Y357" s="3">
        <f t="shared" si="20"/>
        <v>348</v>
      </c>
      <c r="AA357" s="520">
        <v>0</v>
      </c>
      <c r="AC357" s="520" t="str">
        <f t="shared" si="21"/>
        <v/>
      </c>
      <c r="AE357" s="42" t="str">
        <f t="shared" si="22"/>
        <v/>
      </c>
      <c r="AG357" s="162"/>
      <c r="AI357" s="1" t="s">
        <v>56</v>
      </c>
      <c r="AJ357" s="10"/>
    </row>
    <row r="358" spans="1:36">
      <c r="A358" s="519"/>
      <c r="B358" s="32"/>
      <c r="C358" s="32" t="s">
        <v>57</v>
      </c>
      <c r="D358" s="572"/>
      <c r="E358" s="520">
        <f>+G358-Adjustments!G358</f>
        <v>0</v>
      </c>
      <c r="F358" s="520">
        <f>F350</f>
        <v>0</v>
      </c>
      <c r="G358" s="520">
        <f>G350</f>
        <v>0</v>
      </c>
      <c r="H358" s="520">
        <f>H350</f>
        <v>0</v>
      </c>
      <c r="I358" s="520">
        <f>I350</f>
        <v>0</v>
      </c>
      <c r="J358" s="7">
        <f>+I358-'ROR-Model'!I358</f>
        <v>0</v>
      </c>
      <c r="K358" s="520"/>
      <c r="L358" s="520"/>
      <c r="M358" s="520">
        <f>M350</f>
        <v>0</v>
      </c>
      <c r="N358" s="520">
        <f>N350</f>
        <v>0</v>
      </c>
      <c r="O358" s="573"/>
      <c r="P358" s="574"/>
      <c r="Q358" s="520">
        <f>Q350</f>
        <v>0</v>
      </c>
      <c r="R358" s="520">
        <f>R350</f>
        <v>0</v>
      </c>
      <c r="S358" s="574"/>
      <c r="T358" s="520">
        <f>T350</f>
        <v>0</v>
      </c>
      <c r="U358" s="520">
        <f>U350</f>
        <v>0</v>
      </c>
      <c r="V358" s="575"/>
      <c r="W358" s="520">
        <f>HLOOKUP($W$9,'ROR-Model'!$Q$10:$U$1273,Y358)</f>
        <v>0</v>
      </c>
      <c r="X358" s="576"/>
      <c r="Y358" s="3">
        <f t="shared" si="20"/>
        <v>349</v>
      </c>
      <c r="AA358" s="520">
        <v>0</v>
      </c>
      <c r="AC358" s="520" t="str">
        <f t="shared" si="21"/>
        <v/>
      </c>
      <c r="AE358" s="42" t="str">
        <f t="shared" si="22"/>
        <v/>
      </c>
      <c r="AG358" s="162"/>
      <c r="AI358" t="s">
        <v>57</v>
      </c>
      <c r="AJ358" s="10"/>
    </row>
    <row r="359" spans="1:36">
      <c r="A359" s="519"/>
      <c r="B359" s="32"/>
      <c r="C359" s="58" t="s">
        <v>30</v>
      </c>
      <c r="D359" s="572"/>
      <c r="E359" s="521">
        <f>+G359-Adjustments!G359</f>
        <v>0</v>
      </c>
      <c r="F359" s="521">
        <f>F341+F350</f>
        <v>0</v>
      </c>
      <c r="G359" s="521">
        <f>G341+G350</f>
        <v>0</v>
      </c>
      <c r="H359" s="521">
        <f>H341+H350</f>
        <v>0</v>
      </c>
      <c r="I359" s="521">
        <f>I341+I350</f>
        <v>0</v>
      </c>
      <c r="J359" s="7">
        <f>+I359-'ROR-Model'!I359</f>
        <v>0</v>
      </c>
      <c r="K359" s="520"/>
      <c r="L359" s="521"/>
      <c r="M359" s="521">
        <f>M341+M350</f>
        <v>0</v>
      </c>
      <c r="N359" s="521">
        <f>N341+N350</f>
        <v>0</v>
      </c>
      <c r="O359" s="573"/>
      <c r="P359" s="577"/>
      <c r="Q359" s="521">
        <f>Q341+Q350</f>
        <v>0</v>
      </c>
      <c r="R359" s="521">
        <f>R341+R350</f>
        <v>0</v>
      </c>
      <c r="S359" s="577"/>
      <c r="T359" s="521">
        <f>T341+T350</f>
        <v>0</v>
      </c>
      <c r="U359" s="521">
        <f>U341+U350</f>
        <v>0</v>
      </c>
      <c r="V359" s="575"/>
      <c r="W359" s="521">
        <f>HLOOKUP($W$9,'ROR-Model'!$Q$10:$U$1273,Y359)</f>
        <v>0</v>
      </c>
      <c r="X359" s="576"/>
      <c r="Y359" s="3">
        <f t="shared" si="20"/>
        <v>350</v>
      </c>
      <c r="AA359" s="521">
        <v>0</v>
      </c>
      <c r="AC359" s="521" t="str">
        <f t="shared" si="21"/>
        <v/>
      </c>
      <c r="AE359" s="42" t="str">
        <f t="shared" si="22"/>
        <v/>
      </c>
      <c r="AG359" s="162"/>
      <c r="AI359" s="1" t="s">
        <v>30</v>
      </c>
      <c r="AJ359" s="10"/>
    </row>
    <row r="360" spans="1:36" ht="13.5" thickBot="1">
      <c r="A360" s="136"/>
      <c r="B360" s="58"/>
      <c r="C360" s="58"/>
      <c r="D360" s="47"/>
      <c r="E360" s="24"/>
      <c r="F360" s="24"/>
      <c r="G360" s="24"/>
      <c r="H360" s="24"/>
      <c r="I360" s="24"/>
      <c r="J360" s="7">
        <f>+I360-'ROR-Model'!I360</f>
        <v>0</v>
      </c>
      <c r="K360" s="7"/>
      <c r="L360" s="24"/>
      <c r="M360" s="24"/>
      <c r="N360" s="24"/>
      <c r="O360" s="120"/>
      <c r="P360" s="202"/>
      <c r="Q360" s="24"/>
      <c r="R360" s="24"/>
      <c r="S360" s="202"/>
      <c r="T360" s="24"/>
      <c r="U360" s="24"/>
      <c r="V360" s="124"/>
      <c r="W360" s="24"/>
      <c r="X360" s="139"/>
      <c r="Y360" s="3">
        <f t="shared" si="20"/>
        <v>351</v>
      </c>
      <c r="AA360" s="24"/>
      <c r="AC360" s="24" t="str">
        <f t="shared" si="21"/>
        <v/>
      </c>
      <c r="AE360" s="42" t="str">
        <f t="shared" si="22"/>
        <v/>
      </c>
      <c r="AG360" s="162"/>
      <c r="AH360" s="1"/>
      <c r="AI360" s="1"/>
      <c r="AJ360" s="10"/>
    </row>
    <row r="361" spans="1:36" ht="13.5" thickTop="1">
      <c r="A361" s="116" t="s">
        <v>31</v>
      </c>
      <c r="B361" s="58"/>
      <c r="C361" s="58"/>
      <c r="D361" s="47"/>
      <c r="E361" s="7"/>
      <c r="F361" s="7">
        <f>+F363+F365</f>
        <v>497644985.09241474</v>
      </c>
      <c r="G361" s="7">
        <f>+G363+G365</f>
        <v>-26231775.859999996</v>
      </c>
      <c r="H361" s="7">
        <f>+H363+H365</f>
        <v>0</v>
      </c>
      <c r="I361" s="7">
        <f>+I363+I365</f>
        <v>471413209.23241472</v>
      </c>
      <c r="J361" s="7">
        <f>+I361-'ROR-Model'!I361</f>
        <v>0</v>
      </c>
      <c r="K361" s="7"/>
      <c r="L361" s="7"/>
      <c r="M361" s="7"/>
      <c r="N361" s="7"/>
      <c r="O361" s="120"/>
      <c r="P361" s="126"/>
      <c r="Q361" s="7"/>
      <c r="R361" s="7"/>
      <c r="S361" s="126"/>
      <c r="T361" s="7"/>
      <c r="U361" s="7"/>
      <c r="V361" s="124"/>
      <c r="W361" s="7"/>
      <c r="X361" s="139"/>
      <c r="Y361" s="3">
        <f t="shared" si="20"/>
        <v>352</v>
      </c>
      <c r="AA361" s="7"/>
      <c r="AC361" s="7" t="str">
        <f t="shared" si="21"/>
        <v/>
      </c>
      <c r="AE361" s="42" t="str">
        <f t="shared" si="22"/>
        <v/>
      </c>
      <c r="AG361" s="162" t="s">
        <v>31</v>
      </c>
      <c r="AH361" s="1"/>
      <c r="AI361" s="1"/>
      <c r="AJ361" s="10"/>
    </row>
    <row r="362" spans="1:36">
      <c r="A362" s="136"/>
      <c r="B362" s="58" t="s">
        <v>605</v>
      </c>
      <c r="C362" s="32"/>
      <c r="D362" s="47"/>
      <c r="E362" s="7"/>
      <c r="F362" s="7"/>
      <c r="G362" s="7"/>
      <c r="H362" s="7"/>
      <c r="I362" s="7"/>
      <c r="J362" s="7">
        <f>+I362-'ROR-Model'!I362</f>
        <v>0</v>
      </c>
      <c r="K362" s="7"/>
      <c r="L362" s="7"/>
      <c r="M362" s="7"/>
      <c r="N362" s="7"/>
      <c r="O362" s="120"/>
      <c r="P362" s="126"/>
      <c r="Q362" s="7"/>
      <c r="R362" s="7"/>
      <c r="S362" s="126"/>
      <c r="T362" s="7"/>
      <c r="U362" s="7"/>
      <c r="V362" s="124"/>
      <c r="W362" s="7"/>
      <c r="X362" s="139"/>
      <c r="Y362" s="3">
        <f t="shared" si="20"/>
        <v>353</v>
      </c>
      <c r="AA362" s="7"/>
      <c r="AC362" s="7" t="str">
        <f t="shared" si="21"/>
        <v/>
      </c>
      <c r="AE362" s="42" t="str">
        <f t="shared" si="22"/>
        <v/>
      </c>
      <c r="AG362" s="162"/>
      <c r="AH362" s="1" t="s">
        <v>605</v>
      </c>
      <c r="AJ362" s="10"/>
    </row>
    <row r="363" spans="1:36">
      <c r="A363" s="136"/>
      <c r="B363" s="58"/>
      <c r="C363" s="32" t="s">
        <v>14</v>
      </c>
      <c r="D363" s="47"/>
      <c r="E363" s="7">
        <f>+G363-Adjustments!G363</f>
        <v>0</v>
      </c>
      <c r="F363" s="7">
        <f>F200+F229+F323+F353</f>
        <v>497545437.07241476</v>
      </c>
      <c r="G363" s="7">
        <f>G200+G229+G323+G353</f>
        <v>-26231775.859999996</v>
      </c>
      <c r="H363" s="7">
        <f>H200+H229+H323+H353</f>
        <v>0</v>
      </c>
      <c r="I363" s="7">
        <f>I200+I229+I323+I353</f>
        <v>471274884.80241472</v>
      </c>
      <c r="J363" s="7">
        <f>+I363-'ROR-Model'!I363</f>
        <v>0</v>
      </c>
      <c r="K363" s="7"/>
      <c r="L363" s="7"/>
      <c r="M363" s="7">
        <f>M200+M229+M323+M353</f>
        <v>457899339.7357924</v>
      </c>
      <c r="N363" s="7">
        <f>N200+N229+N323+N353</f>
        <v>13414321.476622313</v>
      </c>
      <c r="O363" s="120"/>
      <c r="P363" s="126"/>
      <c r="Q363" s="7">
        <f>Q200+Q229+Q323+Q353</f>
        <v>457899339.7357924</v>
      </c>
      <c r="R363" s="7">
        <f>R200+R229+R323+R353</f>
        <v>0</v>
      </c>
      <c r="S363" s="126"/>
      <c r="T363" s="7">
        <f>T200+T229+T323+T353</f>
        <v>13375545.066622313</v>
      </c>
      <c r="U363" s="7">
        <f>U200+U229+U323+U353</f>
        <v>38776.410000000003</v>
      </c>
      <c r="V363" s="124"/>
      <c r="W363" s="7">
        <f>HLOOKUP($W$9,'ROR-Model'!$Q$10:$U$1273,Y363)</f>
        <v>457899339.7357924</v>
      </c>
      <c r="X363" s="139"/>
      <c r="Y363" s="3">
        <f t="shared" si="20"/>
        <v>354</v>
      </c>
      <c r="AA363" s="7">
        <v>339792411.38585275</v>
      </c>
      <c r="AC363" s="7">
        <f t="shared" si="21"/>
        <v>118106928.34993964</v>
      </c>
      <c r="AE363" s="42">
        <f t="shared" si="22"/>
        <v>0.34758553867709191</v>
      </c>
      <c r="AG363" s="162"/>
      <c r="AH363" s="1"/>
      <c r="AI363" t="s">
        <v>14</v>
      </c>
      <c r="AJ363" s="10"/>
    </row>
    <row r="364" spans="1:36">
      <c r="A364" s="136"/>
      <c r="B364" s="58"/>
      <c r="C364" s="32" t="s">
        <v>15</v>
      </c>
      <c r="D364" s="47"/>
      <c r="E364" s="7">
        <f>+G364-Adjustments!G364</f>
        <v>0</v>
      </c>
      <c r="F364" s="7">
        <f>F201+F230+F324</f>
        <v>101739274.50806464</v>
      </c>
      <c r="G364" s="7">
        <f>G201+G230+G324</f>
        <v>0</v>
      </c>
      <c r="H364" s="7">
        <f>H201+H230+H324</f>
        <v>0</v>
      </c>
      <c r="I364" s="7">
        <f>I201+I230+I324</f>
        <v>101739274.50806464</v>
      </c>
      <c r="J364" s="7">
        <f>+I364-'ROR-Model'!I364</f>
        <v>0</v>
      </c>
      <c r="K364" s="7"/>
      <c r="L364" s="7"/>
      <c r="M364" s="7">
        <f>M201+M230+M324</f>
        <v>101739620.80806464</v>
      </c>
      <c r="N364" s="7">
        <f>N201+N230+N324</f>
        <v>-346.29999999999984</v>
      </c>
      <c r="O364" s="120"/>
      <c r="P364" s="126"/>
      <c r="Q364" s="7">
        <f>Q201+Q230+Q324</f>
        <v>0</v>
      </c>
      <c r="R364" s="7">
        <f>R201+R230+R324</f>
        <v>101739620.80806464</v>
      </c>
      <c r="S364" s="126"/>
      <c r="T364" s="7">
        <f>T201+T230+T324</f>
        <v>0</v>
      </c>
      <c r="U364" s="7">
        <f>U201+U230+U324</f>
        <v>-346.29999999999984</v>
      </c>
      <c r="V364" s="124"/>
      <c r="W364" s="7">
        <f>HLOOKUP($W$9,'ROR-Model'!$Q$10:$U$1273,Y364)</f>
        <v>0</v>
      </c>
      <c r="X364" s="139"/>
      <c r="Y364" s="3">
        <f t="shared" si="20"/>
        <v>355</v>
      </c>
      <c r="AA364" s="7">
        <v>0</v>
      </c>
      <c r="AC364" s="7" t="str">
        <f t="shared" si="21"/>
        <v/>
      </c>
      <c r="AE364" s="42" t="str">
        <f t="shared" si="22"/>
        <v/>
      </c>
      <c r="AG364" s="162"/>
      <c r="AH364" s="1"/>
      <c r="AI364" t="s">
        <v>15</v>
      </c>
      <c r="AJ364" s="10"/>
    </row>
    <row r="365" spans="1:36">
      <c r="A365" s="526"/>
      <c r="B365" s="58"/>
      <c r="C365" s="32" t="s">
        <v>498</v>
      </c>
      <c r="D365" s="580"/>
      <c r="E365" s="527">
        <f>+G365-Adjustments!G365</f>
        <v>0</v>
      </c>
      <c r="F365" s="527">
        <f>F325</f>
        <v>99548.020000000019</v>
      </c>
      <c r="G365" s="527">
        <f>G325</f>
        <v>0</v>
      </c>
      <c r="H365" s="527">
        <f>H325</f>
        <v>0</v>
      </c>
      <c r="I365" s="527">
        <f>I325</f>
        <v>138324.43000000002</v>
      </c>
      <c r="J365" s="7">
        <f>+I365-'ROR-Model'!I365</f>
        <v>0</v>
      </c>
      <c r="K365" s="527"/>
      <c r="L365" s="527"/>
      <c r="M365" s="527">
        <f>M325</f>
        <v>0</v>
      </c>
      <c r="N365" s="527">
        <f>N325</f>
        <v>138324.43000000002</v>
      </c>
      <c r="O365" s="581"/>
      <c r="P365" s="582"/>
      <c r="Q365" s="527">
        <f>Q325</f>
        <v>0</v>
      </c>
      <c r="R365" s="527">
        <f>R325</f>
        <v>0</v>
      </c>
      <c r="S365" s="582"/>
      <c r="T365" s="527">
        <f>T325</f>
        <v>0</v>
      </c>
      <c r="U365" s="527">
        <f>U325</f>
        <v>138324.43000000002</v>
      </c>
      <c r="V365" s="583"/>
      <c r="W365" s="527">
        <f>HLOOKUP($W$9,'ROR-Model'!$Q$10:$U$1273,Y365)</f>
        <v>0</v>
      </c>
      <c r="X365" s="584"/>
      <c r="Y365" s="3">
        <f t="shared" si="20"/>
        <v>356</v>
      </c>
      <c r="AA365" s="527">
        <v>0</v>
      </c>
      <c r="AC365" s="527" t="str">
        <f t="shared" si="21"/>
        <v/>
      </c>
      <c r="AE365" s="42" t="str">
        <f t="shared" si="22"/>
        <v/>
      </c>
      <c r="AG365" s="162"/>
      <c r="AH365" s="1"/>
      <c r="AI365" t="s">
        <v>498</v>
      </c>
      <c r="AJ365" s="10"/>
    </row>
    <row r="366" spans="1:36">
      <c r="A366" s="136"/>
      <c r="B366" s="58"/>
      <c r="C366" s="32" t="s">
        <v>16</v>
      </c>
      <c r="D366" s="47"/>
      <c r="E366" s="7">
        <f>+G366-Adjustments!G366</f>
        <v>0</v>
      </c>
      <c r="F366" s="7">
        <f>F202+F231+F326+F354</f>
        <v>951004456.01811922</v>
      </c>
      <c r="G366" s="7">
        <f>G202+G231+G326+G354</f>
        <v>0</v>
      </c>
      <c r="H366" s="7">
        <f>H202+H231+H326+H354</f>
        <v>0</v>
      </c>
      <c r="I366" s="7">
        <f>I202+I231+I326+I354</f>
        <v>951004456.01811922</v>
      </c>
      <c r="J366" s="7">
        <f>+I366-'ROR-Model'!I366</f>
        <v>0</v>
      </c>
      <c r="K366" s="7"/>
      <c r="L366" s="7"/>
      <c r="M366" s="7">
        <f>M202+M231+M326+M354</f>
        <v>918237599.34614289</v>
      </c>
      <c r="N366" s="7">
        <f>N202+N231+N326+N354</f>
        <v>32766856.671976302</v>
      </c>
      <c r="O366" s="120"/>
      <c r="P366" s="126"/>
      <c r="Q366" s="7">
        <f>Q202+Q231+Q326+Q354</f>
        <v>0</v>
      </c>
      <c r="R366" s="7">
        <f>R202+R231+R326+R354</f>
        <v>918237599.34614289</v>
      </c>
      <c r="S366" s="126"/>
      <c r="T366" s="7">
        <f>T202+T231+T326+T354</f>
        <v>0</v>
      </c>
      <c r="U366" s="7">
        <f>U202+U231+U326+U354</f>
        <v>32766856.671976302</v>
      </c>
      <c r="V366" s="124"/>
      <c r="W366" s="7">
        <f>HLOOKUP($W$9,'ROR-Model'!$Q$10:$U$1273,Y366)</f>
        <v>0</v>
      </c>
      <c r="X366" s="139"/>
      <c r="Y366" s="3">
        <f t="shared" si="20"/>
        <v>357</v>
      </c>
      <c r="AA366" s="7">
        <v>0</v>
      </c>
      <c r="AC366" s="7" t="str">
        <f t="shared" si="21"/>
        <v/>
      </c>
      <c r="AE366" s="42" t="str">
        <f t="shared" si="22"/>
        <v/>
      </c>
      <c r="AG366" s="162"/>
      <c r="AH366" s="1"/>
      <c r="AI366" t="s">
        <v>16</v>
      </c>
      <c r="AJ366" s="10"/>
    </row>
    <row r="367" spans="1:36" ht="13.5" thickBot="1">
      <c r="A367" s="136"/>
      <c r="B367" s="58"/>
      <c r="C367" s="32"/>
      <c r="D367" s="47"/>
      <c r="E367" s="154">
        <f>+G367-Adjustments!G367</f>
        <v>0</v>
      </c>
      <c r="F367" s="154"/>
      <c r="G367" s="154"/>
      <c r="H367" s="154"/>
      <c r="I367" s="154"/>
      <c r="J367" s="7">
        <f>+I367-'ROR-Model'!I367</f>
        <v>0</v>
      </c>
      <c r="K367" s="7"/>
      <c r="L367" s="154"/>
      <c r="M367" s="154"/>
      <c r="N367" s="154"/>
      <c r="O367" s="120"/>
      <c r="P367" s="204"/>
      <c r="Q367" s="154"/>
      <c r="R367" s="154"/>
      <c r="S367" s="204"/>
      <c r="T367" s="154"/>
      <c r="U367" s="154"/>
      <c r="V367" s="124"/>
      <c r="W367" s="154"/>
      <c r="X367" s="139"/>
      <c r="Y367" s="3">
        <f t="shared" si="20"/>
        <v>358</v>
      </c>
      <c r="AA367" s="154"/>
      <c r="AC367" s="154" t="str">
        <f t="shared" si="21"/>
        <v/>
      </c>
      <c r="AE367" s="42" t="str">
        <f t="shared" si="22"/>
        <v/>
      </c>
      <c r="AG367" s="162"/>
      <c r="AH367" s="1"/>
      <c r="AJ367" s="10"/>
    </row>
    <row r="368" spans="1:36">
      <c r="A368" s="136"/>
      <c r="B368" s="58"/>
      <c r="C368" s="58" t="s">
        <v>605</v>
      </c>
      <c r="D368" s="47"/>
      <c r="E368" s="7">
        <f>+G368-Adjustments!G368</f>
        <v>0</v>
      </c>
      <c r="F368" s="7">
        <f>F203+F232+F327+F355</f>
        <v>1550388715.6185987</v>
      </c>
      <c r="G368" s="7">
        <f>G203+G232+G327+G355</f>
        <v>-26231775.859999996</v>
      </c>
      <c r="H368" s="7">
        <f>H203+H232+H327+H355</f>
        <v>0</v>
      </c>
      <c r="I368" s="7">
        <f>I203+I232+I327+I355</f>
        <v>1524156939.7585986</v>
      </c>
      <c r="J368" s="7">
        <f>+I368-'ROR-Model'!I368</f>
        <v>0</v>
      </c>
      <c r="K368" s="7"/>
      <c r="L368" s="7"/>
      <c r="M368" s="7">
        <f>M203+M232+M327+M355</f>
        <v>1477876559.8899999</v>
      </c>
      <c r="N368" s="7">
        <f>N203+N232+N327+N355</f>
        <v>46280379.868598618</v>
      </c>
      <c r="O368" s="120"/>
      <c r="P368" s="126"/>
      <c r="Q368" s="7">
        <f>Q203+Q232+Q327+Q355</f>
        <v>457899339.7357924</v>
      </c>
      <c r="R368" s="7">
        <f>R203+R232+R327+R355</f>
        <v>1019977220.1542076</v>
      </c>
      <c r="S368" s="126"/>
      <c r="T368" s="7">
        <f>T203+T232+T327+T355</f>
        <v>13375545.066622313</v>
      </c>
      <c r="U368" s="7">
        <f>U203+U232+U327+U355</f>
        <v>32904834.801976305</v>
      </c>
      <c r="V368" s="124"/>
      <c r="W368" s="7">
        <f>HLOOKUP($W$9,'ROR-Model'!$Q$10:$U$1273,Y368)</f>
        <v>457899339.7357924</v>
      </c>
      <c r="X368" s="139"/>
      <c r="Y368" s="3">
        <f t="shared" si="20"/>
        <v>359</v>
      </c>
      <c r="AA368" s="7">
        <v>339792411.38585275</v>
      </c>
      <c r="AC368" s="7">
        <f t="shared" si="21"/>
        <v>118106928.34993964</v>
      </c>
      <c r="AE368" s="42">
        <f t="shared" si="22"/>
        <v>0.34758553867709191</v>
      </c>
      <c r="AG368" s="162"/>
      <c r="AH368" s="1"/>
      <c r="AI368" s="1" t="s">
        <v>605</v>
      </c>
      <c r="AJ368" s="10"/>
    </row>
    <row r="369" spans="1:36">
      <c r="A369" s="136"/>
      <c r="B369" s="58"/>
      <c r="C369" s="58"/>
      <c r="D369" s="47"/>
      <c r="E369" s="7">
        <f>+G369-Adjustments!G369</f>
        <v>0</v>
      </c>
      <c r="F369" s="7"/>
      <c r="G369" s="7"/>
      <c r="H369" s="7"/>
      <c r="I369" s="7"/>
      <c r="J369" s="7">
        <f>+I369-'ROR-Model'!I369</f>
        <v>0</v>
      </c>
      <c r="K369" s="7"/>
      <c r="L369" s="7"/>
      <c r="M369" s="7"/>
      <c r="N369" s="7"/>
      <c r="O369" s="120"/>
      <c r="P369" s="126"/>
      <c r="Q369" s="7"/>
      <c r="R369" s="7"/>
      <c r="S369" s="126"/>
      <c r="T369" s="7"/>
      <c r="U369" s="7"/>
      <c r="V369" s="124"/>
      <c r="W369" s="7"/>
      <c r="X369" s="139"/>
      <c r="Y369" s="3">
        <f t="shared" si="20"/>
        <v>360</v>
      </c>
      <c r="AA369" s="7"/>
      <c r="AC369" s="7" t="str">
        <f t="shared" si="21"/>
        <v/>
      </c>
      <c r="AE369" s="42" t="str">
        <f t="shared" si="22"/>
        <v/>
      </c>
      <c r="AG369" s="162"/>
      <c r="AH369" s="1"/>
      <c r="AI369" s="1"/>
      <c r="AJ369" s="10"/>
    </row>
    <row r="370" spans="1:36">
      <c r="A370" s="136"/>
      <c r="B370" s="32"/>
      <c r="C370" s="58" t="s">
        <v>56</v>
      </c>
      <c r="D370" s="47"/>
      <c r="E370" s="7">
        <f>+G370-Adjustments!G370</f>
        <v>0</v>
      </c>
      <c r="F370" s="7">
        <f t="shared" ref="F370:I372" si="23">F205+F234+F329+F357</f>
        <v>128695535.31500001</v>
      </c>
      <c r="G370" s="7">
        <f t="shared" si="23"/>
        <v>0</v>
      </c>
      <c r="H370" s="7">
        <f t="shared" si="23"/>
        <v>0</v>
      </c>
      <c r="I370" s="7">
        <f t="shared" si="23"/>
        <v>128695535.31500001</v>
      </c>
      <c r="J370" s="7">
        <f>+I370-'ROR-Model'!I370</f>
        <v>0</v>
      </c>
      <c r="K370" s="7"/>
      <c r="L370" s="7"/>
      <c r="M370" s="7">
        <f t="shared" ref="M370:N372" si="24">M205+M234+M329+M357</f>
        <v>124560167.55600001</v>
      </c>
      <c r="N370" s="7">
        <f t="shared" si="24"/>
        <v>4135367.7589999996</v>
      </c>
      <c r="O370" s="120"/>
      <c r="P370" s="126"/>
      <c r="Q370" s="7">
        <f t="shared" ref="Q370:R372" si="25">Q205+Q234+Q329+Q357</f>
        <v>124560167.55600001</v>
      </c>
      <c r="R370" s="7">
        <f t="shared" si="25"/>
        <v>0</v>
      </c>
      <c r="S370" s="126"/>
      <c r="T370" s="7">
        <f t="shared" ref="T370:U372" si="26">T205+T234+T329+T357</f>
        <v>4047815.9099999997</v>
      </c>
      <c r="U370" s="7">
        <f t="shared" si="26"/>
        <v>87551.849000000002</v>
      </c>
      <c r="V370" s="124"/>
      <c r="W370" s="7">
        <f>HLOOKUP($W$9,'ROR-Model'!$Q$10:$U$1273,Y370)</f>
        <v>124560167.55600001</v>
      </c>
      <c r="X370" s="139"/>
      <c r="Y370" s="3">
        <f t="shared" si="20"/>
        <v>361</v>
      </c>
      <c r="AA370" s="7">
        <v>101754737.88999999</v>
      </c>
      <c r="AC370" s="7">
        <f t="shared" si="21"/>
        <v>22805429.666000023</v>
      </c>
      <c r="AE370" s="42">
        <f t="shared" si="22"/>
        <v>0.22412155088693164</v>
      </c>
      <c r="AG370" s="162"/>
      <c r="AI370" s="1" t="s">
        <v>56</v>
      </c>
      <c r="AJ370" s="10"/>
    </row>
    <row r="371" spans="1:36">
      <c r="A371" s="136"/>
      <c r="B371" s="32"/>
      <c r="C371" s="32" t="s">
        <v>57</v>
      </c>
      <c r="D371" s="47"/>
      <c r="E371" s="7">
        <f>+G371-Adjustments!G371</f>
        <v>0</v>
      </c>
      <c r="F371" s="7">
        <f t="shared" si="23"/>
        <v>105333018</v>
      </c>
      <c r="G371" s="7">
        <f t="shared" si="23"/>
        <v>0</v>
      </c>
      <c r="H371" s="7">
        <f t="shared" si="23"/>
        <v>0</v>
      </c>
      <c r="I371" s="7">
        <f t="shared" si="23"/>
        <v>105333018</v>
      </c>
      <c r="J371" s="7">
        <f>+I371-'ROR-Model'!I371</f>
        <v>0</v>
      </c>
      <c r="K371" s="7"/>
      <c r="L371" s="7"/>
      <c r="M371" s="7">
        <f t="shared" si="24"/>
        <v>104862575</v>
      </c>
      <c r="N371" s="7">
        <f t="shared" si="24"/>
        <v>470443</v>
      </c>
      <c r="O371" s="120"/>
      <c r="P371" s="126"/>
      <c r="Q371" s="7">
        <f t="shared" si="25"/>
        <v>104862575</v>
      </c>
      <c r="R371" s="7">
        <f t="shared" si="25"/>
        <v>0</v>
      </c>
      <c r="S371" s="126"/>
      <c r="T371" s="7">
        <f t="shared" si="26"/>
        <v>0</v>
      </c>
      <c r="U371" s="7">
        <f t="shared" si="26"/>
        <v>470443</v>
      </c>
      <c r="V371" s="124"/>
      <c r="W371" s="7">
        <f>HLOOKUP($W$9,'ROR-Model'!$Q$10:$U$1273,Y371)</f>
        <v>104862575</v>
      </c>
      <c r="X371" s="139"/>
      <c r="Y371" s="3">
        <f t="shared" si="20"/>
        <v>362</v>
      </c>
      <c r="AA371" s="7">
        <v>88829139.909999996</v>
      </c>
      <c r="AC371" s="7">
        <f t="shared" si="21"/>
        <v>16033435.090000004</v>
      </c>
      <c r="AE371" s="42">
        <f t="shared" si="22"/>
        <v>0.18049747083271073</v>
      </c>
      <c r="AG371" s="162"/>
      <c r="AI371" t="s">
        <v>57</v>
      </c>
      <c r="AJ371" s="10"/>
    </row>
    <row r="372" spans="1:36">
      <c r="A372" s="136"/>
      <c r="C372" s="58" t="s">
        <v>32</v>
      </c>
      <c r="D372" s="47"/>
      <c r="E372" s="140">
        <f>+G372-Adjustments!G372</f>
        <v>0</v>
      </c>
      <c r="F372" s="140">
        <f t="shared" si="23"/>
        <v>234028553.315</v>
      </c>
      <c r="G372" s="140">
        <f t="shared" si="23"/>
        <v>0</v>
      </c>
      <c r="H372" s="140">
        <f t="shared" si="23"/>
        <v>0</v>
      </c>
      <c r="I372" s="140">
        <f t="shared" si="23"/>
        <v>234028553.315</v>
      </c>
      <c r="J372" s="7">
        <f>+I372-'ROR-Model'!I372</f>
        <v>0</v>
      </c>
      <c r="K372" s="7"/>
      <c r="L372" s="140"/>
      <c r="M372" s="140">
        <f t="shared" si="24"/>
        <v>229422742.55599999</v>
      </c>
      <c r="N372" s="140">
        <f t="shared" si="24"/>
        <v>4605810.7589999996</v>
      </c>
      <c r="O372" s="120"/>
      <c r="P372" s="201"/>
      <c r="Q372" s="140">
        <f t="shared" si="25"/>
        <v>229422742.55599999</v>
      </c>
      <c r="R372" s="140">
        <f t="shared" si="25"/>
        <v>0</v>
      </c>
      <c r="S372" s="201"/>
      <c r="T372" s="140">
        <f t="shared" si="26"/>
        <v>4047815.9099999997</v>
      </c>
      <c r="U372" s="140">
        <f t="shared" si="26"/>
        <v>557994.84899999993</v>
      </c>
      <c r="V372" s="124"/>
      <c r="W372" s="140">
        <f>HLOOKUP($W$9,'ROR-Model'!$Q$10:$U$1273,Y372)</f>
        <v>229422742.55599999</v>
      </c>
      <c r="X372" s="139"/>
      <c r="Y372" s="3">
        <f t="shared" si="20"/>
        <v>363</v>
      </c>
      <c r="AA372" s="140">
        <v>190583877.79999998</v>
      </c>
      <c r="AC372" s="140">
        <f t="shared" si="21"/>
        <v>38838864.756000012</v>
      </c>
      <c r="AE372" s="42">
        <f t="shared" si="22"/>
        <v>0.20378882623407307</v>
      </c>
      <c r="AG372" s="162"/>
      <c r="AI372" s="1" t="s">
        <v>32</v>
      </c>
      <c r="AJ372" s="10"/>
    </row>
    <row r="373" spans="1:36">
      <c r="A373" s="136"/>
      <c r="B373" s="47"/>
      <c r="C373" s="47"/>
      <c r="D373" s="47"/>
      <c r="E373" s="7"/>
      <c r="F373" s="7"/>
      <c r="G373" s="7"/>
      <c r="H373" s="7"/>
      <c r="I373" s="7"/>
      <c r="J373" s="7">
        <f>+I373-'ROR-Model'!I373</f>
        <v>0</v>
      </c>
      <c r="K373" s="7"/>
      <c r="L373" s="7"/>
      <c r="M373" s="7"/>
      <c r="N373" s="7"/>
      <c r="O373" s="120"/>
      <c r="P373" s="126"/>
      <c r="Q373" s="7"/>
      <c r="R373" s="7"/>
      <c r="S373" s="126"/>
      <c r="T373" s="7"/>
      <c r="U373" s="7"/>
      <c r="V373" s="124"/>
      <c r="W373" s="7"/>
      <c r="X373" s="139"/>
      <c r="Y373" s="3">
        <f t="shared" si="20"/>
        <v>364</v>
      </c>
      <c r="AA373" s="7"/>
      <c r="AC373" s="7" t="str">
        <f t="shared" si="21"/>
        <v/>
      </c>
      <c r="AE373" s="42" t="str">
        <f t="shared" si="22"/>
        <v/>
      </c>
      <c r="AG373" s="162"/>
      <c r="AH373" s="10"/>
      <c r="AI373" s="10"/>
      <c r="AJ373" s="10"/>
    </row>
    <row r="374" spans="1:36">
      <c r="A374" s="136"/>
      <c r="B374" s="47"/>
      <c r="C374" s="47"/>
      <c r="D374" s="47"/>
      <c r="E374" s="7"/>
      <c r="F374" s="7"/>
      <c r="G374" s="7"/>
      <c r="H374" s="7"/>
      <c r="I374" s="7"/>
      <c r="J374" s="7">
        <f>+I374-'ROR-Model'!I374</f>
        <v>0</v>
      </c>
      <c r="K374" s="7"/>
      <c r="L374" s="7"/>
      <c r="M374" s="7"/>
      <c r="N374" s="7"/>
      <c r="O374" s="120"/>
      <c r="P374" s="126"/>
      <c r="Q374" s="7"/>
      <c r="R374" s="7"/>
      <c r="S374" s="126"/>
      <c r="T374" s="7"/>
      <c r="U374" s="7"/>
      <c r="V374" s="124"/>
      <c r="W374" s="7"/>
      <c r="X374" s="139"/>
      <c r="Y374" s="3">
        <f t="shared" si="20"/>
        <v>365</v>
      </c>
      <c r="AA374" s="7"/>
      <c r="AC374" s="7" t="str">
        <f t="shared" si="21"/>
        <v/>
      </c>
      <c r="AE374" s="42" t="str">
        <f t="shared" si="22"/>
        <v/>
      </c>
      <c r="AG374" s="162"/>
      <c r="AH374" s="10"/>
      <c r="AI374" s="10"/>
      <c r="AJ374" s="10"/>
    </row>
    <row r="375" spans="1:36">
      <c r="A375" s="116" t="s">
        <v>142</v>
      </c>
      <c r="B375" s="47"/>
      <c r="C375" s="47"/>
      <c r="D375" s="47"/>
      <c r="E375" s="7"/>
      <c r="F375" s="7"/>
      <c r="G375" s="7"/>
      <c r="H375" s="7"/>
      <c r="I375" s="7"/>
      <c r="J375" s="7">
        <f>+I375-'ROR-Model'!I375</f>
        <v>0</v>
      </c>
      <c r="K375" s="7"/>
      <c r="L375" s="7"/>
      <c r="M375" s="7"/>
      <c r="N375" s="7"/>
      <c r="O375" s="120"/>
      <c r="P375" s="126"/>
      <c r="Q375" s="7"/>
      <c r="R375" s="7"/>
      <c r="S375" s="126"/>
      <c r="T375" s="7"/>
      <c r="U375" s="7"/>
      <c r="V375" s="124"/>
      <c r="W375" s="7"/>
      <c r="X375" s="139"/>
      <c r="Y375" s="3">
        <f t="shared" si="20"/>
        <v>366</v>
      </c>
      <c r="AA375" s="7"/>
      <c r="AC375" s="7" t="str">
        <f t="shared" si="21"/>
        <v/>
      </c>
      <c r="AE375" s="42" t="str">
        <f t="shared" si="22"/>
        <v/>
      </c>
      <c r="AG375" s="162" t="s">
        <v>142</v>
      </c>
      <c r="AH375" s="10"/>
      <c r="AI375" s="10"/>
      <c r="AJ375" s="10"/>
    </row>
    <row r="376" spans="1:36">
      <c r="A376" s="136"/>
      <c r="B376" s="47"/>
      <c r="C376" s="47"/>
      <c r="D376" s="47"/>
      <c r="E376" s="7"/>
      <c r="F376" s="7"/>
      <c r="G376" s="7"/>
      <c r="H376" s="7"/>
      <c r="I376" s="7"/>
      <c r="J376" s="7">
        <f>+I376-'ROR-Model'!I376</f>
        <v>0</v>
      </c>
      <c r="K376" s="7"/>
      <c r="L376" s="7"/>
      <c r="M376" s="7"/>
      <c r="N376" s="7"/>
      <c r="O376" s="120"/>
      <c r="P376" s="126"/>
      <c r="Q376" s="7"/>
      <c r="R376" s="7"/>
      <c r="S376" s="126"/>
      <c r="T376" s="7"/>
      <c r="U376" s="7"/>
      <c r="V376" s="124"/>
      <c r="W376" s="7"/>
      <c r="X376" s="139"/>
      <c r="Y376" s="3">
        <f t="shared" si="20"/>
        <v>367</v>
      </c>
      <c r="AA376" s="7"/>
      <c r="AC376" s="7" t="str">
        <f t="shared" si="21"/>
        <v/>
      </c>
      <c r="AE376" s="42" t="str">
        <f t="shared" si="22"/>
        <v/>
      </c>
      <c r="AG376" s="162"/>
      <c r="AH376" s="10"/>
      <c r="AI376" s="10"/>
      <c r="AJ376" s="10"/>
    </row>
    <row r="377" spans="1:36">
      <c r="A377" s="137"/>
      <c r="B377" s="47" t="s">
        <v>143</v>
      </c>
      <c r="C377" s="47"/>
      <c r="D377" s="47"/>
      <c r="E377" s="7"/>
      <c r="F377" s="7"/>
      <c r="G377" s="7"/>
      <c r="H377" s="7"/>
      <c r="I377" s="7"/>
      <c r="J377" s="7">
        <f>+I377-'ROR-Model'!I377</f>
        <v>0</v>
      </c>
      <c r="K377" s="7"/>
      <c r="L377" s="7"/>
      <c r="M377" s="7"/>
      <c r="N377" s="7"/>
      <c r="O377" s="120"/>
      <c r="P377" s="126"/>
      <c r="Q377" s="7"/>
      <c r="R377" s="7"/>
      <c r="S377" s="126"/>
      <c r="T377" s="7"/>
      <c r="U377" s="7"/>
      <c r="V377" s="124"/>
      <c r="W377" s="7"/>
      <c r="X377" s="139"/>
      <c r="Y377" s="3">
        <f t="shared" si="20"/>
        <v>368</v>
      </c>
      <c r="AA377" s="7"/>
      <c r="AC377" s="7" t="str">
        <f t="shared" si="21"/>
        <v/>
      </c>
      <c r="AE377" s="42" t="str">
        <f t="shared" si="22"/>
        <v/>
      </c>
      <c r="AG377" s="162"/>
      <c r="AH377" s="10" t="s">
        <v>143</v>
      </c>
      <c r="AI377" s="10"/>
      <c r="AJ377" s="10"/>
    </row>
    <row r="378" spans="1:36">
      <c r="A378" s="137"/>
      <c r="B378" s="47"/>
      <c r="C378" s="47"/>
      <c r="D378" s="47"/>
      <c r="E378" s="7"/>
      <c r="F378" s="7"/>
      <c r="G378" s="7"/>
      <c r="H378" s="7"/>
      <c r="I378" s="7"/>
      <c r="J378" s="7">
        <f>+I378-'ROR-Model'!I378</f>
        <v>0</v>
      </c>
      <c r="K378" s="7"/>
      <c r="L378" s="7"/>
      <c r="M378" s="7"/>
      <c r="N378" s="7"/>
      <c r="O378" s="120"/>
      <c r="P378" s="126"/>
      <c r="Q378" s="7"/>
      <c r="R378" s="7"/>
      <c r="S378" s="126"/>
      <c r="T378" s="7"/>
      <c r="U378" s="7"/>
      <c r="V378" s="124"/>
      <c r="W378" s="7"/>
      <c r="X378" s="139"/>
      <c r="Y378" s="3">
        <f t="shared" si="20"/>
        <v>369</v>
      </c>
      <c r="AA378" s="7"/>
      <c r="AC378" s="7" t="str">
        <f t="shared" si="21"/>
        <v/>
      </c>
      <c r="AE378" s="42" t="str">
        <f t="shared" si="22"/>
        <v/>
      </c>
      <c r="AG378" s="162"/>
      <c r="AH378" s="10"/>
      <c r="AI378" s="10"/>
      <c r="AJ378" s="10"/>
    </row>
    <row r="379" spans="1:36">
      <c r="A379" s="137">
        <v>483</v>
      </c>
      <c r="B379" s="47" t="s">
        <v>144</v>
      </c>
      <c r="C379" s="47"/>
      <c r="D379" s="47"/>
      <c r="E379" s="7"/>
      <c r="F379" s="7"/>
      <c r="G379" s="7"/>
      <c r="H379" s="7"/>
      <c r="I379" s="7"/>
      <c r="J379" s="7">
        <f>+I379-'ROR-Model'!I379</f>
        <v>0</v>
      </c>
      <c r="K379" s="7"/>
      <c r="L379" s="7"/>
      <c r="M379" s="7"/>
      <c r="N379" s="7"/>
      <c r="O379" s="120"/>
      <c r="P379" s="126"/>
      <c r="Q379" s="7"/>
      <c r="R379" s="7"/>
      <c r="S379" s="126"/>
      <c r="T379" s="7"/>
      <c r="U379" s="7"/>
      <c r="V379" s="124"/>
      <c r="W379" s="7"/>
      <c r="X379" s="139"/>
      <c r="Y379" s="3">
        <f t="shared" si="20"/>
        <v>370</v>
      </c>
      <c r="AA379" s="7"/>
      <c r="AC379" s="7" t="str">
        <f t="shared" si="21"/>
        <v/>
      </c>
      <c r="AE379" s="42" t="str">
        <f t="shared" si="22"/>
        <v/>
      </c>
      <c r="AG379" s="162">
        <v>483</v>
      </c>
      <c r="AH379" s="10" t="s">
        <v>144</v>
      </c>
      <c r="AI379" s="10"/>
      <c r="AJ379" s="10"/>
    </row>
    <row r="380" spans="1:36">
      <c r="A380" s="137"/>
      <c r="B380" s="47"/>
      <c r="C380" s="47" t="s">
        <v>12</v>
      </c>
      <c r="D380" s="47"/>
      <c r="E380" s="301" t="s">
        <v>509</v>
      </c>
      <c r="F380" s="301">
        <f>'Other Rev'!$H$15</f>
        <v>1439043.0260929998</v>
      </c>
      <c r="G380" s="7">
        <f>+Adjustments!V380</f>
        <v>0</v>
      </c>
      <c r="H380" s="7"/>
      <c r="I380" s="7">
        <f>SUM($F$380:$H$380)</f>
        <v>1439043.0260929998</v>
      </c>
      <c r="J380" s="7">
        <f>+I380-'ROR-Model'!I380</f>
        <v>0</v>
      </c>
      <c r="K380" s="7"/>
      <c r="L380" s="7" t="s">
        <v>12</v>
      </c>
      <c r="M380" s="7">
        <f>VLOOKUP($L380,$L$2:$N$7,2,FALSE)*I380</f>
        <v>1439043.0260929998</v>
      </c>
      <c r="N380" s="7">
        <f>VLOOKUP($L380,$L$2:$N$7,3,FALSE)*I380</f>
        <v>0</v>
      </c>
      <c r="O380" s="120"/>
      <c r="P380" s="192" t="s">
        <v>509</v>
      </c>
      <c r="Q380" s="7">
        <f>IF(P380="G",M380,IF(P380="PT",0,ERR))</f>
        <v>0</v>
      </c>
      <c r="R380" s="7">
        <f>IF(P380="PT",M380,IF(P380="G",0,ERR))</f>
        <v>1439043.0260929998</v>
      </c>
      <c r="S380" s="126" t="s">
        <v>509</v>
      </c>
      <c r="T380" s="7">
        <f>IF(S380="G",N380,IF(S380="PT",0,ERR))</f>
        <v>0</v>
      </c>
      <c r="U380" s="7">
        <f>IF(S380="PT",N380,IF(S380="G",0,ERR))</f>
        <v>0</v>
      </c>
      <c r="V380" s="124"/>
      <c r="W380" s="7">
        <f>HLOOKUP($W$9,'ROR-Model'!$Q$10:$U$1273,Y380)</f>
        <v>0</v>
      </c>
      <c r="X380" s="139"/>
      <c r="Y380" s="3">
        <f t="shared" si="20"/>
        <v>371</v>
      </c>
      <c r="AA380" s="7">
        <v>0</v>
      </c>
      <c r="AC380" s="7" t="str">
        <f t="shared" si="21"/>
        <v/>
      </c>
      <c r="AE380" s="42" t="str">
        <f t="shared" si="22"/>
        <v/>
      </c>
      <c r="AG380" s="162"/>
      <c r="AH380" s="10"/>
      <c r="AI380" s="10" t="s">
        <v>12</v>
      </c>
      <c r="AJ380" s="10"/>
    </row>
    <row r="381" spans="1:36">
      <c r="A381" s="137"/>
      <c r="B381" s="47"/>
      <c r="C381" s="47" t="s">
        <v>23</v>
      </c>
      <c r="D381" s="47"/>
      <c r="E381" s="301" t="s">
        <v>509</v>
      </c>
      <c r="F381" s="301">
        <f>'Other Rev'!$H$16</f>
        <v>43729.583906999993</v>
      </c>
      <c r="G381" s="7">
        <f>+Adjustments!V381</f>
        <v>0</v>
      </c>
      <c r="H381" s="7"/>
      <c r="I381" s="7">
        <f>SUM($F$381:$H$381)</f>
        <v>43729.583906999993</v>
      </c>
      <c r="J381" s="7">
        <f>+I381-'ROR-Model'!I381</f>
        <v>0</v>
      </c>
      <c r="K381" s="7"/>
      <c r="L381" s="7" t="s">
        <v>23</v>
      </c>
      <c r="M381" s="7">
        <f>VLOOKUP($L381,$L$2:$N$7,2,FALSE)*I381</f>
        <v>0</v>
      </c>
      <c r="N381" s="7">
        <f>VLOOKUP($L381,$L$2:$N$7,3,FALSE)*I381</f>
        <v>43729.583906999993</v>
      </c>
      <c r="O381" s="120"/>
      <c r="P381" s="192" t="s">
        <v>509</v>
      </c>
      <c r="Q381" s="7">
        <f>IF(P381="G",M381,IF(P381="PT",0,ERR))</f>
        <v>0</v>
      </c>
      <c r="R381" s="7">
        <f>IF(P381="PT",M381,IF(P381="G",0,ERR))</f>
        <v>0</v>
      </c>
      <c r="S381" s="192" t="s">
        <v>509</v>
      </c>
      <c r="T381" s="7">
        <f>IF(S381="G",N381,IF(S381="PT",0,ERR))</f>
        <v>0</v>
      </c>
      <c r="U381" s="7">
        <f>IF(S381="PT",N381,IF(S381="G",0,ERR))</f>
        <v>43729.583906999993</v>
      </c>
      <c r="V381" s="124"/>
      <c r="W381" s="7">
        <f>HLOOKUP($W$9,'ROR-Model'!$Q$10:$U$1273,Y381)</f>
        <v>0</v>
      </c>
      <c r="X381" s="139"/>
      <c r="Y381" s="3">
        <f t="shared" si="20"/>
        <v>372</v>
      </c>
      <c r="AA381" s="7">
        <v>0</v>
      </c>
      <c r="AC381" s="7" t="str">
        <f t="shared" si="21"/>
        <v/>
      </c>
      <c r="AE381" s="42" t="str">
        <f t="shared" si="22"/>
        <v/>
      </c>
      <c r="AG381" s="162"/>
      <c r="AH381" s="10"/>
      <c r="AI381" s="10" t="s">
        <v>23</v>
      </c>
      <c r="AJ381" s="10"/>
    </row>
    <row r="382" spans="1:36">
      <c r="A382" s="137"/>
      <c r="B382" s="47"/>
      <c r="C382" s="47" t="s">
        <v>145</v>
      </c>
      <c r="D382" s="47"/>
      <c r="E382" s="140"/>
      <c r="F382" s="140">
        <f>SUM(F380:F381)</f>
        <v>1482772.6099999999</v>
      </c>
      <c r="G382" s="140">
        <f>SUM(G380:G381)</f>
        <v>0</v>
      </c>
      <c r="H382" s="140">
        <f>SUM(H380:H381)</f>
        <v>0</v>
      </c>
      <c r="I382" s="140">
        <f>SUM(I380:I381)</f>
        <v>1482772.6099999999</v>
      </c>
      <c r="J382" s="7">
        <f>+I382-'ROR-Model'!I382</f>
        <v>0</v>
      </c>
      <c r="K382" s="7"/>
      <c r="L382" s="140"/>
      <c r="M382" s="140">
        <f>SUM(M380:M381)</f>
        <v>1439043.0260929998</v>
      </c>
      <c r="N382" s="140">
        <f>SUM(N380:N381)</f>
        <v>43729.583906999993</v>
      </c>
      <c r="O382" s="120"/>
      <c r="P382" s="192"/>
      <c r="Q382" s="140">
        <f>SUM(Q380:Q381)</f>
        <v>0</v>
      </c>
      <c r="R382" s="140">
        <f>SUM(R380:R381)</f>
        <v>1439043.0260929998</v>
      </c>
      <c r="S382" s="201"/>
      <c r="T382" s="140">
        <f>SUM(T380:T381)</f>
        <v>0</v>
      </c>
      <c r="U382" s="140">
        <f>SUM(U380:U381)</f>
        <v>43729.583906999993</v>
      </c>
      <c r="V382" s="124"/>
      <c r="W382" s="140">
        <f>HLOOKUP($W$9,'ROR-Model'!$Q$10:$U$1273,Y382)</f>
        <v>0</v>
      </c>
      <c r="X382" s="139"/>
      <c r="Y382" s="3">
        <f t="shared" si="20"/>
        <v>373</v>
      </c>
      <c r="AA382" s="140">
        <v>0</v>
      </c>
      <c r="AC382" s="140" t="str">
        <f t="shared" si="21"/>
        <v/>
      </c>
      <c r="AE382" s="42" t="str">
        <f t="shared" si="22"/>
        <v/>
      </c>
      <c r="AG382" s="162"/>
      <c r="AH382" s="10"/>
      <c r="AI382" s="10" t="s">
        <v>145</v>
      </c>
      <c r="AJ382" s="10"/>
    </row>
    <row r="383" spans="1:36">
      <c r="A383" s="137"/>
      <c r="B383" s="47"/>
      <c r="C383" s="47"/>
      <c r="D383" s="47"/>
      <c r="E383" s="7"/>
      <c r="F383" s="7"/>
      <c r="G383" s="7"/>
      <c r="H383" s="7"/>
      <c r="I383" s="7"/>
      <c r="J383" s="7">
        <f>+I383-'ROR-Model'!I383</f>
        <v>0</v>
      </c>
      <c r="K383" s="7"/>
      <c r="L383" s="7"/>
      <c r="M383" s="7"/>
      <c r="N383" s="7"/>
      <c r="O383" s="120"/>
      <c r="P383" s="192"/>
      <c r="Q383" s="7"/>
      <c r="R383" s="7"/>
      <c r="S383" s="126"/>
      <c r="T383" s="7"/>
      <c r="U383" s="7"/>
      <c r="V383" s="124"/>
      <c r="W383" s="7"/>
      <c r="X383" s="139"/>
      <c r="Y383" s="3">
        <f t="shared" si="20"/>
        <v>374</v>
      </c>
      <c r="AA383" s="7"/>
      <c r="AC383" s="7" t="str">
        <f t="shared" si="21"/>
        <v/>
      </c>
      <c r="AE383" s="42" t="str">
        <f t="shared" si="22"/>
        <v/>
      </c>
      <c r="AG383" s="162"/>
      <c r="AH383" s="10"/>
      <c r="AI383" s="10"/>
      <c r="AJ383" s="10"/>
    </row>
    <row r="384" spans="1:36">
      <c r="A384" s="137">
        <v>487</v>
      </c>
      <c r="B384" s="47" t="s">
        <v>148</v>
      </c>
      <c r="C384" s="47"/>
      <c r="D384" s="47"/>
      <c r="E384" s="7"/>
      <c r="F384" s="7"/>
      <c r="G384" s="7"/>
      <c r="H384" s="7"/>
      <c r="I384" s="7"/>
      <c r="J384" s="7">
        <f>+I384-'ROR-Model'!I384</f>
        <v>0</v>
      </c>
      <c r="K384" s="7"/>
      <c r="L384" s="7"/>
      <c r="M384" s="7"/>
      <c r="N384" s="7"/>
      <c r="O384" s="120"/>
      <c r="P384" s="192"/>
      <c r="Q384" s="7"/>
      <c r="R384" s="7"/>
      <c r="S384" s="126"/>
      <c r="T384" s="7"/>
      <c r="U384" s="7"/>
      <c r="V384" s="124"/>
      <c r="W384" s="7"/>
      <c r="X384" s="139"/>
      <c r="Y384" s="3">
        <f t="shared" si="20"/>
        <v>375</v>
      </c>
      <c r="AA384" s="7"/>
      <c r="AC384" s="7" t="str">
        <f t="shared" si="21"/>
        <v/>
      </c>
      <c r="AE384" s="42" t="str">
        <f t="shared" si="22"/>
        <v/>
      </c>
      <c r="AG384" s="162">
        <v>487</v>
      </c>
      <c r="AH384" s="10" t="s">
        <v>148</v>
      </c>
      <c r="AI384" s="10"/>
      <c r="AJ384" s="10"/>
    </row>
    <row r="385" spans="1:36">
      <c r="A385" s="137"/>
      <c r="B385" s="47"/>
      <c r="C385" s="47" t="s">
        <v>12</v>
      </c>
      <c r="D385" s="47"/>
      <c r="E385" s="301" t="s">
        <v>510</v>
      </c>
      <c r="F385" s="301">
        <f>'Other Rev'!$H$20</f>
        <v>3903242.1837379998</v>
      </c>
      <c r="G385" s="7">
        <f>+Adjustments!V385</f>
        <v>0</v>
      </c>
      <c r="H385" s="7"/>
      <c r="I385" s="7">
        <f>SUM($F$385:$H$385)</f>
        <v>3903242.1837379998</v>
      </c>
      <c r="J385" s="7">
        <f>+I385-'ROR-Model'!I385</f>
        <v>0</v>
      </c>
      <c r="K385" s="7"/>
      <c r="L385" s="7" t="s">
        <v>12</v>
      </c>
      <c r="M385" s="7">
        <f>VLOOKUP($L385,$L$2:$N$7,2,FALSE)*I385</f>
        <v>3903242.1837379998</v>
      </c>
      <c r="N385" s="7">
        <f>VLOOKUP($L385,$L$2:$N$7,3,FALSE)*I385</f>
        <v>0</v>
      </c>
      <c r="O385" s="120"/>
      <c r="P385" s="192" t="s">
        <v>510</v>
      </c>
      <c r="Q385" s="7">
        <f>IF(P385="G",M385,IF(P385="PT",0,ERR))</f>
        <v>3903242.1837379998</v>
      </c>
      <c r="R385" s="7">
        <f>IF(P385="PT",M385,IF(P385="G",0,ERR))</f>
        <v>0</v>
      </c>
      <c r="S385" s="126" t="s">
        <v>510</v>
      </c>
      <c r="T385" s="7">
        <f>IF(S385="G",N385,IF(S385="PT",0,ERR))</f>
        <v>0</v>
      </c>
      <c r="U385" s="7">
        <f>IF(S385="PT",N385,IF(S385="G",0,ERR))</f>
        <v>0</v>
      </c>
      <c r="V385" s="124"/>
      <c r="W385" s="7">
        <f>HLOOKUP($W$9,'ROR-Model'!$Q$10:$U$1273,Y385)</f>
        <v>3903242.1837379998</v>
      </c>
      <c r="X385" s="139"/>
      <c r="Y385" s="3">
        <f t="shared" si="20"/>
        <v>376</v>
      </c>
      <c r="AA385" s="7">
        <v>2153062.4312239997</v>
      </c>
      <c r="AC385" s="7">
        <f t="shared" si="21"/>
        <v>1750179.7525140001</v>
      </c>
      <c r="AE385" s="42">
        <f t="shared" si="22"/>
        <v>0.81287923988299593</v>
      </c>
      <c r="AG385" s="162"/>
      <c r="AH385" s="10"/>
      <c r="AI385" s="10" t="s">
        <v>12</v>
      </c>
      <c r="AJ385" s="10"/>
    </row>
    <row r="386" spans="1:36">
      <c r="A386" s="137"/>
      <c r="B386" s="47"/>
      <c r="C386" s="47" t="s">
        <v>23</v>
      </c>
      <c r="D386" s="47"/>
      <c r="E386" s="301" t="s">
        <v>510</v>
      </c>
      <c r="F386" s="301">
        <f>'Other Rev'!$H$21</f>
        <v>136038.94626200001</v>
      </c>
      <c r="G386" s="7">
        <f>+Adjustments!V386</f>
        <v>0</v>
      </c>
      <c r="H386" s="7"/>
      <c r="I386" s="7">
        <f>SUM($F$386:$H$386)</f>
        <v>136038.94626200001</v>
      </c>
      <c r="J386" s="7">
        <f>+I386-'ROR-Model'!I386</f>
        <v>0</v>
      </c>
      <c r="K386" s="7"/>
      <c r="L386" s="7" t="s">
        <v>23</v>
      </c>
      <c r="M386" s="7">
        <f>VLOOKUP($L386,$L$2:$N$7,2,FALSE)*I386</f>
        <v>0</v>
      </c>
      <c r="N386" s="7">
        <f>VLOOKUP($L386,$L$2:$N$7,3,FALSE)*I386</f>
        <v>136038.94626200001</v>
      </c>
      <c r="O386" s="120"/>
      <c r="P386" s="192" t="s">
        <v>510</v>
      </c>
      <c r="Q386" s="7">
        <f>IF(P386="G",M386,IF(P386="PT",0,ERR))</f>
        <v>0</v>
      </c>
      <c r="R386" s="7">
        <f>IF(P386="PT",M386,IF(P386="G",0,ERR))</f>
        <v>0</v>
      </c>
      <c r="S386" s="126" t="s">
        <v>510</v>
      </c>
      <c r="T386" s="7">
        <f>IF(S386="G",N386,IF(S386="PT",0,ERR))</f>
        <v>136038.94626200001</v>
      </c>
      <c r="U386" s="7">
        <f>IF(S386="PT",N386,IF(S386="G",0,ERR))</f>
        <v>0</v>
      </c>
      <c r="V386" s="124"/>
      <c r="W386" s="7">
        <f>HLOOKUP($W$9,'ROR-Model'!$Q$10:$U$1273,Y386)</f>
        <v>0</v>
      </c>
      <c r="X386" s="139"/>
      <c r="Y386" s="3">
        <f t="shared" si="20"/>
        <v>377</v>
      </c>
      <c r="AA386" s="7">
        <v>0</v>
      </c>
      <c r="AC386" s="7" t="str">
        <f t="shared" si="21"/>
        <v/>
      </c>
      <c r="AE386" s="42" t="str">
        <f t="shared" si="22"/>
        <v/>
      </c>
      <c r="AG386" s="162"/>
      <c r="AH386" s="10"/>
      <c r="AI386" s="10" t="s">
        <v>23</v>
      </c>
      <c r="AJ386" s="10"/>
    </row>
    <row r="387" spans="1:36">
      <c r="A387" s="137"/>
      <c r="B387" s="47"/>
      <c r="C387" s="47" t="s">
        <v>145</v>
      </c>
      <c r="D387" s="47"/>
      <c r="E387" s="140"/>
      <c r="F387" s="140">
        <f>SUM(F385:F386)</f>
        <v>4039281.13</v>
      </c>
      <c r="G387" s="140">
        <f>SUM(G385:G386)</f>
        <v>0</v>
      </c>
      <c r="H387" s="140">
        <f>SUM(H385:H386)</f>
        <v>0</v>
      </c>
      <c r="I387" s="140">
        <f>SUM(I385:I386)</f>
        <v>4039281.13</v>
      </c>
      <c r="J387" s="7">
        <f>+I387-'ROR-Model'!I387</f>
        <v>0</v>
      </c>
      <c r="K387" s="7"/>
      <c r="L387" s="140"/>
      <c r="M387" s="140">
        <f>SUM(M385:M386)</f>
        <v>3903242.1837379998</v>
      </c>
      <c r="N387" s="140">
        <f>SUM(N385:N386)</f>
        <v>136038.94626200001</v>
      </c>
      <c r="O387" s="120"/>
      <c r="P387" s="192"/>
      <c r="Q387" s="140">
        <f>SUM(Q385:Q386)</f>
        <v>3903242.1837379998</v>
      </c>
      <c r="R387" s="140">
        <f>SUM(R385:R386)</f>
        <v>0</v>
      </c>
      <c r="S387" s="201"/>
      <c r="T387" s="140">
        <f>SUM(T385:T386)</f>
        <v>136038.94626200001</v>
      </c>
      <c r="U387" s="140">
        <f>SUM(U385:U386)</f>
        <v>0</v>
      </c>
      <c r="V387" s="124"/>
      <c r="W387" s="140">
        <f>HLOOKUP($W$9,'ROR-Model'!$Q$10:$U$1273,Y387)</f>
        <v>3903242.1837379998</v>
      </c>
      <c r="X387" s="139"/>
      <c r="Y387" s="3">
        <f t="shared" si="20"/>
        <v>378</v>
      </c>
      <c r="AA387" s="140">
        <v>2153062.4312239997</v>
      </c>
      <c r="AC387" s="140">
        <f t="shared" si="21"/>
        <v>1750179.7525140001</v>
      </c>
      <c r="AE387" s="42">
        <f t="shared" si="22"/>
        <v>0.81287923988299593</v>
      </c>
      <c r="AG387" s="162"/>
      <c r="AH387" s="10"/>
      <c r="AI387" s="10" t="s">
        <v>145</v>
      </c>
      <c r="AJ387" s="10"/>
    </row>
    <row r="388" spans="1:36">
      <c r="A388" s="137"/>
      <c r="B388" s="47"/>
      <c r="C388" s="47"/>
      <c r="D388" s="47"/>
      <c r="E388" s="7"/>
      <c r="F388" s="7"/>
      <c r="G388" s="7"/>
      <c r="H388" s="7"/>
      <c r="I388" s="7"/>
      <c r="J388" s="7">
        <f>+I388-'ROR-Model'!I388</f>
        <v>0</v>
      </c>
      <c r="K388" s="7"/>
      <c r="L388" s="7"/>
      <c r="M388" s="7"/>
      <c r="N388" s="7"/>
      <c r="O388" s="120"/>
      <c r="P388" s="192"/>
      <c r="Q388" s="7"/>
      <c r="R388" s="7"/>
      <c r="S388" s="126"/>
      <c r="T388" s="7"/>
      <c r="U388" s="7"/>
      <c r="V388" s="124"/>
      <c r="W388" s="7"/>
      <c r="X388" s="139"/>
      <c r="Y388" s="3">
        <f t="shared" si="20"/>
        <v>379</v>
      </c>
      <c r="AA388" s="7"/>
      <c r="AC388" s="7" t="str">
        <f t="shared" si="21"/>
        <v/>
      </c>
      <c r="AE388" s="42" t="str">
        <f t="shared" si="22"/>
        <v/>
      </c>
      <c r="AG388" s="162"/>
      <c r="AH388" s="10"/>
      <c r="AI388" s="10"/>
      <c r="AJ388" s="10"/>
    </row>
    <row r="389" spans="1:36">
      <c r="A389" s="137">
        <v>4860</v>
      </c>
      <c r="B389" s="47" t="s">
        <v>279</v>
      </c>
      <c r="C389" s="47"/>
      <c r="D389" s="47"/>
      <c r="E389" s="7"/>
      <c r="F389" s="7"/>
      <c r="G389" s="7"/>
      <c r="H389" s="7"/>
      <c r="I389" s="7"/>
      <c r="J389" s="7">
        <f>+I389-'ROR-Model'!I389</f>
        <v>0</v>
      </c>
      <c r="K389" s="7"/>
      <c r="L389" s="7"/>
      <c r="M389" s="7"/>
      <c r="N389" s="7"/>
      <c r="O389" s="120"/>
      <c r="P389" s="192"/>
      <c r="Q389" s="7"/>
      <c r="R389" s="7"/>
      <c r="S389" s="126"/>
      <c r="T389" s="7"/>
      <c r="U389" s="7"/>
      <c r="V389" s="124"/>
      <c r="W389" s="7"/>
      <c r="X389" s="139"/>
      <c r="Y389" s="3">
        <f t="shared" si="20"/>
        <v>380</v>
      </c>
      <c r="AA389" s="7"/>
      <c r="AC389" s="7" t="str">
        <f t="shared" si="21"/>
        <v/>
      </c>
      <c r="AE389" s="42" t="str">
        <f t="shared" si="22"/>
        <v/>
      </c>
      <c r="AG389" s="162">
        <v>4860</v>
      </c>
      <c r="AH389" s="10" t="s">
        <v>279</v>
      </c>
      <c r="AI389" s="10"/>
      <c r="AJ389" s="10"/>
    </row>
    <row r="390" spans="1:36">
      <c r="A390" s="137"/>
      <c r="B390" s="47"/>
      <c r="C390" s="47" t="s">
        <v>12</v>
      </c>
      <c r="D390" s="47"/>
      <c r="E390" s="301" t="s">
        <v>510</v>
      </c>
      <c r="F390" s="301">
        <f>'Other Rev'!$H$25</f>
        <v>2859151.3418999999</v>
      </c>
      <c r="G390" s="7">
        <f>+Adjustments!V390</f>
        <v>0</v>
      </c>
      <c r="H390" s="7"/>
      <c r="I390" s="7">
        <f>SUM($F$390:$H$390)</f>
        <v>2859151.3418999999</v>
      </c>
      <c r="J390" s="7">
        <f>+I390-'ROR-Model'!I390</f>
        <v>0</v>
      </c>
      <c r="K390" s="7"/>
      <c r="L390" s="7" t="s">
        <v>12</v>
      </c>
      <c r="M390" s="7">
        <f>VLOOKUP($L390,$L$2:$N$7,2,FALSE)*I390</f>
        <v>2859151.3418999999</v>
      </c>
      <c r="N390" s="7">
        <f>VLOOKUP($L390,$L$2:$N$7,3,FALSE)*I390</f>
        <v>0</v>
      </c>
      <c r="O390" s="120"/>
      <c r="P390" s="192" t="s">
        <v>510</v>
      </c>
      <c r="Q390" s="7">
        <f>IF(P390="G",M390,IF(P390="PT",0,ERR))</f>
        <v>2859151.3418999999</v>
      </c>
      <c r="R390" s="7">
        <f>IF(P390="PT",M390,IF(P390="G",0,ERR))</f>
        <v>0</v>
      </c>
      <c r="S390" s="126" t="s">
        <v>510</v>
      </c>
      <c r="T390" s="7">
        <f>IF(S390="G",N390,IF(S390="PT",0,ERR))</f>
        <v>0</v>
      </c>
      <c r="U390" s="7">
        <f>IF(S390="PT",N390,IF(S390="G",0,ERR))</f>
        <v>0</v>
      </c>
      <c r="V390" s="124"/>
      <c r="W390" s="7">
        <f>HLOOKUP($W$9,'ROR-Model'!$Q$10:$U$1273,Y390)</f>
        <v>2859151.3418999999</v>
      </c>
      <c r="X390" s="139"/>
      <c r="Y390" s="3">
        <f t="shared" si="20"/>
        <v>381</v>
      </c>
      <c r="AA390" s="7">
        <v>2672736.9978999998</v>
      </c>
      <c r="AC390" s="7">
        <f t="shared" si="21"/>
        <v>186414.34400000004</v>
      </c>
      <c r="AE390" s="42">
        <f t="shared" si="22"/>
        <v>6.9746609616459801E-2</v>
      </c>
      <c r="AG390" s="162"/>
      <c r="AH390" s="10"/>
      <c r="AI390" s="10" t="s">
        <v>12</v>
      </c>
      <c r="AJ390" s="10"/>
    </row>
    <row r="391" spans="1:36">
      <c r="A391" s="137"/>
      <c r="B391" s="47"/>
      <c r="C391" s="47" t="s">
        <v>23</v>
      </c>
      <c r="D391" s="47"/>
      <c r="E391" s="301" t="s">
        <v>510</v>
      </c>
      <c r="F391" s="301">
        <f>'Other Rev'!$H$26</f>
        <v>93683.658100000059</v>
      </c>
      <c r="G391" s="7">
        <f>+Adjustments!V391</f>
        <v>0</v>
      </c>
      <c r="H391" s="7"/>
      <c r="I391" s="7">
        <f>SUM($F$391:$H$391)</f>
        <v>93683.658100000059</v>
      </c>
      <c r="J391" s="7">
        <f>+I391-'ROR-Model'!I391</f>
        <v>0</v>
      </c>
      <c r="K391" s="7"/>
      <c r="L391" s="7" t="s">
        <v>23</v>
      </c>
      <c r="M391" s="7">
        <f>VLOOKUP($L391,$L$2:$N$7,2,FALSE)*I391</f>
        <v>0</v>
      </c>
      <c r="N391" s="7">
        <f>VLOOKUP($L391,$L$2:$N$7,3,FALSE)*I391</f>
        <v>93683.658100000059</v>
      </c>
      <c r="O391" s="120"/>
      <c r="P391" s="192" t="s">
        <v>510</v>
      </c>
      <c r="Q391" s="7">
        <f>IF(P391="G",M391,IF(P391="PT",0,ERR))</f>
        <v>0</v>
      </c>
      <c r="R391" s="7">
        <f>IF(P391="PT",M391,IF(P391="G",0,ERR))</f>
        <v>0</v>
      </c>
      <c r="S391" s="126" t="s">
        <v>510</v>
      </c>
      <c r="T391" s="7">
        <f>IF(S391="G",N391,IF(S391="PT",0,ERR))</f>
        <v>93683.658100000059</v>
      </c>
      <c r="U391" s="7">
        <f>IF(S391="PT",N391,IF(S391="G",0,ERR))</f>
        <v>0</v>
      </c>
      <c r="V391" s="124"/>
      <c r="W391" s="7">
        <f>HLOOKUP($W$9,'ROR-Model'!$Q$10:$U$1273,Y391)</f>
        <v>0</v>
      </c>
      <c r="X391" s="139"/>
      <c r="Y391" s="3">
        <f t="shared" si="20"/>
        <v>382</v>
      </c>
      <c r="AA391" s="7">
        <v>0</v>
      </c>
      <c r="AC391" s="7" t="str">
        <f t="shared" si="21"/>
        <v/>
      </c>
      <c r="AE391" s="42" t="str">
        <f t="shared" si="22"/>
        <v/>
      </c>
      <c r="AG391" s="162"/>
      <c r="AH391" s="10"/>
      <c r="AI391" s="10" t="s">
        <v>23</v>
      </c>
      <c r="AJ391" s="10"/>
    </row>
    <row r="392" spans="1:36">
      <c r="A392" s="137"/>
      <c r="B392" s="47"/>
      <c r="C392" s="47" t="s">
        <v>145</v>
      </c>
      <c r="D392" s="47"/>
      <c r="E392" s="140"/>
      <c r="F392" s="140">
        <f>SUM(F390:F391)</f>
        <v>2952835</v>
      </c>
      <c r="G392" s="140">
        <f>SUM(G390:G391)</f>
        <v>0</v>
      </c>
      <c r="H392" s="140">
        <f>SUM(H390:H391)</f>
        <v>0</v>
      </c>
      <c r="I392" s="140">
        <f>SUM(I390:I391)</f>
        <v>2952835</v>
      </c>
      <c r="J392" s="7">
        <f>+I392-'ROR-Model'!I392</f>
        <v>0</v>
      </c>
      <c r="K392" s="7"/>
      <c r="L392" s="140"/>
      <c r="M392" s="140">
        <f>SUM(M390:M391)</f>
        <v>2859151.3418999999</v>
      </c>
      <c r="N392" s="140">
        <f>SUM(N390:N391)</f>
        <v>93683.658100000059</v>
      </c>
      <c r="O392" s="120"/>
      <c r="P392" s="192"/>
      <c r="Q392" s="140">
        <f>SUM(Q390:Q391)</f>
        <v>2859151.3418999999</v>
      </c>
      <c r="R392" s="140">
        <f>SUM(R390:R391)</f>
        <v>0</v>
      </c>
      <c r="S392" s="201"/>
      <c r="T392" s="140">
        <f>SUM(T390:T391)</f>
        <v>93683.658100000059</v>
      </c>
      <c r="U392" s="140">
        <f>SUM(U390:U391)</f>
        <v>0</v>
      </c>
      <c r="V392" s="124"/>
      <c r="W392" s="140">
        <f>HLOOKUP($W$9,'ROR-Model'!$Q$10:$U$1273,Y392)</f>
        <v>2859151.3418999999</v>
      </c>
      <c r="X392" s="139"/>
      <c r="Y392" s="3">
        <f t="shared" si="20"/>
        <v>383</v>
      </c>
      <c r="AA392" s="140">
        <v>2672736.9978999998</v>
      </c>
      <c r="AC392" s="140">
        <f t="shared" si="21"/>
        <v>186414.34400000004</v>
      </c>
      <c r="AE392" s="42">
        <f t="shared" si="22"/>
        <v>6.9746609616459801E-2</v>
      </c>
      <c r="AG392" s="162"/>
      <c r="AH392" s="10"/>
      <c r="AI392" s="10" t="s">
        <v>145</v>
      </c>
      <c r="AJ392" s="10"/>
    </row>
    <row r="393" spans="1:36">
      <c r="A393" s="137"/>
      <c r="B393" s="47"/>
      <c r="C393" s="47"/>
      <c r="D393" s="47"/>
      <c r="E393" s="7"/>
      <c r="F393" s="7"/>
      <c r="G393" s="7"/>
      <c r="H393" s="7"/>
      <c r="I393" s="7"/>
      <c r="J393" s="7">
        <f>+I393-'ROR-Model'!I393</f>
        <v>0</v>
      </c>
      <c r="K393" s="7"/>
      <c r="L393" s="7"/>
      <c r="M393" s="7"/>
      <c r="N393" s="7"/>
      <c r="O393" s="120"/>
      <c r="P393" s="192"/>
      <c r="Q393" s="7"/>
      <c r="R393" s="7"/>
      <c r="S393" s="126"/>
      <c r="T393" s="7"/>
      <c r="U393" s="7"/>
      <c r="V393" s="124"/>
      <c r="W393" s="7"/>
      <c r="X393" s="139"/>
      <c r="Y393" s="3">
        <f t="shared" si="20"/>
        <v>384</v>
      </c>
      <c r="AA393" s="7"/>
      <c r="AC393" s="7" t="str">
        <f t="shared" si="21"/>
        <v/>
      </c>
      <c r="AE393" s="42" t="str">
        <f t="shared" si="22"/>
        <v/>
      </c>
      <c r="AG393" s="162"/>
      <c r="AH393" s="10"/>
      <c r="AI393" s="10"/>
      <c r="AJ393" s="10"/>
    </row>
    <row r="394" spans="1:36">
      <c r="A394" s="137">
        <v>4861</v>
      </c>
      <c r="B394" s="47" t="s">
        <v>280</v>
      </c>
      <c r="C394" s="47"/>
      <c r="D394" s="47"/>
      <c r="E394" s="7"/>
      <c r="F394" s="7"/>
      <c r="G394" s="7"/>
      <c r="H394" s="7"/>
      <c r="I394" s="7"/>
      <c r="J394" s="7">
        <f>+I394-'ROR-Model'!I394</f>
        <v>0</v>
      </c>
      <c r="K394" s="7"/>
      <c r="L394" s="7"/>
      <c r="M394" s="7"/>
      <c r="N394" s="7"/>
      <c r="O394" s="120"/>
      <c r="P394" s="192"/>
      <c r="Q394" s="7"/>
      <c r="R394" s="7"/>
      <c r="S394" s="126"/>
      <c r="T394" s="7"/>
      <c r="U394" s="7"/>
      <c r="V394" s="124"/>
      <c r="W394" s="7"/>
      <c r="X394" s="139"/>
      <c r="Y394" s="3">
        <f t="shared" si="20"/>
        <v>385</v>
      </c>
      <c r="AA394" s="7"/>
      <c r="AC394" s="7" t="str">
        <f t="shared" si="21"/>
        <v/>
      </c>
      <c r="AE394" s="42" t="str">
        <f t="shared" si="22"/>
        <v/>
      </c>
      <c r="AG394" s="162">
        <v>4861</v>
      </c>
      <c r="AH394" s="10" t="s">
        <v>280</v>
      </c>
      <c r="AI394" s="10"/>
      <c r="AJ394" s="10"/>
    </row>
    <row r="395" spans="1:36">
      <c r="A395" s="137"/>
      <c r="B395" s="47"/>
      <c r="C395" s="47" t="s">
        <v>12</v>
      </c>
      <c r="D395" s="47"/>
      <c r="E395" s="301" t="s">
        <v>510</v>
      </c>
      <c r="F395" s="301">
        <f>'Other Rev'!$H$30</f>
        <v>0</v>
      </c>
      <c r="G395" s="7">
        <f>+Adjustments!V395</f>
        <v>0</v>
      </c>
      <c r="H395" s="7"/>
      <c r="I395" s="7">
        <f>SUM($F$395:$H$395)</f>
        <v>0</v>
      </c>
      <c r="J395" s="7">
        <f>+I395-'ROR-Model'!I395</f>
        <v>0</v>
      </c>
      <c r="K395" s="7"/>
      <c r="L395" s="7" t="s">
        <v>12</v>
      </c>
      <c r="M395" s="7">
        <f>VLOOKUP($L395,$L$2:$N$7,2,FALSE)*I395</f>
        <v>0</v>
      </c>
      <c r="N395" s="7">
        <f>VLOOKUP($L395,$L$2:$N$7,3,FALSE)*I395</f>
        <v>0</v>
      </c>
      <c r="O395" s="120"/>
      <c r="P395" s="192" t="s">
        <v>510</v>
      </c>
      <c r="Q395" s="7">
        <f>IF(P395="G",M395,IF(P395="PT",0,ERR))</f>
        <v>0</v>
      </c>
      <c r="R395" s="7">
        <f>IF(P395="PT",M395,IF(P395="G",0,ERR))</f>
        <v>0</v>
      </c>
      <c r="S395" s="126" t="s">
        <v>510</v>
      </c>
      <c r="T395" s="7">
        <f>IF(S395="G",N395,IF(S395="PT",0,ERR))</f>
        <v>0</v>
      </c>
      <c r="U395" s="7">
        <f>IF(S395="PT",N395,IF(S395="G",0,ERR))</f>
        <v>0</v>
      </c>
      <c r="V395" s="124"/>
      <c r="W395" s="7">
        <f>HLOOKUP($W$9,'ROR-Model'!$Q$10:$U$1273,Y395)</f>
        <v>0</v>
      </c>
      <c r="X395" s="139"/>
      <c r="Y395" s="3">
        <f t="shared" si="20"/>
        <v>386</v>
      </c>
      <c r="AA395" s="7">
        <v>0</v>
      </c>
      <c r="AC395" s="7" t="str">
        <f t="shared" si="21"/>
        <v/>
      </c>
      <c r="AE395" s="42" t="str">
        <f t="shared" si="22"/>
        <v/>
      </c>
      <c r="AG395" s="162"/>
      <c r="AH395" s="10"/>
      <c r="AI395" s="10" t="s">
        <v>12</v>
      </c>
      <c r="AJ395" s="10"/>
    </row>
    <row r="396" spans="1:36">
      <c r="A396" s="137"/>
      <c r="B396" s="47"/>
      <c r="C396" s="47" t="s">
        <v>23</v>
      </c>
      <c r="D396" s="47"/>
      <c r="E396" s="301" t="s">
        <v>510</v>
      </c>
      <c r="F396" s="301">
        <f>'Other Rev'!$H$31</f>
        <v>0</v>
      </c>
      <c r="G396" s="7">
        <f>+Adjustments!V396</f>
        <v>0</v>
      </c>
      <c r="H396" s="7"/>
      <c r="I396" s="7">
        <f>SUM($F$396:$H$396)</f>
        <v>0</v>
      </c>
      <c r="J396" s="7">
        <f>+I396-'ROR-Model'!I396</f>
        <v>0</v>
      </c>
      <c r="K396" s="7"/>
      <c r="L396" s="7" t="s">
        <v>23</v>
      </c>
      <c r="M396" s="7">
        <f>VLOOKUP($L396,$L$2:$N$7,2,FALSE)*I396</f>
        <v>0</v>
      </c>
      <c r="N396" s="7">
        <f>VLOOKUP($L396,$L$2:$N$7,3,FALSE)*I396</f>
        <v>0</v>
      </c>
      <c r="O396" s="120"/>
      <c r="P396" s="192" t="s">
        <v>510</v>
      </c>
      <c r="Q396" s="7">
        <f>IF(P396="G",M396,IF(P396="PT",0,ERR))</f>
        <v>0</v>
      </c>
      <c r="R396" s="7">
        <f>IF(P396="PT",M396,IF(P396="G",0,ERR))</f>
        <v>0</v>
      </c>
      <c r="S396" s="126" t="s">
        <v>510</v>
      </c>
      <c r="T396" s="7">
        <f>IF(S396="G",N396,IF(S396="PT",0,ERR))</f>
        <v>0</v>
      </c>
      <c r="U396" s="7">
        <f>IF(S396="PT",N396,IF(S396="G",0,ERR))</f>
        <v>0</v>
      </c>
      <c r="V396" s="124"/>
      <c r="W396" s="7">
        <f>HLOOKUP($W$9,'ROR-Model'!$Q$10:$U$1273,Y396)</f>
        <v>0</v>
      </c>
      <c r="X396" s="139"/>
      <c r="Y396" s="3">
        <f t="shared" si="20"/>
        <v>387</v>
      </c>
      <c r="AA396" s="7">
        <v>0</v>
      </c>
      <c r="AC396" s="7" t="str">
        <f t="shared" si="21"/>
        <v/>
      </c>
      <c r="AE396" s="42" t="str">
        <f t="shared" si="22"/>
        <v/>
      </c>
      <c r="AG396" s="162"/>
      <c r="AH396" s="10"/>
      <c r="AI396" s="10" t="s">
        <v>23</v>
      </c>
      <c r="AJ396" s="10"/>
    </row>
    <row r="397" spans="1:36">
      <c r="A397" s="137"/>
      <c r="B397" s="47"/>
      <c r="C397" s="47" t="s">
        <v>145</v>
      </c>
      <c r="D397" s="47"/>
      <c r="E397" s="140"/>
      <c r="F397" s="140">
        <f>SUM(F395:F396)</f>
        <v>0</v>
      </c>
      <c r="G397" s="140">
        <f>SUM(G395:G396)</f>
        <v>0</v>
      </c>
      <c r="H397" s="140">
        <f>SUM(H395:H396)</f>
        <v>0</v>
      </c>
      <c r="I397" s="140">
        <f>SUM(I395:I396)</f>
        <v>0</v>
      </c>
      <c r="J397" s="7">
        <f>+I397-'ROR-Model'!I397</f>
        <v>0</v>
      </c>
      <c r="K397" s="7"/>
      <c r="L397" s="140"/>
      <c r="M397" s="140">
        <f>SUM(M395:M396)</f>
        <v>0</v>
      </c>
      <c r="N397" s="140">
        <f>SUM(N395:N396)</f>
        <v>0</v>
      </c>
      <c r="O397" s="120"/>
      <c r="P397" s="192"/>
      <c r="Q397" s="140">
        <f>SUM(Q395:Q396)</f>
        <v>0</v>
      </c>
      <c r="R397" s="140">
        <f>SUM(R395:R396)</f>
        <v>0</v>
      </c>
      <c r="S397" s="201"/>
      <c r="T397" s="140">
        <f>SUM(T395:T396)</f>
        <v>0</v>
      </c>
      <c r="U397" s="140">
        <f>SUM(U395:U396)</f>
        <v>0</v>
      </c>
      <c r="V397" s="124"/>
      <c r="W397" s="140">
        <f>HLOOKUP($W$9,'ROR-Model'!$Q$10:$U$1273,Y397)</f>
        <v>0</v>
      </c>
      <c r="X397" s="139"/>
      <c r="Y397" s="3">
        <f t="shared" si="20"/>
        <v>388</v>
      </c>
      <c r="AA397" s="140">
        <v>0</v>
      </c>
      <c r="AC397" s="140" t="str">
        <f t="shared" si="21"/>
        <v/>
      </c>
      <c r="AE397" s="42" t="str">
        <f t="shared" si="22"/>
        <v/>
      </c>
      <c r="AG397" s="162"/>
      <c r="AH397" s="10"/>
      <c r="AI397" s="10" t="s">
        <v>145</v>
      </c>
      <c r="AJ397" s="10"/>
    </row>
    <row r="398" spans="1:36">
      <c r="A398" s="137"/>
      <c r="B398" s="47"/>
      <c r="C398" s="47"/>
      <c r="D398" s="47"/>
      <c r="E398" s="7"/>
      <c r="F398" s="7"/>
      <c r="G398" s="7"/>
      <c r="H398" s="7"/>
      <c r="I398" s="7"/>
      <c r="J398" s="7">
        <f>+I398-'ROR-Model'!I398</f>
        <v>0</v>
      </c>
      <c r="K398" s="7"/>
      <c r="L398" s="7"/>
      <c r="M398" s="7"/>
      <c r="N398" s="7"/>
      <c r="O398" s="120"/>
      <c r="P398" s="192"/>
      <c r="Q398" s="7"/>
      <c r="R398" s="7"/>
      <c r="S398" s="126"/>
      <c r="T398" s="7"/>
      <c r="U398" s="7"/>
      <c r="V398" s="124"/>
      <c r="W398" s="7"/>
      <c r="X398" s="139"/>
      <c r="Y398" s="3">
        <f t="shared" ref="Y398:Y461" si="27">Y397+1</f>
        <v>389</v>
      </c>
      <c r="AA398" s="7"/>
      <c r="AC398" s="7" t="str">
        <f t="shared" si="21"/>
        <v/>
      </c>
      <c r="AE398" s="42" t="str">
        <f t="shared" si="22"/>
        <v/>
      </c>
      <c r="AG398" s="162"/>
      <c r="AH398" s="10"/>
      <c r="AI398" s="10"/>
      <c r="AJ398" s="10"/>
    </row>
    <row r="399" spans="1:36">
      <c r="A399" s="137">
        <v>4862</v>
      </c>
      <c r="B399" s="47" t="s">
        <v>281</v>
      </c>
      <c r="C399" s="47"/>
      <c r="D399" s="47"/>
      <c r="E399" s="7"/>
      <c r="F399" s="7"/>
      <c r="G399" s="7"/>
      <c r="H399" s="7"/>
      <c r="I399" s="7"/>
      <c r="J399" s="7">
        <f>+I399-'ROR-Model'!I399</f>
        <v>0</v>
      </c>
      <c r="K399" s="7"/>
      <c r="L399" s="7"/>
      <c r="M399" s="7"/>
      <c r="N399" s="7"/>
      <c r="O399" s="120"/>
      <c r="P399" s="192"/>
      <c r="Q399" s="7"/>
      <c r="R399" s="7"/>
      <c r="S399" s="126"/>
      <c r="T399" s="7"/>
      <c r="U399" s="7"/>
      <c r="V399" s="124"/>
      <c r="W399" s="7"/>
      <c r="X399" s="139"/>
      <c r="Y399" s="3">
        <f t="shared" si="27"/>
        <v>390</v>
      </c>
      <c r="AA399" s="7"/>
      <c r="AC399" s="7" t="str">
        <f t="shared" si="21"/>
        <v/>
      </c>
      <c r="AE399" s="42" t="str">
        <f t="shared" si="22"/>
        <v/>
      </c>
      <c r="AG399" s="162">
        <v>4862</v>
      </c>
      <c r="AH399" s="10" t="s">
        <v>281</v>
      </c>
      <c r="AI399" s="10"/>
      <c r="AJ399" s="10"/>
    </row>
    <row r="400" spans="1:36">
      <c r="A400" s="137"/>
      <c r="B400" s="47"/>
      <c r="C400" s="47" t="s">
        <v>12</v>
      </c>
      <c r="D400" s="47"/>
      <c r="E400" s="301" t="s">
        <v>510</v>
      </c>
      <c r="F400" s="301">
        <f>'Other Rev'!$H$35</f>
        <v>0</v>
      </c>
      <c r="G400" s="7">
        <f>+Adjustments!V400</f>
        <v>0</v>
      </c>
      <c r="H400" s="7"/>
      <c r="I400" s="7">
        <f>SUM($F$400:$H$400)</f>
        <v>0</v>
      </c>
      <c r="J400" s="7">
        <f>+I400-'ROR-Model'!I400</f>
        <v>0</v>
      </c>
      <c r="K400" s="7"/>
      <c r="L400" s="7" t="s">
        <v>12</v>
      </c>
      <c r="M400" s="7">
        <f>VLOOKUP($L400,$L$2:$N$7,2,FALSE)*I400</f>
        <v>0</v>
      </c>
      <c r="N400" s="7">
        <f>VLOOKUP($L400,$L$2:$N$7,3,FALSE)*I400</f>
        <v>0</v>
      </c>
      <c r="O400" s="120"/>
      <c r="P400" s="192" t="s">
        <v>510</v>
      </c>
      <c r="Q400" s="7">
        <f>IF(P400="G",M400,IF(P400="PT",0,ERR))</f>
        <v>0</v>
      </c>
      <c r="R400" s="7">
        <f>IF(P400="PT",M400,IF(P400="G",0,ERR))</f>
        <v>0</v>
      </c>
      <c r="S400" s="126" t="s">
        <v>510</v>
      </c>
      <c r="T400" s="7">
        <f>IF(S400="G",N400,IF(S400="PT",0,ERR))</f>
        <v>0</v>
      </c>
      <c r="U400" s="7">
        <f>IF(S400="PT",N400,IF(S400="G",0,ERR))</f>
        <v>0</v>
      </c>
      <c r="V400" s="124"/>
      <c r="W400" s="7">
        <f>HLOOKUP($W$9,'ROR-Model'!$Q$10:$U$1273,Y400)</f>
        <v>0</v>
      </c>
      <c r="X400" s="139"/>
      <c r="Y400" s="3">
        <f t="shared" si="27"/>
        <v>391</v>
      </c>
      <c r="AA400" s="7">
        <v>0</v>
      </c>
      <c r="AC400" s="7" t="str">
        <f t="shared" si="21"/>
        <v/>
      </c>
      <c r="AE400" s="42" t="str">
        <f t="shared" si="22"/>
        <v/>
      </c>
      <c r="AG400" s="162"/>
      <c r="AH400" s="10"/>
      <c r="AI400" s="10" t="s">
        <v>12</v>
      </c>
      <c r="AJ400" s="10"/>
    </row>
    <row r="401" spans="1:36">
      <c r="A401" s="137"/>
      <c r="B401" s="47"/>
      <c r="C401" s="47" t="s">
        <v>23</v>
      </c>
      <c r="D401" s="47"/>
      <c r="E401" s="301" t="s">
        <v>510</v>
      </c>
      <c r="F401" s="301">
        <f>'Other Rev'!$H$36</f>
        <v>0</v>
      </c>
      <c r="G401" s="7">
        <f>+Adjustments!V401</f>
        <v>0</v>
      </c>
      <c r="H401" s="7"/>
      <c r="I401" s="7">
        <f>SUM($F$401:$H$401)</f>
        <v>0</v>
      </c>
      <c r="J401" s="7">
        <f>+I401-'ROR-Model'!I401</f>
        <v>0</v>
      </c>
      <c r="K401" s="7"/>
      <c r="L401" s="7" t="s">
        <v>23</v>
      </c>
      <c r="M401" s="7">
        <f>VLOOKUP($L401,$L$2:$N$7,2,FALSE)*I401</f>
        <v>0</v>
      </c>
      <c r="N401" s="7">
        <f>VLOOKUP($L401,$L$2:$N$7,3,FALSE)*I401</f>
        <v>0</v>
      </c>
      <c r="O401" s="120"/>
      <c r="P401" s="192" t="s">
        <v>510</v>
      </c>
      <c r="Q401" s="7">
        <f>IF(P401="G",M401,IF(P401="PT",0,ERR))</f>
        <v>0</v>
      </c>
      <c r="R401" s="7">
        <f>IF(P401="PT",M401,IF(P401="G",0,ERR))</f>
        <v>0</v>
      </c>
      <c r="S401" s="126" t="s">
        <v>510</v>
      </c>
      <c r="T401" s="7">
        <f>IF(S401="G",N401,IF(S401="PT",0,ERR))</f>
        <v>0</v>
      </c>
      <c r="U401" s="7">
        <f>IF(S401="PT",N401,IF(S401="G",0,ERR))</f>
        <v>0</v>
      </c>
      <c r="V401" s="124"/>
      <c r="W401" s="7">
        <f>HLOOKUP($W$9,'ROR-Model'!$Q$10:$U$1273,Y401)</f>
        <v>0</v>
      </c>
      <c r="X401" s="139"/>
      <c r="Y401" s="3">
        <f t="shared" si="27"/>
        <v>392</v>
      </c>
      <c r="AA401" s="7">
        <v>0</v>
      </c>
      <c r="AC401" s="7" t="str">
        <f t="shared" ref="AC401:AC464" si="28">IF(ABS(AA401)&gt;0,W401-AA401,"")</f>
        <v/>
      </c>
      <c r="AE401" s="42" t="str">
        <f t="shared" si="22"/>
        <v/>
      </c>
      <c r="AG401" s="162"/>
      <c r="AH401" s="10"/>
      <c r="AI401" s="10" t="s">
        <v>23</v>
      </c>
      <c r="AJ401" s="10"/>
    </row>
    <row r="402" spans="1:36">
      <c r="A402" s="137"/>
      <c r="B402" s="47"/>
      <c r="C402" s="47" t="s">
        <v>145</v>
      </c>
      <c r="D402" s="47"/>
      <c r="E402" s="140"/>
      <c r="F402" s="140">
        <f>SUM(F400:F401)</f>
        <v>0</v>
      </c>
      <c r="G402" s="140">
        <f>SUM(G400:G401)</f>
        <v>0</v>
      </c>
      <c r="H402" s="140">
        <f>SUM(H400:H401)</f>
        <v>0</v>
      </c>
      <c r="I402" s="140">
        <f>SUM(I400:I401)</f>
        <v>0</v>
      </c>
      <c r="J402" s="7">
        <f>+I402-'ROR-Model'!I402</f>
        <v>0</v>
      </c>
      <c r="K402" s="7"/>
      <c r="L402" s="140"/>
      <c r="M402" s="140">
        <f>SUM(M400:M401)</f>
        <v>0</v>
      </c>
      <c r="N402" s="140">
        <f>SUM(N400:N401)</f>
        <v>0</v>
      </c>
      <c r="O402" s="120"/>
      <c r="P402" s="192"/>
      <c r="Q402" s="140">
        <f>SUM(Q400:Q401)</f>
        <v>0</v>
      </c>
      <c r="R402" s="140">
        <f>SUM(R400:R401)</f>
        <v>0</v>
      </c>
      <c r="S402" s="201"/>
      <c r="T402" s="140">
        <f>SUM(T400:T401)</f>
        <v>0</v>
      </c>
      <c r="U402" s="140">
        <f>SUM(U400:U401)</f>
        <v>0</v>
      </c>
      <c r="V402" s="124"/>
      <c r="W402" s="140">
        <f>HLOOKUP($W$9,'ROR-Model'!$Q$10:$U$1273,Y402)</f>
        <v>0</v>
      </c>
      <c r="X402" s="139"/>
      <c r="Y402" s="3">
        <f t="shared" si="27"/>
        <v>393</v>
      </c>
      <c r="AA402" s="140">
        <v>0</v>
      </c>
      <c r="AC402" s="140" t="str">
        <f t="shared" si="28"/>
        <v/>
      </c>
      <c r="AE402" s="42" t="str">
        <f t="shared" ref="AE402:AE465" si="29">IF(ABS(AA402)&gt;0,AC402/AA402,"")</f>
        <v/>
      </c>
      <c r="AG402" s="162"/>
      <c r="AH402" s="10"/>
      <c r="AI402" s="10" t="s">
        <v>145</v>
      </c>
      <c r="AJ402" s="10"/>
    </row>
    <row r="403" spans="1:36">
      <c r="A403" s="137"/>
      <c r="B403" s="47"/>
      <c r="C403" s="47"/>
      <c r="D403" s="47"/>
      <c r="E403" s="7"/>
      <c r="F403" s="7"/>
      <c r="G403" s="7"/>
      <c r="H403" s="7"/>
      <c r="I403" s="7"/>
      <c r="J403" s="7">
        <f>+I403-'ROR-Model'!I403</f>
        <v>0</v>
      </c>
      <c r="K403" s="7"/>
      <c r="L403" s="7"/>
      <c r="M403" s="7"/>
      <c r="N403" s="7"/>
      <c r="O403" s="120"/>
      <c r="P403" s="192"/>
      <c r="Q403" s="7"/>
      <c r="R403" s="7"/>
      <c r="S403" s="126"/>
      <c r="T403" s="7"/>
      <c r="U403" s="7"/>
      <c r="V403" s="124"/>
      <c r="W403" s="7"/>
      <c r="X403" s="139"/>
      <c r="Y403" s="3">
        <f t="shared" si="27"/>
        <v>394</v>
      </c>
      <c r="AA403" s="7"/>
      <c r="AC403" s="7" t="str">
        <f t="shared" si="28"/>
        <v/>
      </c>
      <c r="AE403" s="42" t="str">
        <f t="shared" si="29"/>
        <v/>
      </c>
      <c r="AG403" s="162"/>
      <c r="AH403" s="10"/>
      <c r="AI403" s="10"/>
      <c r="AJ403" s="10"/>
    </row>
    <row r="404" spans="1:36">
      <c r="A404" s="173" t="s">
        <v>369</v>
      </c>
      <c r="B404" s="49" t="s">
        <v>282</v>
      </c>
      <c r="C404" s="49"/>
      <c r="D404" s="49"/>
      <c r="E404" s="7"/>
      <c r="F404" s="7"/>
      <c r="G404" s="7"/>
      <c r="H404" s="7"/>
      <c r="I404" s="7"/>
      <c r="J404" s="7">
        <f>+I404-'ROR-Model'!I404</f>
        <v>0</v>
      </c>
      <c r="K404" s="7"/>
      <c r="L404" s="7"/>
      <c r="M404" s="7"/>
      <c r="N404" s="7"/>
      <c r="O404" s="120"/>
      <c r="P404" s="192"/>
      <c r="Q404" s="7"/>
      <c r="R404" s="7"/>
      <c r="S404" s="126"/>
      <c r="T404" s="7"/>
      <c r="U404" s="7"/>
      <c r="V404" s="124"/>
      <c r="W404" s="7"/>
      <c r="X404" s="139"/>
      <c r="Y404" s="3">
        <f t="shared" si="27"/>
        <v>395</v>
      </c>
      <c r="AA404" s="7"/>
      <c r="AC404" s="7" t="str">
        <f t="shared" si="28"/>
        <v/>
      </c>
      <c r="AE404" s="42" t="str">
        <f t="shared" si="29"/>
        <v/>
      </c>
      <c r="AG404" s="162" t="s">
        <v>369</v>
      </c>
      <c r="AH404" s="10" t="s">
        <v>282</v>
      </c>
      <c r="AI404" s="10"/>
      <c r="AJ404" s="10"/>
    </row>
    <row r="405" spans="1:36">
      <c r="A405" s="173"/>
      <c r="B405" s="49"/>
      <c r="C405" s="49" t="s">
        <v>12</v>
      </c>
      <c r="D405" s="49"/>
      <c r="E405" s="301" t="s">
        <v>510</v>
      </c>
      <c r="F405" s="301">
        <f>'Other Rev'!$H$40</f>
        <v>0</v>
      </c>
      <c r="G405" s="7">
        <f>+Adjustments!V405</f>
        <v>0</v>
      </c>
      <c r="H405" s="7"/>
      <c r="I405" s="7">
        <f>SUM($F$405:$H$405)</f>
        <v>0</v>
      </c>
      <c r="J405" s="7">
        <f>+I405-'ROR-Model'!I405</f>
        <v>0</v>
      </c>
      <c r="K405" s="7"/>
      <c r="L405" s="7" t="s">
        <v>12</v>
      </c>
      <c r="M405" s="7">
        <f>VLOOKUP($L405,$L$2:$N$7,2,FALSE)*I405</f>
        <v>0</v>
      </c>
      <c r="N405" s="7">
        <f>VLOOKUP($L405,$L$2:$N$7,3,FALSE)*I405</f>
        <v>0</v>
      </c>
      <c r="O405" s="120"/>
      <c r="P405" s="192" t="s">
        <v>510</v>
      </c>
      <c r="Q405" s="7">
        <f>IF(P405="G",M405,IF(P405="PT",0,ERR))</f>
        <v>0</v>
      </c>
      <c r="R405" s="7">
        <f>IF(P405="PT",M405,IF(P405="G",0,ERR))</f>
        <v>0</v>
      </c>
      <c r="S405" s="126" t="s">
        <v>510</v>
      </c>
      <c r="T405" s="7">
        <f>IF(S405="G",N405,IF(S405="PT",0,ERR))</f>
        <v>0</v>
      </c>
      <c r="U405" s="7">
        <f>IF(S405="PT",N405,IF(S405="G",0,ERR))</f>
        <v>0</v>
      </c>
      <c r="V405" s="124"/>
      <c r="W405" s="7">
        <f>HLOOKUP($W$9,'ROR-Model'!$Q$10:$U$1273,Y405)</f>
        <v>0</v>
      </c>
      <c r="X405" s="139"/>
      <c r="Y405" s="3">
        <f t="shared" si="27"/>
        <v>396</v>
      </c>
      <c r="AA405" s="7">
        <v>0</v>
      </c>
      <c r="AC405" s="7" t="str">
        <f t="shared" si="28"/>
        <v/>
      </c>
      <c r="AE405" s="42" t="str">
        <f t="shared" si="29"/>
        <v/>
      </c>
      <c r="AG405" s="162"/>
      <c r="AH405" s="10"/>
      <c r="AI405" s="10" t="s">
        <v>12</v>
      </c>
      <c r="AJ405" s="10"/>
    </row>
    <row r="406" spans="1:36">
      <c r="A406" s="173"/>
      <c r="B406" s="49"/>
      <c r="C406" s="49" t="s">
        <v>23</v>
      </c>
      <c r="D406" s="49"/>
      <c r="E406" s="301" t="s">
        <v>510</v>
      </c>
      <c r="F406" s="301">
        <f>'Other Rev'!$H$41</f>
        <v>0</v>
      </c>
      <c r="G406" s="7">
        <f>+Adjustments!V406</f>
        <v>0</v>
      </c>
      <c r="H406" s="7"/>
      <c r="I406" s="7">
        <f>SUM($F$406:$H$406)</f>
        <v>0</v>
      </c>
      <c r="J406" s="7">
        <f>+I406-'ROR-Model'!I406</f>
        <v>0</v>
      </c>
      <c r="K406" s="7"/>
      <c r="L406" s="7" t="s">
        <v>23</v>
      </c>
      <c r="M406" s="7">
        <f>VLOOKUP($L406,$L$2:$N$7,2,FALSE)*I406</f>
        <v>0</v>
      </c>
      <c r="N406" s="7">
        <f>VLOOKUP($L406,$L$2:$N$7,3,FALSE)*I406</f>
        <v>0</v>
      </c>
      <c r="O406" s="120"/>
      <c r="P406" s="192" t="s">
        <v>510</v>
      </c>
      <c r="Q406" s="7">
        <f>IF(P406="G",M406,IF(P406="PT",0,ERR))</f>
        <v>0</v>
      </c>
      <c r="R406" s="7">
        <f>IF(P406="PT",M406,IF(P406="G",0,ERR))</f>
        <v>0</v>
      </c>
      <c r="S406" s="126" t="s">
        <v>510</v>
      </c>
      <c r="T406" s="7">
        <f>IF(S406="G",N406,IF(S406="PT",0,ERR))</f>
        <v>0</v>
      </c>
      <c r="U406" s="7">
        <f>IF(S406="PT",N406,IF(S406="G",0,ERR))</f>
        <v>0</v>
      </c>
      <c r="V406" s="124"/>
      <c r="W406" s="7">
        <f>HLOOKUP($W$9,'ROR-Model'!$Q$10:$U$1273,Y406)</f>
        <v>0</v>
      </c>
      <c r="X406" s="139"/>
      <c r="Y406" s="3">
        <f t="shared" si="27"/>
        <v>397</v>
      </c>
      <c r="AA406" s="7">
        <v>0</v>
      </c>
      <c r="AC406" s="7" t="str">
        <f t="shared" si="28"/>
        <v/>
      </c>
      <c r="AE406" s="42" t="str">
        <f t="shared" si="29"/>
        <v/>
      </c>
      <c r="AG406" s="162"/>
      <c r="AH406" s="10"/>
      <c r="AI406" s="10" t="s">
        <v>23</v>
      </c>
      <c r="AJ406" s="10"/>
    </row>
    <row r="407" spans="1:36">
      <c r="A407" s="173"/>
      <c r="B407" s="49"/>
      <c r="C407" s="49" t="s">
        <v>145</v>
      </c>
      <c r="D407" s="49"/>
      <c r="E407" s="140"/>
      <c r="F407" s="140">
        <f>SUM(F405:F406)</f>
        <v>0</v>
      </c>
      <c r="G407" s="140">
        <f>SUM(G405:G406)</f>
        <v>0</v>
      </c>
      <c r="H407" s="140">
        <f>SUM(H405:H406)</f>
        <v>0</v>
      </c>
      <c r="I407" s="140">
        <f>SUM(I405:I406)</f>
        <v>0</v>
      </c>
      <c r="J407" s="7">
        <f>+I407-'ROR-Model'!I407</f>
        <v>0</v>
      </c>
      <c r="K407" s="7"/>
      <c r="L407" s="140"/>
      <c r="M407" s="140">
        <f>SUM(M405:M406)</f>
        <v>0</v>
      </c>
      <c r="N407" s="140">
        <f>SUM(N405:N406)</f>
        <v>0</v>
      </c>
      <c r="O407" s="120"/>
      <c r="P407" s="192"/>
      <c r="Q407" s="140">
        <f>SUM(Q405:Q406)</f>
        <v>0</v>
      </c>
      <c r="R407" s="140">
        <f>SUM(R405:R406)</f>
        <v>0</v>
      </c>
      <c r="S407" s="201"/>
      <c r="T407" s="140">
        <f>SUM(T405:T406)</f>
        <v>0</v>
      </c>
      <c r="U407" s="140">
        <f>SUM(U405:U406)</f>
        <v>0</v>
      </c>
      <c r="V407" s="124"/>
      <c r="W407" s="140">
        <f>HLOOKUP($W$9,'ROR-Model'!$Q$10:$U$1273,Y407)</f>
        <v>0</v>
      </c>
      <c r="X407" s="139"/>
      <c r="Y407" s="3">
        <f t="shared" si="27"/>
        <v>398</v>
      </c>
      <c r="AA407" s="140">
        <v>0</v>
      </c>
      <c r="AC407" s="140" t="str">
        <f t="shared" si="28"/>
        <v/>
      </c>
      <c r="AE407" s="42" t="str">
        <f t="shared" si="29"/>
        <v/>
      </c>
      <c r="AG407" s="162"/>
      <c r="AH407" s="10"/>
      <c r="AI407" s="10" t="s">
        <v>145</v>
      </c>
      <c r="AJ407" s="10"/>
    </row>
    <row r="408" spans="1:36">
      <c r="A408" s="173"/>
      <c r="B408" s="49"/>
      <c r="C408" s="49"/>
      <c r="D408" s="49"/>
      <c r="E408" s="7"/>
      <c r="F408" s="7"/>
      <c r="G408" s="7"/>
      <c r="H408" s="7"/>
      <c r="I408" s="7"/>
      <c r="J408" s="7">
        <f>+I408-'ROR-Model'!I408</f>
        <v>0</v>
      </c>
      <c r="K408" s="7"/>
      <c r="L408" s="7"/>
      <c r="M408" s="7"/>
      <c r="N408" s="7"/>
      <c r="O408" s="120"/>
      <c r="P408" s="192"/>
      <c r="Q408" s="7"/>
      <c r="R408" s="7"/>
      <c r="S408" s="126"/>
      <c r="T408" s="7"/>
      <c r="U408" s="7"/>
      <c r="V408" s="124"/>
      <c r="W408" s="7"/>
      <c r="X408" s="139"/>
      <c r="Y408" s="3">
        <f t="shared" si="27"/>
        <v>399</v>
      </c>
      <c r="AA408" s="7"/>
      <c r="AC408" s="7" t="str">
        <f t="shared" si="28"/>
        <v/>
      </c>
      <c r="AE408" s="42" t="str">
        <f t="shared" si="29"/>
        <v/>
      </c>
      <c r="AG408" s="162"/>
      <c r="AH408" s="10"/>
      <c r="AI408" s="10"/>
      <c r="AJ408" s="10"/>
    </row>
    <row r="409" spans="1:36">
      <c r="A409" s="173" t="s">
        <v>370</v>
      </c>
      <c r="B409" s="49" t="s">
        <v>283</v>
      </c>
      <c r="C409" s="49"/>
      <c r="D409" s="49"/>
      <c r="E409" s="7"/>
      <c r="F409" s="7"/>
      <c r="G409" s="7"/>
      <c r="H409" s="7"/>
      <c r="I409" s="7"/>
      <c r="J409" s="7">
        <f>+I409-'ROR-Model'!I409</f>
        <v>0</v>
      </c>
      <c r="K409" s="7"/>
      <c r="L409" s="7"/>
      <c r="M409" s="7"/>
      <c r="N409" s="7"/>
      <c r="O409" s="120"/>
      <c r="P409" s="192"/>
      <c r="Q409" s="7"/>
      <c r="R409" s="7"/>
      <c r="S409" s="126"/>
      <c r="T409" s="7"/>
      <c r="U409" s="7"/>
      <c r="V409" s="124"/>
      <c r="W409" s="7"/>
      <c r="X409" s="139"/>
      <c r="Y409" s="3">
        <f t="shared" si="27"/>
        <v>400</v>
      </c>
      <c r="AA409" s="7"/>
      <c r="AC409" s="7" t="str">
        <f t="shared" si="28"/>
        <v/>
      </c>
      <c r="AE409" s="42" t="str">
        <f t="shared" si="29"/>
        <v/>
      </c>
      <c r="AG409" s="162" t="s">
        <v>370</v>
      </c>
      <c r="AH409" s="10" t="s">
        <v>283</v>
      </c>
      <c r="AI409" s="10"/>
      <c r="AJ409" s="10"/>
    </row>
    <row r="410" spans="1:36">
      <c r="A410" s="173"/>
      <c r="B410" s="49"/>
      <c r="C410" s="49" t="s">
        <v>12</v>
      </c>
      <c r="D410" s="49"/>
      <c r="E410" s="301" t="s">
        <v>510</v>
      </c>
      <c r="F410" s="301">
        <f>'Other Rev'!$H$45</f>
        <v>0</v>
      </c>
      <c r="G410" s="7">
        <f>+Adjustments!V410</f>
        <v>0</v>
      </c>
      <c r="H410" s="7"/>
      <c r="I410" s="7">
        <f>SUM($F$410:$H$410)</f>
        <v>0</v>
      </c>
      <c r="J410" s="7">
        <f>+I410-'ROR-Model'!I410</f>
        <v>0</v>
      </c>
      <c r="K410" s="7"/>
      <c r="L410" s="7" t="s">
        <v>12</v>
      </c>
      <c r="M410" s="7">
        <f>VLOOKUP($L410,$L$2:$N$7,2,FALSE)*I410</f>
        <v>0</v>
      </c>
      <c r="N410" s="7">
        <f>VLOOKUP($L410,$L$2:$N$7,3,FALSE)*I410</f>
        <v>0</v>
      </c>
      <c r="O410" s="120"/>
      <c r="P410" s="192" t="s">
        <v>510</v>
      </c>
      <c r="Q410" s="7">
        <f>IF(P410="G",M410,IF(P410="PT",0,ERR))</f>
        <v>0</v>
      </c>
      <c r="R410" s="7">
        <f>IF(P410="PT",M410,IF(P410="G",0,ERR))</f>
        <v>0</v>
      </c>
      <c r="S410" s="126" t="s">
        <v>510</v>
      </c>
      <c r="T410" s="7">
        <f>IF(S410="G",N410,IF(S410="PT",0,ERR))</f>
        <v>0</v>
      </c>
      <c r="U410" s="7">
        <f>IF(S410="PT",N410,IF(S410="G",0,ERR))</f>
        <v>0</v>
      </c>
      <c r="V410" s="124"/>
      <c r="W410" s="7">
        <f>HLOOKUP($W$9,'ROR-Model'!$Q$10:$U$1273,Y410)</f>
        <v>0</v>
      </c>
      <c r="X410" s="139"/>
      <c r="Y410" s="3">
        <f t="shared" si="27"/>
        <v>401</v>
      </c>
      <c r="AA410" s="7">
        <v>0</v>
      </c>
      <c r="AC410" s="7" t="str">
        <f t="shared" si="28"/>
        <v/>
      </c>
      <c r="AE410" s="42" t="str">
        <f t="shared" si="29"/>
        <v/>
      </c>
      <c r="AG410" s="162"/>
      <c r="AH410" s="10"/>
      <c r="AI410" s="10" t="s">
        <v>12</v>
      </c>
      <c r="AJ410" s="10"/>
    </row>
    <row r="411" spans="1:36">
      <c r="A411" s="173"/>
      <c r="B411" s="49"/>
      <c r="C411" s="49" t="s">
        <v>23</v>
      </c>
      <c r="D411" s="49"/>
      <c r="E411" s="301" t="s">
        <v>510</v>
      </c>
      <c r="F411" s="301">
        <f>'Other Rev'!$H$46</f>
        <v>0</v>
      </c>
      <c r="G411" s="7">
        <f>+Adjustments!V411</f>
        <v>0</v>
      </c>
      <c r="H411" s="7"/>
      <c r="I411" s="7">
        <f>SUM($F$411:$H$411)</f>
        <v>0</v>
      </c>
      <c r="J411" s="7">
        <f>+I411-'ROR-Model'!I411</f>
        <v>0</v>
      </c>
      <c r="K411" s="7"/>
      <c r="L411" s="7" t="s">
        <v>23</v>
      </c>
      <c r="M411" s="7">
        <f>VLOOKUP($L411,$L$2:$N$7,2,FALSE)*I411</f>
        <v>0</v>
      </c>
      <c r="N411" s="7">
        <f>VLOOKUP($L411,$L$2:$N$7,3,FALSE)*I411</f>
        <v>0</v>
      </c>
      <c r="O411" s="120"/>
      <c r="P411" s="192" t="s">
        <v>510</v>
      </c>
      <c r="Q411" s="7">
        <f>IF(P411="G",M411,IF(P411="PT",0,ERR))</f>
        <v>0</v>
      </c>
      <c r="R411" s="7">
        <f>IF(P411="PT",M411,IF(P411="G",0,ERR))</f>
        <v>0</v>
      </c>
      <c r="S411" s="126" t="s">
        <v>510</v>
      </c>
      <c r="T411" s="7">
        <f>IF(S411="G",N411,IF(S411="PT",0,ERR))</f>
        <v>0</v>
      </c>
      <c r="U411" s="7">
        <f>IF(S411="PT",N411,IF(S411="G",0,ERR))</f>
        <v>0</v>
      </c>
      <c r="V411" s="124"/>
      <c r="W411" s="7">
        <f>HLOOKUP($W$9,'ROR-Model'!$Q$10:$U$1273,Y411)</f>
        <v>0</v>
      </c>
      <c r="X411" s="139"/>
      <c r="Y411" s="3">
        <f t="shared" si="27"/>
        <v>402</v>
      </c>
      <c r="AA411" s="7">
        <v>0</v>
      </c>
      <c r="AC411" s="7" t="str">
        <f t="shared" si="28"/>
        <v/>
      </c>
      <c r="AE411" s="42" t="str">
        <f t="shared" si="29"/>
        <v/>
      </c>
      <c r="AG411" s="162"/>
      <c r="AH411" s="10"/>
      <c r="AI411" s="10" t="s">
        <v>23</v>
      </c>
      <c r="AJ411" s="10"/>
    </row>
    <row r="412" spans="1:36">
      <c r="A412" s="173"/>
      <c r="B412" s="49"/>
      <c r="C412" s="49" t="s">
        <v>145</v>
      </c>
      <c r="D412" s="49"/>
      <c r="E412" s="140"/>
      <c r="F412" s="140">
        <f>SUM(F410:F411)</f>
        <v>0</v>
      </c>
      <c r="G412" s="140">
        <f>SUM(G410:G411)</f>
        <v>0</v>
      </c>
      <c r="H412" s="140">
        <f>SUM(H410:H411)</f>
        <v>0</v>
      </c>
      <c r="I412" s="140">
        <f>SUM(I410:I411)</f>
        <v>0</v>
      </c>
      <c r="J412" s="7">
        <f>+I412-'ROR-Model'!I412</f>
        <v>0</v>
      </c>
      <c r="K412" s="7"/>
      <c r="L412" s="140"/>
      <c r="M412" s="140">
        <f>SUM(M410:M411)</f>
        <v>0</v>
      </c>
      <c r="N412" s="140">
        <f>SUM(N410:N411)</f>
        <v>0</v>
      </c>
      <c r="O412" s="120"/>
      <c r="P412" s="192"/>
      <c r="Q412" s="140">
        <f>SUM(Q410:Q411)</f>
        <v>0</v>
      </c>
      <c r="R412" s="140">
        <f>SUM(R410:R411)</f>
        <v>0</v>
      </c>
      <c r="S412" s="201"/>
      <c r="T412" s="140">
        <f>SUM(T410:T411)</f>
        <v>0</v>
      </c>
      <c r="U412" s="140">
        <f>SUM(U410:U411)</f>
        <v>0</v>
      </c>
      <c r="V412" s="124"/>
      <c r="W412" s="140">
        <f>HLOOKUP($W$9,'ROR-Model'!$Q$10:$U$1273,Y412)</f>
        <v>0</v>
      </c>
      <c r="X412" s="139"/>
      <c r="Y412" s="3">
        <f t="shared" si="27"/>
        <v>403</v>
      </c>
      <c r="AA412" s="140">
        <v>0</v>
      </c>
      <c r="AC412" s="140" t="str">
        <f t="shared" si="28"/>
        <v/>
      </c>
      <c r="AE412" s="42" t="str">
        <f t="shared" si="29"/>
        <v/>
      </c>
      <c r="AG412" s="162"/>
      <c r="AH412" s="10"/>
      <c r="AI412" s="10" t="s">
        <v>145</v>
      </c>
      <c r="AJ412" s="10"/>
    </row>
    <row r="413" spans="1:36">
      <c r="A413" s="173"/>
      <c r="B413" s="49"/>
      <c r="C413" s="49"/>
      <c r="D413" s="49"/>
      <c r="E413" s="7"/>
      <c r="F413" s="7"/>
      <c r="G413" s="7"/>
      <c r="H413" s="7"/>
      <c r="I413" s="7"/>
      <c r="J413" s="7">
        <f>+I413-'ROR-Model'!I413</f>
        <v>0</v>
      </c>
      <c r="K413" s="7"/>
      <c r="L413" s="7"/>
      <c r="M413" s="7"/>
      <c r="N413" s="7"/>
      <c r="O413" s="120"/>
      <c r="P413" s="192"/>
      <c r="Q413" s="7"/>
      <c r="R413" s="7"/>
      <c r="S413" s="126"/>
      <c r="T413" s="7"/>
      <c r="U413" s="7"/>
      <c r="V413" s="124"/>
      <c r="W413" s="7"/>
      <c r="X413" s="139"/>
      <c r="Y413" s="3">
        <f t="shared" si="27"/>
        <v>404</v>
      </c>
      <c r="AA413" s="7"/>
      <c r="AC413" s="7" t="str">
        <f t="shared" si="28"/>
        <v/>
      </c>
      <c r="AE413" s="42" t="str">
        <f t="shared" si="29"/>
        <v/>
      </c>
      <c r="AG413" s="162"/>
      <c r="AH413" s="10"/>
      <c r="AI413" s="10"/>
      <c r="AJ413" s="10"/>
    </row>
    <row r="414" spans="1:36">
      <c r="A414" s="173" t="s">
        <v>371</v>
      </c>
      <c r="B414" s="49" t="s">
        <v>284</v>
      </c>
      <c r="C414" s="49"/>
      <c r="D414" s="49"/>
      <c r="E414" s="7"/>
      <c r="F414" s="7"/>
      <c r="G414" s="7"/>
      <c r="H414" s="7"/>
      <c r="I414" s="7"/>
      <c r="J414" s="7">
        <f>+I414-'ROR-Model'!I414</f>
        <v>0</v>
      </c>
      <c r="K414" s="7"/>
      <c r="L414" s="7"/>
      <c r="M414" s="7"/>
      <c r="N414" s="7"/>
      <c r="O414" s="120"/>
      <c r="P414" s="192"/>
      <c r="Q414" s="7"/>
      <c r="R414" s="7"/>
      <c r="S414" s="126"/>
      <c r="T414" s="7"/>
      <c r="U414" s="7"/>
      <c r="V414" s="124"/>
      <c r="W414" s="7"/>
      <c r="X414" s="139"/>
      <c r="Y414" s="3">
        <f t="shared" si="27"/>
        <v>405</v>
      </c>
      <c r="AA414" s="7"/>
      <c r="AC414" s="7" t="str">
        <f t="shared" si="28"/>
        <v/>
      </c>
      <c r="AE414" s="42" t="str">
        <f t="shared" si="29"/>
        <v/>
      </c>
      <c r="AG414" s="162" t="s">
        <v>371</v>
      </c>
      <c r="AH414" s="10" t="s">
        <v>284</v>
      </c>
      <c r="AI414" s="10"/>
      <c r="AJ414" s="10"/>
    </row>
    <row r="415" spans="1:36">
      <c r="A415" s="173"/>
      <c r="B415" s="49"/>
      <c r="C415" s="49" t="s">
        <v>12</v>
      </c>
      <c r="D415" s="49"/>
      <c r="E415" s="301" t="s">
        <v>510</v>
      </c>
      <c r="F415" s="301">
        <f>'Other Rev'!$H$50</f>
        <v>0</v>
      </c>
      <c r="G415" s="7">
        <f>+Adjustments!V415</f>
        <v>0</v>
      </c>
      <c r="H415" s="7"/>
      <c r="I415" s="7">
        <f>SUM($F$415:$H$415)</f>
        <v>0</v>
      </c>
      <c r="J415" s="7">
        <f>+I415-'ROR-Model'!I415</f>
        <v>0</v>
      </c>
      <c r="K415" s="7"/>
      <c r="L415" s="7" t="s">
        <v>12</v>
      </c>
      <c r="M415" s="7">
        <f>VLOOKUP($L415,$L$2:$N$7,2,FALSE)*I415</f>
        <v>0</v>
      </c>
      <c r="N415" s="7">
        <f>VLOOKUP($L415,$L$2:$N$7,3,FALSE)*I415</f>
        <v>0</v>
      </c>
      <c r="O415" s="120"/>
      <c r="P415" s="192" t="s">
        <v>510</v>
      </c>
      <c r="Q415" s="7">
        <f>IF(P415="G",M415,IF(P415="PT",0,ERR))</f>
        <v>0</v>
      </c>
      <c r="R415" s="7">
        <f>IF(P415="PT",M415,IF(P415="G",0,ERR))</f>
        <v>0</v>
      </c>
      <c r="S415" s="126" t="s">
        <v>510</v>
      </c>
      <c r="T415" s="7">
        <f>IF(S415="G",N415,IF(S415="PT",0,ERR))</f>
        <v>0</v>
      </c>
      <c r="U415" s="7">
        <f>IF(S415="PT",N415,IF(S415="G",0,ERR))</f>
        <v>0</v>
      </c>
      <c r="V415" s="124"/>
      <c r="W415" s="7">
        <f>HLOOKUP($W$9,'ROR-Model'!$Q$10:$U$1273,Y415)</f>
        <v>0</v>
      </c>
      <c r="X415" s="139"/>
      <c r="Y415" s="3">
        <f t="shared" si="27"/>
        <v>406</v>
      </c>
      <c r="AA415" s="7">
        <v>0</v>
      </c>
      <c r="AC415" s="7" t="str">
        <f t="shared" si="28"/>
        <v/>
      </c>
      <c r="AE415" s="42" t="str">
        <f t="shared" si="29"/>
        <v/>
      </c>
      <c r="AG415" s="162"/>
      <c r="AH415" s="10"/>
      <c r="AI415" s="10" t="s">
        <v>12</v>
      </c>
      <c r="AJ415" s="10"/>
    </row>
    <row r="416" spans="1:36">
      <c r="A416" s="173"/>
      <c r="B416" s="49"/>
      <c r="C416" s="49" t="s">
        <v>23</v>
      </c>
      <c r="D416" s="49"/>
      <c r="E416" s="301" t="s">
        <v>510</v>
      </c>
      <c r="F416" s="301">
        <f>'Other Rev'!$H$51</f>
        <v>0</v>
      </c>
      <c r="G416" s="7">
        <f>+Adjustments!V416</f>
        <v>0</v>
      </c>
      <c r="H416" s="7"/>
      <c r="I416" s="7">
        <f>SUM($F$416:$H$416)</f>
        <v>0</v>
      </c>
      <c r="J416" s="7">
        <f>+I416-'ROR-Model'!I416</f>
        <v>0</v>
      </c>
      <c r="K416" s="7"/>
      <c r="L416" s="7" t="s">
        <v>23</v>
      </c>
      <c r="M416" s="7">
        <f>VLOOKUP($L416,$L$2:$N$7,2,FALSE)*I416</f>
        <v>0</v>
      </c>
      <c r="N416" s="7">
        <f>VLOOKUP($L416,$L$2:$N$7,3,FALSE)*I416</f>
        <v>0</v>
      </c>
      <c r="O416" s="120"/>
      <c r="P416" s="192" t="s">
        <v>510</v>
      </c>
      <c r="Q416" s="7">
        <f>IF(P416="G",M416,IF(P416="PT",0,ERR))</f>
        <v>0</v>
      </c>
      <c r="R416" s="7">
        <f>IF(P416="PT",M416,IF(P416="G",0,ERR))</f>
        <v>0</v>
      </c>
      <c r="S416" s="126" t="s">
        <v>510</v>
      </c>
      <c r="T416" s="7">
        <f>IF(S416="G",N416,IF(S416="PT",0,ERR))</f>
        <v>0</v>
      </c>
      <c r="U416" s="7">
        <f>IF(S416="PT",N416,IF(S416="G",0,ERR))</f>
        <v>0</v>
      </c>
      <c r="V416" s="124"/>
      <c r="W416" s="7">
        <f>HLOOKUP($W$9,'ROR-Model'!$Q$10:$U$1273,Y416)</f>
        <v>0</v>
      </c>
      <c r="X416" s="139"/>
      <c r="Y416" s="3">
        <f t="shared" si="27"/>
        <v>407</v>
      </c>
      <c r="AA416" s="7">
        <v>0</v>
      </c>
      <c r="AC416" s="7" t="str">
        <f t="shared" si="28"/>
        <v/>
      </c>
      <c r="AE416" s="42" t="str">
        <f t="shared" si="29"/>
        <v/>
      </c>
      <c r="AG416" s="162"/>
      <c r="AH416" s="10"/>
      <c r="AI416" s="10" t="s">
        <v>23</v>
      </c>
      <c r="AJ416" s="10"/>
    </row>
    <row r="417" spans="1:36">
      <c r="A417" s="173"/>
      <c r="B417" s="49"/>
      <c r="C417" s="49" t="s">
        <v>145</v>
      </c>
      <c r="D417" s="49"/>
      <c r="E417" s="140"/>
      <c r="F417" s="140">
        <f>SUM(F415:F416)</f>
        <v>0</v>
      </c>
      <c r="G417" s="140">
        <f>SUM(G415:G416)</f>
        <v>0</v>
      </c>
      <c r="H417" s="140">
        <f>SUM(H415:H416)</f>
        <v>0</v>
      </c>
      <c r="I417" s="140">
        <f>SUM(I415:I416)</f>
        <v>0</v>
      </c>
      <c r="J417" s="7">
        <f>+I417-'ROR-Model'!I417</f>
        <v>0</v>
      </c>
      <c r="K417" s="7"/>
      <c r="L417" s="140"/>
      <c r="M417" s="140">
        <f>SUM(M415:M416)</f>
        <v>0</v>
      </c>
      <c r="N417" s="140">
        <f>SUM(N415:N416)</f>
        <v>0</v>
      </c>
      <c r="O417" s="120"/>
      <c r="P417" s="192"/>
      <c r="Q417" s="140">
        <f>SUM(Q415:Q416)</f>
        <v>0</v>
      </c>
      <c r="R417" s="140">
        <f>SUM(R415:R416)</f>
        <v>0</v>
      </c>
      <c r="S417" s="201"/>
      <c r="T417" s="140">
        <f>SUM(T415:T416)</f>
        <v>0</v>
      </c>
      <c r="U417" s="140">
        <f>SUM(U415:U416)</f>
        <v>0</v>
      </c>
      <c r="V417" s="124"/>
      <c r="W417" s="140">
        <f>HLOOKUP($W$9,'ROR-Model'!$Q$10:$U$1273,Y417)</f>
        <v>0</v>
      </c>
      <c r="X417" s="139"/>
      <c r="Y417" s="3">
        <f t="shared" si="27"/>
        <v>408</v>
      </c>
      <c r="AA417" s="140">
        <v>0</v>
      </c>
      <c r="AC417" s="140" t="str">
        <f t="shared" si="28"/>
        <v/>
      </c>
      <c r="AE417" s="42" t="str">
        <f t="shared" si="29"/>
        <v/>
      </c>
      <c r="AG417" s="162"/>
      <c r="AH417" s="10"/>
      <c r="AI417" s="10" t="s">
        <v>145</v>
      </c>
      <c r="AJ417" s="10"/>
    </row>
    <row r="418" spans="1:36">
      <c r="A418" s="173"/>
      <c r="B418" s="49"/>
      <c r="C418" s="49"/>
      <c r="D418" s="49"/>
      <c r="E418" s="7"/>
      <c r="F418" s="7"/>
      <c r="G418" s="7"/>
      <c r="H418" s="7"/>
      <c r="I418" s="7"/>
      <c r="J418" s="7">
        <f>+I418-'ROR-Model'!I418</f>
        <v>0</v>
      </c>
      <c r="K418" s="7"/>
      <c r="L418" s="7"/>
      <c r="M418" s="7"/>
      <c r="N418" s="7"/>
      <c r="O418" s="120"/>
      <c r="P418" s="192"/>
      <c r="Q418" s="7"/>
      <c r="R418" s="7"/>
      <c r="S418" s="126"/>
      <c r="T418" s="7"/>
      <c r="U418" s="7"/>
      <c r="V418" s="124"/>
      <c r="W418" s="7"/>
      <c r="X418" s="139"/>
      <c r="Y418" s="3">
        <f t="shared" si="27"/>
        <v>409</v>
      </c>
      <c r="AA418" s="7"/>
      <c r="AC418" s="7" t="str">
        <f t="shared" si="28"/>
        <v/>
      </c>
      <c r="AE418" s="42" t="str">
        <f t="shared" si="29"/>
        <v/>
      </c>
      <c r="AG418" s="162"/>
      <c r="AH418" s="10"/>
      <c r="AI418" s="10"/>
      <c r="AJ418" s="10"/>
    </row>
    <row r="419" spans="1:36">
      <c r="A419" s="173" t="s">
        <v>372</v>
      </c>
      <c r="B419" s="49" t="s">
        <v>373</v>
      </c>
      <c r="C419" s="49"/>
      <c r="D419" s="49"/>
      <c r="E419" s="7"/>
      <c r="F419" s="7"/>
      <c r="G419" s="7"/>
      <c r="H419" s="7"/>
      <c r="I419" s="7"/>
      <c r="J419" s="7">
        <f>+I419-'ROR-Model'!I419</f>
        <v>0</v>
      </c>
      <c r="K419" s="7"/>
      <c r="L419" s="7"/>
      <c r="M419" s="7"/>
      <c r="N419" s="7"/>
      <c r="O419" s="120"/>
      <c r="P419" s="192"/>
      <c r="Q419" s="7"/>
      <c r="R419" s="7"/>
      <c r="S419" s="126"/>
      <c r="T419" s="7"/>
      <c r="U419" s="7"/>
      <c r="V419" s="124"/>
      <c r="W419" s="7"/>
      <c r="X419" s="139"/>
      <c r="Y419" s="3">
        <f t="shared" si="27"/>
        <v>410</v>
      </c>
      <c r="AA419" s="7"/>
      <c r="AC419" s="7" t="str">
        <f t="shared" si="28"/>
        <v/>
      </c>
      <c r="AE419" s="42" t="str">
        <f t="shared" si="29"/>
        <v/>
      </c>
      <c r="AG419" s="162" t="s">
        <v>372</v>
      </c>
      <c r="AH419" s="10" t="s">
        <v>373</v>
      </c>
      <c r="AI419" s="10"/>
      <c r="AJ419" s="10"/>
    </row>
    <row r="420" spans="1:36">
      <c r="A420" s="173"/>
      <c r="B420" s="49"/>
      <c r="C420" s="49" t="s">
        <v>12</v>
      </c>
      <c r="D420" s="49"/>
      <c r="E420" s="301" t="s">
        <v>510</v>
      </c>
      <c r="F420" s="301">
        <f>'Other Rev'!$H$55</f>
        <v>0</v>
      </c>
      <c r="G420" s="7">
        <f>+Adjustments!V420</f>
        <v>0</v>
      </c>
      <c r="H420" s="7"/>
      <c r="I420" s="7">
        <f>SUM($F$420:$H$420)</f>
        <v>0</v>
      </c>
      <c r="J420" s="7">
        <f>+I420-'ROR-Model'!I420</f>
        <v>0</v>
      </c>
      <c r="K420" s="7"/>
      <c r="L420" s="7" t="s">
        <v>12</v>
      </c>
      <c r="M420" s="7">
        <f>VLOOKUP($L420,$L$2:$N$7,2,FALSE)*I420</f>
        <v>0</v>
      </c>
      <c r="N420" s="7">
        <f>VLOOKUP($L420,$L$2:$N$7,3,FALSE)*I420</f>
        <v>0</v>
      </c>
      <c r="O420" s="120"/>
      <c r="P420" s="192" t="s">
        <v>510</v>
      </c>
      <c r="Q420" s="7">
        <f>IF(P420="G",M420,IF(P420="PT",0,ERR))</f>
        <v>0</v>
      </c>
      <c r="R420" s="7">
        <f>IF(P420="PT",M420,IF(P420="G",0,ERR))</f>
        <v>0</v>
      </c>
      <c r="S420" s="126" t="s">
        <v>510</v>
      </c>
      <c r="T420" s="7">
        <f>IF(S420="G",N420,IF(S420="PT",0,ERR))</f>
        <v>0</v>
      </c>
      <c r="U420" s="7">
        <f>IF(S420="PT",N420,IF(S420="G",0,ERR))</f>
        <v>0</v>
      </c>
      <c r="V420" s="124"/>
      <c r="W420" s="7">
        <f>HLOOKUP($W$9,'ROR-Model'!$Q$10:$U$1273,Y420)</f>
        <v>0</v>
      </c>
      <c r="X420" s="139"/>
      <c r="Y420" s="3">
        <f t="shared" si="27"/>
        <v>411</v>
      </c>
      <c r="AA420" s="7">
        <v>0</v>
      </c>
      <c r="AC420" s="7" t="str">
        <f t="shared" si="28"/>
        <v/>
      </c>
      <c r="AE420" s="42" t="str">
        <f t="shared" si="29"/>
        <v/>
      </c>
      <c r="AG420" s="162"/>
      <c r="AH420" s="10"/>
      <c r="AI420" s="10" t="s">
        <v>12</v>
      </c>
      <c r="AJ420" s="10"/>
    </row>
    <row r="421" spans="1:36">
      <c r="A421" s="173"/>
      <c r="B421" s="49"/>
      <c r="C421" s="49" t="s">
        <v>23</v>
      </c>
      <c r="D421" s="49"/>
      <c r="E421" s="301" t="s">
        <v>510</v>
      </c>
      <c r="F421" s="301">
        <f>'Other Rev'!$H$56</f>
        <v>0</v>
      </c>
      <c r="G421" s="7">
        <f>+Adjustments!V421</f>
        <v>0</v>
      </c>
      <c r="H421" s="7"/>
      <c r="I421" s="7">
        <f>SUM($F$421:$H$421)</f>
        <v>0</v>
      </c>
      <c r="J421" s="7">
        <f>+I421-'ROR-Model'!I421</f>
        <v>0</v>
      </c>
      <c r="K421" s="7"/>
      <c r="L421" s="7" t="s">
        <v>23</v>
      </c>
      <c r="M421" s="7">
        <f>VLOOKUP($L421,$L$2:$N$7,2,FALSE)*I421</f>
        <v>0</v>
      </c>
      <c r="N421" s="7">
        <f>VLOOKUP($L421,$L$2:$N$7,3,FALSE)*I421</f>
        <v>0</v>
      </c>
      <c r="O421" s="120"/>
      <c r="P421" s="192" t="s">
        <v>510</v>
      </c>
      <c r="Q421" s="7">
        <f>IF(P421="G",M421,IF(P421="PT",0,ERR))</f>
        <v>0</v>
      </c>
      <c r="R421" s="7">
        <f>IF(P421="PT",M421,IF(P421="G",0,ERR))</f>
        <v>0</v>
      </c>
      <c r="S421" s="126" t="s">
        <v>510</v>
      </c>
      <c r="T421" s="7">
        <f>IF(S421="G",N421,IF(S421="PT",0,ERR))</f>
        <v>0</v>
      </c>
      <c r="U421" s="7">
        <f>IF(S421="PT",N421,IF(S421="G",0,ERR))</f>
        <v>0</v>
      </c>
      <c r="V421" s="124"/>
      <c r="W421" s="7">
        <f>HLOOKUP($W$9,'ROR-Model'!$Q$10:$U$1273,Y421)</f>
        <v>0</v>
      </c>
      <c r="X421" s="139"/>
      <c r="Y421" s="3">
        <f t="shared" si="27"/>
        <v>412</v>
      </c>
      <c r="AA421" s="7">
        <v>0</v>
      </c>
      <c r="AC421" s="7" t="str">
        <f t="shared" si="28"/>
        <v/>
      </c>
      <c r="AE421" s="42" t="str">
        <f t="shared" si="29"/>
        <v/>
      </c>
      <c r="AG421" s="162"/>
      <c r="AH421" s="10"/>
      <c r="AI421" s="10" t="s">
        <v>23</v>
      </c>
      <c r="AJ421" s="10"/>
    </row>
    <row r="422" spans="1:36">
      <c r="A422" s="173"/>
      <c r="B422" s="49"/>
      <c r="C422" s="49" t="s">
        <v>145</v>
      </c>
      <c r="D422" s="49"/>
      <c r="E422" s="140"/>
      <c r="F422" s="140">
        <f>SUM(F420:F421)</f>
        <v>0</v>
      </c>
      <c r="G422" s="140">
        <f>SUM(G420:G421)</f>
        <v>0</v>
      </c>
      <c r="H422" s="140">
        <f>SUM(H420:H421)</f>
        <v>0</v>
      </c>
      <c r="I422" s="140">
        <f>SUM(I420:I421)</f>
        <v>0</v>
      </c>
      <c r="J422" s="7">
        <f>+I422-'ROR-Model'!I422</f>
        <v>0</v>
      </c>
      <c r="K422" s="7"/>
      <c r="L422" s="140"/>
      <c r="M422" s="140">
        <f>SUM(M420:M421)</f>
        <v>0</v>
      </c>
      <c r="N422" s="140">
        <f>SUM(N420:N421)</f>
        <v>0</v>
      </c>
      <c r="O422" s="120"/>
      <c r="P422" s="192"/>
      <c r="Q422" s="140">
        <f>SUM(Q420:Q421)</f>
        <v>0</v>
      </c>
      <c r="R422" s="140">
        <f>SUM(R420:R421)</f>
        <v>0</v>
      </c>
      <c r="S422" s="201"/>
      <c r="T422" s="140">
        <f>SUM(T420:T421)</f>
        <v>0</v>
      </c>
      <c r="U422" s="140">
        <f>SUM(U420:U421)</f>
        <v>0</v>
      </c>
      <c r="V422" s="124"/>
      <c r="W422" s="140">
        <f>HLOOKUP($W$9,'ROR-Model'!$Q$10:$U$1273,Y422)</f>
        <v>0</v>
      </c>
      <c r="X422" s="139"/>
      <c r="Y422" s="3">
        <f t="shared" si="27"/>
        <v>413</v>
      </c>
      <c r="AA422" s="140">
        <v>0</v>
      </c>
      <c r="AC422" s="140" t="str">
        <f t="shared" si="28"/>
        <v/>
      </c>
      <c r="AE422" s="42" t="str">
        <f t="shared" si="29"/>
        <v/>
      </c>
      <c r="AG422" s="162"/>
      <c r="AH422" s="10"/>
      <c r="AI422" s="10" t="s">
        <v>145</v>
      </c>
      <c r="AJ422" s="10"/>
    </row>
    <row r="423" spans="1:36">
      <c r="A423" s="173"/>
      <c r="B423" s="49"/>
      <c r="C423" s="49"/>
      <c r="D423" s="49"/>
      <c r="E423" s="7"/>
      <c r="F423" s="7"/>
      <c r="G423" s="7"/>
      <c r="H423" s="7"/>
      <c r="I423" s="7"/>
      <c r="J423" s="7">
        <f>+I423-'ROR-Model'!I423</f>
        <v>0</v>
      </c>
      <c r="K423" s="7"/>
      <c r="L423" s="7"/>
      <c r="M423" s="7"/>
      <c r="N423" s="7"/>
      <c r="O423" s="120"/>
      <c r="P423" s="192"/>
      <c r="Q423" s="7"/>
      <c r="R423" s="7"/>
      <c r="S423" s="126"/>
      <c r="T423" s="7"/>
      <c r="U423" s="7"/>
      <c r="V423" s="124"/>
      <c r="W423" s="7"/>
      <c r="X423" s="139"/>
      <c r="Y423" s="3">
        <f t="shared" si="27"/>
        <v>414</v>
      </c>
      <c r="AA423" s="7"/>
      <c r="AC423" s="7" t="str">
        <f t="shared" si="28"/>
        <v/>
      </c>
      <c r="AE423" s="42" t="str">
        <f t="shared" si="29"/>
        <v/>
      </c>
      <c r="AG423" s="162"/>
      <c r="AH423" s="10"/>
      <c r="AI423" s="10"/>
      <c r="AJ423" s="10"/>
    </row>
    <row r="424" spans="1:36">
      <c r="A424" s="173" t="s">
        <v>374</v>
      </c>
      <c r="B424" s="49" t="s">
        <v>285</v>
      </c>
      <c r="C424" s="49"/>
      <c r="D424" s="49"/>
      <c r="E424" s="7"/>
      <c r="F424" s="7"/>
      <c r="G424" s="7"/>
      <c r="H424" s="7"/>
      <c r="I424" s="7"/>
      <c r="J424" s="7">
        <f>+I424-'ROR-Model'!I424</f>
        <v>0</v>
      </c>
      <c r="K424" s="7"/>
      <c r="L424" s="7"/>
      <c r="M424" s="7"/>
      <c r="N424" s="7"/>
      <c r="O424" s="120"/>
      <c r="P424" s="192"/>
      <c r="Q424" s="7"/>
      <c r="R424" s="7"/>
      <c r="S424" s="126"/>
      <c r="T424" s="7"/>
      <c r="U424" s="7"/>
      <c r="V424" s="124"/>
      <c r="W424" s="7"/>
      <c r="X424" s="139"/>
      <c r="Y424" s="3">
        <f t="shared" si="27"/>
        <v>415</v>
      </c>
      <c r="AA424" s="7"/>
      <c r="AC424" s="7" t="str">
        <f t="shared" si="28"/>
        <v/>
      </c>
      <c r="AE424" s="42" t="str">
        <f t="shared" si="29"/>
        <v/>
      </c>
      <c r="AG424" s="162" t="s">
        <v>374</v>
      </c>
      <c r="AH424" s="10" t="s">
        <v>285</v>
      </c>
      <c r="AI424" s="10"/>
      <c r="AJ424" s="10"/>
    </row>
    <row r="425" spans="1:36">
      <c r="A425" s="173"/>
      <c r="B425" s="49"/>
      <c r="C425" s="49" t="s">
        <v>12</v>
      </c>
      <c r="D425" s="49"/>
      <c r="E425" s="301" t="s">
        <v>510</v>
      </c>
      <c r="F425" s="301">
        <f>'Other Rev'!$H$60</f>
        <v>0</v>
      </c>
      <c r="G425" s="7">
        <f>+Adjustments!V425</f>
        <v>0</v>
      </c>
      <c r="H425" s="7"/>
      <c r="I425" s="7">
        <f>SUM($F$425:$H$425)</f>
        <v>0</v>
      </c>
      <c r="J425" s="7">
        <f>+I425-'ROR-Model'!I425</f>
        <v>0</v>
      </c>
      <c r="K425" s="7"/>
      <c r="L425" s="7" t="s">
        <v>12</v>
      </c>
      <c r="M425" s="7">
        <f>VLOOKUP($L425,$L$2:$N$7,2,FALSE)*I425</f>
        <v>0</v>
      </c>
      <c r="N425" s="7">
        <f>VLOOKUP($L425,$L$2:$N$7,3,FALSE)*I425</f>
        <v>0</v>
      </c>
      <c r="O425" s="120"/>
      <c r="P425" s="192" t="s">
        <v>510</v>
      </c>
      <c r="Q425" s="7">
        <f>IF(P425="G",M425,IF(P425="PT",0,ERR))</f>
        <v>0</v>
      </c>
      <c r="R425" s="7">
        <f>IF(P425="PT",M425,IF(P425="G",0,ERR))</f>
        <v>0</v>
      </c>
      <c r="S425" s="126" t="s">
        <v>510</v>
      </c>
      <c r="T425" s="7">
        <f>IF(S425="G",N425,IF(S425="PT",0,ERR))</f>
        <v>0</v>
      </c>
      <c r="U425" s="7">
        <f>IF(S425="PT",N425,IF(S425="G",0,ERR))</f>
        <v>0</v>
      </c>
      <c r="V425" s="124"/>
      <c r="W425" s="7">
        <f>HLOOKUP($W$9,'ROR-Model'!$Q$10:$U$1273,Y425)</f>
        <v>0</v>
      </c>
      <c r="X425" s="139"/>
      <c r="Y425" s="3">
        <f t="shared" si="27"/>
        <v>416</v>
      </c>
      <c r="AA425" s="7">
        <v>0</v>
      </c>
      <c r="AC425" s="7" t="str">
        <f t="shared" si="28"/>
        <v/>
      </c>
      <c r="AE425" s="42" t="str">
        <f t="shared" si="29"/>
        <v/>
      </c>
      <c r="AG425" s="162"/>
      <c r="AH425" s="10"/>
      <c r="AI425" s="10" t="s">
        <v>12</v>
      </c>
      <c r="AJ425" s="10"/>
    </row>
    <row r="426" spans="1:36">
      <c r="A426" s="173"/>
      <c r="B426" s="49"/>
      <c r="C426" s="49" t="s">
        <v>23</v>
      </c>
      <c r="D426" s="49"/>
      <c r="E426" s="301" t="s">
        <v>510</v>
      </c>
      <c r="F426" s="301">
        <f>'Other Rev'!$H$61</f>
        <v>0</v>
      </c>
      <c r="G426" s="7">
        <f>+Adjustments!V426</f>
        <v>0</v>
      </c>
      <c r="H426" s="7"/>
      <c r="I426" s="7">
        <f>SUM($F$426:$H$426)</f>
        <v>0</v>
      </c>
      <c r="J426" s="7">
        <f>+I426-'ROR-Model'!I426</f>
        <v>0</v>
      </c>
      <c r="K426" s="7"/>
      <c r="L426" s="7" t="s">
        <v>23</v>
      </c>
      <c r="M426" s="7">
        <f>VLOOKUP($L426,$L$2:$N$7,2,FALSE)*I426</f>
        <v>0</v>
      </c>
      <c r="N426" s="7">
        <f>VLOOKUP($L426,$L$2:$N$7,3,FALSE)*I426</f>
        <v>0</v>
      </c>
      <c r="O426" s="120"/>
      <c r="P426" s="192" t="s">
        <v>510</v>
      </c>
      <c r="Q426" s="7">
        <f>IF(P426="G",M426,IF(P426="PT",0,ERR))</f>
        <v>0</v>
      </c>
      <c r="R426" s="7">
        <f>IF(P426="PT",M426,IF(P426="G",0,ERR))</f>
        <v>0</v>
      </c>
      <c r="S426" s="126" t="s">
        <v>510</v>
      </c>
      <c r="T426" s="7">
        <f>IF(S426="G",N426,IF(S426="PT",0,ERR))</f>
        <v>0</v>
      </c>
      <c r="U426" s="7">
        <f>IF(S426="PT",N426,IF(S426="G",0,ERR))</f>
        <v>0</v>
      </c>
      <c r="V426" s="124"/>
      <c r="W426" s="7">
        <f>HLOOKUP($W$9,'ROR-Model'!$Q$10:$U$1273,Y426)</f>
        <v>0</v>
      </c>
      <c r="X426" s="139"/>
      <c r="Y426" s="3">
        <f t="shared" si="27"/>
        <v>417</v>
      </c>
      <c r="AA426" s="7">
        <v>0</v>
      </c>
      <c r="AC426" s="7" t="str">
        <f t="shared" si="28"/>
        <v/>
      </c>
      <c r="AE426" s="42" t="str">
        <f t="shared" si="29"/>
        <v/>
      </c>
      <c r="AG426" s="162"/>
      <c r="AH426" s="10"/>
      <c r="AI426" s="10" t="s">
        <v>23</v>
      </c>
      <c r="AJ426" s="10"/>
    </row>
    <row r="427" spans="1:36">
      <c r="A427" s="173"/>
      <c r="B427" s="49"/>
      <c r="C427" s="49" t="s">
        <v>145</v>
      </c>
      <c r="D427" s="49"/>
      <c r="E427" s="140"/>
      <c r="F427" s="140">
        <f>SUM(F425:F426)</f>
        <v>0</v>
      </c>
      <c r="G427" s="140">
        <f>SUM(G425:G426)</f>
        <v>0</v>
      </c>
      <c r="H427" s="140">
        <f>SUM(H425:H426)</f>
        <v>0</v>
      </c>
      <c r="I427" s="140">
        <f>SUM(I425:I426)</f>
        <v>0</v>
      </c>
      <c r="J427" s="7">
        <f>+I427-'ROR-Model'!I427</f>
        <v>0</v>
      </c>
      <c r="K427" s="7"/>
      <c r="L427" s="140"/>
      <c r="M427" s="140">
        <f>SUM(M425:M426)</f>
        <v>0</v>
      </c>
      <c r="N427" s="140">
        <f>SUM(N425:N426)</f>
        <v>0</v>
      </c>
      <c r="O427" s="120"/>
      <c r="P427" s="192"/>
      <c r="Q427" s="140">
        <f>SUM(Q425:Q426)</f>
        <v>0</v>
      </c>
      <c r="R427" s="140">
        <f>SUM(R425:R426)</f>
        <v>0</v>
      </c>
      <c r="S427" s="201"/>
      <c r="T427" s="140">
        <f>SUM(T425:T426)</f>
        <v>0</v>
      </c>
      <c r="U427" s="140">
        <f>SUM(U425:U426)</f>
        <v>0</v>
      </c>
      <c r="V427" s="124"/>
      <c r="W427" s="140">
        <f>HLOOKUP($W$9,'ROR-Model'!$Q$10:$U$1273,Y427)</f>
        <v>0</v>
      </c>
      <c r="X427" s="139"/>
      <c r="Y427" s="3">
        <f t="shared" si="27"/>
        <v>418</v>
      </c>
      <c r="AA427" s="140">
        <v>0</v>
      </c>
      <c r="AC427" s="140" t="str">
        <f t="shared" si="28"/>
        <v/>
      </c>
      <c r="AE427" s="42" t="str">
        <f t="shared" si="29"/>
        <v/>
      </c>
      <c r="AG427" s="162"/>
      <c r="AH427" s="10"/>
      <c r="AI427" s="10" t="s">
        <v>145</v>
      </c>
      <c r="AJ427" s="10"/>
    </row>
    <row r="428" spans="1:36">
      <c r="A428" s="173"/>
      <c r="B428" s="49"/>
      <c r="C428" s="49"/>
      <c r="D428" s="49"/>
      <c r="E428" s="7"/>
      <c r="F428" s="7"/>
      <c r="G428" s="7"/>
      <c r="H428" s="7"/>
      <c r="I428" s="7"/>
      <c r="J428" s="7">
        <f>+I428-'ROR-Model'!I428</f>
        <v>0</v>
      </c>
      <c r="K428" s="7"/>
      <c r="L428" s="7"/>
      <c r="M428" s="7"/>
      <c r="N428" s="7"/>
      <c r="O428" s="120"/>
      <c r="P428" s="192"/>
      <c r="Q428" s="7"/>
      <c r="R428" s="7"/>
      <c r="S428" s="126"/>
      <c r="T428" s="7"/>
      <c r="U428" s="7"/>
      <c r="V428" s="124"/>
      <c r="W428" s="7"/>
      <c r="X428" s="139"/>
      <c r="Y428" s="3">
        <f t="shared" si="27"/>
        <v>419</v>
      </c>
      <c r="AA428" s="7"/>
      <c r="AC428" s="7" t="str">
        <f t="shared" si="28"/>
        <v/>
      </c>
      <c r="AE428" s="42" t="str">
        <f t="shared" si="29"/>
        <v/>
      </c>
      <c r="AG428" s="162"/>
      <c r="AH428" s="10"/>
      <c r="AI428" s="10"/>
      <c r="AJ428" s="10"/>
    </row>
    <row r="429" spans="1:36">
      <c r="A429" s="174" t="s">
        <v>375</v>
      </c>
      <c r="B429" s="49" t="s">
        <v>286</v>
      </c>
      <c r="C429" s="49"/>
      <c r="D429" s="49"/>
      <c r="E429" s="7"/>
      <c r="F429" s="7"/>
      <c r="G429" s="7"/>
      <c r="H429" s="7"/>
      <c r="I429" s="7"/>
      <c r="J429" s="7">
        <f>+I429-'ROR-Model'!I429</f>
        <v>0</v>
      </c>
      <c r="K429" s="7"/>
      <c r="L429" s="7"/>
      <c r="M429" s="7"/>
      <c r="N429" s="7"/>
      <c r="O429" s="120"/>
      <c r="P429" s="192"/>
      <c r="Q429" s="7"/>
      <c r="R429" s="7"/>
      <c r="S429" s="126"/>
      <c r="T429" s="7"/>
      <c r="U429" s="7"/>
      <c r="V429" s="124"/>
      <c r="W429" s="7"/>
      <c r="X429" s="139"/>
      <c r="Y429" s="3">
        <f t="shared" si="27"/>
        <v>420</v>
      </c>
      <c r="AA429" s="7"/>
      <c r="AC429" s="7" t="str">
        <f t="shared" si="28"/>
        <v/>
      </c>
      <c r="AE429" s="42" t="str">
        <f t="shared" si="29"/>
        <v/>
      </c>
      <c r="AG429" s="162" t="s">
        <v>375</v>
      </c>
      <c r="AH429" s="10" t="s">
        <v>286</v>
      </c>
      <c r="AI429" s="10"/>
      <c r="AJ429" s="10"/>
    </row>
    <row r="430" spans="1:36">
      <c r="A430" s="173"/>
      <c r="B430" s="49"/>
      <c r="C430" s="49" t="s">
        <v>12</v>
      </c>
      <c r="D430" s="49"/>
      <c r="E430" s="301" t="s">
        <v>510</v>
      </c>
      <c r="F430" s="301">
        <f>'Other Rev'!$H$65</f>
        <v>0</v>
      </c>
      <c r="G430" s="7">
        <f>+Adjustments!V430</f>
        <v>0</v>
      </c>
      <c r="H430" s="7"/>
      <c r="I430" s="7">
        <f>SUM($F$430:$H$430)</f>
        <v>0</v>
      </c>
      <c r="J430" s="7">
        <f>+I430-'ROR-Model'!I430</f>
        <v>0</v>
      </c>
      <c r="K430" s="7"/>
      <c r="L430" s="7" t="s">
        <v>12</v>
      </c>
      <c r="M430" s="7">
        <f>VLOOKUP($L430,$L$2:$N$7,2,FALSE)*I430</f>
        <v>0</v>
      </c>
      <c r="N430" s="7">
        <f>VLOOKUP($L430,$L$2:$N$7,3,FALSE)*I430</f>
        <v>0</v>
      </c>
      <c r="O430" s="120"/>
      <c r="P430" s="192" t="s">
        <v>510</v>
      </c>
      <c r="Q430" s="7">
        <f>IF(P430="G",M430,IF(P430="PT",0,ERR))</f>
        <v>0</v>
      </c>
      <c r="R430" s="7">
        <f>IF(P430="PT",M430,IF(P430="G",0,ERR))</f>
        <v>0</v>
      </c>
      <c r="S430" s="126" t="s">
        <v>510</v>
      </c>
      <c r="T430" s="7">
        <f>IF(S430="G",N430,IF(S430="PT",0,ERR))</f>
        <v>0</v>
      </c>
      <c r="U430" s="7">
        <f>IF(S430="PT",N430,IF(S430="G",0,ERR))</f>
        <v>0</v>
      </c>
      <c r="V430" s="124"/>
      <c r="W430" s="7">
        <f>HLOOKUP($W$9,'ROR-Model'!$Q$10:$U$1273,Y430)</f>
        <v>0</v>
      </c>
      <c r="X430" s="139"/>
      <c r="Y430" s="3">
        <f t="shared" si="27"/>
        <v>421</v>
      </c>
      <c r="AA430" s="7">
        <v>0</v>
      </c>
      <c r="AC430" s="7" t="str">
        <f t="shared" si="28"/>
        <v/>
      </c>
      <c r="AE430" s="42" t="str">
        <f t="shared" si="29"/>
        <v/>
      </c>
      <c r="AG430" s="162"/>
      <c r="AH430" s="10"/>
      <c r="AI430" s="10" t="s">
        <v>12</v>
      </c>
      <c r="AJ430" s="10"/>
    </row>
    <row r="431" spans="1:36">
      <c r="A431" s="173"/>
      <c r="B431" s="49"/>
      <c r="C431" s="49" t="s">
        <v>23</v>
      </c>
      <c r="D431" s="49"/>
      <c r="E431" s="301" t="s">
        <v>510</v>
      </c>
      <c r="F431" s="301">
        <f>'Other Rev'!$H$66</f>
        <v>0</v>
      </c>
      <c r="G431" s="7">
        <f>+Adjustments!V431</f>
        <v>0</v>
      </c>
      <c r="H431" s="7"/>
      <c r="I431" s="7">
        <f>SUM($F$431:$H$431)</f>
        <v>0</v>
      </c>
      <c r="J431" s="7">
        <f>+I431-'ROR-Model'!I431</f>
        <v>0</v>
      </c>
      <c r="K431" s="7"/>
      <c r="L431" s="7" t="s">
        <v>23</v>
      </c>
      <c r="M431" s="7">
        <f>VLOOKUP($L431,$L$2:$N$7,2,FALSE)*I431</f>
        <v>0</v>
      </c>
      <c r="N431" s="7">
        <f>VLOOKUP($L431,$L$2:$N$7,3,FALSE)*I431</f>
        <v>0</v>
      </c>
      <c r="O431" s="120"/>
      <c r="P431" s="192" t="s">
        <v>510</v>
      </c>
      <c r="Q431" s="7">
        <f>IF(P431="G",M431,IF(P431="PT",0,ERR))</f>
        <v>0</v>
      </c>
      <c r="R431" s="7">
        <f>IF(P431="PT",M431,IF(P431="G",0,ERR))</f>
        <v>0</v>
      </c>
      <c r="S431" s="126" t="s">
        <v>510</v>
      </c>
      <c r="T431" s="7">
        <f>IF(S431="G",N431,IF(S431="PT",0,ERR))</f>
        <v>0</v>
      </c>
      <c r="U431" s="7">
        <f>IF(S431="PT",N431,IF(S431="G",0,ERR))</f>
        <v>0</v>
      </c>
      <c r="V431" s="124"/>
      <c r="W431" s="7">
        <f>HLOOKUP($W$9,'ROR-Model'!$Q$10:$U$1273,Y431)</f>
        <v>0</v>
      </c>
      <c r="X431" s="139"/>
      <c r="Y431" s="3">
        <f t="shared" si="27"/>
        <v>422</v>
      </c>
      <c r="AA431" s="7">
        <v>0</v>
      </c>
      <c r="AC431" s="7" t="str">
        <f t="shared" si="28"/>
        <v/>
      </c>
      <c r="AE431" s="42" t="str">
        <f t="shared" si="29"/>
        <v/>
      </c>
      <c r="AG431" s="162"/>
      <c r="AH431" s="10"/>
      <c r="AI431" s="10" t="s">
        <v>23</v>
      </c>
      <c r="AJ431" s="10"/>
    </row>
    <row r="432" spans="1:36">
      <c r="A432" s="173"/>
      <c r="B432" s="49"/>
      <c r="C432" s="49" t="s">
        <v>145</v>
      </c>
      <c r="D432" s="49"/>
      <c r="E432" s="140"/>
      <c r="F432" s="140">
        <f>SUM(F430:F431)</f>
        <v>0</v>
      </c>
      <c r="G432" s="140">
        <f>SUM(G430:G431)</f>
        <v>0</v>
      </c>
      <c r="H432" s="140">
        <f>SUM(H430:H431)</f>
        <v>0</v>
      </c>
      <c r="I432" s="140">
        <f>SUM(I430:I431)</f>
        <v>0</v>
      </c>
      <c r="J432" s="7">
        <f>+I432-'ROR-Model'!I432</f>
        <v>0</v>
      </c>
      <c r="K432" s="7"/>
      <c r="L432" s="140"/>
      <c r="M432" s="140">
        <f>SUM(M430:M431)</f>
        <v>0</v>
      </c>
      <c r="N432" s="140">
        <f>SUM(N430:N431)</f>
        <v>0</v>
      </c>
      <c r="O432" s="120"/>
      <c r="P432" s="192"/>
      <c r="Q432" s="140">
        <f>SUM(Q430:Q431)</f>
        <v>0</v>
      </c>
      <c r="R432" s="140">
        <f>SUM(R430:R431)</f>
        <v>0</v>
      </c>
      <c r="S432" s="201"/>
      <c r="T432" s="140">
        <f>SUM(T430:T431)</f>
        <v>0</v>
      </c>
      <c r="U432" s="140">
        <f>SUM(U430:U431)</f>
        <v>0</v>
      </c>
      <c r="V432" s="124"/>
      <c r="W432" s="140">
        <f>HLOOKUP($W$9,'ROR-Model'!$Q$10:$U$1273,Y432)</f>
        <v>0</v>
      </c>
      <c r="X432" s="139"/>
      <c r="Y432" s="3">
        <f t="shared" si="27"/>
        <v>423</v>
      </c>
      <c r="AA432" s="140">
        <v>0</v>
      </c>
      <c r="AC432" s="140" t="str">
        <f t="shared" si="28"/>
        <v/>
      </c>
      <c r="AE432" s="42" t="str">
        <f t="shared" si="29"/>
        <v/>
      </c>
      <c r="AG432" s="162"/>
      <c r="AH432" s="10"/>
      <c r="AI432" s="10" t="s">
        <v>145</v>
      </c>
      <c r="AJ432" s="10"/>
    </row>
    <row r="433" spans="1:36">
      <c r="A433" s="173"/>
      <c r="B433" s="49"/>
      <c r="C433" s="49"/>
      <c r="D433" s="49"/>
      <c r="E433" s="7"/>
      <c r="F433" s="7"/>
      <c r="G433" s="7"/>
      <c r="H433" s="7"/>
      <c r="I433" s="7"/>
      <c r="J433" s="7">
        <f>+I433-'ROR-Model'!I433</f>
        <v>0</v>
      </c>
      <c r="K433" s="7"/>
      <c r="L433" s="7"/>
      <c r="M433" s="7"/>
      <c r="N433" s="7"/>
      <c r="O433" s="120"/>
      <c r="P433" s="192"/>
      <c r="Q433" s="7"/>
      <c r="R433" s="7"/>
      <c r="S433" s="126"/>
      <c r="T433" s="7"/>
      <c r="U433" s="7"/>
      <c r="V433" s="124"/>
      <c r="W433" s="7"/>
      <c r="X433" s="139"/>
      <c r="Y433" s="3">
        <f t="shared" si="27"/>
        <v>424</v>
      </c>
      <c r="AA433" s="7"/>
      <c r="AC433" s="7" t="str">
        <f t="shared" si="28"/>
        <v/>
      </c>
      <c r="AE433" s="42" t="str">
        <f t="shared" si="29"/>
        <v/>
      </c>
      <c r="AG433" s="162"/>
      <c r="AH433" s="10"/>
      <c r="AI433" s="10"/>
      <c r="AJ433" s="10"/>
    </row>
    <row r="434" spans="1:36">
      <c r="A434" s="173" t="s">
        <v>376</v>
      </c>
      <c r="B434" s="49" t="s">
        <v>288</v>
      </c>
      <c r="C434" s="49"/>
      <c r="D434" s="49"/>
      <c r="E434" s="7"/>
      <c r="F434" s="7"/>
      <c r="G434" s="7"/>
      <c r="H434" s="7"/>
      <c r="I434" s="7"/>
      <c r="J434" s="7">
        <f>+I434-'ROR-Model'!I434</f>
        <v>0</v>
      </c>
      <c r="K434" s="7"/>
      <c r="L434" s="7"/>
      <c r="M434" s="7"/>
      <c r="N434" s="7"/>
      <c r="O434" s="120"/>
      <c r="P434" s="192"/>
      <c r="Q434" s="7"/>
      <c r="R434" s="7"/>
      <c r="S434" s="126"/>
      <c r="T434" s="7"/>
      <c r="U434" s="7"/>
      <c r="V434" s="124"/>
      <c r="W434" s="7"/>
      <c r="X434" s="139"/>
      <c r="Y434" s="3">
        <f t="shared" si="27"/>
        <v>425</v>
      </c>
      <c r="AA434" s="7"/>
      <c r="AC434" s="7" t="str">
        <f t="shared" si="28"/>
        <v/>
      </c>
      <c r="AE434" s="42" t="str">
        <f t="shared" si="29"/>
        <v/>
      </c>
      <c r="AG434" s="162" t="s">
        <v>376</v>
      </c>
      <c r="AH434" s="10" t="s">
        <v>288</v>
      </c>
      <c r="AI434" s="10"/>
      <c r="AJ434" s="10"/>
    </row>
    <row r="435" spans="1:36">
      <c r="A435" s="173"/>
      <c r="B435" s="49"/>
      <c r="C435" s="49" t="s">
        <v>12</v>
      </c>
      <c r="D435" s="49"/>
      <c r="E435" s="301" t="s">
        <v>510</v>
      </c>
      <c r="F435" s="301">
        <f>'Other Rev'!$H$70</f>
        <v>0</v>
      </c>
      <c r="G435" s="7">
        <f>+Adjustments!V435</f>
        <v>0</v>
      </c>
      <c r="H435" s="7"/>
      <c r="I435" s="7">
        <f>SUM($F$435:$H$435)</f>
        <v>0</v>
      </c>
      <c r="J435" s="7">
        <f>+I435-'ROR-Model'!I435</f>
        <v>0</v>
      </c>
      <c r="K435" s="7"/>
      <c r="L435" s="7" t="s">
        <v>12</v>
      </c>
      <c r="M435" s="7">
        <f>VLOOKUP($L435,$L$2:$N$7,2,FALSE)*I435</f>
        <v>0</v>
      </c>
      <c r="N435" s="7">
        <f>VLOOKUP($L435,$L$2:$N$7,3,FALSE)*I435</f>
        <v>0</v>
      </c>
      <c r="O435" s="120"/>
      <c r="P435" s="192" t="s">
        <v>510</v>
      </c>
      <c r="Q435" s="7">
        <f>IF(P435="G",M435,IF(P435="PT",0,ERR))</f>
        <v>0</v>
      </c>
      <c r="R435" s="7">
        <f>IF(P435="PT",M435,IF(P435="G",0,ERR))</f>
        <v>0</v>
      </c>
      <c r="S435" s="126" t="s">
        <v>510</v>
      </c>
      <c r="T435" s="7">
        <f>IF(S435="G",N435,IF(S435="PT",0,ERR))</f>
        <v>0</v>
      </c>
      <c r="U435" s="7">
        <f>IF(S435="PT",N435,IF(S435="G",0,ERR))</f>
        <v>0</v>
      </c>
      <c r="V435" s="124"/>
      <c r="W435" s="7">
        <f>HLOOKUP($W$9,'ROR-Model'!$Q$10:$U$1273,Y435)</f>
        <v>0</v>
      </c>
      <c r="X435" s="139"/>
      <c r="Y435" s="3">
        <f t="shared" si="27"/>
        <v>426</v>
      </c>
      <c r="AA435" s="7">
        <v>0</v>
      </c>
      <c r="AC435" s="7" t="str">
        <f t="shared" si="28"/>
        <v/>
      </c>
      <c r="AE435" s="42" t="str">
        <f t="shared" si="29"/>
        <v/>
      </c>
      <c r="AG435" s="162"/>
      <c r="AH435" s="10"/>
      <c r="AI435" s="10" t="s">
        <v>12</v>
      </c>
      <c r="AJ435" s="10"/>
    </row>
    <row r="436" spans="1:36">
      <c r="A436" s="173"/>
      <c r="B436" s="49"/>
      <c r="C436" s="49" t="s">
        <v>23</v>
      </c>
      <c r="D436" s="49"/>
      <c r="E436" s="7" t="s">
        <v>510</v>
      </c>
      <c r="F436" s="7">
        <f>'Other Rev'!$H$71</f>
        <v>0</v>
      </c>
      <c r="G436" s="7">
        <f>+Adjustments!V436</f>
        <v>0</v>
      </c>
      <c r="H436" s="7"/>
      <c r="I436" s="7">
        <f>SUM($F$436:$H$436)</f>
        <v>0</v>
      </c>
      <c r="J436" s="7">
        <f>+I436-'ROR-Model'!I436</f>
        <v>0</v>
      </c>
      <c r="K436" s="7"/>
      <c r="L436" s="7" t="s">
        <v>23</v>
      </c>
      <c r="M436" s="7">
        <f>VLOOKUP($L436,$L$2:$N$7,2,FALSE)*I436</f>
        <v>0</v>
      </c>
      <c r="N436" s="7">
        <f>VLOOKUP($L436,$L$2:$N$7,3,FALSE)*I436</f>
        <v>0</v>
      </c>
      <c r="O436" s="120"/>
      <c r="P436" s="192" t="s">
        <v>510</v>
      </c>
      <c r="Q436" s="7">
        <f>IF(P436="G",M436,IF(P436="PT",0,ERR))</f>
        <v>0</v>
      </c>
      <c r="R436" s="7">
        <f>IF(P436="PT",M436,IF(P436="G",0,ERR))</f>
        <v>0</v>
      </c>
      <c r="S436" s="126" t="s">
        <v>510</v>
      </c>
      <c r="T436" s="7">
        <f>IF(S436="G",N436,IF(S436="PT",0,ERR))</f>
        <v>0</v>
      </c>
      <c r="U436" s="7">
        <f>IF(S436="PT",N436,IF(S436="G",0,ERR))</f>
        <v>0</v>
      </c>
      <c r="V436" s="124"/>
      <c r="W436" s="7">
        <f>HLOOKUP($W$9,'ROR-Model'!$Q$10:$U$1273,Y436)</f>
        <v>0</v>
      </c>
      <c r="X436" s="139"/>
      <c r="Y436" s="3">
        <f t="shared" si="27"/>
        <v>427</v>
      </c>
      <c r="AA436" s="7">
        <v>0</v>
      </c>
      <c r="AC436" s="7" t="str">
        <f t="shared" si="28"/>
        <v/>
      </c>
      <c r="AE436" s="42" t="str">
        <f t="shared" si="29"/>
        <v/>
      </c>
      <c r="AG436" s="162"/>
      <c r="AH436" s="10"/>
      <c r="AI436" s="10" t="s">
        <v>23</v>
      </c>
      <c r="AJ436" s="10"/>
    </row>
    <row r="437" spans="1:36">
      <c r="A437" s="173"/>
      <c r="B437" s="49"/>
      <c r="C437" s="49" t="s">
        <v>145</v>
      </c>
      <c r="D437" s="49"/>
      <c r="E437" s="140"/>
      <c r="F437" s="140">
        <f>SUM(F435:F436)</f>
        <v>0</v>
      </c>
      <c r="G437" s="140">
        <f>SUM(G435:G436)</f>
        <v>0</v>
      </c>
      <c r="H437" s="140">
        <f>SUM(H435:H436)</f>
        <v>0</v>
      </c>
      <c r="I437" s="140">
        <f>SUM(I435:I436)</f>
        <v>0</v>
      </c>
      <c r="J437" s="7">
        <f>+I437-'ROR-Model'!I437</f>
        <v>0</v>
      </c>
      <c r="K437" s="7"/>
      <c r="L437" s="140"/>
      <c r="M437" s="140">
        <f>SUM(M435:M436)</f>
        <v>0</v>
      </c>
      <c r="N437" s="140">
        <f>SUM(N435:N436)</f>
        <v>0</v>
      </c>
      <c r="O437" s="120"/>
      <c r="P437" s="192"/>
      <c r="Q437" s="140">
        <f>SUM(Q435:Q436)</f>
        <v>0</v>
      </c>
      <c r="R437" s="140">
        <f>SUM(R435:R436)</f>
        <v>0</v>
      </c>
      <c r="S437" s="201"/>
      <c r="T437" s="140">
        <f>SUM(T435:T436)</f>
        <v>0</v>
      </c>
      <c r="U437" s="140">
        <f>SUM(U435:U436)</f>
        <v>0</v>
      </c>
      <c r="V437" s="124"/>
      <c r="W437" s="140">
        <f>HLOOKUP($W$9,'ROR-Model'!$Q$10:$U$1273,Y437)</f>
        <v>0</v>
      </c>
      <c r="X437" s="139"/>
      <c r="Y437" s="3">
        <f t="shared" si="27"/>
        <v>428</v>
      </c>
      <c r="AA437" s="140">
        <v>0</v>
      </c>
      <c r="AC437" s="140" t="str">
        <f t="shared" si="28"/>
        <v/>
      </c>
      <c r="AE437" s="42" t="str">
        <f t="shared" si="29"/>
        <v/>
      </c>
      <c r="AG437" s="162"/>
      <c r="AH437" s="10"/>
      <c r="AI437" s="10" t="s">
        <v>145</v>
      </c>
      <c r="AJ437" s="10"/>
    </row>
    <row r="438" spans="1:36">
      <c r="A438" s="173"/>
      <c r="B438" s="49"/>
      <c r="C438" s="49"/>
      <c r="D438" s="49"/>
      <c r="E438" s="7"/>
      <c r="F438" s="7"/>
      <c r="G438" s="7"/>
      <c r="H438" s="7"/>
      <c r="I438" s="7"/>
      <c r="J438" s="7">
        <f>+I438-'ROR-Model'!I438</f>
        <v>0</v>
      </c>
      <c r="K438" s="7"/>
      <c r="L438" s="7"/>
      <c r="M438" s="7"/>
      <c r="N438" s="7"/>
      <c r="O438" s="120"/>
      <c r="P438" s="192"/>
      <c r="Q438" s="7"/>
      <c r="R438" s="7"/>
      <c r="S438" s="126"/>
      <c r="T438" s="7"/>
      <c r="U438" s="7"/>
      <c r="V438" s="124"/>
      <c r="W438" s="7"/>
      <c r="X438" s="139"/>
      <c r="Y438" s="3">
        <f t="shared" si="27"/>
        <v>429</v>
      </c>
      <c r="AA438" s="7"/>
      <c r="AC438" s="7" t="str">
        <f t="shared" si="28"/>
        <v/>
      </c>
      <c r="AE438" s="42" t="str">
        <f t="shared" si="29"/>
        <v/>
      </c>
      <c r="AG438" s="162"/>
      <c r="AH438" s="10"/>
      <c r="AI438" s="10"/>
      <c r="AJ438" s="10"/>
    </row>
    <row r="439" spans="1:36">
      <c r="A439" s="173" t="s">
        <v>377</v>
      </c>
      <c r="B439" s="49" t="s">
        <v>289</v>
      </c>
      <c r="C439" s="49"/>
      <c r="D439" s="49"/>
      <c r="E439" s="7"/>
      <c r="F439" s="7"/>
      <c r="G439" s="7"/>
      <c r="H439" s="7"/>
      <c r="I439" s="7"/>
      <c r="J439" s="7">
        <f>+I439-'ROR-Model'!I439</f>
        <v>0</v>
      </c>
      <c r="K439" s="7"/>
      <c r="L439" s="7"/>
      <c r="M439" s="7"/>
      <c r="N439" s="7"/>
      <c r="O439" s="120"/>
      <c r="P439" s="192"/>
      <c r="Q439" s="7"/>
      <c r="R439" s="7"/>
      <c r="S439" s="126"/>
      <c r="T439" s="7"/>
      <c r="U439" s="7"/>
      <c r="V439" s="124"/>
      <c r="W439" s="7"/>
      <c r="X439" s="139"/>
      <c r="Y439" s="3">
        <f t="shared" si="27"/>
        <v>430</v>
      </c>
      <c r="AA439" s="7"/>
      <c r="AC439" s="7" t="str">
        <f t="shared" si="28"/>
        <v/>
      </c>
      <c r="AE439" s="42" t="str">
        <f t="shared" si="29"/>
        <v/>
      </c>
      <c r="AG439" s="162" t="s">
        <v>377</v>
      </c>
      <c r="AH439" s="10" t="s">
        <v>289</v>
      </c>
      <c r="AI439" s="10"/>
      <c r="AJ439" s="10"/>
    </row>
    <row r="440" spans="1:36">
      <c r="A440" s="173"/>
      <c r="B440" s="49"/>
      <c r="C440" s="49" t="s">
        <v>12</v>
      </c>
      <c r="D440" s="49"/>
      <c r="E440" s="301" t="s">
        <v>510</v>
      </c>
      <c r="F440" s="301">
        <f>'Other Rev'!$H$75</f>
        <v>0</v>
      </c>
      <c r="G440" s="7">
        <f>+Adjustments!V440</f>
        <v>0</v>
      </c>
      <c r="H440" s="7"/>
      <c r="I440" s="7">
        <f>SUM($F$440:$H$440)</f>
        <v>0</v>
      </c>
      <c r="J440" s="7">
        <f>+I440-'ROR-Model'!I440</f>
        <v>0</v>
      </c>
      <c r="K440" s="7"/>
      <c r="L440" s="7" t="s">
        <v>12</v>
      </c>
      <c r="M440" s="7">
        <f>VLOOKUP($L440,$L$2:$N$7,2,FALSE)*I440</f>
        <v>0</v>
      </c>
      <c r="N440" s="7">
        <f>VLOOKUP($L440,$L$2:$N$7,3,FALSE)*I440</f>
        <v>0</v>
      </c>
      <c r="O440" s="120"/>
      <c r="P440" s="192" t="s">
        <v>510</v>
      </c>
      <c r="Q440" s="7">
        <f>IF(P440="G",M440,IF(P440="PT",0,ERR))</f>
        <v>0</v>
      </c>
      <c r="R440" s="7">
        <f>IF(P440="PT",M440,IF(P440="G",0,ERR))</f>
        <v>0</v>
      </c>
      <c r="S440" s="126" t="s">
        <v>510</v>
      </c>
      <c r="T440" s="7">
        <f>IF(S440="G",N440,IF(S440="PT",0,ERR))</f>
        <v>0</v>
      </c>
      <c r="U440" s="7">
        <f>IF(S440="PT",N440,IF(S440="G",0,ERR))</f>
        <v>0</v>
      </c>
      <c r="V440" s="124"/>
      <c r="W440" s="7">
        <f>HLOOKUP($W$9,'ROR-Model'!$Q$10:$U$1273,Y440)</f>
        <v>0</v>
      </c>
      <c r="X440" s="139"/>
      <c r="Y440" s="3">
        <f t="shared" si="27"/>
        <v>431</v>
      </c>
      <c r="AA440" s="7">
        <v>0</v>
      </c>
      <c r="AC440" s="7" t="str">
        <f t="shared" si="28"/>
        <v/>
      </c>
      <c r="AE440" s="42" t="str">
        <f t="shared" si="29"/>
        <v/>
      </c>
      <c r="AG440" s="162"/>
      <c r="AH440" s="10"/>
      <c r="AI440" s="10" t="s">
        <v>12</v>
      </c>
      <c r="AJ440" s="10"/>
    </row>
    <row r="441" spans="1:36">
      <c r="A441" s="173"/>
      <c r="B441" s="49"/>
      <c r="C441" s="49" t="s">
        <v>23</v>
      </c>
      <c r="D441" s="49"/>
      <c r="E441" s="301" t="s">
        <v>510</v>
      </c>
      <c r="F441" s="301">
        <f>'Other Rev'!$H$76</f>
        <v>0</v>
      </c>
      <c r="G441" s="7">
        <f>+Adjustments!V441</f>
        <v>0</v>
      </c>
      <c r="H441" s="7"/>
      <c r="I441" s="7">
        <f>SUM($F$441:$H$441)</f>
        <v>0</v>
      </c>
      <c r="J441" s="7">
        <f>+I441-'ROR-Model'!I441</f>
        <v>0</v>
      </c>
      <c r="K441" s="7"/>
      <c r="L441" s="7" t="s">
        <v>23</v>
      </c>
      <c r="M441" s="7">
        <f>VLOOKUP($L441,$L$2:$N$7,2,FALSE)*I441</f>
        <v>0</v>
      </c>
      <c r="N441" s="7">
        <f>VLOOKUP($L441,$L$2:$N$7,3,FALSE)*I441</f>
        <v>0</v>
      </c>
      <c r="O441" s="120"/>
      <c r="P441" s="192" t="s">
        <v>510</v>
      </c>
      <c r="Q441" s="7">
        <f>IF(P441="G",M441,IF(P441="PT",0,ERR))</f>
        <v>0</v>
      </c>
      <c r="R441" s="7">
        <f>IF(P441="PT",M441,IF(P441="G",0,ERR))</f>
        <v>0</v>
      </c>
      <c r="S441" s="126" t="s">
        <v>510</v>
      </c>
      <c r="T441" s="7">
        <f>IF(S441="G",N441,IF(S441="PT",0,ERR))</f>
        <v>0</v>
      </c>
      <c r="U441" s="7">
        <f>IF(S441="PT",N441,IF(S441="G",0,ERR))</f>
        <v>0</v>
      </c>
      <c r="V441" s="124"/>
      <c r="W441" s="7">
        <f>HLOOKUP($W$9,'ROR-Model'!$Q$10:$U$1273,Y441)</f>
        <v>0</v>
      </c>
      <c r="X441" s="139"/>
      <c r="Y441" s="3">
        <f t="shared" si="27"/>
        <v>432</v>
      </c>
      <c r="AA441" s="7">
        <v>0</v>
      </c>
      <c r="AC441" s="7" t="str">
        <f t="shared" si="28"/>
        <v/>
      </c>
      <c r="AE441" s="42" t="str">
        <f t="shared" si="29"/>
        <v/>
      </c>
      <c r="AG441" s="162"/>
      <c r="AH441" s="10"/>
      <c r="AI441" s="10" t="s">
        <v>23</v>
      </c>
      <c r="AJ441" s="10"/>
    </row>
    <row r="442" spans="1:36">
      <c r="A442" s="173"/>
      <c r="B442" s="49"/>
      <c r="C442" s="49" t="s">
        <v>145</v>
      </c>
      <c r="D442" s="49"/>
      <c r="E442" s="140"/>
      <c r="F442" s="140">
        <f>SUM(F440:F441)</f>
        <v>0</v>
      </c>
      <c r="G442" s="140">
        <f>SUM(G440:G441)</f>
        <v>0</v>
      </c>
      <c r="H442" s="140">
        <f>SUM(H440:H441)</f>
        <v>0</v>
      </c>
      <c r="I442" s="140">
        <f>SUM(I440:I441)</f>
        <v>0</v>
      </c>
      <c r="J442" s="7">
        <f>+I442-'ROR-Model'!I442</f>
        <v>0</v>
      </c>
      <c r="K442" s="7"/>
      <c r="L442" s="140"/>
      <c r="M442" s="140">
        <f>SUM(M440:M441)</f>
        <v>0</v>
      </c>
      <c r="N442" s="140">
        <f>SUM(N440:N441)</f>
        <v>0</v>
      </c>
      <c r="O442" s="120"/>
      <c r="P442" s="192"/>
      <c r="Q442" s="140">
        <f>SUM(Q440:Q441)</f>
        <v>0</v>
      </c>
      <c r="R442" s="140">
        <f>SUM(R440:R441)</f>
        <v>0</v>
      </c>
      <c r="S442" s="201"/>
      <c r="T442" s="140">
        <f>SUM(T440:T441)</f>
        <v>0</v>
      </c>
      <c r="U442" s="140">
        <f>SUM(U440:U441)</f>
        <v>0</v>
      </c>
      <c r="V442" s="124"/>
      <c r="W442" s="140">
        <f>HLOOKUP($W$9,'ROR-Model'!$Q$10:$U$1273,Y442)</f>
        <v>0</v>
      </c>
      <c r="X442" s="139"/>
      <c r="Y442" s="3">
        <f t="shared" si="27"/>
        <v>433</v>
      </c>
      <c r="AA442" s="140">
        <v>0</v>
      </c>
      <c r="AC442" s="140" t="str">
        <f t="shared" si="28"/>
        <v/>
      </c>
      <c r="AE442" s="42" t="str">
        <f t="shared" si="29"/>
        <v/>
      </c>
      <c r="AG442" s="162"/>
      <c r="AH442" s="10"/>
      <c r="AI442" s="10" t="s">
        <v>145</v>
      </c>
      <c r="AJ442" s="10"/>
    </row>
    <row r="443" spans="1:36">
      <c r="A443" s="173"/>
      <c r="B443" s="49"/>
      <c r="C443" s="49"/>
      <c r="D443" s="49"/>
      <c r="E443" s="7"/>
      <c r="F443" s="7"/>
      <c r="G443" s="7"/>
      <c r="H443" s="7"/>
      <c r="I443" s="7"/>
      <c r="J443" s="7">
        <f>+I443-'ROR-Model'!I443</f>
        <v>0</v>
      </c>
      <c r="K443" s="7"/>
      <c r="L443" s="7"/>
      <c r="M443" s="7"/>
      <c r="N443" s="7"/>
      <c r="O443" s="120"/>
      <c r="P443" s="192"/>
      <c r="Q443" s="7"/>
      <c r="R443" s="7"/>
      <c r="S443" s="126"/>
      <c r="T443" s="7"/>
      <c r="U443" s="7"/>
      <c r="V443" s="124"/>
      <c r="W443" s="7"/>
      <c r="X443" s="139"/>
      <c r="Y443" s="3">
        <f t="shared" si="27"/>
        <v>434</v>
      </c>
      <c r="AA443" s="7"/>
      <c r="AC443" s="7" t="str">
        <f t="shared" si="28"/>
        <v/>
      </c>
      <c r="AE443" s="42" t="str">
        <f t="shared" si="29"/>
        <v/>
      </c>
      <c r="AG443" s="162"/>
      <c r="AH443" s="10"/>
      <c r="AI443" s="10"/>
      <c r="AJ443" s="10"/>
    </row>
    <row r="444" spans="1:36">
      <c r="A444" s="173" t="s">
        <v>378</v>
      </c>
      <c r="B444" s="49" t="s">
        <v>290</v>
      </c>
      <c r="C444" s="49"/>
      <c r="D444" s="49"/>
      <c r="E444" s="7"/>
      <c r="F444" s="7"/>
      <c r="G444" s="7"/>
      <c r="H444" s="7"/>
      <c r="I444" s="7"/>
      <c r="J444" s="7">
        <f>+I444-'ROR-Model'!I444</f>
        <v>0</v>
      </c>
      <c r="K444" s="7"/>
      <c r="L444" s="7"/>
      <c r="M444" s="7"/>
      <c r="N444" s="7"/>
      <c r="O444" s="120"/>
      <c r="P444" s="192"/>
      <c r="Q444" s="7"/>
      <c r="R444" s="7"/>
      <c r="S444" s="126"/>
      <c r="T444" s="7"/>
      <c r="U444" s="7"/>
      <c r="V444" s="124"/>
      <c r="W444" s="7"/>
      <c r="X444" s="139"/>
      <c r="Y444" s="3">
        <f t="shared" si="27"/>
        <v>435</v>
      </c>
      <c r="AA444" s="7"/>
      <c r="AC444" s="7" t="str">
        <f t="shared" si="28"/>
        <v/>
      </c>
      <c r="AE444" s="42" t="str">
        <f t="shared" si="29"/>
        <v/>
      </c>
      <c r="AG444" s="162" t="s">
        <v>378</v>
      </c>
      <c r="AH444" s="10" t="s">
        <v>290</v>
      </c>
      <c r="AI444" s="10"/>
      <c r="AJ444" s="10"/>
    </row>
    <row r="445" spans="1:36">
      <c r="A445" s="173"/>
      <c r="B445" s="49"/>
      <c r="C445" s="49" t="s">
        <v>12</v>
      </c>
      <c r="D445" s="49"/>
      <c r="E445" s="301" t="s">
        <v>510</v>
      </c>
      <c r="F445" s="301">
        <f>'Other Rev'!$H$80</f>
        <v>0</v>
      </c>
      <c r="G445" s="7">
        <f>+Adjustments!V445</f>
        <v>0</v>
      </c>
      <c r="H445" s="7"/>
      <c r="I445" s="7">
        <f>SUM($F$445:$H$445)</f>
        <v>0</v>
      </c>
      <c r="J445" s="7">
        <f>+I445-'ROR-Model'!I445</f>
        <v>0</v>
      </c>
      <c r="K445" s="7"/>
      <c r="L445" s="7" t="s">
        <v>12</v>
      </c>
      <c r="M445" s="7">
        <f>VLOOKUP($L445,$L$2:$N$7,2,FALSE)*I445</f>
        <v>0</v>
      </c>
      <c r="N445" s="7">
        <f>VLOOKUP($L445,$L$2:$N$7,3,FALSE)*I445</f>
        <v>0</v>
      </c>
      <c r="O445" s="120"/>
      <c r="P445" s="192" t="s">
        <v>510</v>
      </c>
      <c r="Q445" s="7">
        <f>IF(P445="G",M445,IF(P445="PT",0,ERR))</f>
        <v>0</v>
      </c>
      <c r="R445" s="7">
        <f>IF(P445="PT",M445,IF(P445="G",0,ERR))</f>
        <v>0</v>
      </c>
      <c r="S445" s="126" t="s">
        <v>510</v>
      </c>
      <c r="T445" s="7">
        <f>IF(S445="G",N445,IF(S445="PT",0,ERR))</f>
        <v>0</v>
      </c>
      <c r="U445" s="7">
        <f>IF(S445="PT",N445,IF(S445="G",0,ERR))</f>
        <v>0</v>
      </c>
      <c r="V445" s="124"/>
      <c r="W445" s="7">
        <f>HLOOKUP($W$9,'ROR-Model'!$Q$10:$U$1273,Y445)</f>
        <v>0</v>
      </c>
      <c r="X445" s="139"/>
      <c r="Y445" s="3">
        <f t="shared" si="27"/>
        <v>436</v>
      </c>
      <c r="AA445" s="7">
        <v>0</v>
      </c>
      <c r="AC445" s="7" t="str">
        <f t="shared" si="28"/>
        <v/>
      </c>
      <c r="AE445" s="42" t="str">
        <f t="shared" si="29"/>
        <v/>
      </c>
      <c r="AG445" s="162"/>
      <c r="AH445" s="10"/>
      <c r="AI445" s="10" t="s">
        <v>12</v>
      </c>
      <c r="AJ445" s="10"/>
    </row>
    <row r="446" spans="1:36">
      <c r="A446" s="173"/>
      <c r="B446" s="49"/>
      <c r="C446" s="49" t="s">
        <v>23</v>
      </c>
      <c r="D446" s="49"/>
      <c r="E446" s="301" t="s">
        <v>510</v>
      </c>
      <c r="F446" s="301">
        <f>'Other Rev'!$H$81</f>
        <v>0</v>
      </c>
      <c r="G446" s="7">
        <f>+Adjustments!V446</f>
        <v>0</v>
      </c>
      <c r="H446" s="7"/>
      <c r="I446" s="7">
        <f>SUM($F$446:$H$446)</f>
        <v>0</v>
      </c>
      <c r="J446" s="7">
        <f>+I446-'ROR-Model'!I446</f>
        <v>0</v>
      </c>
      <c r="K446" s="7"/>
      <c r="L446" s="7" t="s">
        <v>23</v>
      </c>
      <c r="M446" s="7">
        <f>VLOOKUP($L446,$L$2:$N$7,2,FALSE)*I446</f>
        <v>0</v>
      </c>
      <c r="N446" s="7">
        <f>VLOOKUP($L446,$L$2:$N$7,3,FALSE)*I446</f>
        <v>0</v>
      </c>
      <c r="O446" s="120"/>
      <c r="P446" s="192" t="s">
        <v>510</v>
      </c>
      <c r="Q446" s="7">
        <f>IF(P446="G",M446,IF(P446="PT",0,ERR))</f>
        <v>0</v>
      </c>
      <c r="R446" s="7">
        <f>IF(P446="PT",M446,IF(P446="G",0,ERR))</f>
        <v>0</v>
      </c>
      <c r="S446" s="126" t="s">
        <v>510</v>
      </c>
      <c r="T446" s="7">
        <f>IF(S446="G",N446,IF(S446="PT",0,ERR))</f>
        <v>0</v>
      </c>
      <c r="U446" s="7">
        <f>IF(S446="PT",N446,IF(S446="G",0,ERR))</f>
        <v>0</v>
      </c>
      <c r="V446" s="124"/>
      <c r="W446" s="7">
        <f>HLOOKUP($W$9,'ROR-Model'!$Q$10:$U$1273,Y446)</f>
        <v>0</v>
      </c>
      <c r="X446" s="139"/>
      <c r="Y446" s="3">
        <f t="shared" si="27"/>
        <v>437</v>
      </c>
      <c r="AA446" s="7">
        <v>0</v>
      </c>
      <c r="AC446" s="7" t="str">
        <f t="shared" si="28"/>
        <v/>
      </c>
      <c r="AE446" s="42" t="str">
        <f t="shared" si="29"/>
        <v/>
      </c>
      <c r="AG446" s="162"/>
      <c r="AH446" s="10"/>
      <c r="AI446" s="10" t="s">
        <v>23</v>
      </c>
      <c r="AJ446" s="10"/>
    </row>
    <row r="447" spans="1:36">
      <c r="A447" s="173"/>
      <c r="B447" s="49"/>
      <c r="C447" s="49" t="s">
        <v>145</v>
      </c>
      <c r="D447" s="49"/>
      <c r="E447" s="140"/>
      <c r="F447" s="140">
        <f>SUM(F445:F446)</f>
        <v>0</v>
      </c>
      <c r="G447" s="140">
        <f>SUM(G445:G446)</f>
        <v>0</v>
      </c>
      <c r="H447" s="140">
        <f>SUM(H445:H446)</f>
        <v>0</v>
      </c>
      <c r="I447" s="140">
        <f>SUM(I445:I446)</f>
        <v>0</v>
      </c>
      <c r="J447" s="7">
        <f>+I447-'ROR-Model'!I447</f>
        <v>0</v>
      </c>
      <c r="K447" s="7"/>
      <c r="L447" s="140"/>
      <c r="M447" s="140">
        <f>SUM(M445:M446)</f>
        <v>0</v>
      </c>
      <c r="N447" s="140">
        <f>SUM(N445:N446)</f>
        <v>0</v>
      </c>
      <c r="O447" s="120"/>
      <c r="P447" s="192"/>
      <c r="Q447" s="140">
        <f>SUM(Q445:Q446)</f>
        <v>0</v>
      </c>
      <c r="R447" s="140">
        <f>SUM(R445:R446)</f>
        <v>0</v>
      </c>
      <c r="S447" s="201"/>
      <c r="T447" s="140">
        <f>SUM(T445:T446)</f>
        <v>0</v>
      </c>
      <c r="U447" s="140">
        <f>SUM(U445:U446)</f>
        <v>0</v>
      </c>
      <c r="V447" s="124"/>
      <c r="W447" s="140">
        <f>HLOOKUP($W$9,'ROR-Model'!$Q$10:$U$1273,Y447)</f>
        <v>0</v>
      </c>
      <c r="X447" s="139"/>
      <c r="Y447" s="3">
        <f t="shared" si="27"/>
        <v>438</v>
      </c>
      <c r="AA447" s="140">
        <v>0</v>
      </c>
      <c r="AC447" s="140" t="str">
        <f t="shared" si="28"/>
        <v/>
      </c>
      <c r="AE447" s="42" t="str">
        <f t="shared" si="29"/>
        <v/>
      </c>
      <c r="AG447" s="162"/>
      <c r="AH447" s="10"/>
      <c r="AI447" s="10" t="s">
        <v>145</v>
      </c>
      <c r="AJ447" s="10"/>
    </row>
    <row r="448" spans="1:36">
      <c r="A448" s="173"/>
      <c r="B448" s="49"/>
      <c r="C448" s="49"/>
      <c r="D448" s="49"/>
      <c r="E448" s="7"/>
      <c r="F448" s="7"/>
      <c r="G448" s="7"/>
      <c r="H448" s="7"/>
      <c r="I448" s="7"/>
      <c r="J448" s="7">
        <f>+I448-'ROR-Model'!I448</f>
        <v>0</v>
      </c>
      <c r="K448" s="7"/>
      <c r="L448" s="7"/>
      <c r="M448" s="7"/>
      <c r="N448" s="7"/>
      <c r="O448" s="120"/>
      <c r="P448" s="192"/>
      <c r="Q448" s="7"/>
      <c r="R448" s="7"/>
      <c r="S448" s="126"/>
      <c r="T448" s="7"/>
      <c r="U448" s="7"/>
      <c r="V448" s="124"/>
      <c r="W448" s="7"/>
      <c r="X448" s="139"/>
      <c r="Y448" s="3">
        <f t="shared" si="27"/>
        <v>439</v>
      </c>
      <c r="AA448" s="7"/>
      <c r="AC448" s="7" t="str">
        <f t="shared" si="28"/>
        <v/>
      </c>
      <c r="AE448" s="42" t="str">
        <f t="shared" si="29"/>
        <v/>
      </c>
      <c r="AG448" s="162"/>
      <c r="AH448" s="10"/>
      <c r="AI448" s="10"/>
      <c r="AJ448" s="10"/>
    </row>
    <row r="449" spans="1:36">
      <c r="A449" s="173" t="s">
        <v>379</v>
      </c>
      <c r="B449" s="49" t="s">
        <v>291</v>
      </c>
      <c r="C449" s="49"/>
      <c r="D449" s="49"/>
      <c r="E449" s="7"/>
      <c r="F449" s="7"/>
      <c r="G449" s="7"/>
      <c r="H449" s="7"/>
      <c r="I449" s="7"/>
      <c r="J449" s="7">
        <f>+I449-'ROR-Model'!I449</f>
        <v>0</v>
      </c>
      <c r="K449" s="7"/>
      <c r="L449" s="7"/>
      <c r="M449" s="7"/>
      <c r="N449" s="7"/>
      <c r="O449" s="120"/>
      <c r="P449" s="192"/>
      <c r="Q449" s="7"/>
      <c r="R449" s="7"/>
      <c r="S449" s="126"/>
      <c r="T449" s="7"/>
      <c r="U449" s="7"/>
      <c r="V449" s="124"/>
      <c r="W449" s="7"/>
      <c r="X449" s="139"/>
      <c r="Y449" s="3">
        <f t="shared" si="27"/>
        <v>440</v>
      </c>
      <c r="AA449" s="7"/>
      <c r="AC449" s="7" t="str">
        <f t="shared" si="28"/>
        <v/>
      </c>
      <c r="AE449" s="42" t="str">
        <f t="shared" si="29"/>
        <v/>
      </c>
      <c r="AG449" s="162" t="s">
        <v>379</v>
      </c>
      <c r="AH449" s="10" t="s">
        <v>291</v>
      </c>
      <c r="AI449" s="10"/>
      <c r="AJ449" s="10"/>
    </row>
    <row r="450" spans="1:36">
      <c r="A450" s="173"/>
      <c r="B450" s="49"/>
      <c r="C450" s="49" t="s">
        <v>12</v>
      </c>
      <c r="D450" s="49"/>
      <c r="E450" s="301" t="s">
        <v>510</v>
      </c>
      <c r="F450" s="301">
        <f>'Other Rev'!$H$85</f>
        <v>0</v>
      </c>
      <c r="G450" s="7">
        <f>+Adjustments!V450</f>
        <v>0</v>
      </c>
      <c r="H450" s="7"/>
      <c r="I450" s="7">
        <f>SUM($F$450:$H$450)</f>
        <v>0</v>
      </c>
      <c r="J450" s="7">
        <f>+I450-'ROR-Model'!I450</f>
        <v>0</v>
      </c>
      <c r="K450" s="7"/>
      <c r="L450" s="7" t="s">
        <v>12</v>
      </c>
      <c r="M450" s="7">
        <f>VLOOKUP($L450,$L$2:$N$7,2,FALSE)*I450</f>
        <v>0</v>
      </c>
      <c r="N450" s="7">
        <f>VLOOKUP($L450,$L$2:$N$7,3,FALSE)*I450</f>
        <v>0</v>
      </c>
      <c r="O450" s="120"/>
      <c r="P450" s="192" t="s">
        <v>510</v>
      </c>
      <c r="Q450" s="7">
        <f>IF(P450="G",M450,IF(P450="PT",0,ERR))</f>
        <v>0</v>
      </c>
      <c r="R450" s="7">
        <f>IF(P450="PT",M450,IF(P450="G",0,ERR))</f>
        <v>0</v>
      </c>
      <c r="S450" s="126" t="s">
        <v>510</v>
      </c>
      <c r="T450" s="7">
        <f>IF(S450="G",N450,IF(S450="PT",0,ERR))</f>
        <v>0</v>
      </c>
      <c r="U450" s="7">
        <f>IF(S450="PT",N450,IF(S450="G",0,ERR))</f>
        <v>0</v>
      </c>
      <c r="V450" s="124"/>
      <c r="W450" s="7">
        <f>HLOOKUP($W$9,'ROR-Model'!$Q$10:$U$1273,Y450)</f>
        <v>0</v>
      </c>
      <c r="X450" s="139"/>
      <c r="Y450" s="3">
        <f t="shared" si="27"/>
        <v>441</v>
      </c>
      <c r="AA450" s="7">
        <v>0</v>
      </c>
      <c r="AC450" s="7" t="str">
        <f t="shared" si="28"/>
        <v/>
      </c>
      <c r="AE450" s="42" t="str">
        <f t="shared" si="29"/>
        <v/>
      </c>
      <c r="AG450" s="162"/>
      <c r="AH450" s="10"/>
      <c r="AI450" s="10" t="s">
        <v>12</v>
      </c>
      <c r="AJ450" s="10"/>
    </row>
    <row r="451" spans="1:36">
      <c r="A451" s="173"/>
      <c r="B451" s="49"/>
      <c r="C451" s="49" t="s">
        <v>23</v>
      </c>
      <c r="D451" s="49"/>
      <c r="E451" s="301" t="s">
        <v>510</v>
      </c>
      <c r="F451" s="301">
        <f>'Other Rev'!$H$86</f>
        <v>0</v>
      </c>
      <c r="G451" s="7">
        <f>+Adjustments!V451</f>
        <v>0</v>
      </c>
      <c r="H451" s="7"/>
      <c r="I451" s="7">
        <f>SUM($F$451:$H$451)</f>
        <v>0</v>
      </c>
      <c r="J451" s="7">
        <f>+I451-'ROR-Model'!I451</f>
        <v>0</v>
      </c>
      <c r="K451" s="7"/>
      <c r="L451" s="7" t="s">
        <v>23</v>
      </c>
      <c r="M451" s="7">
        <f>VLOOKUP($L451,$L$2:$N$7,2,FALSE)*I451</f>
        <v>0</v>
      </c>
      <c r="N451" s="7">
        <f>VLOOKUP($L451,$L$2:$N$7,3,FALSE)*I451</f>
        <v>0</v>
      </c>
      <c r="O451" s="120"/>
      <c r="P451" s="192" t="s">
        <v>510</v>
      </c>
      <c r="Q451" s="7">
        <f>IF(P451="G",M451,IF(P451="PT",0,ERR))</f>
        <v>0</v>
      </c>
      <c r="R451" s="7">
        <f>IF(P451="PT",M451,IF(P451="G",0,ERR))</f>
        <v>0</v>
      </c>
      <c r="S451" s="126" t="s">
        <v>510</v>
      </c>
      <c r="T451" s="7">
        <f>IF(S451="G",N451,IF(S451="PT",0,ERR))</f>
        <v>0</v>
      </c>
      <c r="U451" s="7">
        <f>IF(S451="PT",N451,IF(S451="G",0,ERR))</f>
        <v>0</v>
      </c>
      <c r="V451" s="124"/>
      <c r="W451" s="7">
        <f>HLOOKUP($W$9,'ROR-Model'!$Q$10:$U$1273,Y451)</f>
        <v>0</v>
      </c>
      <c r="X451" s="139"/>
      <c r="Y451" s="3">
        <f t="shared" si="27"/>
        <v>442</v>
      </c>
      <c r="AA451" s="7">
        <v>0</v>
      </c>
      <c r="AC451" s="7" t="str">
        <f t="shared" si="28"/>
        <v/>
      </c>
      <c r="AE451" s="42" t="str">
        <f t="shared" si="29"/>
        <v/>
      </c>
      <c r="AG451" s="162"/>
      <c r="AH451" s="10"/>
      <c r="AI451" s="10" t="s">
        <v>23</v>
      </c>
      <c r="AJ451" s="10"/>
    </row>
    <row r="452" spans="1:36">
      <c r="A452" s="173"/>
      <c r="B452" s="49"/>
      <c r="C452" s="49" t="s">
        <v>145</v>
      </c>
      <c r="D452" s="49"/>
      <c r="E452" s="140"/>
      <c r="F452" s="140">
        <f>SUM(F450:F451)</f>
        <v>0</v>
      </c>
      <c r="G452" s="140">
        <f>SUM(G450:G451)</f>
        <v>0</v>
      </c>
      <c r="H452" s="140">
        <f>SUM(H450:H451)</f>
        <v>0</v>
      </c>
      <c r="I452" s="140">
        <f>SUM(I450:I451)</f>
        <v>0</v>
      </c>
      <c r="J452" s="7">
        <f>+I452-'ROR-Model'!I452</f>
        <v>0</v>
      </c>
      <c r="K452" s="7"/>
      <c r="L452" s="140"/>
      <c r="M452" s="140">
        <f>SUM(M450:M451)</f>
        <v>0</v>
      </c>
      <c r="N452" s="140">
        <f>SUM(N450:N451)</f>
        <v>0</v>
      </c>
      <c r="O452" s="120"/>
      <c r="P452" s="192"/>
      <c r="Q452" s="140">
        <f>SUM(Q450:Q451)</f>
        <v>0</v>
      </c>
      <c r="R452" s="140">
        <f>SUM(R450:R451)</f>
        <v>0</v>
      </c>
      <c r="S452" s="201"/>
      <c r="T452" s="140">
        <f>SUM(T450:T451)</f>
        <v>0</v>
      </c>
      <c r="U452" s="140">
        <f>SUM(U450:U451)</f>
        <v>0</v>
      </c>
      <c r="V452" s="124"/>
      <c r="W452" s="140">
        <f>HLOOKUP($W$9,'ROR-Model'!$Q$10:$U$1273,Y452)</f>
        <v>0</v>
      </c>
      <c r="X452" s="139"/>
      <c r="Y452" s="3">
        <f t="shared" si="27"/>
        <v>443</v>
      </c>
      <c r="AA452" s="140">
        <v>0</v>
      </c>
      <c r="AC452" s="140" t="str">
        <f t="shared" si="28"/>
        <v/>
      </c>
      <c r="AE452" s="42" t="str">
        <f t="shared" si="29"/>
        <v/>
      </c>
      <c r="AG452" s="162"/>
      <c r="AH452" s="10"/>
      <c r="AI452" s="10" t="s">
        <v>145</v>
      </c>
      <c r="AJ452" s="10"/>
    </row>
    <row r="453" spans="1:36">
      <c r="A453" s="137"/>
      <c r="B453" s="47"/>
      <c r="C453" s="47"/>
      <c r="D453" s="47"/>
      <c r="E453" s="7"/>
      <c r="F453" s="7"/>
      <c r="G453" s="7"/>
      <c r="H453" s="7"/>
      <c r="I453" s="7"/>
      <c r="J453" s="7">
        <f>+I453-'ROR-Model'!I453</f>
        <v>0</v>
      </c>
      <c r="K453" s="7"/>
      <c r="L453" s="7"/>
      <c r="M453" s="7"/>
      <c r="N453" s="7"/>
      <c r="O453" s="120"/>
      <c r="P453" s="192"/>
      <c r="Q453" s="7"/>
      <c r="R453" s="7"/>
      <c r="S453" s="126"/>
      <c r="T453" s="7"/>
      <c r="U453" s="7"/>
      <c r="V453" s="124"/>
      <c r="W453" s="7"/>
      <c r="X453" s="139"/>
      <c r="Y453" s="3">
        <f t="shared" si="27"/>
        <v>444</v>
      </c>
      <c r="AA453" s="7"/>
      <c r="AC453" s="7" t="str">
        <f t="shared" si="28"/>
        <v/>
      </c>
      <c r="AE453" s="42" t="str">
        <f t="shared" si="29"/>
        <v/>
      </c>
      <c r="AG453" s="162"/>
      <c r="AH453" s="10"/>
      <c r="AI453" s="10"/>
      <c r="AJ453" s="10"/>
    </row>
    <row r="454" spans="1:36">
      <c r="A454" s="137">
        <v>4891</v>
      </c>
      <c r="B454" s="152" t="s">
        <v>255</v>
      </c>
      <c r="C454" s="47"/>
      <c r="D454" s="47"/>
      <c r="E454" s="7"/>
      <c r="F454" s="7"/>
      <c r="G454" s="7"/>
      <c r="H454" s="7"/>
      <c r="I454" s="7"/>
      <c r="J454" s="7">
        <f>+I454-'ROR-Model'!I454</f>
        <v>0</v>
      </c>
      <c r="K454" s="7"/>
      <c r="L454" s="7"/>
      <c r="M454" s="7"/>
      <c r="N454" s="7"/>
      <c r="O454" s="120"/>
      <c r="P454" s="192"/>
      <c r="Q454" s="7"/>
      <c r="R454" s="7"/>
      <c r="S454" s="126"/>
      <c r="T454" s="7"/>
      <c r="U454" s="7"/>
      <c r="V454" s="124"/>
      <c r="W454" s="7"/>
      <c r="X454" s="139"/>
      <c r="Y454" s="3">
        <f t="shared" si="27"/>
        <v>445</v>
      </c>
      <c r="AA454" s="7"/>
      <c r="AC454" s="7" t="str">
        <f t="shared" si="28"/>
        <v/>
      </c>
      <c r="AE454" s="42" t="str">
        <f t="shared" si="29"/>
        <v/>
      </c>
      <c r="AG454" s="162">
        <v>4891</v>
      </c>
      <c r="AH454" s="10" t="s">
        <v>255</v>
      </c>
      <c r="AI454" s="10"/>
      <c r="AJ454" s="10"/>
    </row>
    <row r="455" spans="1:36">
      <c r="A455" s="137"/>
      <c r="B455" s="47"/>
      <c r="C455" s="47" t="s">
        <v>12</v>
      </c>
      <c r="D455" s="47"/>
      <c r="E455" s="301" t="s">
        <v>510</v>
      </c>
      <c r="F455" s="301">
        <f>'Other Rev'!$H$90</f>
        <v>299540.81</v>
      </c>
      <c r="G455" s="7">
        <f>+Adjustments!V455</f>
        <v>0</v>
      </c>
      <c r="H455" s="7"/>
      <c r="I455" s="7">
        <f>SUM($F$455:$H$455)</f>
        <v>299540.81</v>
      </c>
      <c r="J455" s="7">
        <f>+I455-'ROR-Model'!I455</f>
        <v>0</v>
      </c>
      <c r="K455" s="7"/>
      <c r="L455" s="7" t="s">
        <v>12</v>
      </c>
      <c r="M455" s="7">
        <f>VLOOKUP($L455,$L$2:$N$7,2,FALSE)*I455</f>
        <v>299540.81</v>
      </c>
      <c r="N455" s="7">
        <f>VLOOKUP($L455,$L$2:$N$7,3,FALSE)*I455</f>
        <v>0</v>
      </c>
      <c r="O455" s="120"/>
      <c r="P455" s="192" t="s">
        <v>510</v>
      </c>
      <c r="Q455" s="7">
        <f>IF(P455="G",M455,IF(P455="PT",0,ERR))</f>
        <v>299540.81</v>
      </c>
      <c r="R455" s="7">
        <f>IF(P455="PT",M455,IF(P455="G",0,ERR))</f>
        <v>0</v>
      </c>
      <c r="S455" s="126" t="s">
        <v>510</v>
      </c>
      <c r="T455" s="7">
        <f>IF(S455="G",N455,IF(S455="PT",0,ERR))</f>
        <v>0</v>
      </c>
      <c r="U455" s="7">
        <f>IF(S455="PT",N455,IF(S455="G",0,ERR))</f>
        <v>0</v>
      </c>
      <c r="V455" s="124"/>
      <c r="W455" s="7">
        <f>HLOOKUP($W$9,'ROR-Model'!$Q$10:$U$1273,Y455)</f>
        <v>299540.81</v>
      </c>
      <c r="X455" s="139"/>
      <c r="Y455" s="3">
        <f t="shared" si="27"/>
        <v>446</v>
      </c>
      <c r="AA455" s="7">
        <v>314543.76873900002</v>
      </c>
      <c r="AC455" s="7">
        <f t="shared" si="28"/>
        <v>-15002.958739000023</v>
      </c>
      <c r="AE455" s="42">
        <f t="shared" si="29"/>
        <v>-4.7697523302231037E-2</v>
      </c>
      <c r="AG455" s="162"/>
      <c r="AH455" s="10"/>
      <c r="AI455" s="10" t="s">
        <v>12</v>
      </c>
      <c r="AJ455" s="10"/>
    </row>
    <row r="456" spans="1:36">
      <c r="A456" s="137"/>
      <c r="B456" s="47"/>
      <c r="C456" s="47" t="s">
        <v>23</v>
      </c>
      <c r="D456" s="47"/>
      <c r="E456" s="301" t="s">
        <v>510</v>
      </c>
      <c r="F456" s="301">
        <f>'Other Rev'!$H$91</f>
        <v>0</v>
      </c>
      <c r="G456" s="7">
        <f>+Adjustments!V456</f>
        <v>0</v>
      </c>
      <c r="H456" s="7"/>
      <c r="I456" s="7">
        <f>SUM($F$456:$H$456)</f>
        <v>0</v>
      </c>
      <c r="J456" s="7">
        <f>+I456-'ROR-Model'!I456</f>
        <v>0</v>
      </c>
      <c r="K456" s="7"/>
      <c r="L456" s="7" t="s">
        <v>23</v>
      </c>
      <c r="M456" s="7">
        <f>VLOOKUP($L456,$L$2:$N$7,2,FALSE)*I456</f>
        <v>0</v>
      </c>
      <c r="N456" s="7">
        <f>VLOOKUP($L456,$L$2:$N$7,3,FALSE)*I456</f>
        <v>0</v>
      </c>
      <c r="O456" s="120"/>
      <c r="P456" s="192" t="s">
        <v>510</v>
      </c>
      <c r="Q456" s="7">
        <f>IF(P456="G",M456,IF(P456="PT",0,ERR))</f>
        <v>0</v>
      </c>
      <c r="R456" s="7">
        <f>IF(P456="PT",M456,IF(P456="G",0,ERR))</f>
        <v>0</v>
      </c>
      <c r="S456" s="126" t="s">
        <v>510</v>
      </c>
      <c r="T456" s="7">
        <f>IF(S456="G",N456,IF(S456="PT",0,ERR))</f>
        <v>0</v>
      </c>
      <c r="U456" s="7">
        <f>IF(S456="PT",N456,IF(S456="G",0,ERR))</f>
        <v>0</v>
      </c>
      <c r="V456" s="124"/>
      <c r="W456" s="7">
        <f>HLOOKUP($W$9,'ROR-Model'!$Q$10:$U$1273,Y456)</f>
        <v>0</v>
      </c>
      <c r="X456" s="139"/>
      <c r="Y456" s="3">
        <f t="shared" si="27"/>
        <v>447</v>
      </c>
      <c r="AA456" s="7">
        <v>0</v>
      </c>
      <c r="AC456" s="7" t="str">
        <f t="shared" si="28"/>
        <v/>
      </c>
      <c r="AE456" s="42" t="str">
        <f t="shared" si="29"/>
        <v/>
      </c>
      <c r="AG456" s="162"/>
      <c r="AH456" s="10"/>
      <c r="AI456" s="10" t="s">
        <v>23</v>
      </c>
      <c r="AJ456" s="10"/>
    </row>
    <row r="457" spans="1:36">
      <c r="A457" s="137"/>
      <c r="B457" s="47"/>
      <c r="C457" s="47" t="s">
        <v>145</v>
      </c>
      <c r="D457" s="47"/>
      <c r="E457" s="140"/>
      <c r="F457" s="140">
        <f>SUM(F455:F456)</f>
        <v>299540.81</v>
      </c>
      <c r="G457" s="140">
        <f>SUM(G455:G456)</f>
        <v>0</v>
      </c>
      <c r="H457" s="140">
        <f>SUM(H455:H456)</f>
        <v>0</v>
      </c>
      <c r="I457" s="140">
        <f>SUM(I455:I456)</f>
        <v>299540.81</v>
      </c>
      <c r="J457" s="7">
        <f>+I457-'ROR-Model'!I457</f>
        <v>0</v>
      </c>
      <c r="K457" s="7"/>
      <c r="L457" s="140"/>
      <c r="M457" s="140">
        <f>SUM(M455:M456)</f>
        <v>299540.81</v>
      </c>
      <c r="N457" s="140">
        <f>SUM(N455:N456)</f>
        <v>0</v>
      </c>
      <c r="O457" s="120"/>
      <c r="P457" s="192"/>
      <c r="Q457" s="140">
        <f>SUM(Q455:Q456)</f>
        <v>299540.81</v>
      </c>
      <c r="R457" s="140">
        <f>SUM(R455:R456)</f>
        <v>0</v>
      </c>
      <c r="S457" s="201"/>
      <c r="T457" s="140">
        <f>SUM(T455:T456)</f>
        <v>0</v>
      </c>
      <c r="U457" s="140">
        <f>SUM(U455:U456)</f>
        <v>0</v>
      </c>
      <c r="V457" s="124"/>
      <c r="W457" s="140">
        <f>HLOOKUP($W$9,'ROR-Model'!$Q$10:$U$1273,Y457)</f>
        <v>299540.81</v>
      </c>
      <c r="X457" s="139"/>
      <c r="Y457" s="3">
        <f t="shared" si="27"/>
        <v>448</v>
      </c>
      <c r="AA457" s="140">
        <v>314543.76873900002</v>
      </c>
      <c r="AC457" s="140">
        <f t="shared" si="28"/>
        <v>-15002.958739000023</v>
      </c>
      <c r="AE457" s="42">
        <f t="shared" si="29"/>
        <v>-4.7697523302231037E-2</v>
      </c>
      <c r="AG457" s="162"/>
      <c r="AH457" s="10"/>
      <c r="AI457" s="10" t="s">
        <v>145</v>
      </c>
      <c r="AJ457" s="10"/>
    </row>
    <row r="458" spans="1:36">
      <c r="A458" s="137"/>
      <c r="B458" s="47"/>
      <c r="C458" s="47"/>
      <c r="D458" s="47"/>
      <c r="E458" s="7"/>
      <c r="F458" s="7"/>
      <c r="G458" s="7"/>
      <c r="H458" s="7"/>
      <c r="I458" s="7"/>
      <c r="J458" s="7">
        <f>+I458-'ROR-Model'!I458</f>
        <v>0</v>
      </c>
      <c r="K458" s="7"/>
      <c r="L458" s="7"/>
      <c r="M458" s="7"/>
      <c r="N458" s="7"/>
      <c r="O458" s="120"/>
      <c r="P458" s="192"/>
      <c r="Q458" s="7"/>
      <c r="R458" s="7"/>
      <c r="S458" s="126"/>
      <c r="T458" s="7"/>
      <c r="U458" s="7"/>
      <c r="V458" s="124"/>
      <c r="W458" s="7"/>
      <c r="X458" s="139"/>
      <c r="Y458" s="3">
        <f t="shared" si="27"/>
        <v>449</v>
      </c>
      <c r="AA458" s="7"/>
      <c r="AC458" s="7" t="str">
        <f t="shared" si="28"/>
        <v/>
      </c>
      <c r="AE458" s="42" t="str">
        <f t="shared" si="29"/>
        <v/>
      </c>
      <c r="AG458" s="162"/>
      <c r="AH458" s="10"/>
      <c r="AI458" s="10"/>
      <c r="AJ458" s="10"/>
    </row>
    <row r="459" spans="1:36">
      <c r="A459" s="137">
        <v>490</v>
      </c>
      <c r="B459" s="47" t="s">
        <v>293</v>
      </c>
      <c r="C459" s="47"/>
      <c r="D459" s="47"/>
      <c r="E459" s="7"/>
      <c r="F459" s="7"/>
      <c r="G459" s="7"/>
      <c r="H459" s="7"/>
      <c r="I459" s="7"/>
      <c r="J459" s="7">
        <f>+I459-'ROR-Model'!I459</f>
        <v>0</v>
      </c>
      <c r="K459" s="7"/>
      <c r="L459" s="7"/>
      <c r="M459" s="7"/>
      <c r="N459" s="7"/>
      <c r="O459" s="120"/>
      <c r="P459" s="192"/>
      <c r="Q459" s="7"/>
      <c r="R459" s="7"/>
      <c r="S459" s="126"/>
      <c r="T459" s="7"/>
      <c r="U459" s="7"/>
      <c r="V459" s="124"/>
      <c r="W459" s="7"/>
      <c r="X459" s="139"/>
      <c r="Y459" s="3">
        <f t="shared" si="27"/>
        <v>450</v>
      </c>
      <c r="AA459" s="7"/>
      <c r="AC459" s="7" t="str">
        <f t="shared" si="28"/>
        <v/>
      </c>
      <c r="AE459" s="42" t="str">
        <f t="shared" si="29"/>
        <v/>
      </c>
      <c r="AG459" s="162">
        <v>490</v>
      </c>
      <c r="AH459" s="10" t="s">
        <v>293</v>
      </c>
      <c r="AI459" s="10"/>
      <c r="AJ459" s="10"/>
    </row>
    <row r="460" spans="1:36">
      <c r="A460" s="137"/>
      <c r="B460" s="47"/>
      <c r="C460" s="47" t="s">
        <v>12</v>
      </c>
      <c r="D460" s="47"/>
      <c r="E460" s="301" t="s">
        <v>509</v>
      </c>
      <c r="F460" s="301">
        <f>'Other Rev'!$H$95</f>
        <v>9041974.5519639999</v>
      </c>
      <c r="G460" s="7">
        <f>+Adjustments!V460</f>
        <v>0</v>
      </c>
      <c r="H460" s="7"/>
      <c r="I460" s="7">
        <f>SUM($F$460:$H$460)</f>
        <v>9041974.5519639999</v>
      </c>
      <c r="J460" s="7">
        <f>+I460-'ROR-Model'!I460</f>
        <v>0</v>
      </c>
      <c r="K460" s="7"/>
      <c r="L460" s="7" t="s">
        <v>12</v>
      </c>
      <c r="M460" s="7">
        <f>VLOOKUP($L460,$L$2:$N$7,2,FALSE)*I460</f>
        <v>9041974.5519639999</v>
      </c>
      <c r="N460" s="7">
        <f>VLOOKUP($L460,$L$2:$N$7,3,FALSE)*I460</f>
        <v>0</v>
      </c>
      <c r="O460" s="120"/>
      <c r="P460" s="192" t="s">
        <v>509</v>
      </c>
      <c r="Q460" s="7">
        <f>IF(P460="G",M460,IF(P460="PT",0,ERR))</f>
        <v>0</v>
      </c>
      <c r="R460" s="7">
        <f>IF(P460="PT",M460,IF(P460="G",0,ERR))</f>
        <v>9041974.5519639999</v>
      </c>
      <c r="S460" s="126" t="s">
        <v>509</v>
      </c>
      <c r="T460" s="7">
        <f>IF(S460="G",N460,IF(S460="PT",0,ERR))</f>
        <v>0</v>
      </c>
      <c r="U460" s="7">
        <f>IF(S460="PT",N460,IF(S460="G",0,ERR))</f>
        <v>0</v>
      </c>
      <c r="V460" s="124"/>
      <c r="W460" s="7">
        <f>HLOOKUP($W$9,'ROR-Model'!$Q$10:$U$1273,Y460)</f>
        <v>0</v>
      </c>
      <c r="X460" s="139"/>
      <c r="Y460" s="3">
        <f t="shared" si="27"/>
        <v>451</v>
      </c>
      <c r="AA460" s="7">
        <v>0</v>
      </c>
      <c r="AC460" s="7" t="str">
        <f t="shared" si="28"/>
        <v/>
      </c>
      <c r="AE460" s="42" t="str">
        <f t="shared" si="29"/>
        <v/>
      </c>
      <c r="AG460" s="162"/>
      <c r="AH460" s="10"/>
      <c r="AI460" s="10" t="s">
        <v>12</v>
      </c>
      <c r="AJ460" s="10"/>
    </row>
    <row r="461" spans="1:36">
      <c r="A461" s="137"/>
      <c r="B461" s="47"/>
      <c r="C461" s="47" t="s">
        <v>23</v>
      </c>
      <c r="D461" s="47"/>
      <c r="E461" s="301" t="s">
        <v>509</v>
      </c>
      <c r="F461" s="301">
        <f>'Other Rev'!$H$96</f>
        <v>290585.04803599993</v>
      </c>
      <c r="G461" s="7">
        <f>+Adjustments!V461</f>
        <v>0</v>
      </c>
      <c r="H461" s="7"/>
      <c r="I461" s="7">
        <f>SUM($F$461:$H$461)</f>
        <v>290585.04803599993</v>
      </c>
      <c r="J461" s="7">
        <f>+I461-'ROR-Model'!I461</f>
        <v>0</v>
      </c>
      <c r="K461" s="7"/>
      <c r="L461" s="7" t="s">
        <v>23</v>
      </c>
      <c r="M461" s="7">
        <f>VLOOKUP($L461,$L$2:$N$7,2,FALSE)*I461</f>
        <v>0</v>
      </c>
      <c r="N461" s="7">
        <f>VLOOKUP($L461,$L$2:$N$7,3,FALSE)*I461</f>
        <v>290585.04803599993</v>
      </c>
      <c r="O461" s="120"/>
      <c r="P461" s="192" t="s">
        <v>509</v>
      </c>
      <c r="Q461" s="7">
        <f>IF(P461="G",M461,IF(P461="PT",0,ERR))</f>
        <v>0</v>
      </c>
      <c r="R461" s="7">
        <f>IF(P461="PT",M461,IF(P461="G",0,ERR))</f>
        <v>0</v>
      </c>
      <c r="S461" s="192" t="s">
        <v>509</v>
      </c>
      <c r="T461" s="7">
        <f>IF(S461="G",N461,IF(S461="PT",0,ERR))</f>
        <v>0</v>
      </c>
      <c r="U461" s="7">
        <f>IF(S461="PT",N461,IF(S461="G",0,ERR))</f>
        <v>290585.04803599993</v>
      </c>
      <c r="V461" s="124"/>
      <c r="W461" s="7">
        <f>HLOOKUP($W$9,'ROR-Model'!$Q$10:$U$1273,Y461)</f>
        <v>0</v>
      </c>
      <c r="X461" s="139"/>
      <c r="Y461" s="3">
        <f t="shared" si="27"/>
        <v>452</v>
      </c>
      <c r="AA461" s="7">
        <v>0</v>
      </c>
      <c r="AC461" s="7" t="str">
        <f t="shared" si="28"/>
        <v/>
      </c>
      <c r="AE461" s="42" t="str">
        <f t="shared" si="29"/>
        <v/>
      </c>
      <c r="AG461" s="162"/>
      <c r="AH461" s="10"/>
      <c r="AI461" s="10" t="s">
        <v>23</v>
      </c>
      <c r="AJ461" s="10"/>
    </row>
    <row r="462" spans="1:36">
      <c r="A462" s="137"/>
      <c r="B462" s="47"/>
      <c r="C462" s="47" t="s">
        <v>145</v>
      </c>
      <c r="D462" s="47"/>
      <c r="E462" s="140"/>
      <c r="F462" s="140">
        <f>SUM(F460:F461)</f>
        <v>9332559.5999999996</v>
      </c>
      <c r="G462" s="140">
        <f>SUM(G460:G461)</f>
        <v>0</v>
      </c>
      <c r="H462" s="140">
        <f>SUM(H460:H461)</f>
        <v>0</v>
      </c>
      <c r="I462" s="140">
        <f>SUM(I460:I461)</f>
        <v>9332559.5999999996</v>
      </c>
      <c r="J462" s="7">
        <f>+I462-'ROR-Model'!I462</f>
        <v>0</v>
      </c>
      <c r="K462" s="7"/>
      <c r="L462" s="140"/>
      <c r="M462" s="140">
        <f>SUM(M460:M461)</f>
        <v>9041974.5519639999</v>
      </c>
      <c r="N462" s="140">
        <f>SUM(N460:N461)</f>
        <v>290585.04803599993</v>
      </c>
      <c r="O462" s="120"/>
      <c r="P462" s="192"/>
      <c r="Q462" s="140">
        <f>SUM(Q460:Q461)</f>
        <v>0</v>
      </c>
      <c r="R462" s="140">
        <f>SUM(R460:R461)</f>
        <v>9041974.5519639999</v>
      </c>
      <c r="S462" s="201"/>
      <c r="T462" s="140">
        <f>SUM(T460:T461)</f>
        <v>0</v>
      </c>
      <c r="U462" s="140">
        <f>SUM(U460:U461)</f>
        <v>290585.04803599993</v>
      </c>
      <c r="V462" s="124"/>
      <c r="W462" s="140">
        <f>HLOOKUP($W$9,'ROR-Model'!$Q$10:$U$1273,Y462)</f>
        <v>0</v>
      </c>
      <c r="X462" s="139"/>
      <c r="Y462" s="3">
        <f t="shared" ref="Y462:Y525" si="30">Y461+1</f>
        <v>453</v>
      </c>
      <c r="AA462" s="140">
        <v>0</v>
      </c>
      <c r="AC462" s="140" t="str">
        <f t="shared" si="28"/>
        <v/>
      </c>
      <c r="AE462" s="42" t="str">
        <f t="shared" si="29"/>
        <v/>
      </c>
      <c r="AG462" s="162"/>
      <c r="AH462" s="10"/>
      <c r="AI462" s="10" t="s">
        <v>145</v>
      </c>
      <c r="AJ462" s="10"/>
    </row>
    <row r="463" spans="1:36">
      <c r="A463" s="137"/>
      <c r="B463" s="47"/>
      <c r="C463" s="47"/>
      <c r="D463" s="47"/>
      <c r="E463" s="7"/>
      <c r="F463" s="7"/>
      <c r="G463" s="7"/>
      <c r="H463" s="7"/>
      <c r="I463" s="7"/>
      <c r="J463" s="7">
        <f>+I463-'ROR-Model'!I463</f>
        <v>0</v>
      </c>
      <c r="K463" s="7"/>
      <c r="L463" s="7"/>
      <c r="M463" s="7"/>
      <c r="N463" s="7"/>
      <c r="O463" s="120"/>
      <c r="P463" s="192"/>
      <c r="Q463" s="7"/>
      <c r="R463" s="7"/>
      <c r="S463" s="126"/>
      <c r="T463" s="7"/>
      <c r="U463" s="7"/>
      <c r="V463" s="124"/>
      <c r="W463" s="7"/>
      <c r="X463" s="139"/>
      <c r="Y463" s="3">
        <f t="shared" si="30"/>
        <v>454</v>
      </c>
      <c r="AA463" s="7"/>
      <c r="AC463" s="7" t="str">
        <f t="shared" si="28"/>
        <v/>
      </c>
      <c r="AE463" s="42" t="str">
        <f t="shared" si="29"/>
        <v/>
      </c>
      <c r="AG463" s="162"/>
      <c r="AH463" s="10"/>
      <c r="AI463" s="10"/>
      <c r="AJ463" s="10"/>
    </row>
    <row r="464" spans="1:36">
      <c r="A464" s="137">
        <v>491</v>
      </c>
      <c r="B464" s="47" t="s">
        <v>294</v>
      </c>
      <c r="C464" s="47"/>
      <c r="D464" s="47"/>
      <c r="E464" s="7"/>
      <c r="F464" s="7"/>
      <c r="G464" s="7"/>
      <c r="H464" s="7"/>
      <c r="I464" s="7"/>
      <c r="J464" s="7">
        <f>+I464-'ROR-Model'!I464</f>
        <v>0</v>
      </c>
      <c r="K464" s="7"/>
      <c r="L464" s="7"/>
      <c r="M464" s="7"/>
      <c r="N464" s="7"/>
      <c r="O464" s="120"/>
      <c r="P464" s="192"/>
      <c r="Q464" s="7"/>
      <c r="R464" s="7"/>
      <c r="S464" s="126"/>
      <c r="T464" s="7"/>
      <c r="U464" s="7"/>
      <c r="V464" s="124"/>
      <c r="W464" s="7"/>
      <c r="X464" s="139"/>
      <c r="Y464" s="3">
        <f t="shared" si="30"/>
        <v>455</v>
      </c>
      <c r="AA464" s="7"/>
      <c r="AC464" s="7" t="str">
        <f t="shared" si="28"/>
        <v/>
      </c>
      <c r="AE464" s="42" t="str">
        <f t="shared" si="29"/>
        <v/>
      </c>
      <c r="AG464" s="162">
        <v>491</v>
      </c>
      <c r="AH464" s="10" t="s">
        <v>294</v>
      </c>
      <c r="AI464" s="10"/>
      <c r="AJ464" s="10"/>
    </row>
    <row r="465" spans="1:36">
      <c r="A465" s="137"/>
      <c r="B465" s="47"/>
      <c r="C465" s="47" t="s">
        <v>12</v>
      </c>
      <c r="D465" s="47"/>
      <c r="E465" s="301" t="s">
        <v>509</v>
      </c>
      <c r="F465" s="301">
        <f>'Other Rev'!$H$100</f>
        <v>0</v>
      </c>
      <c r="G465" s="7">
        <f>+Adjustments!V465</f>
        <v>0</v>
      </c>
      <c r="H465" s="7"/>
      <c r="I465" s="7">
        <f>SUM($F$465:$H$465)</f>
        <v>0</v>
      </c>
      <c r="J465" s="7">
        <f>+I465-'ROR-Model'!I465</f>
        <v>0</v>
      </c>
      <c r="K465" s="7"/>
      <c r="L465" s="7" t="s">
        <v>12</v>
      </c>
      <c r="M465" s="7">
        <f>VLOOKUP($L465,$L$2:$N$7,2,FALSE)*I465</f>
        <v>0</v>
      </c>
      <c r="N465" s="7">
        <f>VLOOKUP($L465,$L$2:$N$7,3,FALSE)*I465</f>
        <v>0</v>
      </c>
      <c r="O465" s="120"/>
      <c r="P465" s="192" t="s">
        <v>509</v>
      </c>
      <c r="Q465" s="7">
        <f>IF(P465="G",M465,IF(P465="PT",0,ERR))</f>
        <v>0</v>
      </c>
      <c r="R465" s="7">
        <f>IF(P465="PT",M465,IF(P465="G",0,ERR))</f>
        <v>0</v>
      </c>
      <c r="S465" s="126" t="s">
        <v>509</v>
      </c>
      <c r="T465" s="7">
        <f>IF(S465="G",N465,IF(S465="PT",0,ERR))</f>
        <v>0</v>
      </c>
      <c r="U465" s="7">
        <f>IF(S465="PT",N465,IF(S465="G",0,ERR))</f>
        <v>0</v>
      </c>
      <c r="V465" s="124"/>
      <c r="W465" s="7">
        <f>HLOOKUP($W$9,'ROR-Model'!$Q$10:$U$1273,Y465)</f>
        <v>0</v>
      </c>
      <c r="X465" s="139"/>
      <c r="Y465" s="3">
        <f t="shared" si="30"/>
        <v>456</v>
      </c>
      <c r="AA465" s="7">
        <v>0</v>
      </c>
      <c r="AC465" s="7" t="str">
        <f t="shared" ref="AC465:AC528" si="31">IF(ABS(AA465)&gt;0,W465-AA465,"")</f>
        <v/>
      </c>
      <c r="AE465" s="42" t="str">
        <f t="shared" si="29"/>
        <v/>
      </c>
      <c r="AG465" s="162"/>
      <c r="AH465" s="10"/>
      <c r="AI465" s="10" t="s">
        <v>12</v>
      </c>
      <c r="AJ465" s="10"/>
    </row>
    <row r="466" spans="1:36">
      <c r="A466" s="137"/>
      <c r="B466" s="47"/>
      <c r="C466" s="47" t="s">
        <v>23</v>
      </c>
      <c r="D466" s="47"/>
      <c r="E466" s="301" t="s">
        <v>510</v>
      </c>
      <c r="F466" s="301">
        <f>'Other Rev'!$H$101</f>
        <v>0</v>
      </c>
      <c r="G466" s="7">
        <f>+Adjustments!V466</f>
        <v>0</v>
      </c>
      <c r="H466" s="7"/>
      <c r="I466" s="7">
        <f>SUM($F$466:$H$466)</f>
        <v>0</v>
      </c>
      <c r="J466" s="7">
        <f>+I466-'ROR-Model'!I466</f>
        <v>0</v>
      </c>
      <c r="K466" s="7"/>
      <c r="L466" s="7" t="s">
        <v>23</v>
      </c>
      <c r="M466" s="7">
        <f>VLOOKUP($L466,$L$2:$N$7,2,FALSE)*I466</f>
        <v>0</v>
      </c>
      <c r="N466" s="7">
        <f>VLOOKUP($L466,$L$2:$N$7,3,FALSE)*I466</f>
        <v>0</v>
      </c>
      <c r="O466" s="120"/>
      <c r="P466" s="192" t="s">
        <v>510</v>
      </c>
      <c r="Q466" s="7">
        <f>IF(P466="G",M466,IF(P466="PT",0,ERR))</f>
        <v>0</v>
      </c>
      <c r="R466" s="7">
        <f>IF(P466="PT",M466,IF(P466="G",0,ERR))</f>
        <v>0</v>
      </c>
      <c r="S466" s="126" t="s">
        <v>510</v>
      </c>
      <c r="T466" s="7">
        <f>IF(S466="G",N466,IF(S466="PT",0,ERR))</f>
        <v>0</v>
      </c>
      <c r="U466" s="7">
        <f>IF(S466="PT",N466,IF(S466="G",0,ERR))</f>
        <v>0</v>
      </c>
      <c r="V466" s="124"/>
      <c r="W466" s="7">
        <f>HLOOKUP($W$9,'ROR-Model'!$Q$10:$U$1273,Y466)</f>
        <v>0</v>
      </c>
      <c r="X466" s="139"/>
      <c r="Y466" s="3">
        <f t="shared" si="30"/>
        <v>457</v>
      </c>
      <c r="AA466" s="7">
        <v>0</v>
      </c>
      <c r="AC466" s="7" t="str">
        <f t="shared" si="31"/>
        <v/>
      </c>
      <c r="AE466" s="42" t="str">
        <f t="shared" ref="AE466:AE529" si="32">IF(ABS(AA466)&gt;0,AC466/AA466,"")</f>
        <v/>
      </c>
      <c r="AG466" s="162"/>
      <c r="AH466" s="10"/>
      <c r="AI466" s="10" t="s">
        <v>23</v>
      </c>
      <c r="AJ466" s="10"/>
    </row>
    <row r="467" spans="1:36">
      <c r="A467" s="137"/>
      <c r="B467" s="47"/>
      <c r="C467" s="47" t="s">
        <v>145</v>
      </c>
      <c r="D467" s="47"/>
      <c r="E467" s="140"/>
      <c r="F467" s="140">
        <f>SUM(F465:F466)</f>
        <v>0</v>
      </c>
      <c r="G467" s="140">
        <f>SUM(G465:G466)</f>
        <v>0</v>
      </c>
      <c r="H467" s="140">
        <f>SUM(H465:H466)</f>
        <v>0</v>
      </c>
      <c r="I467" s="140">
        <f>SUM(I465:I466)</f>
        <v>0</v>
      </c>
      <c r="J467" s="7">
        <f>+I467-'ROR-Model'!I467</f>
        <v>0</v>
      </c>
      <c r="K467" s="7"/>
      <c r="L467" s="140"/>
      <c r="M467" s="140">
        <f>SUM(M465:M466)</f>
        <v>0</v>
      </c>
      <c r="N467" s="140">
        <f>SUM(N465:N466)</f>
        <v>0</v>
      </c>
      <c r="O467" s="120"/>
      <c r="P467" s="192"/>
      <c r="Q467" s="140">
        <f>SUM(Q465:Q466)</f>
        <v>0</v>
      </c>
      <c r="R467" s="140">
        <f>SUM(R465:R466)</f>
        <v>0</v>
      </c>
      <c r="S467" s="201"/>
      <c r="T467" s="140">
        <f>SUM(T465:T466)</f>
        <v>0</v>
      </c>
      <c r="U467" s="140">
        <f>SUM(U465:U466)</f>
        <v>0</v>
      </c>
      <c r="V467" s="124"/>
      <c r="W467" s="140">
        <f>HLOOKUP($W$9,'ROR-Model'!$Q$10:$U$1273,Y467)</f>
        <v>0</v>
      </c>
      <c r="X467" s="139"/>
      <c r="Y467" s="3">
        <f t="shared" si="30"/>
        <v>458</v>
      </c>
      <c r="AA467" s="140">
        <v>0</v>
      </c>
      <c r="AC467" s="140" t="str">
        <f t="shared" si="31"/>
        <v/>
      </c>
      <c r="AE467" s="42" t="str">
        <f t="shared" si="32"/>
        <v/>
      </c>
      <c r="AG467" s="162"/>
      <c r="AH467" s="10"/>
      <c r="AI467" s="10" t="s">
        <v>145</v>
      </c>
      <c r="AJ467" s="10"/>
    </row>
    <row r="468" spans="1:36">
      <c r="A468" s="137"/>
      <c r="B468" s="47"/>
      <c r="C468" s="47"/>
      <c r="D468" s="47"/>
      <c r="E468" s="7"/>
      <c r="F468" s="7"/>
      <c r="G468" s="7"/>
      <c r="H468" s="7"/>
      <c r="I468" s="7"/>
      <c r="J468" s="7">
        <f>+I468-'ROR-Model'!I468</f>
        <v>0</v>
      </c>
      <c r="K468" s="7"/>
      <c r="L468" s="7"/>
      <c r="M468" s="7"/>
      <c r="N468" s="7"/>
      <c r="O468" s="120"/>
      <c r="P468" s="192"/>
      <c r="Q468" s="7"/>
      <c r="R468" s="7"/>
      <c r="S468" s="126"/>
      <c r="T468" s="7"/>
      <c r="U468" s="7"/>
      <c r="V468" s="124"/>
      <c r="W468" s="7"/>
      <c r="X468" s="139"/>
      <c r="Y468" s="3">
        <f t="shared" si="30"/>
        <v>459</v>
      </c>
      <c r="AA468" s="7"/>
      <c r="AC468" s="7" t="str">
        <f t="shared" si="31"/>
        <v/>
      </c>
      <c r="AE468" s="42" t="str">
        <f t="shared" si="32"/>
        <v/>
      </c>
      <c r="AG468" s="162"/>
      <c r="AH468" s="10"/>
      <c r="AI468" s="10"/>
      <c r="AJ468" s="10"/>
    </row>
    <row r="469" spans="1:36">
      <c r="A469" s="137">
        <v>492</v>
      </c>
      <c r="B469" s="47" t="s">
        <v>295</v>
      </c>
      <c r="C469" s="47"/>
      <c r="D469" s="47"/>
      <c r="E469" s="7"/>
      <c r="F469" s="7"/>
      <c r="G469" s="7"/>
      <c r="H469" s="7"/>
      <c r="I469" s="7"/>
      <c r="J469" s="7">
        <f>+I469-'ROR-Model'!I469</f>
        <v>0</v>
      </c>
      <c r="K469" s="7"/>
      <c r="L469" s="7"/>
      <c r="M469" s="7"/>
      <c r="N469" s="7"/>
      <c r="O469" s="120"/>
      <c r="P469" s="192"/>
      <c r="Q469" s="7"/>
      <c r="R469" s="7"/>
      <c r="S469" s="126"/>
      <c r="T469" s="7"/>
      <c r="U469" s="7"/>
      <c r="V469" s="124"/>
      <c r="W469" s="7"/>
      <c r="X469" s="139"/>
      <c r="Y469" s="3">
        <f t="shared" si="30"/>
        <v>460</v>
      </c>
      <c r="AA469" s="7"/>
      <c r="AC469" s="7" t="str">
        <f t="shared" si="31"/>
        <v/>
      </c>
      <c r="AE469" s="42" t="str">
        <f t="shared" si="32"/>
        <v/>
      </c>
      <c r="AG469" s="162">
        <v>492</v>
      </c>
      <c r="AH469" s="10" t="s">
        <v>295</v>
      </c>
      <c r="AI469" s="10"/>
      <c r="AJ469" s="10"/>
    </row>
    <row r="470" spans="1:36">
      <c r="A470" s="137"/>
      <c r="B470" s="47"/>
      <c r="C470" s="47" t="s">
        <v>12</v>
      </c>
      <c r="D470" s="47"/>
      <c r="E470" s="301" t="s">
        <v>509</v>
      </c>
      <c r="F470" s="301">
        <f>'Other Rev'!$H$105</f>
        <v>2837920.045318</v>
      </c>
      <c r="G470" s="7">
        <f>+Adjustments!V470</f>
        <v>0</v>
      </c>
      <c r="H470" s="7"/>
      <c r="I470" s="7">
        <f>SUM($F$470:$H$470)</f>
        <v>2837920.045318</v>
      </c>
      <c r="J470" s="7">
        <f>+I470-'ROR-Model'!I470</f>
        <v>0</v>
      </c>
      <c r="K470" s="7"/>
      <c r="L470" s="7" t="s">
        <v>12</v>
      </c>
      <c r="M470" s="7">
        <f>VLOOKUP($L470,$L$2:$N$7,2,FALSE)*I470</f>
        <v>2837920.045318</v>
      </c>
      <c r="N470" s="7">
        <f>VLOOKUP($L470,$L$2:$N$7,3,FALSE)*I470</f>
        <v>0</v>
      </c>
      <c r="O470" s="120"/>
      <c r="P470" s="192" t="s">
        <v>509</v>
      </c>
      <c r="Q470" s="7">
        <f>IF(P470="G",M470,IF(P470="PT",0,ERR))</f>
        <v>0</v>
      </c>
      <c r="R470" s="7">
        <f>IF(P470="PT",M470,IF(P470="G",0,ERR))</f>
        <v>2837920.045318</v>
      </c>
      <c r="S470" s="126" t="s">
        <v>509</v>
      </c>
      <c r="T470" s="7">
        <f>IF(S470="G",N470,IF(S470="PT",0,ERR))</f>
        <v>0</v>
      </c>
      <c r="U470" s="7">
        <f>IF(S470="PT",N470,IF(S470="G",0,ERR))</f>
        <v>0</v>
      </c>
      <c r="V470" s="124"/>
      <c r="W470" s="7">
        <f>HLOOKUP($W$9,'ROR-Model'!$Q$10:$U$1273,Y470)</f>
        <v>0</v>
      </c>
      <c r="X470" s="139"/>
      <c r="Y470" s="3">
        <f t="shared" si="30"/>
        <v>461</v>
      </c>
      <c r="AA470" s="7">
        <v>0</v>
      </c>
      <c r="AC470" s="7" t="str">
        <f t="shared" si="31"/>
        <v/>
      </c>
      <c r="AE470" s="42" t="str">
        <f t="shared" si="32"/>
        <v/>
      </c>
      <c r="AG470" s="162"/>
      <c r="AH470" s="10"/>
      <c r="AI470" s="10" t="s">
        <v>12</v>
      </c>
      <c r="AJ470" s="10"/>
    </row>
    <row r="471" spans="1:36">
      <c r="A471" s="137"/>
      <c r="B471" s="47"/>
      <c r="C471" s="47" t="s">
        <v>23</v>
      </c>
      <c r="D471" s="47"/>
      <c r="E471" s="301" t="s">
        <v>509</v>
      </c>
      <c r="F471" s="301">
        <f>'Other Rev'!$H$106</f>
        <v>92075.514682000008</v>
      </c>
      <c r="G471" s="7">
        <f>+Adjustments!V471</f>
        <v>0</v>
      </c>
      <c r="H471" s="7"/>
      <c r="I471" s="7">
        <f>SUM($F$471:$H$471)</f>
        <v>92075.514682000008</v>
      </c>
      <c r="J471" s="7">
        <f>+I471-'ROR-Model'!I471</f>
        <v>0</v>
      </c>
      <c r="K471" s="7"/>
      <c r="L471" s="7" t="s">
        <v>23</v>
      </c>
      <c r="M471" s="7">
        <f>VLOOKUP($L471,$L$2:$N$7,2,FALSE)*I471</f>
        <v>0</v>
      </c>
      <c r="N471" s="7">
        <f>VLOOKUP($L471,$L$2:$N$7,3,FALSE)*I471</f>
        <v>92075.514682000008</v>
      </c>
      <c r="O471" s="120"/>
      <c r="P471" s="192" t="s">
        <v>509</v>
      </c>
      <c r="Q471" s="7">
        <f>IF(P471="G",M471,IF(P471="PT",0,ERR))</f>
        <v>0</v>
      </c>
      <c r="R471" s="7">
        <f>IF(P471="PT",M471,IF(P471="G",0,ERR))</f>
        <v>0</v>
      </c>
      <c r="S471" s="192" t="s">
        <v>509</v>
      </c>
      <c r="T471" s="7">
        <f>IF(S471="G",N471,IF(S471="PT",0,ERR))</f>
        <v>0</v>
      </c>
      <c r="U471" s="7">
        <f>IF(S471="PT",N471,IF(S471="G",0,ERR))</f>
        <v>92075.514682000008</v>
      </c>
      <c r="V471" s="124"/>
      <c r="W471" s="7">
        <f>HLOOKUP($W$9,'ROR-Model'!$Q$10:$U$1273,Y471)</f>
        <v>0</v>
      </c>
      <c r="X471" s="139"/>
      <c r="Y471" s="3">
        <f t="shared" si="30"/>
        <v>462</v>
      </c>
      <c r="AA471" s="7">
        <v>0</v>
      </c>
      <c r="AC471" s="7" t="str">
        <f t="shared" si="31"/>
        <v/>
      </c>
      <c r="AE471" s="42" t="str">
        <f t="shared" si="32"/>
        <v/>
      </c>
      <c r="AG471" s="162"/>
      <c r="AH471" s="10"/>
      <c r="AI471" s="10" t="s">
        <v>23</v>
      </c>
      <c r="AJ471" s="10"/>
    </row>
    <row r="472" spans="1:36">
      <c r="A472" s="137"/>
      <c r="B472" s="47"/>
      <c r="C472" s="47" t="s">
        <v>145</v>
      </c>
      <c r="D472" s="47"/>
      <c r="E472" s="140"/>
      <c r="F472" s="140">
        <f>SUM(F470:F471)</f>
        <v>2929995.56</v>
      </c>
      <c r="G472" s="140">
        <f>SUM(G470:G471)</f>
        <v>0</v>
      </c>
      <c r="H472" s="140">
        <f>SUM(H470:H471)</f>
        <v>0</v>
      </c>
      <c r="I472" s="140">
        <f>SUM(I470:I471)</f>
        <v>2929995.56</v>
      </c>
      <c r="J472" s="7">
        <f>+I472-'ROR-Model'!I472</f>
        <v>0</v>
      </c>
      <c r="K472" s="7"/>
      <c r="L472" s="140"/>
      <c r="M472" s="140">
        <f>SUM(M470:M471)</f>
        <v>2837920.045318</v>
      </c>
      <c r="N472" s="140">
        <f>SUM(N470:N471)</f>
        <v>92075.514682000008</v>
      </c>
      <c r="O472" s="120"/>
      <c r="P472" s="192"/>
      <c r="Q472" s="140">
        <f>SUM(Q470:Q471)</f>
        <v>0</v>
      </c>
      <c r="R472" s="140">
        <f>SUM(R470:R471)</f>
        <v>2837920.045318</v>
      </c>
      <c r="S472" s="201"/>
      <c r="T472" s="140">
        <f>SUM(T470:T471)</f>
        <v>0</v>
      </c>
      <c r="U472" s="140">
        <f>SUM(U470:U471)</f>
        <v>92075.514682000008</v>
      </c>
      <c r="V472" s="124"/>
      <c r="W472" s="140">
        <f>HLOOKUP($W$9,'ROR-Model'!$Q$10:$U$1273,Y472)</f>
        <v>0</v>
      </c>
      <c r="X472" s="139"/>
      <c r="Y472" s="3">
        <f t="shared" si="30"/>
        <v>463</v>
      </c>
      <c r="AA472" s="140">
        <v>0</v>
      </c>
      <c r="AC472" s="140" t="str">
        <f t="shared" si="31"/>
        <v/>
      </c>
      <c r="AE472" s="42" t="str">
        <f t="shared" si="32"/>
        <v/>
      </c>
      <c r="AG472" s="162"/>
      <c r="AH472" s="10"/>
      <c r="AI472" s="10" t="s">
        <v>145</v>
      </c>
      <c r="AJ472" s="10"/>
    </row>
    <row r="473" spans="1:36">
      <c r="A473" s="137"/>
      <c r="B473" s="47"/>
      <c r="C473" s="47"/>
      <c r="D473" s="47"/>
      <c r="E473" s="7"/>
      <c r="F473" s="7"/>
      <c r="G473" s="7"/>
      <c r="H473" s="7"/>
      <c r="I473" s="7"/>
      <c r="J473" s="7">
        <f>+I473-'ROR-Model'!I473</f>
        <v>0</v>
      </c>
      <c r="K473" s="7"/>
      <c r="L473" s="7"/>
      <c r="M473" s="7"/>
      <c r="N473" s="7"/>
      <c r="O473" s="120"/>
      <c r="P473" s="192"/>
      <c r="Q473" s="7"/>
      <c r="R473" s="7"/>
      <c r="S473" s="126"/>
      <c r="T473" s="7"/>
      <c r="U473" s="7"/>
      <c r="V473" s="124"/>
      <c r="W473" s="7"/>
      <c r="X473" s="139"/>
      <c r="Y473" s="3">
        <f t="shared" si="30"/>
        <v>464</v>
      </c>
      <c r="AA473" s="7"/>
      <c r="AC473" s="7" t="str">
        <f t="shared" si="31"/>
        <v/>
      </c>
      <c r="AE473" s="42" t="str">
        <f t="shared" si="32"/>
        <v/>
      </c>
      <c r="AG473" s="162"/>
      <c r="AH473" s="10"/>
      <c r="AI473" s="10"/>
      <c r="AJ473" s="10"/>
    </row>
    <row r="474" spans="1:36">
      <c r="A474" s="137">
        <v>493</v>
      </c>
      <c r="B474" s="47" t="s">
        <v>296</v>
      </c>
      <c r="C474" s="47"/>
      <c r="D474" s="47"/>
      <c r="E474" s="7"/>
      <c r="F474" s="7"/>
      <c r="G474" s="7"/>
      <c r="H474" s="7"/>
      <c r="I474" s="7"/>
      <c r="J474" s="7">
        <f>+I474-'ROR-Model'!I474</f>
        <v>0</v>
      </c>
      <c r="K474" s="7"/>
      <c r="L474" s="7"/>
      <c r="M474" s="7"/>
      <c r="N474" s="7"/>
      <c r="O474" s="120"/>
      <c r="P474" s="192"/>
      <c r="Q474" s="7"/>
      <c r="R474" s="7"/>
      <c r="S474" s="126"/>
      <c r="T474" s="7"/>
      <c r="U474" s="7"/>
      <c r="V474" s="124"/>
      <c r="W474" s="7"/>
      <c r="X474" s="139"/>
      <c r="Y474" s="3">
        <f t="shared" si="30"/>
        <v>465</v>
      </c>
      <c r="AA474" s="7"/>
      <c r="AC474" s="7" t="str">
        <f t="shared" si="31"/>
        <v/>
      </c>
      <c r="AE474" s="42" t="str">
        <f t="shared" si="32"/>
        <v/>
      </c>
      <c r="AG474" s="162">
        <v>493</v>
      </c>
      <c r="AH474" s="10" t="s">
        <v>296</v>
      </c>
      <c r="AI474" s="10"/>
      <c r="AJ474" s="10"/>
    </row>
    <row r="475" spans="1:36">
      <c r="A475" s="137"/>
      <c r="B475" s="47"/>
      <c r="C475" s="47" t="s">
        <v>12</v>
      </c>
      <c r="D475" s="47"/>
      <c r="E475" s="301" t="s">
        <v>509</v>
      </c>
      <c r="F475" s="301">
        <f>'Other Rev'!$H$110</f>
        <v>0</v>
      </c>
      <c r="G475" s="7">
        <f>+Adjustments!V475</f>
        <v>0</v>
      </c>
      <c r="H475" s="7"/>
      <c r="I475" s="7">
        <f>SUM($F$475:$H$475)</f>
        <v>0</v>
      </c>
      <c r="J475" s="7">
        <f>+I475-'ROR-Model'!I475</f>
        <v>0</v>
      </c>
      <c r="K475" s="7"/>
      <c r="L475" s="7" t="s">
        <v>12</v>
      </c>
      <c r="M475" s="7">
        <f>VLOOKUP($L475,$L$2:$N$7,2,FALSE)*I475</f>
        <v>0</v>
      </c>
      <c r="N475" s="7">
        <f>VLOOKUP($L475,$L$2:$N$7,3,FALSE)*I475</f>
        <v>0</v>
      </c>
      <c r="O475" s="120"/>
      <c r="P475" s="192" t="s">
        <v>509</v>
      </c>
      <c r="Q475" s="7">
        <f>IF(P475="G",M475,IF(P475="PT",0,ERR))</f>
        <v>0</v>
      </c>
      <c r="R475" s="7">
        <f>IF(P475="PT",M475,IF(P475="G",0,ERR))</f>
        <v>0</v>
      </c>
      <c r="S475" s="126" t="s">
        <v>509</v>
      </c>
      <c r="T475" s="7">
        <f>IF(S475="G",N475,IF(S475="PT",0,ERR))</f>
        <v>0</v>
      </c>
      <c r="U475" s="7">
        <f>IF(S475="PT",N475,IF(S475="G",0,ERR))</f>
        <v>0</v>
      </c>
      <c r="V475" s="124"/>
      <c r="W475" s="7">
        <f>HLOOKUP($W$9,'ROR-Model'!$Q$10:$U$1273,Y475)</f>
        <v>0</v>
      </c>
      <c r="X475" s="139"/>
      <c r="Y475" s="3">
        <f t="shared" si="30"/>
        <v>466</v>
      </c>
      <c r="AA475" s="7">
        <v>0</v>
      </c>
      <c r="AC475" s="7" t="str">
        <f t="shared" si="31"/>
        <v/>
      </c>
      <c r="AE475" s="42" t="str">
        <f t="shared" si="32"/>
        <v/>
      </c>
      <c r="AG475" s="162"/>
      <c r="AH475" s="10"/>
      <c r="AI475" s="10" t="s">
        <v>12</v>
      </c>
      <c r="AJ475" s="10"/>
    </row>
    <row r="476" spans="1:36">
      <c r="A476" s="137"/>
      <c r="B476" s="47"/>
      <c r="C476" s="47" t="s">
        <v>23</v>
      </c>
      <c r="D476" s="47"/>
      <c r="E476" s="301" t="s">
        <v>510</v>
      </c>
      <c r="F476" s="301">
        <f>'Other Rev'!$H$111</f>
        <v>0</v>
      </c>
      <c r="G476" s="7">
        <f>+Adjustments!V476</f>
        <v>0</v>
      </c>
      <c r="H476" s="7"/>
      <c r="I476" s="7">
        <f>SUM($F$476:$H$476)</f>
        <v>0</v>
      </c>
      <c r="J476" s="7">
        <f>+I476-'ROR-Model'!I476</f>
        <v>0</v>
      </c>
      <c r="K476" s="7"/>
      <c r="L476" s="7" t="s">
        <v>23</v>
      </c>
      <c r="M476" s="7">
        <f>VLOOKUP($L476,$L$2:$N$7,2,FALSE)*I476</f>
        <v>0</v>
      </c>
      <c r="N476" s="7">
        <f>VLOOKUP($L476,$L$2:$N$7,3,FALSE)*I476</f>
        <v>0</v>
      </c>
      <c r="O476" s="120"/>
      <c r="P476" s="192" t="s">
        <v>510</v>
      </c>
      <c r="Q476" s="7">
        <f>IF(P476="G",M476,IF(P476="PT",0,ERR))</f>
        <v>0</v>
      </c>
      <c r="R476" s="7">
        <f>IF(P476="PT",M476,IF(P476="G",0,ERR))</f>
        <v>0</v>
      </c>
      <c r="S476" s="126" t="s">
        <v>510</v>
      </c>
      <c r="T476" s="7">
        <f>IF(S476="G",N476,IF(S476="PT",0,ERR))</f>
        <v>0</v>
      </c>
      <c r="U476" s="7">
        <f>IF(S476="PT",N476,IF(S476="G",0,ERR))</f>
        <v>0</v>
      </c>
      <c r="V476" s="124"/>
      <c r="W476" s="7">
        <f>HLOOKUP($W$9,'ROR-Model'!$Q$10:$U$1273,Y476)</f>
        <v>0</v>
      </c>
      <c r="X476" s="139"/>
      <c r="Y476" s="3">
        <f t="shared" si="30"/>
        <v>467</v>
      </c>
      <c r="AA476" s="7">
        <v>0</v>
      </c>
      <c r="AC476" s="7" t="str">
        <f t="shared" si="31"/>
        <v/>
      </c>
      <c r="AE476" s="42" t="str">
        <f t="shared" si="32"/>
        <v/>
      </c>
      <c r="AG476" s="162"/>
      <c r="AH476" s="10"/>
      <c r="AI476" s="10" t="s">
        <v>23</v>
      </c>
      <c r="AJ476" s="10"/>
    </row>
    <row r="477" spans="1:36">
      <c r="A477" s="137"/>
      <c r="B477" s="47"/>
      <c r="C477" s="47" t="s">
        <v>145</v>
      </c>
      <c r="D477" s="47"/>
      <c r="E477" s="140"/>
      <c r="F477" s="140">
        <f>SUM(F475:F476)</f>
        <v>0</v>
      </c>
      <c r="G477" s="140">
        <f>SUM(G475:G476)</f>
        <v>0</v>
      </c>
      <c r="H477" s="140">
        <f>SUM(H475:H476)</f>
        <v>0</v>
      </c>
      <c r="I477" s="140">
        <f>SUM(I475:I476)</f>
        <v>0</v>
      </c>
      <c r="J477" s="7">
        <f>+I477-'ROR-Model'!I477</f>
        <v>0</v>
      </c>
      <c r="K477" s="7"/>
      <c r="L477" s="140"/>
      <c r="M477" s="140">
        <f>SUM(M475:M476)</f>
        <v>0</v>
      </c>
      <c r="N477" s="140">
        <f>SUM(N475:N476)</f>
        <v>0</v>
      </c>
      <c r="O477" s="120"/>
      <c r="P477" s="192"/>
      <c r="Q477" s="140">
        <f>SUM(Q475:Q476)</f>
        <v>0</v>
      </c>
      <c r="R477" s="140">
        <f>SUM(R475:R476)</f>
        <v>0</v>
      </c>
      <c r="S477" s="201"/>
      <c r="T477" s="140">
        <f>SUM(T475:T476)</f>
        <v>0</v>
      </c>
      <c r="U477" s="140">
        <f>SUM(U475:U476)</f>
        <v>0</v>
      </c>
      <c r="V477" s="124"/>
      <c r="W477" s="140">
        <f>HLOOKUP($W$9,'ROR-Model'!$Q$10:$U$1273,Y477)</f>
        <v>0</v>
      </c>
      <c r="X477" s="139"/>
      <c r="Y477" s="3">
        <f t="shared" si="30"/>
        <v>468</v>
      </c>
      <c r="AA477" s="140">
        <v>0</v>
      </c>
      <c r="AC477" s="140" t="str">
        <f t="shared" si="31"/>
        <v/>
      </c>
      <c r="AE477" s="42" t="str">
        <f t="shared" si="32"/>
        <v/>
      </c>
      <c r="AG477" s="162"/>
      <c r="AH477" s="10"/>
      <c r="AI477" s="10" t="s">
        <v>145</v>
      </c>
      <c r="AJ477" s="10"/>
    </row>
    <row r="478" spans="1:36">
      <c r="A478" s="137"/>
      <c r="B478" s="47"/>
      <c r="C478" s="47"/>
      <c r="D478" s="47"/>
      <c r="E478" s="7"/>
      <c r="F478" s="7"/>
      <c r="G478" s="7"/>
      <c r="H478" s="7"/>
      <c r="I478" s="7"/>
      <c r="J478" s="7">
        <f>+I478-'ROR-Model'!I478</f>
        <v>0</v>
      </c>
      <c r="K478" s="7"/>
      <c r="L478" s="7"/>
      <c r="M478" s="7"/>
      <c r="N478" s="7"/>
      <c r="O478" s="120"/>
      <c r="P478" s="192"/>
      <c r="Q478" s="7"/>
      <c r="R478" s="7"/>
      <c r="S478" s="126"/>
      <c r="T478" s="7"/>
      <c r="U478" s="7"/>
      <c r="V478" s="124"/>
      <c r="W478" s="7"/>
      <c r="X478" s="139"/>
      <c r="Y478" s="3">
        <f t="shared" si="30"/>
        <v>469</v>
      </c>
      <c r="AA478" s="7"/>
      <c r="AC478" s="7" t="str">
        <f t="shared" si="31"/>
        <v/>
      </c>
      <c r="AE478" s="42" t="str">
        <f t="shared" si="32"/>
        <v/>
      </c>
      <c r="AG478" s="162"/>
      <c r="AH478" s="10"/>
      <c r="AI478" s="10"/>
      <c r="AJ478" s="10"/>
    </row>
    <row r="479" spans="1:36">
      <c r="A479" s="137">
        <v>495</v>
      </c>
      <c r="B479" s="47" t="s">
        <v>299</v>
      </c>
      <c r="C479" s="47"/>
      <c r="D479" s="47"/>
      <c r="E479" s="7"/>
      <c r="F479" s="7"/>
      <c r="G479" s="7"/>
      <c r="H479" s="7"/>
      <c r="I479" s="7"/>
      <c r="J479" s="7">
        <f>+I479-'ROR-Model'!I479</f>
        <v>0</v>
      </c>
      <c r="K479" s="7"/>
      <c r="L479" s="7"/>
      <c r="M479" s="7"/>
      <c r="N479" s="7"/>
      <c r="O479" s="120"/>
      <c r="P479" s="192"/>
      <c r="Q479" s="7"/>
      <c r="R479" s="7"/>
      <c r="S479" s="126"/>
      <c r="T479" s="7"/>
      <c r="U479" s="7"/>
      <c r="V479" s="124"/>
      <c r="W479" s="7"/>
      <c r="X479" s="139"/>
      <c r="Y479" s="3">
        <f t="shared" si="30"/>
        <v>470</v>
      </c>
      <c r="AA479" s="7"/>
      <c r="AC479" s="7" t="str">
        <f t="shared" si="31"/>
        <v/>
      </c>
      <c r="AE479" s="42" t="str">
        <f t="shared" si="32"/>
        <v/>
      </c>
      <c r="AG479" s="162">
        <v>495</v>
      </c>
      <c r="AH479" s="10" t="s">
        <v>299</v>
      </c>
      <c r="AI479" s="10"/>
      <c r="AJ479" s="10"/>
    </row>
    <row r="480" spans="1:36">
      <c r="A480" s="137"/>
      <c r="B480" s="47"/>
      <c r="C480" s="47" t="s">
        <v>12</v>
      </c>
      <c r="D480" s="47"/>
      <c r="E480" s="301" t="s">
        <v>509</v>
      </c>
      <c r="F480" s="301">
        <f>'Other Rev'!$H$115</f>
        <v>3072685.9793730006</v>
      </c>
      <c r="G480" s="7">
        <f>+Adjustments!V480</f>
        <v>0</v>
      </c>
      <c r="H480" s="7"/>
      <c r="I480" s="7">
        <f>SUM($F$480:$H$480)</f>
        <v>3072685.9793730006</v>
      </c>
      <c r="J480" s="7">
        <f>+I480-'ROR-Model'!I480</f>
        <v>0</v>
      </c>
      <c r="K480" s="7"/>
      <c r="L480" s="7" t="s">
        <v>12</v>
      </c>
      <c r="M480" s="7">
        <f>VLOOKUP($L480,$L$2:$N$7,2,FALSE)*I480</f>
        <v>3072685.9793730006</v>
      </c>
      <c r="N480" s="7">
        <f>VLOOKUP($L480,$L$2:$N$7,3,FALSE)*I480</f>
        <v>0</v>
      </c>
      <c r="O480" s="120"/>
      <c r="P480" s="192" t="s">
        <v>509</v>
      </c>
      <c r="Q480" s="7">
        <f>IF(P480="G",M480,IF(P480="PT",0,ERR))</f>
        <v>0</v>
      </c>
      <c r="R480" s="7">
        <f>IF(P480="PT",M480,IF(P480="G",0,ERR))</f>
        <v>3072685.9793730006</v>
      </c>
      <c r="S480" s="126" t="s">
        <v>509</v>
      </c>
      <c r="T480" s="7">
        <f>IF(S480="G",N480,IF(S480="PT",0,ERR))</f>
        <v>0</v>
      </c>
      <c r="U480" s="7">
        <f>IF(S480="PT",N480,IF(S480="G",0,ERR))</f>
        <v>0</v>
      </c>
      <c r="V480" s="124"/>
      <c r="W480" s="7">
        <f>HLOOKUP($W$9,'ROR-Model'!$Q$10:$U$1273,Y480)</f>
        <v>0</v>
      </c>
      <c r="X480" s="139"/>
      <c r="Y480" s="3">
        <f t="shared" si="30"/>
        <v>471</v>
      </c>
      <c r="AA480" s="7">
        <v>0</v>
      </c>
      <c r="AC480" s="7" t="str">
        <f t="shared" si="31"/>
        <v/>
      </c>
      <c r="AE480" s="42" t="str">
        <f t="shared" si="32"/>
        <v/>
      </c>
      <c r="AG480" s="162"/>
      <c r="AH480" s="10"/>
      <c r="AI480" s="10" t="s">
        <v>12</v>
      </c>
      <c r="AJ480" s="10"/>
    </row>
    <row r="481" spans="1:36">
      <c r="A481" s="137"/>
      <c r="B481" s="47"/>
      <c r="C481" s="47" t="s">
        <v>23</v>
      </c>
      <c r="D481" s="47"/>
      <c r="E481" s="301" t="s">
        <v>510</v>
      </c>
      <c r="F481" s="301">
        <f>'Other Rev'!$H$116</f>
        <v>94637.490626999992</v>
      </c>
      <c r="G481" s="7">
        <f>+Adjustments!V481</f>
        <v>0</v>
      </c>
      <c r="H481" s="7"/>
      <c r="I481" s="7">
        <f>SUM($F$481:$H$481)</f>
        <v>94637.490626999992</v>
      </c>
      <c r="J481" s="7">
        <f>+I481-'ROR-Model'!I481</f>
        <v>0</v>
      </c>
      <c r="K481" s="7"/>
      <c r="L481" s="7" t="s">
        <v>23</v>
      </c>
      <c r="M481" s="7">
        <f>VLOOKUP($L481,$L$2:$N$7,2,FALSE)*I481</f>
        <v>0</v>
      </c>
      <c r="N481" s="7">
        <f>VLOOKUP($L481,$L$2:$N$7,3,FALSE)*I481</f>
        <v>94637.490626999992</v>
      </c>
      <c r="O481" s="120"/>
      <c r="P481" s="192" t="s">
        <v>510</v>
      </c>
      <c r="Q481" s="7">
        <f>IF(P481="G",M481,IF(P481="PT",0,ERR))</f>
        <v>0</v>
      </c>
      <c r="R481" s="7">
        <f>IF(P481="PT",M481,IF(P481="G",0,ERR))</f>
        <v>0</v>
      </c>
      <c r="S481" s="126" t="s">
        <v>510</v>
      </c>
      <c r="T481" s="7">
        <f>IF(S481="G",N481,IF(S481="PT",0,ERR))</f>
        <v>94637.490626999992</v>
      </c>
      <c r="U481" s="7">
        <f>IF(S481="PT",N481,IF(S481="G",0,ERR))</f>
        <v>0</v>
      </c>
      <c r="V481" s="124"/>
      <c r="W481" s="7">
        <f>HLOOKUP($W$9,'ROR-Model'!$Q$10:$U$1273,Y481)</f>
        <v>0</v>
      </c>
      <c r="X481" s="139"/>
      <c r="Y481" s="3">
        <f t="shared" si="30"/>
        <v>472</v>
      </c>
      <c r="AA481" s="7">
        <v>0</v>
      </c>
      <c r="AC481" s="7" t="str">
        <f t="shared" si="31"/>
        <v/>
      </c>
      <c r="AE481" s="42" t="str">
        <f t="shared" si="32"/>
        <v/>
      </c>
      <c r="AG481" s="162"/>
      <c r="AH481" s="10"/>
      <c r="AI481" s="10" t="s">
        <v>23</v>
      </c>
      <c r="AJ481" s="10"/>
    </row>
    <row r="482" spans="1:36">
      <c r="A482" s="137"/>
      <c r="B482" s="47"/>
      <c r="C482" s="47" t="s">
        <v>145</v>
      </c>
      <c r="D482" s="47"/>
      <c r="E482" s="140"/>
      <c r="F482" s="140">
        <f>SUM(F480:F481)</f>
        <v>3167323.4700000007</v>
      </c>
      <c r="G482" s="140">
        <f>SUM(G480:G481)</f>
        <v>0</v>
      </c>
      <c r="H482" s="140">
        <f>SUM(H480:H481)</f>
        <v>0</v>
      </c>
      <c r="I482" s="140">
        <f>SUM(I480:I481)</f>
        <v>3167323.4700000007</v>
      </c>
      <c r="J482" s="7">
        <f>+I482-'ROR-Model'!I482</f>
        <v>0</v>
      </c>
      <c r="K482" s="7"/>
      <c r="L482" s="140"/>
      <c r="M482" s="140">
        <f>SUM(M480:M481)</f>
        <v>3072685.9793730006</v>
      </c>
      <c r="N482" s="140">
        <f>SUM(N480:N481)</f>
        <v>94637.490626999992</v>
      </c>
      <c r="O482" s="120"/>
      <c r="P482" s="192"/>
      <c r="Q482" s="140">
        <f>SUM(Q480:Q481)</f>
        <v>0</v>
      </c>
      <c r="R482" s="140">
        <f>SUM(R480:R481)</f>
        <v>3072685.9793730006</v>
      </c>
      <c r="S482" s="201"/>
      <c r="T482" s="140">
        <f>SUM(T480:T481)</f>
        <v>94637.490626999992</v>
      </c>
      <c r="U482" s="140">
        <f>SUM(U480:U481)</f>
        <v>0</v>
      </c>
      <c r="V482" s="124"/>
      <c r="W482" s="140">
        <f>HLOOKUP($W$9,'ROR-Model'!$Q$10:$U$1273,Y482)</f>
        <v>0</v>
      </c>
      <c r="X482" s="139"/>
      <c r="Y482" s="3">
        <f t="shared" si="30"/>
        <v>473</v>
      </c>
      <c r="AA482" s="140">
        <v>0</v>
      </c>
      <c r="AC482" s="140" t="str">
        <f t="shared" si="31"/>
        <v/>
      </c>
      <c r="AE482" s="42" t="str">
        <f t="shared" si="32"/>
        <v/>
      </c>
      <c r="AG482" s="162"/>
      <c r="AH482" s="10"/>
      <c r="AI482" s="10" t="s">
        <v>145</v>
      </c>
      <c r="AJ482" s="10"/>
    </row>
    <row r="483" spans="1:36">
      <c r="A483" s="137"/>
      <c r="B483" s="47"/>
      <c r="C483" s="47"/>
      <c r="D483" s="47"/>
      <c r="E483" s="7"/>
      <c r="F483" s="7"/>
      <c r="G483" s="7"/>
      <c r="H483" s="7"/>
      <c r="I483" s="7"/>
      <c r="J483" s="7">
        <f>+I483-'ROR-Model'!I483</f>
        <v>0</v>
      </c>
      <c r="K483" s="7"/>
      <c r="L483" s="7"/>
      <c r="M483" s="7"/>
      <c r="N483" s="7"/>
      <c r="O483" s="120"/>
      <c r="P483" s="192"/>
      <c r="Q483" s="7"/>
      <c r="R483" s="7"/>
      <c r="S483" s="126"/>
      <c r="T483" s="7"/>
      <c r="U483" s="7"/>
      <c r="V483" s="124"/>
      <c r="W483" s="7"/>
      <c r="X483" s="139"/>
      <c r="Y483" s="3">
        <f t="shared" si="30"/>
        <v>474</v>
      </c>
      <c r="AA483" s="7"/>
      <c r="AC483" s="7" t="str">
        <f t="shared" si="31"/>
        <v/>
      </c>
      <c r="AE483" s="42" t="str">
        <f t="shared" si="32"/>
        <v/>
      </c>
      <c r="AG483" s="162"/>
      <c r="AH483" s="10"/>
      <c r="AI483" s="10"/>
      <c r="AJ483" s="10"/>
    </row>
    <row r="484" spans="1:36">
      <c r="A484" s="137">
        <v>4951</v>
      </c>
      <c r="B484" s="47" t="s">
        <v>300</v>
      </c>
      <c r="C484" s="47"/>
      <c r="D484" s="47"/>
      <c r="E484" s="7"/>
      <c r="F484" s="7"/>
      <c r="G484" s="7"/>
      <c r="H484" s="7"/>
      <c r="I484" s="7"/>
      <c r="J484" s="7">
        <f>+I484-'ROR-Model'!I484</f>
        <v>0</v>
      </c>
      <c r="K484" s="7"/>
      <c r="L484" s="7"/>
      <c r="M484" s="7"/>
      <c r="N484" s="7"/>
      <c r="O484" s="120"/>
      <c r="P484" s="192"/>
      <c r="Q484" s="7"/>
      <c r="R484" s="7"/>
      <c r="S484" s="126"/>
      <c r="T484" s="7"/>
      <c r="U484" s="7"/>
      <c r="V484" s="124"/>
      <c r="W484" s="7"/>
      <c r="X484" s="139"/>
      <c r="Y484" s="3">
        <f t="shared" si="30"/>
        <v>475</v>
      </c>
      <c r="AA484" s="7"/>
      <c r="AC484" s="7" t="str">
        <f t="shared" si="31"/>
        <v/>
      </c>
      <c r="AE484" s="42" t="str">
        <f t="shared" si="32"/>
        <v/>
      </c>
      <c r="AG484" s="162">
        <v>4951</v>
      </c>
      <c r="AH484" s="10" t="s">
        <v>300</v>
      </c>
      <c r="AI484" s="10"/>
      <c r="AJ484" s="10"/>
    </row>
    <row r="485" spans="1:36">
      <c r="A485" s="137"/>
      <c r="B485" s="47"/>
      <c r="C485" s="47" t="s">
        <v>12</v>
      </c>
      <c r="D485" s="47"/>
      <c r="E485" s="301" t="s">
        <v>509</v>
      </c>
      <c r="F485" s="301">
        <f>'Other Rev'!$H$120</f>
        <v>19808531.901145</v>
      </c>
      <c r="G485" s="7">
        <f>+Adjustments!V485</f>
        <v>0</v>
      </c>
      <c r="H485" s="7"/>
      <c r="I485" s="7">
        <f>SUM($F$485:$H$485)</f>
        <v>19808531.901145</v>
      </c>
      <c r="J485" s="7">
        <f>+I485-'ROR-Model'!I485</f>
        <v>0</v>
      </c>
      <c r="K485" s="7"/>
      <c r="L485" s="7" t="s">
        <v>12</v>
      </c>
      <c r="M485" s="7">
        <f>VLOOKUP($L485,$L$2:$N$7,2,FALSE)*I485</f>
        <v>19808531.901145</v>
      </c>
      <c r="N485" s="7">
        <f>VLOOKUP($L485,$L$2:$N$7,3,FALSE)*I485</f>
        <v>0</v>
      </c>
      <c r="O485" s="120"/>
      <c r="P485" s="192" t="s">
        <v>509</v>
      </c>
      <c r="Q485" s="7">
        <f>IF(P485="G",M485,IF(P485="PT",0,ERR))</f>
        <v>0</v>
      </c>
      <c r="R485" s="7">
        <f>IF(P485="PT",M485,IF(P485="G",0,ERR))</f>
        <v>19808531.901145</v>
      </c>
      <c r="S485" s="126" t="s">
        <v>509</v>
      </c>
      <c r="T485" s="7">
        <f>IF(S485="G",N485,IF(S485="PT",0,ERR))</f>
        <v>0</v>
      </c>
      <c r="U485" s="7">
        <f>IF(S485="PT",N485,IF(S485="G",0,ERR))</f>
        <v>0</v>
      </c>
      <c r="V485" s="124"/>
      <c r="W485" s="7">
        <f>HLOOKUP($W$9,'ROR-Model'!$Q$10:$U$1273,Y485)</f>
        <v>0</v>
      </c>
      <c r="X485" s="139"/>
      <c r="Y485" s="3">
        <f t="shared" si="30"/>
        <v>476</v>
      </c>
      <c r="AA485" s="7">
        <v>0</v>
      </c>
      <c r="AC485" s="7" t="str">
        <f t="shared" si="31"/>
        <v/>
      </c>
      <c r="AE485" s="42" t="str">
        <f t="shared" si="32"/>
        <v/>
      </c>
      <c r="AG485" s="162"/>
      <c r="AH485" s="10"/>
      <c r="AI485" s="10" t="s">
        <v>12</v>
      </c>
      <c r="AJ485" s="10"/>
    </row>
    <row r="486" spans="1:36">
      <c r="A486" s="137"/>
      <c r="B486" s="47"/>
      <c r="C486" s="47" t="s">
        <v>23</v>
      </c>
      <c r="D486" s="47"/>
      <c r="E486" s="301" t="s">
        <v>509</v>
      </c>
      <c r="F486" s="301">
        <f>'Other Rev'!$H$121</f>
        <v>673061.90885499981</v>
      </c>
      <c r="G486" s="7">
        <f>+Adjustments!V486</f>
        <v>0</v>
      </c>
      <c r="H486" s="7"/>
      <c r="I486" s="7">
        <f>SUM($F$486:$H$486)</f>
        <v>673061.90885499981</v>
      </c>
      <c r="J486" s="7">
        <f>+I486-'ROR-Model'!I486</f>
        <v>0</v>
      </c>
      <c r="K486" s="7"/>
      <c r="L486" s="7" t="s">
        <v>23</v>
      </c>
      <c r="M486" s="7">
        <f>VLOOKUP($L486,$L$2:$N$7,2,FALSE)*I486</f>
        <v>0</v>
      </c>
      <c r="N486" s="7">
        <f>VLOOKUP($L486,$L$2:$N$7,3,FALSE)*I486</f>
        <v>673061.90885499981</v>
      </c>
      <c r="O486" s="120"/>
      <c r="P486" s="192" t="s">
        <v>509</v>
      </c>
      <c r="Q486" s="7">
        <f>IF(P486="G",M486,IF(P486="PT",0,ERR))</f>
        <v>0</v>
      </c>
      <c r="R486" s="7">
        <f>IF(P486="PT",M486,IF(P486="G",0,ERR))</f>
        <v>0</v>
      </c>
      <c r="S486" s="126" t="s">
        <v>509</v>
      </c>
      <c r="T486" s="7">
        <f>IF(S486="G",N486,IF(S486="PT",0,ERR))</f>
        <v>0</v>
      </c>
      <c r="U486" s="7">
        <f>IF(S486="PT",N486,IF(S486="G",0,ERR))</f>
        <v>673061.90885499981</v>
      </c>
      <c r="V486" s="124"/>
      <c r="W486" s="7">
        <f>HLOOKUP($W$9,'ROR-Model'!$Q$10:$U$1273,Y486)</f>
        <v>0</v>
      </c>
      <c r="X486" s="139"/>
      <c r="Y486" s="3">
        <f t="shared" si="30"/>
        <v>477</v>
      </c>
      <c r="AA486" s="7">
        <v>0</v>
      </c>
      <c r="AC486" s="7" t="str">
        <f t="shared" si="31"/>
        <v/>
      </c>
      <c r="AE486" s="42" t="str">
        <f t="shared" si="32"/>
        <v/>
      </c>
      <c r="AG486" s="162"/>
      <c r="AH486" s="10"/>
      <c r="AI486" s="10" t="s">
        <v>23</v>
      </c>
      <c r="AJ486" s="10"/>
    </row>
    <row r="487" spans="1:36">
      <c r="A487" s="137"/>
      <c r="B487" s="47"/>
      <c r="C487" s="47" t="s">
        <v>145</v>
      </c>
      <c r="D487" s="47"/>
      <c r="E487" s="140"/>
      <c r="F487" s="140">
        <f>SUM(F485:F486)</f>
        <v>20481593.809999999</v>
      </c>
      <c r="G487" s="140">
        <f>SUM(G485:G486)</f>
        <v>0</v>
      </c>
      <c r="H487" s="140">
        <f>SUM(H485:H486)</f>
        <v>0</v>
      </c>
      <c r="I487" s="140">
        <f>SUM(I485:I486)</f>
        <v>20481593.809999999</v>
      </c>
      <c r="J487" s="7">
        <f>+I487-'ROR-Model'!I487</f>
        <v>0</v>
      </c>
      <c r="K487" s="7"/>
      <c r="L487" s="140"/>
      <c r="M487" s="140">
        <f>SUM(M485:M486)</f>
        <v>19808531.901145</v>
      </c>
      <c r="N487" s="140">
        <f>SUM(N485:N486)</f>
        <v>673061.90885499981</v>
      </c>
      <c r="O487" s="120"/>
      <c r="P487" s="192"/>
      <c r="Q487" s="140">
        <f>SUM(Q485:Q486)</f>
        <v>0</v>
      </c>
      <c r="R487" s="140">
        <f>SUM(R485:R486)</f>
        <v>19808531.901145</v>
      </c>
      <c r="S487" s="201"/>
      <c r="T487" s="140">
        <f>SUM(T485:T486)</f>
        <v>0</v>
      </c>
      <c r="U487" s="140">
        <f>SUM(U485:U486)</f>
        <v>673061.90885499981</v>
      </c>
      <c r="V487" s="124"/>
      <c r="W487" s="140">
        <f>HLOOKUP($W$9,'ROR-Model'!$Q$10:$U$1273,Y487)</f>
        <v>0</v>
      </c>
      <c r="X487" s="139"/>
      <c r="Y487" s="3">
        <f t="shared" si="30"/>
        <v>478</v>
      </c>
      <c r="AA487" s="140">
        <v>0</v>
      </c>
      <c r="AC487" s="140" t="str">
        <f t="shared" si="31"/>
        <v/>
      </c>
      <c r="AE487" s="42" t="str">
        <f t="shared" si="32"/>
        <v/>
      </c>
      <c r="AG487" s="162"/>
      <c r="AH487" s="10"/>
      <c r="AI487" s="10" t="s">
        <v>145</v>
      </c>
      <c r="AJ487" s="10"/>
    </row>
    <row r="488" spans="1:36">
      <c r="A488" s="137"/>
      <c r="B488" s="47"/>
      <c r="C488" s="47"/>
      <c r="D488" s="47"/>
      <c r="E488" s="7"/>
      <c r="F488" s="7"/>
      <c r="G488" s="7"/>
      <c r="H488" s="7"/>
      <c r="I488" s="7"/>
      <c r="J488" s="7">
        <f>+I488-'ROR-Model'!I488</f>
        <v>0</v>
      </c>
      <c r="K488" s="7"/>
      <c r="L488" s="7"/>
      <c r="M488" s="7"/>
      <c r="N488" s="7"/>
      <c r="O488" s="120"/>
      <c r="P488" s="192"/>
      <c r="Q488" s="7"/>
      <c r="R488" s="7"/>
      <c r="S488" s="126"/>
      <c r="T488" s="7"/>
      <c r="U488" s="7"/>
      <c r="V488" s="124"/>
      <c r="W488" s="7"/>
      <c r="X488" s="139"/>
      <c r="Y488" s="3">
        <f t="shared" si="30"/>
        <v>479</v>
      </c>
      <c r="AA488" s="7"/>
      <c r="AC488" s="7" t="str">
        <f t="shared" si="31"/>
        <v/>
      </c>
      <c r="AE488" s="42" t="str">
        <f t="shared" si="32"/>
        <v/>
      </c>
      <c r="AG488" s="162"/>
      <c r="AH488" s="10"/>
      <c r="AI488" s="10"/>
      <c r="AJ488" s="10"/>
    </row>
    <row r="489" spans="1:36">
      <c r="A489" s="137">
        <v>4952</v>
      </c>
      <c r="B489" s="47" t="s">
        <v>301</v>
      </c>
      <c r="C489" s="47"/>
      <c r="D489" s="47"/>
      <c r="E489" s="7"/>
      <c r="F489" s="7"/>
      <c r="G489" s="7"/>
      <c r="H489" s="7"/>
      <c r="I489" s="7"/>
      <c r="J489" s="7">
        <f>+I489-'ROR-Model'!I489</f>
        <v>0</v>
      </c>
      <c r="K489" s="7"/>
      <c r="L489" s="7"/>
      <c r="M489" s="7"/>
      <c r="N489" s="7"/>
      <c r="O489" s="120"/>
      <c r="P489" s="192"/>
      <c r="Q489" s="7"/>
      <c r="R489" s="7"/>
      <c r="S489" s="126"/>
      <c r="T489" s="7"/>
      <c r="U489" s="7"/>
      <c r="V489" s="124"/>
      <c r="W489" s="7"/>
      <c r="X489" s="139"/>
      <c r="Y489" s="3">
        <f t="shared" si="30"/>
        <v>480</v>
      </c>
      <c r="AA489" s="7"/>
      <c r="AC489" s="7" t="str">
        <f t="shared" si="31"/>
        <v/>
      </c>
      <c r="AE489" s="42" t="str">
        <f t="shared" si="32"/>
        <v/>
      </c>
      <c r="AG489" s="162">
        <v>4952</v>
      </c>
      <c r="AH489" s="10" t="s">
        <v>301</v>
      </c>
      <c r="AI489" s="10"/>
      <c r="AJ489" s="10"/>
    </row>
    <row r="490" spans="1:36">
      <c r="A490" s="137"/>
      <c r="B490" s="47"/>
      <c r="C490" s="47" t="s">
        <v>12</v>
      </c>
      <c r="D490" s="47"/>
      <c r="E490" s="301" t="s">
        <v>509</v>
      </c>
      <c r="F490" s="301">
        <f>'Other Rev'!$H$125</f>
        <v>2004233.3545000001</v>
      </c>
      <c r="G490" s="7">
        <f>+Adjustments!V490</f>
        <v>0</v>
      </c>
      <c r="H490" s="7"/>
      <c r="I490" s="7">
        <f>SUM($F$490:$H$490)</f>
        <v>2004233.3545000001</v>
      </c>
      <c r="J490" s="7">
        <f>+I490-'ROR-Model'!I490</f>
        <v>0</v>
      </c>
      <c r="K490" s="7"/>
      <c r="L490" s="7" t="s">
        <v>12</v>
      </c>
      <c r="M490" s="7">
        <f>VLOOKUP($L490,$L$2:$N$7,2,FALSE)*I490</f>
        <v>2004233.3545000001</v>
      </c>
      <c r="N490" s="7">
        <f>VLOOKUP($L490,$L$2:$N$7,3,FALSE)*I490</f>
        <v>0</v>
      </c>
      <c r="O490" s="120"/>
      <c r="P490" s="192" t="s">
        <v>509</v>
      </c>
      <c r="Q490" s="7">
        <f>IF(P490="G",M490,IF(P490="PT",0,ERR))</f>
        <v>0</v>
      </c>
      <c r="R490" s="7">
        <f>IF(P490="PT",M490,IF(P490="G",0,ERR))</f>
        <v>2004233.3545000001</v>
      </c>
      <c r="S490" s="126" t="s">
        <v>509</v>
      </c>
      <c r="T490" s="7">
        <f>IF(S490="G",N490,IF(S490="PT",0,ERR))</f>
        <v>0</v>
      </c>
      <c r="U490" s="7">
        <f>IF(S490="PT",N490,IF(S490="G",0,ERR))</f>
        <v>0</v>
      </c>
      <c r="V490" s="124"/>
      <c r="W490" s="7">
        <f>HLOOKUP($W$9,'ROR-Model'!$Q$10:$U$1273,Y490)</f>
        <v>0</v>
      </c>
      <c r="X490" s="139"/>
      <c r="Y490" s="3">
        <f t="shared" si="30"/>
        <v>481</v>
      </c>
      <c r="AA490" s="7">
        <v>0</v>
      </c>
      <c r="AC490" s="7" t="str">
        <f t="shared" si="31"/>
        <v/>
      </c>
      <c r="AE490" s="42" t="str">
        <f t="shared" si="32"/>
        <v/>
      </c>
      <c r="AG490" s="162"/>
      <c r="AH490" s="10"/>
      <c r="AI490" s="10" t="s">
        <v>12</v>
      </c>
      <c r="AJ490" s="10"/>
    </row>
    <row r="491" spans="1:36">
      <c r="A491" s="137"/>
      <c r="B491" s="47"/>
      <c r="C491" s="47" t="s">
        <v>23</v>
      </c>
      <c r="D491" s="47"/>
      <c r="E491" s="301" t="s">
        <v>509</v>
      </c>
      <c r="F491" s="301">
        <f>'Other Rev'!$H$126</f>
        <v>63217.645499999955</v>
      </c>
      <c r="G491" s="7">
        <f>+Adjustments!V491</f>
        <v>0</v>
      </c>
      <c r="H491" s="7"/>
      <c r="I491" s="7">
        <f>SUM($F$491:$H$491)</f>
        <v>63217.645499999955</v>
      </c>
      <c r="J491" s="7">
        <f>+I491-'ROR-Model'!I491</f>
        <v>0</v>
      </c>
      <c r="K491" s="7"/>
      <c r="L491" s="7" t="s">
        <v>23</v>
      </c>
      <c r="M491" s="7">
        <f>VLOOKUP($L491,$L$2:$N$7,2,FALSE)*I491</f>
        <v>0</v>
      </c>
      <c r="N491" s="7">
        <f>VLOOKUP($L491,$L$2:$N$7,3,FALSE)*I491</f>
        <v>63217.645499999955</v>
      </c>
      <c r="O491" s="120"/>
      <c r="P491" s="192" t="s">
        <v>509</v>
      </c>
      <c r="Q491" s="7">
        <f>IF(P491="G",M491,IF(P491="PT",0,ERR))</f>
        <v>0</v>
      </c>
      <c r="R491" s="7">
        <f>IF(P491="PT",M491,IF(P491="G",0,ERR))</f>
        <v>0</v>
      </c>
      <c r="S491" s="126" t="s">
        <v>509</v>
      </c>
      <c r="T491" s="7">
        <f>IF(S491="G",N491,IF(S491="PT",0,ERR))</f>
        <v>0</v>
      </c>
      <c r="U491" s="7">
        <f>IF(S491="PT",N491,IF(S491="G",0,ERR))</f>
        <v>63217.645499999955</v>
      </c>
      <c r="V491" s="124"/>
      <c r="W491" s="7">
        <f>HLOOKUP($W$9,'ROR-Model'!$Q$10:$U$1273,Y491)</f>
        <v>0</v>
      </c>
      <c r="X491" s="139"/>
      <c r="Y491" s="3">
        <f t="shared" si="30"/>
        <v>482</v>
      </c>
      <c r="AA491" s="7">
        <v>0</v>
      </c>
      <c r="AC491" s="7" t="str">
        <f t="shared" si="31"/>
        <v/>
      </c>
      <c r="AE491" s="42" t="str">
        <f t="shared" si="32"/>
        <v/>
      </c>
      <c r="AG491" s="162"/>
      <c r="AH491" s="10"/>
      <c r="AI491" s="10" t="s">
        <v>23</v>
      </c>
      <c r="AJ491" s="10"/>
    </row>
    <row r="492" spans="1:36">
      <c r="A492" s="137"/>
      <c r="B492" s="47"/>
      <c r="C492" s="47" t="s">
        <v>145</v>
      </c>
      <c r="D492" s="47"/>
      <c r="E492" s="140"/>
      <c r="F492" s="140">
        <f>SUM(F490:F491)</f>
        <v>2067451</v>
      </c>
      <c r="G492" s="140">
        <f>SUM(G490:G491)</f>
        <v>0</v>
      </c>
      <c r="H492" s="140">
        <f>SUM(H490:H491)</f>
        <v>0</v>
      </c>
      <c r="I492" s="140">
        <f>SUM(I490:I491)</f>
        <v>2067451</v>
      </c>
      <c r="J492" s="7">
        <f>+I492-'ROR-Model'!I492</f>
        <v>0</v>
      </c>
      <c r="K492" s="7"/>
      <c r="L492" s="140"/>
      <c r="M492" s="140">
        <f>SUM(M490:M491)</f>
        <v>2004233.3545000001</v>
      </c>
      <c r="N492" s="140">
        <f>SUM(N490:N491)</f>
        <v>63217.645499999955</v>
      </c>
      <c r="O492" s="120"/>
      <c r="P492" s="192"/>
      <c r="Q492" s="140">
        <f>SUM(Q490:Q491)</f>
        <v>0</v>
      </c>
      <c r="R492" s="140">
        <f>SUM(R490:R491)</f>
        <v>2004233.3545000001</v>
      </c>
      <c r="S492" s="201"/>
      <c r="T492" s="140">
        <f>SUM(T490:T491)</f>
        <v>0</v>
      </c>
      <c r="U492" s="140">
        <f>SUM(U490:U491)</f>
        <v>63217.645499999955</v>
      </c>
      <c r="V492" s="124"/>
      <c r="W492" s="140">
        <f>HLOOKUP($W$9,'ROR-Model'!$Q$10:$U$1273,Y492)</f>
        <v>0</v>
      </c>
      <c r="X492" s="139"/>
      <c r="Y492" s="3">
        <f t="shared" si="30"/>
        <v>483</v>
      </c>
      <c r="AA492" s="140">
        <v>0</v>
      </c>
      <c r="AC492" s="140" t="str">
        <f t="shared" si="31"/>
        <v/>
      </c>
      <c r="AE492" s="42" t="str">
        <f t="shared" si="32"/>
        <v/>
      </c>
      <c r="AG492" s="162"/>
      <c r="AH492" s="10"/>
      <c r="AI492" s="10" t="s">
        <v>145</v>
      </c>
      <c r="AJ492" s="10"/>
    </row>
    <row r="493" spans="1:36">
      <c r="A493" s="137"/>
      <c r="B493" s="47"/>
      <c r="C493" s="47"/>
      <c r="D493" s="47"/>
      <c r="E493" s="7"/>
      <c r="F493" s="7"/>
      <c r="G493" s="7"/>
      <c r="H493" s="7"/>
      <c r="I493" s="7"/>
      <c r="J493" s="7">
        <f>+I493-'ROR-Model'!I493</f>
        <v>0</v>
      </c>
      <c r="K493" s="7"/>
      <c r="L493" s="7"/>
      <c r="M493" s="7"/>
      <c r="N493" s="7"/>
      <c r="O493" s="120"/>
      <c r="P493" s="192"/>
      <c r="Q493" s="7"/>
      <c r="R493" s="7"/>
      <c r="S493" s="126"/>
      <c r="T493" s="7"/>
      <c r="U493" s="7"/>
      <c r="V493" s="124"/>
      <c r="W493" s="7"/>
      <c r="X493" s="139"/>
      <c r="Y493" s="3">
        <f t="shared" si="30"/>
        <v>484</v>
      </c>
      <c r="AA493" s="7"/>
      <c r="AC493" s="7" t="str">
        <f t="shared" si="31"/>
        <v/>
      </c>
      <c r="AE493" s="42" t="str">
        <f t="shared" si="32"/>
        <v/>
      </c>
      <c r="AG493" s="162"/>
      <c r="AH493" s="10"/>
      <c r="AI493" s="10"/>
      <c r="AJ493" s="10"/>
    </row>
    <row r="494" spans="1:36">
      <c r="A494" s="137">
        <v>4974</v>
      </c>
      <c r="B494" s="47" t="s">
        <v>305</v>
      </c>
      <c r="C494" s="47"/>
      <c r="D494" s="47"/>
      <c r="E494" s="7"/>
      <c r="F494" s="7"/>
      <c r="G494" s="7"/>
      <c r="H494" s="7"/>
      <c r="I494" s="7"/>
      <c r="J494" s="7">
        <f>+I494-'ROR-Model'!I494</f>
        <v>0</v>
      </c>
      <c r="K494" s="7"/>
      <c r="L494" s="7"/>
      <c r="M494" s="7"/>
      <c r="N494" s="7"/>
      <c r="O494" s="120"/>
      <c r="P494" s="192"/>
      <c r="Q494" s="7"/>
      <c r="R494" s="7"/>
      <c r="S494" s="126"/>
      <c r="T494" s="7"/>
      <c r="U494" s="7"/>
      <c r="V494" s="124"/>
      <c r="W494" s="7"/>
      <c r="X494" s="139"/>
      <c r="Y494" s="3">
        <f t="shared" si="30"/>
        <v>485</v>
      </c>
      <c r="AA494" s="7"/>
      <c r="AC494" s="7" t="str">
        <f t="shared" si="31"/>
        <v/>
      </c>
      <c r="AE494" s="42" t="str">
        <f t="shared" si="32"/>
        <v/>
      </c>
      <c r="AG494" s="162">
        <v>4974</v>
      </c>
      <c r="AH494" s="10" t="s">
        <v>305</v>
      </c>
      <c r="AI494" s="10"/>
      <c r="AJ494" s="10"/>
    </row>
    <row r="495" spans="1:36">
      <c r="A495" s="136"/>
      <c r="B495" s="47"/>
      <c r="C495" s="47" t="s">
        <v>12</v>
      </c>
      <c r="D495" s="47"/>
      <c r="E495" s="301" t="s">
        <v>510</v>
      </c>
      <c r="F495" s="301">
        <f>'Other Rev'!$H$130</f>
        <v>0</v>
      </c>
      <c r="G495" s="7">
        <f>+Adjustments!V495</f>
        <v>0</v>
      </c>
      <c r="H495" s="7"/>
      <c r="I495" s="7">
        <f>SUM($F$495:$H$495)</f>
        <v>0</v>
      </c>
      <c r="J495" s="7">
        <f>+I495-'ROR-Model'!I495</f>
        <v>0</v>
      </c>
      <c r="K495" s="7"/>
      <c r="L495" s="7" t="s">
        <v>12</v>
      </c>
      <c r="M495" s="7">
        <f>VLOOKUP($L495,$L$2:$N$7,2,FALSE)*I495</f>
        <v>0</v>
      </c>
      <c r="N495" s="7">
        <f>VLOOKUP($L495,$L$2:$N$7,3,FALSE)*I495</f>
        <v>0</v>
      </c>
      <c r="O495" s="120"/>
      <c r="P495" s="192" t="s">
        <v>510</v>
      </c>
      <c r="Q495" s="7">
        <f>IF(P495="G",M495,IF(P495="PT",0,ERR))</f>
        <v>0</v>
      </c>
      <c r="R495" s="7">
        <f>IF(P495="PT",M495,IF(P495="G",0,ERR))</f>
        <v>0</v>
      </c>
      <c r="S495" s="126" t="s">
        <v>510</v>
      </c>
      <c r="T495" s="7">
        <f>IF(S495="G",N495,IF(S495="PT",0,ERR))</f>
        <v>0</v>
      </c>
      <c r="U495" s="7">
        <f>IF(S495="PT",N495,IF(S495="G",0,ERR))</f>
        <v>0</v>
      </c>
      <c r="V495" s="124"/>
      <c r="W495" s="7">
        <f>HLOOKUP($W$9,'ROR-Model'!$Q$10:$U$1273,Y495)</f>
        <v>0</v>
      </c>
      <c r="X495" s="139"/>
      <c r="Y495" s="3">
        <f t="shared" si="30"/>
        <v>486</v>
      </c>
      <c r="AA495" s="7">
        <v>0</v>
      </c>
      <c r="AC495" s="7" t="str">
        <f t="shared" si="31"/>
        <v/>
      </c>
      <c r="AE495" s="42" t="str">
        <f t="shared" si="32"/>
        <v/>
      </c>
      <c r="AG495" s="162"/>
      <c r="AH495" s="10"/>
      <c r="AI495" s="10" t="s">
        <v>12</v>
      </c>
      <c r="AJ495" s="10"/>
    </row>
    <row r="496" spans="1:36">
      <c r="A496" s="136"/>
      <c r="B496" s="47"/>
      <c r="C496" s="47" t="s">
        <v>23</v>
      </c>
      <c r="D496" s="47"/>
      <c r="E496" s="301" t="s">
        <v>510</v>
      </c>
      <c r="F496" s="301">
        <f>'Other Rev'!$H$131</f>
        <v>0</v>
      </c>
      <c r="G496" s="7">
        <f>+Adjustments!V496</f>
        <v>0</v>
      </c>
      <c r="H496" s="7"/>
      <c r="I496" s="7">
        <f>SUM($F$496:$H$496)</f>
        <v>0</v>
      </c>
      <c r="J496" s="7">
        <f>+I496-'ROR-Model'!I496</f>
        <v>0</v>
      </c>
      <c r="K496" s="7"/>
      <c r="L496" s="7" t="s">
        <v>23</v>
      </c>
      <c r="M496" s="7">
        <f>VLOOKUP($L496,$L$2:$N$7,2,FALSE)*I496</f>
        <v>0</v>
      </c>
      <c r="N496" s="7">
        <f>VLOOKUP($L496,$L$2:$N$7,3,FALSE)*I496</f>
        <v>0</v>
      </c>
      <c r="O496" s="120"/>
      <c r="P496" s="192" t="s">
        <v>510</v>
      </c>
      <c r="Q496" s="7">
        <f>IF(P496="G",M496,IF(P496="PT",0,ERR))</f>
        <v>0</v>
      </c>
      <c r="R496" s="7">
        <f>IF(P496="PT",M496,IF(P496="G",0,ERR))</f>
        <v>0</v>
      </c>
      <c r="S496" s="126" t="s">
        <v>510</v>
      </c>
      <c r="T496" s="7">
        <f>IF(S496="G",N496,IF(S496="PT",0,ERR))</f>
        <v>0</v>
      </c>
      <c r="U496" s="7">
        <f>IF(S496="PT",N496,IF(S496="G",0,ERR))</f>
        <v>0</v>
      </c>
      <c r="V496" s="124"/>
      <c r="W496" s="7">
        <f>HLOOKUP($W$9,'ROR-Model'!$Q$10:$U$1273,Y496)</f>
        <v>0</v>
      </c>
      <c r="X496" s="139"/>
      <c r="Y496" s="3">
        <f t="shared" si="30"/>
        <v>487</v>
      </c>
      <c r="AA496" s="7">
        <v>0</v>
      </c>
      <c r="AC496" s="7" t="str">
        <f t="shared" si="31"/>
        <v/>
      </c>
      <c r="AE496" s="42" t="str">
        <f t="shared" si="32"/>
        <v/>
      </c>
      <c r="AG496" s="162"/>
      <c r="AH496" s="10"/>
      <c r="AI496" s="10" t="s">
        <v>23</v>
      </c>
      <c r="AJ496" s="10"/>
    </row>
    <row r="497" spans="1:36">
      <c r="A497" s="136"/>
      <c r="B497" s="47"/>
      <c r="C497" s="47" t="s">
        <v>145</v>
      </c>
      <c r="D497" s="47"/>
      <c r="E497" s="140"/>
      <c r="F497" s="140">
        <f>SUM(F495:F496)</f>
        <v>0</v>
      </c>
      <c r="G497" s="140">
        <f>SUM(G495:G496)</f>
        <v>0</v>
      </c>
      <c r="H497" s="140">
        <f>SUM(H495:H496)</f>
        <v>0</v>
      </c>
      <c r="I497" s="140">
        <f>SUM(I495:I496)</f>
        <v>0</v>
      </c>
      <c r="J497" s="7">
        <f>+I497-'ROR-Model'!I497</f>
        <v>0</v>
      </c>
      <c r="K497" s="7"/>
      <c r="L497" s="140"/>
      <c r="M497" s="140">
        <f>SUM(M495:M496)</f>
        <v>0</v>
      </c>
      <c r="N497" s="140">
        <f>SUM(N495:N496)</f>
        <v>0</v>
      </c>
      <c r="O497" s="120"/>
      <c r="P497" s="201"/>
      <c r="Q497" s="140">
        <f>SUM(Q495:Q496)</f>
        <v>0</v>
      </c>
      <c r="R497" s="140">
        <f>SUM(R495:R496)</f>
        <v>0</v>
      </c>
      <c r="S497" s="201"/>
      <c r="T497" s="140">
        <f>SUM(T495:T496)</f>
        <v>0</v>
      </c>
      <c r="U497" s="140">
        <f>SUM(U495:U496)</f>
        <v>0</v>
      </c>
      <c r="V497" s="124"/>
      <c r="W497" s="140">
        <f>HLOOKUP($W$9,'ROR-Model'!$Q$10:$U$1273,Y497)</f>
        <v>0</v>
      </c>
      <c r="X497" s="139"/>
      <c r="Y497" s="3">
        <f t="shared" si="30"/>
        <v>488</v>
      </c>
      <c r="AA497" s="140">
        <v>0</v>
      </c>
      <c r="AC497" s="140" t="str">
        <f t="shared" si="31"/>
        <v/>
      </c>
      <c r="AE497" s="42" t="str">
        <f t="shared" si="32"/>
        <v/>
      </c>
      <c r="AG497" s="162"/>
      <c r="AH497" s="10"/>
      <c r="AI497" s="10" t="s">
        <v>145</v>
      </c>
      <c r="AJ497" s="10"/>
    </row>
    <row r="498" spans="1:36" ht="13.5" thickBot="1">
      <c r="A498" s="136"/>
      <c r="B498" s="47"/>
      <c r="C498" s="47"/>
      <c r="D498" s="47"/>
      <c r="E498" s="24"/>
      <c r="F498" s="24"/>
      <c r="G498" s="24"/>
      <c r="H498" s="24"/>
      <c r="I498" s="24"/>
      <c r="J498" s="7">
        <f>+I498-'ROR-Model'!I498</f>
        <v>0</v>
      </c>
      <c r="K498" s="7"/>
      <c r="L498" s="24"/>
      <c r="M498" s="24"/>
      <c r="N498" s="24"/>
      <c r="O498" s="120"/>
      <c r="P498" s="202"/>
      <c r="Q498" s="24"/>
      <c r="R498" s="24"/>
      <c r="S498" s="202"/>
      <c r="T498" s="24"/>
      <c r="U498" s="24"/>
      <c r="V498" s="124"/>
      <c r="W498" s="24"/>
      <c r="X498" s="139"/>
      <c r="Y498" s="3">
        <f t="shared" si="30"/>
        <v>489</v>
      </c>
      <c r="AA498" s="24"/>
      <c r="AC498" s="24" t="str">
        <f t="shared" si="31"/>
        <v/>
      </c>
      <c r="AE498" s="42" t="str">
        <f t="shared" si="32"/>
        <v/>
      </c>
      <c r="AG498" s="162"/>
      <c r="AH498" s="10"/>
      <c r="AI498" s="10"/>
      <c r="AJ498" s="10"/>
    </row>
    <row r="499" spans="1:36" ht="25.5" customHeight="1" thickTop="1">
      <c r="A499" s="116" t="s">
        <v>499</v>
      </c>
      <c r="B499" s="47"/>
      <c r="C499" s="47"/>
      <c r="D499" s="47"/>
      <c r="E499" s="7"/>
      <c r="F499" s="7"/>
      <c r="G499" s="7"/>
      <c r="H499" s="7"/>
      <c r="I499" s="7"/>
      <c r="J499" s="7">
        <f>+I499-'ROR-Model'!I499</f>
        <v>0</v>
      </c>
      <c r="K499" s="7"/>
      <c r="L499" s="7"/>
      <c r="M499" s="7"/>
      <c r="N499" s="7"/>
      <c r="O499" s="120"/>
      <c r="P499" s="126"/>
      <c r="Q499" s="7"/>
      <c r="R499" s="7"/>
      <c r="S499" s="126"/>
      <c r="T499" s="7"/>
      <c r="U499" s="7"/>
      <c r="V499" s="124"/>
      <c r="W499" s="7"/>
      <c r="X499" s="139"/>
      <c r="Y499" s="3">
        <f t="shared" si="30"/>
        <v>490</v>
      </c>
      <c r="AA499" s="7"/>
      <c r="AC499" s="7" t="str">
        <f t="shared" si="31"/>
        <v/>
      </c>
      <c r="AE499" s="42" t="str">
        <f t="shared" si="32"/>
        <v/>
      </c>
      <c r="AG499" s="162" t="s">
        <v>499</v>
      </c>
      <c r="AH499" s="10"/>
      <c r="AI499" s="10"/>
      <c r="AJ499" s="10"/>
    </row>
    <row r="500" spans="1:36">
      <c r="A500" s="136"/>
      <c r="B500" s="53" t="s">
        <v>502</v>
      </c>
      <c r="C500" s="47"/>
      <c r="D500" s="47"/>
      <c r="E500" s="29"/>
      <c r="F500" s="29"/>
      <c r="G500" s="7"/>
      <c r="H500" s="7"/>
      <c r="I500" s="7"/>
      <c r="J500" s="7">
        <f>+I500-'ROR-Model'!I500</f>
        <v>0</v>
      </c>
      <c r="K500" s="7"/>
      <c r="L500" s="7"/>
      <c r="M500" s="7"/>
      <c r="N500" s="7"/>
      <c r="O500" s="120"/>
      <c r="P500" s="126"/>
      <c r="Q500" s="7"/>
      <c r="R500" s="7"/>
      <c r="S500" s="126"/>
      <c r="T500" s="7"/>
      <c r="U500" s="7"/>
      <c r="V500" s="124"/>
      <c r="W500" s="7"/>
      <c r="X500" s="139"/>
      <c r="Y500" s="3">
        <f t="shared" si="30"/>
        <v>491</v>
      </c>
      <c r="AA500" s="7"/>
      <c r="AC500" s="7" t="str">
        <f t="shared" si="31"/>
        <v/>
      </c>
      <c r="AE500" s="42" t="str">
        <f t="shared" si="32"/>
        <v/>
      </c>
      <c r="AG500" s="162"/>
      <c r="AH500" s="10" t="s">
        <v>502</v>
      </c>
      <c r="AI500" s="10"/>
      <c r="AJ500" s="10"/>
    </row>
    <row r="501" spans="1:36">
      <c r="A501" s="136"/>
      <c r="B501" s="47"/>
      <c r="C501" s="47" t="s">
        <v>503</v>
      </c>
      <c r="D501" s="47"/>
      <c r="E501" s="301"/>
      <c r="F501" s="301">
        <f>F380+F460+F465+F470+F475+F480+F485+F490</f>
        <v>38204388.858393006</v>
      </c>
      <c r="G501" s="301">
        <f>G380+G460+G465+G470+G475+G480+G485+G490</f>
        <v>0</v>
      </c>
      <c r="H501" s="301">
        <f>H380+H460+H465+H470+H475+H480+H485+H490</f>
        <v>0</v>
      </c>
      <c r="I501" s="301">
        <f>I380+I460+I465+I470+I475+I480+I485+I490</f>
        <v>38204388.858393006</v>
      </c>
      <c r="J501" s="7">
        <f>+I501-'ROR-Model'!I501</f>
        <v>0</v>
      </c>
      <c r="K501" s="7"/>
      <c r="L501" s="7"/>
      <c r="M501" s="301">
        <f>M380+M460+M465+M470+M475+M480+M485+M490</f>
        <v>38204388.858393006</v>
      </c>
      <c r="N501" s="301">
        <f>N380+N460+N465+N470+N475+N480+N485+N490</f>
        <v>0</v>
      </c>
      <c r="O501" s="120"/>
      <c r="P501" s="126"/>
      <c r="Q501" s="301">
        <f>Q380+Q460+Q465+Q470+Q475+Q480+Q485+Q490</f>
        <v>0</v>
      </c>
      <c r="R501" s="301">
        <f>R380+R460+R465+R470+R475+R480+R485+R490</f>
        <v>38204388.858393006</v>
      </c>
      <c r="S501" s="126"/>
      <c r="T501" s="301">
        <f>T380+T460+T465+T470+T475+T480+T485+T490</f>
        <v>0</v>
      </c>
      <c r="U501" s="301">
        <f>U380+U460+U465+U470+U475+U480+U485+U490</f>
        <v>0</v>
      </c>
      <c r="V501" s="124"/>
      <c r="W501" s="7">
        <f>HLOOKUP($W$9,'ROR-Model'!$Q$10:$U$1273,Y501)</f>
        <v>0</v>
      </c>
      <c r="X501" s="139"/>
      <c r="Y501" s="3">
        <f t="shared" si="30"/>
        <v>492</v>
      </c>
      <c r="AA501" s="7">
        <v>0</v>
      </c>
      <c r="AC501" s="7" t="str">
        <f t="shared" si="31"/>
        <v/>
      </c>
      <c r="AE501" s="42" t="str">
        <f t="shared" si="32"/>
        <v/>
      </c>
      <c r="AG501" s="162"/>
      <c r="AH501" s="10"/>
      <c r="AI501" s="10" t="s">
        <v>503</v>
      </c>
      <c r="AJ501" s="10"/>
    </row>
    <row r="502" spans="1:36">
      <c r="A502" s="136"/>
      <c r="B502" s="47"/>
      <c r="C502" s="47" t="s">
        <v>504</v>
      </c>
      <c r="D502" s="47"/>
      <c r="E502" s="302"/>
      <c r="F502" s="302">
        <f>+F495+F455+F450+F445+F440+F435+F430+F425+F420+F415+F410+F405+F400+F395+F390+F385</f>
        <v>7061934.3356379997</v>
      </c>
      <c r="G502" s="302">
        <f>+G495+G455+G450+G445+G440+G435+G430+G425+G420+G415+G410+G405+G400+G395+G390+G385</f>
        <v>0</v>
      </c>
      <c r="H502" s="302">
        <f>+H495+H455+H450+H445+H440+H435+H430+H425+H420+H415+H410+H405+H400+H395+H390+H385</f>
        <v>0</v>
      </c>
      <c r="I502" s="302">
        <f>+I495+I455+I450+I445+I440+I435+I430+I425+I420+I415+I410+I405+I400+I395+I390+I385</f>
        <v>7061934.3356379997</v>
      </c>
      <c r="J502" s="7">
        <f>+I502-'ROR-Model'!I502</f>
        <v>0</v>
      </c>
      <c r="K502" s="7"/>
      <c r="L502" s="7"/>
      <c r="M502" s="302">
        <f>+M495+M455+M450+M445+M440+M435+M430+M425+M420+M415+M410+M405+M400+M395+M390+M385</f>
        <v>7061934.3356379997</v>
      </c>
      <c r="N502" s="302">
        <f>+N495+N455+N450+N445+N440+N435+N430+N425+N420+N415+N410+N405+N400+N395+N390+N385</f>
        <v>0</v>
      </c>
      <c r="O502" s="120"/>
      <c r="P502" s="126"/>
      <c r="Q502" s="302">
        <f>+Q495+Q455+Q450+Q445+Q440+Q435+Q430+Q425+Q420+Q415+Q410+Q405+Q400+Q395+Q390+Q385</f>
        <v>7061934.3356379997</v>
      </c>
      <c r="R502" s="302">
        <f>+R495+R455+R450+R445+R440+R435+R430+R425+R420+R415+R410+R405+R400+R395+R390+R385</f>
        <v>0</v>
      </c>
      <c r="S502" s="126"/>
      <c r="T502" s="302">
        <f>+T495+T455+T450+T445+T440+T435+T430+T425+T420+T415+T410+T405+T400+T395+T390+T385</f>
        <v>0</v>
      </c>
      <c r="U502" s="302">
        <f>+U495+U455+U450+U445+U440+U435+U430+U425+U420+U415+U410+U405+U400+U395+U390+U385</f>
        <v>0</v>
      </c>
      <c r="V502" s="124"/>
      <c r="W502" s="7">
        <f>HLOOKUP($W$9,'ROR-Model'!$Q$10:$U$1273,Y502)</f>
        <v>7061934.3356379997</v>
      </c>
      <c r="X502" s="139"/>
      <c r="Y502" s="3">
        <f t="shared" si="30"/>
        <v>493</v>
      </c>
      <c r="AA502" s="7">
        <v>5140343.1978629995</v>
      </c>
      <c r="AC502" s="7">
        <f t="shared" si="31"/>
        <v>1921591.1377750002</v>
      </c>
      <c r="AE502" s="42">
        <f t="shared" si="32"/>
        <v>0.37382545557928221</v>
      </c>
      <c r="AG502" s="162"/>
      <c r="AH502" s="10"/>
      <c r="AI502" s="10" t="s">
        <v>504</v>
      </c>
      <c r="AJ502" s="10"/>
    </row>
    <row r="503" spans="1:36">
      <c r="A503" s="136"/>
      <c r="B503" s="47"/>
      <c r="C503" s="53" t="s">
        <v>505</v>
      </c>
      <c r="D503" s="47"/>
      <c r="E503" s="140"/>
      <c r="F503" s="140">
        <f>F380+F385+F390+F395+F400+F405+F410+F415+F420+F425+F430+F435+F440+F445+F450+F455+F460+F465+F470+F475+F480+F485+F490+F495</f>
        <v>45266323.194031008</v>
      </c>
      <c r="G503" s="140">
        <f>G380+G385+G390+G395+G400+G405+G410+G415+G420+G425+G430+G435+G440+G445+G450+G455+G460+G465+G470+G475+G480+G485+G490+G495</f>
        <v>0</v>
      </c>
      <c r="H503" s="140">
        <f>H380+H385+H390+H395+H400+H405+H410+H415+H420+H425+H430+H435+H440+H445+H450+H455+H460+H465+H470+H475+H480+H485+H490+H495</f>
        <v>0</v>
      </c>
      <c r="I503" s="140">
        <f>I380+I385+I390+I395+I400+I405+I410+I415+I420+I425+I430+I435+I440+I445+I450+I455+I460+I465+I470+I475+I480+I485+I490+I495</f>
        <v>45266323.194031008</v>
      </c>
      <c r="J503" s="7">
        <f>+I503-'ROR-Model'!I503</f>
        <v>0</v>
      </c>
      <c r="K503" s="7"/>
      <c r="L503" s="140"/>
      <c r="M503" s="140">
        <f>M380+M385+M390+M395+M400+M405+M410+M415+M420+M425+M430+M435+M440+M445+M450+M455+M460+M465+M470+M475+M480+M485+M490+M495</f>
        <v>45266323.194031008</v>
      </c>
      <c r="N503" s="140">
        <f>N380+N385+N390+N395+N400+N405+N410+N415+N420+N425+N430+N435+N440+N445+N450+N455+N460+N465+N470+N475+N480+N485+N490+N495</f>
        <v>0</v>
      </c>
      <c r="O503" s="120"/>
      <c r="P503" s="201"/>
      <c r="Q503" s="140">
        <f>Q380+Q385+Q390+Q395+Q400+Q405+Q410+Q415+Q420+Q425+Q430+Q435+Q440+Q445+Q450+Q455+Q460+Q465+Q470+Q475+Q480+Q485+Q490+Q495</f>
        <v>7061934.3356379988</v>
      </c>
      <c r="R503" s="140">
        <f>R380+R385+R390+R395+R400+R405+R410+R415+R420+R425+R430+R435+R440+R445+R450+R455+R460+R465+R470+R475+R480+R485+R490+R495</f>
        <v>38204388.858393006</v>
      </c>
      <c r="S503" s="201"/>
      <c r="T503" s="140">
        <f>T380+T385+T390+T395+T400+T405+T410+T415+T420+T425+T430+T435+T440+T445+T450+T455+T460+T465+T470+T475+T480+T485+T490+T495</f>
        <v>0</v>
      </c>
      <c r="U503" s="140">
        <f>U380+U385+U390+U395+U400+U405+U410+U415+U420+U425+U430+U435+U440+U445+U450+U455+U460+U465+U470+U475+U480+U485+U490+U495</f>
        <v>0</v>
      </c>
      <c r="V503" s="124"/>
      <c r="W503" s="140">
        <f>HLOOKUP($W$9,'ROR-Model'!$Q$10:$U$1273,Y503)</f>
        <v>7061934.3356379988</v>
      </c>
      <c r="X503" s="139"/>
      <c r="Y503" s="3">
        <f t="shared" si="30"/>
        <v>494</v>
      </c>
      <c r="AA503" s="140">
        <v>5140343.1978629995</v>
      </c>
      <c r="AC503" s="140">
        <f t="shared" si="31"/>
        <v>1921591.1377749993</v>
      </c>
      <c r="AE503" s="42">
        <f t="shared" si="32"/>
        <v>0.37382545557928204</v>
      </c>
      <c r="AG503" s="162"/>
      <c r="AH503" s="10"/>
      <c r="AI503" s="10" t="s">
        <v>505</v>
      </c>
      <c r="AJ503" s="10"/>
    </row>
    <row r="504" spans="1:36">
      <c r="A504" s="136"/>
      <c r="B504" s="53" t="s">
        <v>506</v>
      </c>
      <c r="C504" s="47"/>
      <c r="D504" s="47"/>
      <c r="E504" s="29"/>
      <c r="F504" s="29"/>
      <c r="G504" s="29"/>
      <c r="H504" s="29"/>
      <c r="I504" s="29"/>
      <c r="J504" s="7">
        <f>+I504-'ROR-Model'!I504</f>
        <v>0</v>
      </c>
      <c r="K504" s="7"/>
      <c r="L504" s="7"/>
      <c r="M504" s="29"/>
      <c r="N504" s="29"/>
      <c r="O504" s="120"/>
      <c r="P504" s="126"/>
      <c r="Q504" s="29"/>
      <c r="R504" s="29"/>
      <c r="S504" s="126"/>
      <c r="T504" s="29"/>
      <c r="U504" s="29"/>
      <c r="V504" s="124"/>
      <c r="W504" s="7"/>
      <c r="X504" s="139"/>
      <c r="Y504" s="3">
        <f t="shared" si="30"/>
        <v>495</v>
      </c>
      <c r="AA504" s="7"/>
      <c r="AC504" s="7" t="str">
        <f t="shared" si="31"/>
        <v/>
      </c>
      <c r="AE504" s="42" t="str">
        <f t="shared" si="32"/>
        <v/>
      </c>
      <c r="AG504" s="162"/>
      <c r="AH504" s="10" t="s">
        <v>506</v>
      </c>
      <c r="AI504" s="10"/>
      <c r="AJ504" s="10"/>
    </row>
    <row r="505" spans="1:36">
      <c r="A505" s="136"/>
      <c r="B505" s="47"/>
      <c r="C505" s="47" t="s">
        <v>503</v>
      </c>
      <c r="D505" s="47"/>
      <c r="E505" s="302"/>
      <c r="F505" s="302">
        <f>+F491+F486+F471+F461+F381</f>
        <v>1162669.7009799997</v>
      </c>
      <c r="G505" s="302">
        <f>+G491+G486+G471+G461+G381</f>
        <v>0</v>
      </c>
      <c r="H505" s="302">
        <f>+H491+H486+H471+H461+H381</f>
        <v>0</v>
      </c>
      <c r="I505" s="302">
        <f>+I491+I486+I471+I461+I381</f>
        <v>1162669.7009799997</v>
      </c>
      <c r="J505" s="7">
        <f>+I505-'ROR-Model'!I505</f>
        <v>0</v>
      </c>
      <c r="K505" s="7"/>
      <c r="L505" s="7"/>
      <c r="M505" s="302">
        <f>+M491+M486+M471+M461+M381</f>
        <v>0</v>
      </c>
      <c r="N505" s="302">
        <f>+N491+N486+N471+N461+N381</f>
        <v>1162669.7009799997</v>
      </c>
      <c r="O505" s="120"/>
      <c r="P505" s="126"/>
      <c r="Q505" s="302">
        <f>+Q491+Q486+Q471+Q461+Q381</f>
        <v>0</v>
      </c>
      <c r="R505" s="302">
        <f>+R491+R486+R471+R461+R381</f>
        <v>0</v>
      </c>
      <c r="S505" s="126"/>
      <c r="T505" s="302">
        <f>+T491+T486+T471+T461+T381</f>
        <v>0</v>
      </c>
      <c r="U505" s="302">
        <f>+U491+U486+U471+U461+U381</f>
        <v>1162669.7009799997</v>
      </c>
      <c r="V505" s="124"/>
      <c r="W505" s="7">
        <f>HLOOKUP($W$9,'ROR-Model'!$Q$10:$U$1273,Y505)</f>
        <v>0</v>
      </c>
      <c r="X505" s="139"/>
      <c r="Y505" s="3">
        <f t="shared" si="30"/>
        <v>496</v>
      </c>
      <c r="AA505" s="7">
        <v>0</v>
      </c>
      <c r="AC505" s="7" t="str">
        <f t="shared" si="31"/>
        <v/>
      </c>
      <c r="AE505" s="42" t="str">
        <f t="shared" si="32"/>
        <v/>
      </c>
      <c r="AG505" s="162"/>
      <c r="AH505" s="10"/>
      <c r="AI505" s="10" t="s">
        <v>503</v>
      </c>
      <c r="AJ505" s="10"/>
    </row>
    <row r="506" spans="1:36">
      <c r="A506" s="136"/>
      <c r="B506" s="47"/>
      <c r="C506" s="47" t="s">
        <v>504</v>
      </c>
      <c r="D506" s="47"/>
      <c r="E506" s="302"/>
      <c r="F506" s="302">
        <f>+F496+F481+F476+F466+F456+F451+F446+F431+F426+F421+F416+F411+F406+F401+F396+F391+F386</f>
        <v>324360.09498900006</v>
      </c>
      <c r="G506" s="302">
        <f>+G496+G481+G476+G466+G456+G451+G446+G431+G426+G421+G416+G411+G406+G401+G396+G391+G386</f>
        <v>0</v>
      </c>
      <c r="H506" s="302">
        <f>+H496+H481+H476+H466+H456+H451+H446+H431+H426+H421+H416+H411+H406+H401+H396+H391+H386</f>
        <v>0</v>
      </c>
      <c r="I506" s="302">
        <f>+I496+I481+I476+I466+I456+I451+I446+I431+I426+I421+I416+I411+I406+I401+I396+I391+I386</f>
        <v>324360.09498900006</v>
      </c>
      <c r="J506" s="7">
        <f>+I506-'ROR-Model'!I506</f>
        <v>0</v>
      </c>
      <c r="K506" s="7"/>
      <c r="L506" s="7"/>
      <c r="M506" s="302">
        <f>+M496+M481+M476+M466+M456+M451+M446+M431+M426+M421+M416+M411+M406+M401+M396+M391+M386</f>
        <v>0</v>
      </c>
      <c r="N506" s="302">
        <f>+N496+N481+N476+N466+N456+N451+N446+N431+N426+N421+N416+N411+N406+N401+N396+N391+N386</f>
        <v>324360.09498900006</v>
      </c>
      <c r="O506" s="120"/>
      <c r="P506" s="126"/>
      <c r="Q506" s="302">
        <f>+Q496+Q481+Q476+Q466+Q456+Q451+Q446+Q431+Q426+Q421+Q416+Q411+Q406+Q401+Q396+Q391+Q386</f>
        <v>0</v>
      </c>
      <c r="R506" s="302">
        <f>+R496+R481+R476+R466+R456+R451+R446+R431+R426+R421+R416+R411+R406+R401+R396+R391+R386</f>
        <v>0</v>
      </c>
      <c r="S506" s="126"/>
      <c r="T506" s="302">
        <f>+T496+T481+T476+T466+T456+T451+T446+T431+T426+T421+T416+T411+T406+T401+T396+T391+T386</f>
        <v>324360.09498900006</v>
      </c>
      <c r="U506" s="302">
        <f>+U496+U481+U476+U466+U456+U451+U446+U431+U426+U421+U416+U411+U406+U401+U396+U391+U386</f>
        <v>0</v>
      </c>
      <c r="V506" s="124"/>
      <c r="W506" s="7">
        <f>HLOOKUP($W$9,'ROR-Model'!$Q$10:$U$1273,Y506)</f>
        <v>0</v>
      </c>
      <c r="X506" s="139"/>
      <c r="Y506" s="3">
        <f t="shared" si="30"/>
        <v>497</v>
      </c>
      <c r="AA506" s="7">
        <v>0</v>
      </c>
      <c r="AC506" s="7" t="str">
        <f t="shared" si="31"/>
        <v/>
      </c>
      <c r="AE506" s="42" t="str">
        <f t="shared" si="32"/>
        <v/>
      </c>
      <c r="AG506" s="162"/>
      <c r="AH506" s="10"/>
      <c r="AI506" s="10" t="s">
        <v>504</v>
      </c>
      <c r="AJ506" s="10"/>
    </row>
    <row r="507" spans="1:36">
      <c r="A507" s="136"/>
      <c r="B507" s="47"/>
      <c r="C507" s="53" t="s">
        <v>507</v>
      </c>
      <c r="D507" s="47"/>
      <c r="E507" s="140"/>
      <c r="F507" s="140">
        <f>F381+F386+F391+F396+F401+F406+F411+F416+F421+F426+F431+F436+F441+F446+F451+F456+F461+F466+F471+F476+F481+F486+F491+F496</f>
        <v>1487029.7959689999</v>
      </c>
      <c r="G507" s="140">
        <f>G381+G386+G391+G396+G401+G406+G411+G416+G421+G426+G431+G436+G441+G446+G451+G456+G461+G466+G471+G476+G481+G486+G491+G496</f>
        <v>0</v>
      </c>
      <c r="H507" s="140">
        <f>H381+H386+H391+H396+H401+H406+H411+H416+H421+H426+H431+H436+H441+H446+H451+H456+H461+H466+H471+H476+H481+H486+H491+H496</f>
        <v>0</v>
      </c>
      <c r="I507" s="140">
        <f>I381+I386+I391+I396+I401+I406+I411+I416+I421+I426+I431+I436+I441+I446+I451+I456+I461+I466+I471+I476+I481+I486+I491+I496</f>
        <v>1487029.7959689999</v>
      </c>
      <c r="J507" s="7">
        <f>+I507-'ROR-Model'!I507</f>
        <v>0</v>
      </c>
      <c r="K507" s="7"/>
      <c r="L507" s="140"/>
      <c r="M507" s="140">
        <f>M381+M386+M391+M396+M401+M406+M411+M416+M421+M426+M431+M436+M441+M446+M451+M456+M461+M466+M471+M476+M481+M486+M491+M496</f>
        <v>0</v>
      </c>
      <c r="N507" s="140">
        <f>N381+N386+N391+N396+N401+N406+N411+N416+N421+N426+N431+N436+N441+N446+N451+N456+N461+N466+N471+N476+N481+N486+N491+N496</f>
        <v>1487029.7959689999</v>
      </c>
      <c r="O507" s="120"/>
      <c r="P507" s="201"/>
      <c r="Q507" s="140">
        <f>Q381+Q386+Q391+Q396+Q401+Q406+Q411+Q416+Q421+Q426+Q431+Q436+Q441+Q446+Q451+Q456+Q461+Q466+Q471+Q476+Q481+Q486+Q491+Q496</f>
        <v>0</v>
      </c>
      <c r="R507" s="140">
        <f>R381+R386+R391+R396+R401+R406+R411+R416+R421+R426+R431+R436+R441+R446+R451+R456+R461+R466+R471+R476+R481+R486+R491+R496</f>
        <v>0</v>
      </c>
      <c r="S507" s="201"/>
      <c r="T507" s="140">
        <f>T381+T386+T391+T396+T401+T406+T411+T416+T421+T426+T431+T436+T441+T446+T451+T456+T461+T466+T471+T476+T481+T486+T491+T496</f>
        <v>324360.09498900006</v>
      </c>
      <c r="U507" s="140">
        <f>U381+U386+U391+U396+U401+U406+U411+U416+U421+U426+U431+U436+U441+U446+U451+U456+U461+U466+U471+U476+U481+U486+U491+U496</f>
        <v>1162669.7009799995</v>
      </c>
      <c r="V507" s="124"/>
      <c r="W507" s="140">
        <f>HLOOKUP($W$9,'ROR-Model'!$Q$10:$U$1273,Y507)</f>
        <v>0</v>
      </c>
      <c r="X507" s="139"/>
      <c r="Y507" s="3">
        <f t="shared" si="30"/>
        <v>498</v>
      </c>
      <c r="AA507" s="140">
        <v>0</v>
      </c>
      <c r="AC507" s="140" t="str">
        <f t="shared" si="31"/>
        <v/>
      </c>
      <c r="AE507" s="42" t="str">
        <f t="shared" si="32"/>
        <v/>
      </c>
      <c r="AG507" s="162"/>
      <c r="AH507" s="10"/>
      <c r="AI507" s="10" t="s">
        <v>507</v>
      </c>
      <c r="AJ507" s="10"/>
    </row>
    <row r="508" spans="1:36" ht="13.5" thickBot="1">
      <c r="A508" s="136"/>
      <c r="B508" s="47"/>
      <c r="C508" s="47"/>
      <c r="D508" s="47"/>
      <c r="E508" s="154"/>
      <c r="F508" s="154"/>
      <c r="G508" s="154"/>
      <c r="H508" s="154"/>
      <c r="I508" s="154"/>
      <c r="J508" s="7">
        <f>+I508-'ROR-Model'!I508</f>
        <v>0</v>
      </c>
      <c r="K508" s="7"/>
      <c r="L508" s="154"/>
      <c r="M508" s="154"/>
      <c r="N508" s="154"/>
      <c r="O508" s="120"/>
      <c r="P508" s="204"/>
      <c r="Q508" s="154"/>
      <c r="R508" s="154"/>
      <c r="S508" s="204"/>
      <c r="T508" s="154"/>
      <c r="U508" s="154"/>
      <c r="V508" s="124"/>
      <c r="W508" s="154"/>
      <c r="X508" s="139"/>
      <c r="Y508" s="3">
        <f t="shared" si="30"/>
        <v>499</v>
      </c>
      <c r="AA508" s="154"/>
      <c r="AC508" s="154" t="str">
        <f t="shared" si="31"/>
        <v/>
      </c>
      <c r="AE508" s="42" t="str">
        <f t="shared" si="32"/>
        <v/>
      </c>
      <c r="AG508" s="162"/>
      <c r="AH508" s="10"/>
      <c r="AI508" s="10"/>
      <c r="AJ508" s="10"/>
    </row>
    <row r="509" spans="1:36">
      <c r="A509" s="136"/>
      <c r="B509" s="141" t="s">
        <v>508</v>
      </c>
      <c r="C509" s="47"/>
      <c r="D509" s="47"/>
      <c r="E509" s="7"/>
      <c r="F509" s="7">
        <f>F382+F387+F392+F397+F402+F407+F412+F417+F422+F427+F432+F437+F442+F447+F452+F457+F462+F467+F472+F477+F482+F487+F492+F497</f>
        <v>46753352.989999995</v>
      </c>
      <c r="G509" s="7">
        <f>G382+G387+G392+G397+G402+G407+G412+G417+G422+G427+G432+G437+G442+G447+G452+G457+G462+G467+G472+G477+G482+G487+G492+G497</f>
        <v>0</v>
      </c>
      <c r="H509" s="7">
        <f>H382+H387+H392+H397+H402+H407+H412+H417+H422+H427+H432+H437+H442+H447+H452+H457+H462+H467+H472+H477+H482+H487+H492+H497</f>
        <v>0</v>
      </c>
      <c r="I509" s="7">
        <f>I382+I387+I392+I397+I402+I407+I412+I417+I422+I427+I432+I437+I442+I447+I452+I457+I462+I467+I472+I477+I482+I487+I492+I497</f>
        <v>46753352.989999995</v>
      </c>
      <c r="J509" s="7">
        <f>+I509-'ROR-Model'!I509</f>
        <v>0</v>
      </c>
      <c r="K509" s="7"/>
      <c r="L509" s="7"/>
      <c r="M509" s="7">
        <f>M382+M387+M392+M397+M402+M407+M412+M417+M422+M427+M432+M437+M442+M447+M452+M457+M462+M467+M472+M477+M482+M487+M492+M497</f>
        <v>45266323.194031008</v>
      </c>
      <c r="N509" s="7">
        <f>N382+N387+N392+N397+N402+N407+N412+N417+N422+N427+N432+N437+N442+N447+N452+N457+N462+N467+N472+N477+N482+N487+N492+N497</f>
        <v>1487029.7959689999</v>
      </c>
      <c r="O509" s="120"/>
      <c r="P509" s="126"/>
      <c r="Q509" s="7">
        <f>Q382+Q387+Q392+Q397+Q402+Q407+Q412+Q417+Q422+Q427+Q432+Q437+Q442+Q447+Q452+Q457+Q462+Q467+Q472+Q477+Q482+Q487+Q492+Q497</f>
        <v>7061934.3356379988</v>
      </c>
      <c r="R509" s="7">
        <f>R382+R387+R392+R397+R402+R407+R412+R417+R422+R427+R432+R437+R442+R447+R452+R457+R462+R467+R472+R477+R482+R487+R492+R497</f>
        <v>38204388.858393006</v>
      </c>
      <c r="S509" s="126"/>
      <c r="T509" s="7">
        <f>T382+T387+T392+T397+T402+T407+T412+T417+T422+T427+T432+T437+T442+T447+T452+T457+T462+T467+T472+T477+T482+T487+T492+T497</f>
        <v>324360.09498900006</v>
      </c>
      <c r="U509" s="7">
        <f>U382+U387+U392+U397+U402+U407+U412+U417+U422+U427+U432+U437+U442+U447+U452+U457+U462+U467+U472+U477+U482+U487+U492+U497</f>
        <v>1162669.7009799995</v>
      </c>
      <c r="V509" s="124"/>
      <c r="W509" s="7">
        <f>HLOOKUP($W$9,'ROR-Model'!$Q$10:$U$1273,Y509)</f>
        <v>7061934.3356379988</v>
      </c>
      <c r="X509" s="139"/>
      <c r="Y509" s="3">
        <f t="shared" si="30"/>
        <v>500</v>
      </c>
      <c r="AA509" s="7">
        <v>5140343.1978629995</v>
      </c>
      <c r="AC509" s="7">
        <f t="shared" si="31"/>
        <v>1921591.1377749993</v>
      </c>
      <c r="AE509" s="42">
        <f t="shared" si="32"/>
        <v>0.37382545557928204</v>
      </c>
      <c r="AG509" s="162"/>
      <c r="AH509" t="s">
        <v>508</v>
      </c>
      <c r="AI509" s="10"/>
      <c r="AJ509" s="10"/>
    </row>
    <row r="510" spans="1:36" ht="13.5" thickBot="1">
      <c r="A510" s="49"/>
      <c r="B510" s="49"/>
      <c r="C510" s="49"/>
      <c r="D510" s="47">
        <f>+F502+F506</f>
        <v>7386294.4306269996</v>
      </c>
      <c r="E510" s="24"/>
      <c r="F510" s="24"/>
      <c r="G510" s="24"/>
      <c r="H510" s="24"/>
      <c r="I510" s="24"/>
      <c r="J510" s="7">
        <f>+I510-'ROR-Model'!I510</f>
        <v>0</v>
      </c>
      <c r="K510" s="7"/>
      <c r="L510" s="24"/>
      <c r="M510" s="205"/>
      <c r="N510" s="205"/>
      <c r="O510" s="120"/>
      <c r="P510" s="202"/>
      <c r="Q510" s="24"/>
      <c r="R510" s="24"/>
      <c r="S510" s="202"/>
      <c r="T510" s="24"/>
      <c r="U510" s="24"/>
      <c r="V510" s="124"/>
      <c r="W510" s="24"/>
      <c r="X510" s="139"/>
      <c r="Y510" s="3">
        <f t="shared" si="30"/>
        <v>501</v>
      </c>
      <c r="AA510" s="24"/>
      <c r="AC510" s="24" t="str">
        <f t="shared" si="31"/>
        <v/>
      </c>
      <c r="AE510" s="42" t="str">
        <f t="shared" si="32"/>
        <v/>
      </c>
      <c r="AG510" s="10"/>
      <c r="AH510" s="10"/>
      <c r="AI510" s="10"/>
      <c r="AJ510" s="10">
        <v>5201038.9146200996</v>
      </c>
    </row>
    <row r="511" spans="1:36" ht="13.5" thickTop="1">
      <c r="A511" s="49"/>
      <c r="B511" s="49"/>
      <c r="C511" s="49"/>
      <c r="D511" s="47"/>
      <c r="E511" s="7"/>
      <c r="F511" s="7"/>
      <c r="G511" s="7"/>
      <c r="H511" s="7"/>
      <c r="I511" s="7"/>
      <c r="J511" s="7">
        <f>+I511-'ROR-Model'!I511</f>
        <v>0</v>
      </c>
      <c r="K511" s="7"/>
      <c r="L511" s="7"/>
      <c r="M511" s="155"/>
      <c r="N511" s="155"/>
      <c r="O511" s="120"/>
      <c r="P511" s="126"/>
      <c r="Q511" s="7"/>
      <c r="R511" s="7"/>
      <c r="S511" s="126"/>
      <c r="T511" s="7"/>
      <c r="U511" s="7"/>
      <c r="V511" s="124"/>
      <c r="W511" s="7"/>
      <c r="X511" s="139"/>
      <c r="Y511" s="3">
        <f t="shared" si="30"/>
        <v>502</v>
      </c>
      <c r="AA511" s="7"/>
      <c r="AC511" s="7" t="str">
        <f t="shared" si="31"/>
        <v/>
      </c>
      <c r="AE511" s="42" t="str">
        <f t="shared" si="32"/>
        <v/>
      </c>
      <c r="AG511" s="10"/>
      <c r="AH511" s="10"/>
      <c r="AI511" s="10"/>
      <c r="AJ511" s="10"/>
    </row>
    <row r="512" spans="1:36">
      <c r="A512" s="116" t="s">
        <v>306</v>
      </c>
      <c r="B512" s="47"/>
      <c r="C512" s="47"/>
      <c r="D512" s="47"/>
      <c r="E512" s="7"/>
      <c r="F512" s="7">
        <f>F368+F509</f>
        <v>1597142068.6085987</v>
      </c>
      <c r="G512" s="7">
        <f>G368+G509</f>
        <v>-26231775.859999996</v>
      </c>
      <c r="H512" s="7">
        <f>H368+H509</f>
        <v>0</v>
      </c>
      <c r="I512" s="7">
        <f>I368+I509</f>
        <v>1570910292.7485986</v>
      </c>
      <c r="J512" s="7">
        <f>+I512-'ROR-Model'!I512</f>
        <v>0</v>
      </c>
      <c r="K512" s="7"/>
      <c r="L512" s="7"/>
      <c r="M512" s="7">
        <f>M368+M509</f>
        <v>1523142883.0840309</v>
      </c>
      <c r="N512" s="585">
        <f>N368+N509</f>
        <v>47767409.66456762</v>
      </c>
      <c r="O512" s="120"/>
      <c r="P512" s="126"/>
      <c r="Q512" s="7">
        <f>Q368+Q509</f>
        <v>464961274.07143039</v>
      </c>
      <c r="R512" s="7">
        <f>R368+R509</f>
        <v>1058181609.0126005</v>
      </c>
      <c r="S512" s="126"/>
      <c r="T512" s="7">
        <f>T368+T509</f>
        <v>13699905.161611313</v>
      </c>
      <c r="U512" s="7">
        <f>U368+U509</f>
        <v>34067504.502956301</v>
      </c>
      <c r="V512" s="124"/>
      <c r="W512" s="7">
        <f>HLOOKUP($W$9,'ROR-Model'!$Q$10:$U$1273,Y512)</f>
        <v>464961274.07143039</v>
      </c>
      <c r="X512" s="139"/>
      <c r="Y512" s="3">
        <f t="shared" si="30"/>
        <v>503</v>
      </c>
      <c r="AA512" s="7">
        <v>344932754.58371574</v>
      </c>
      <c r="AC512" s="7">
        <f t="shared" si="31"/>
        <v>120028519.48771465</v>
      </c>
      <c r="AE512" s="42">
        <f t="shared" si="32"/>
        <v>0.34797657773200408</v>
      </c>
      <c r="AG512" s="162" t="s">
        <v>306</v>
      </c>
      <c r="AH512" s="10"/>
      <c r="AI512" s="10"/>
      <c r="AJ512" s="10"/>
    </row>
    <row r="513" spans="1:36">
      <c r="A513" s="136"/>
      <c r="B513" s="47"/>
      <c r="C513" s="47"/>
      <c r="D513" s="47"/>
      <c r="E513" s="7"/>
      <c r="F513" s="7"/>
      <c r="G513" s="7"/>
      <c r="H513" s="7"/>
      <c r="I513" s="7"/>
      <c r="J513" s="7">
        <f>+I513-'ROR-Model'!I513</f>
        <v>0</v>
      </c>
      <c r="K513" s="7"/>
      <c r="L513" s="7"/>
      <c r="M513" s="7"/>
      <c r="N513" s="7"/>
      <c r="O513" s="120"/>
      <c r="P513" s="126"/>
      <c r="Q513" s="7"/>
      <c r="R513" s="7"/>
      <c r="S513" s="126"/>
      <c r="T513" s="7"/>
      <c r="U513" s="7"/>
      <c r="V513" s="124"/>
      <c r="W513" s="7"/>
      <c r="X513" s="139"/>
      <c r="Y513" s="3">
        <f t="shared" si="30"/>
        <v>504</v>
      </c>
      <c r="AA513" s="7"/>
      <c r="AC513" s="7" t="str">
        <f t="shared" si="31"/>
        <v/>
      </c>
      <c r="AE513" s="42" t="str">
        <f t="shared" si="32"/>
        <v/>
      </c>
      <c r="AG513" s="162"/>
      <c r="AH513" s="10"/>
      <c r="AI513" s="10"/>
      <c r="AJ513" s="10"/>
    </row>
    <row r="514" spans="1:36">
      <c r="A514" s="136"/>
      <c r="B514" s="47"/>
      <c r="C514" s="47"/>
      <c r="D514" s="47"/>
      <c r="E514" s="29"/>
      <c r="F514" s="29"/>
      <c r="G514" s="7"/>
      <c r="H514" s="7"/>
      <c r="I514" s="7"/>
      <c r="J514" s="7">
        <f>+I514-'ROR-Model'!I514</f>
        <v>0</v>
      </c>
      <c r="K514" s="7"/>
      <c r="L514" s="7"/>
      <c r="M514" s="7"/>
      <c r="N514" s="7"/>
      <c r="O514" s="120"/>
      <c r="P514" s="126"/>
      <c r="Q514" s="7"/>
      <c r="R514" s="7"/>
      <c r="S514" s="126"/>
      <c r="T514" s="7"/>
      <c r="U514" s="7"/>
      <c r="V514" s="124"/>
      <c r="W514" s="7"/>
      <c r="X514" s="139"/>
      <c r="Y514" s="3">
        <f t="shared" si="30"/>
        <v>505</v>
      </c>
      <c r="AA514" s="7"/>
      <c r="AC514" s="7" t="str">
        <f t="shared" si="31"/>
        <v/>
      </c>
      <c r="AE514" s="42" t="str">
        <f t="shared" si="32"/>
        <v/>
      </c>
      <c r="AG514" s="162"/>
      <c r="AH514" s="10"/>
      <c r="AI514" s="10"/>
      <c r="AJ514" s="10"/>
    </row>
    <row r="515" spans="1:36">
      <c r="A515" s="1109" t="s">
        <v>307</v>
      </c>
      <c r="B515" s="1109"/>
      <c r="C515" s="1109"/>
      <c r="D515" s="1109"/>
      <c r="E515" s="7"/>
      <c r="F515" s="7"/>
      <c r="G515" s="7"/>
      <c r="H515" s="7"/>
      <c r="I515" s="7"/>
      <c r="J515" s="7">
        <f>+I515-'ROR-Model'!I515</f>
        <v>0</v>
      </c>
      <c r="K515" s="7"/>
      <c r="L515" s="7"/>
      <c r="M515" s="7"/>
      <c r="N515" s="7"/>
      <c r="O515" s="120"/>
      <c r="P515" s="126"/>
      <c r="Q515" s="7"/>
      <c r="R515" s="7"/>
      <c r="S515" s="126"/>
      <c r="T515" s="7"/>
      <c r="U515" s="7"/>
      <c r="V515" s="124"/>
      <c r="W515" s="7"/>
      <c r="X515" s="139"/>
      <c r="Y515" s="3">
        <f t="shared" si="30"/>
        <v>506</v>
      </c>
      <c r="AA515" s="7"/>
      <c r="AC515" s="7" t="str">
        <f t="shared" si="31"/>
        <v/>
      </c>
      <c r="AE515" s="42" t="str">
        <f t="shared" si="32"/>
        <v/>
      </c>
      <c r="AG515" s="162" t="s">
        <v>307</v>
      </c>
      <c r="AH515" s="162"/>
      <c r="AI515" s="162"/>
      <c r="AJ515" s="162"/>
    </row>
    <row r="516" spans="1:36">
      <c r="A516" s="740"/>
      <c r="E516" s="7"/>
      <c r="F516" s="7"/>
      <c r="G516" s="7"/>
      <c r="H516" s="7"/>
      <c r="I516" s="7"/>
      <c r="J516" s="7">
        <f>+I516-'ROR-Model'!I516</f>
        <v>0</v>
      </c>
      <c r="K516" s="7"/>
      <c r="L516" s="7"/>
      <c r="M516" s="7"/>
      <c r="N516" s="7"/>
      <c r="O516" s="120"/>
      <c r="P516" s="126"/>
      <c r="Q516" s="7"/>
      <c r="R516" s="7"/>
      <c r="S516" s="126"/>
      <c r="T516" s="7"/>
      <c r="U516" s="7"/>
      <c r="V516" s="124"/>
      <c r="W516" s="7"/>
      <c r="X516" s="139"/>
      <c r="Y516" s="3">
        <f t="shared" si="30"/>
        <v>507</v>
      </c>
      <c r="AA516" s="7"/>
      <c r="AC516" s="7" t="str">
        <f t="shared" si="31"/>
        <v/>
      </c>
      <c r="AE516" s="42" t="str">
        <f t="shared" si="32"/>
        <v/>
      </c>
      <c r="AG516" s="162"/>
    </row>
    <row r="517" spans="1:36">
      <c r="A517" s="116" t="s">
        <v>308</v>
      </c>
      <c r="B517" s="47"/>
      <c r="C517" s="47"/>
      <c r="D517" s="47"/>
      <c r="E517" s="7"/>
      <c r="F517" s="7"/>
      <c r="G517" s="7"/>
      <c r="H517" s="7"/>
      <c r="I517" s="7"/>
      <c r="J517" s="7">
        <f>+I517-'ROR-Model'!I517</f>
        <v>0</v>
      </c>
      <c r="K517" s="7"/>
      <c r="L517" s="7"/>
      <c r="M517" s="7"/>
      <c r="N517" s="7"/>
      <c r="O517" s="120"/>
      <c r="P517" s="126"/>
      <c r="Q517" s="7"/>
      <c r="R517" s="7"/>
      <c r="S517" s="126"/>
      <c r="T517" s="7"/>
      <c r="U517" s="7"/>
      <c r="V517" s="124"/>
      <c r="W517" s="7"/>
      <c r="X517" s="139"/>
      <c r="Y517" s="3">
        <f t="shared" si="30"/>
        <v>508</v>
      </c>
      <c r="AA517" s="7"/>
      <c r="AC517" s="7" t="str">
        <f t="shared" si="31"/>
        <v/>
      </c>
      <c r="AE517" s="42" t="str">
        <f t="shared" si="32"/>
        <v/>
      </c>
      <c r="AG517" s="162" t="s">
        <v>308</v>
      </c>
      <c r="AH517" s="10"/>
      <c r="AI517" s="10"/>
      <c r="AJ517" s="10"/>
    </row>
    <row r="518" spans="1:36">
      <c r="A518" s="136"/>
      <c r="B518" s="47"/>
      <c r="C518" s="47"/>
      <c r="D518" s="47"/>
      <c r="E518" s="7"/>
      <c r="F518" s="7"/>
      <c r="G518" s="7"/>
      <c r="H518" s="7"/>
      <c r="I518" s="7"/>
      <c r="J518" s="7">
        <f>+I518-'ROR-Model'!I518</f>
        <v>0</v>
      </c>
      <c r="K518" s="7"/>
      <c r="L518" s="7"/>
      <c r="M518" s="7"/>
      <c r="N518" s="7"/>
      <c r="O518" s="120"/>
      <c r="P518" s="126"/>
      <c r="Q518" s="7"/>
      <c r="R518" s="7"/>
      <c r="S518" s="126"/>
      <c r="T518" s="7"/>
      <c r="U518" s="7"/>
      <c r="V518" s="124"/>
      <c r="W518" s="7"/>
      <c r="X518" s="139"/>
      <c r="Y518" s="3">
        <f t="shared" si="30"/>
        <v>509</v>
      </c>
      <c r="AA518" s="7"/>
      <c r="AC518" s="7" t="str">
        <f t="shared" si="31"/>
        <v/>
      </c>
      <c r="AE518" s="42" t="str">
        <f t="shared" si="32"/>
        <v/>
      </c>
      <c r="AG518" s="162"/>
      <c r="AH518" s="10"/>
      <c r="AI518" s="10"/>
      <c r="AJ518" s="10"/>
    </row>
    <row r="519" spans="1:36">
      <c r="A519" s="137"/>
      <c r="B519" s="47" t="s">
        <v>143</v>
      </c>
      <c r="C519" s="47"/>
      <c r="D519" s="47"/>
      <c r="E519" s="7"/>
      <c r="F519" s="7"/>
      <c r="G519" s="7"/>
      <c r="H519" s="7"/>
      <c r="I519" s="7"/>
      <c r="J519" s="7">
        <f>+I519-'ROR-Model'!I519</f>
        <v>0</v>
      </c>
      <c r="K519" s="7"/>
      <c r="L519" s="7"/>
      <c r="M519" s="7"/>
      <c r="N519" s="7"/>
      <c r="O519" s="120"/>
      <c r="P519" s="126"/>
      <c r="Q519" s="7"/>
      <c r="R519" s="7"/>
      <c r="S519" s="126"/>
      <c r="T519" s="7"/>
      <c r="U519" s="7"/>
      <c r="V519" s="124"/>
      <c r="W519" s="7"/>
      <c r="X519" s="139"/>
      <c r="Y519" s="3">
        <f t="shared" si="30"/>
        <v>510</v>
      </c>
      <c r="AA519" s="7"/>
      <c r="AC519" s="7" t="str">
        <f t="shared" si="31"/>
        <v/>
      </c>
      <c r="AE519" s="42" t="str">
        <f t="shared" si="32"/>
        <v/>
      </c>
      <c r="AG519" s="162"/>
      <c r="AH519" s="10" t="s">
        <v>143</v>
      </c>
      <c r="AI519" s="10"/>
      <c r="AJ519" s="10"/>
    </row>
    <row r="520" spans="1:36">
      <c r="A520" s="137"/>
      <c r="B520" s="47"/>
      <c r="C520" s="47"/>
      <c r="D520" s="47"/>
      <c r="E520" s="7"/>
      <c r="F520" s="7"/>
      <c r="G520" s="7"/>
      <c r="H520" s="7"/>
      <c r="I520" s="7"/>
      <c r="J520" s="7">
        <f>+I520-'ROR-Model'!I520</f>
        <v>0</v>
      </c>
      <c r="K520" s="7"/>
      <c r="L520" s="7"/>
      <c r="M520" s="7"/>
      <c r="N520" s="7"/>
      <c r="O520" s="120"/>
      <c r="P520" s="126"/>
      <c r="Q520" s="7"/>
      <c r="R520" s="7"/>
      <c r="S520" s="126"/>
      <c r="T520" s="7"/>
      <c r="U520" s="7"/>
      <c r="V520" s="124"/>
      <c r="W520" s="7"/>
      <c r="X520" s="139"/>
      <c r="Y520" s="3">
        <f t="shared" si="30"/>
        <v>511</v>
      </c>
      <c r="AA520" s="7"/>
      <c r="AC520" s="7" t="str">
        <f t="shared" si="31"/>
        <v/>
      </c>
      <c r="AE520" s="42" t="str">
        <f t="shared" si="32"/>
        <v/>
      </c>
      <c r="AG520" s="162"/>
      <c r="AH520" s="10"/>
      <c r="AI520" s="10"/>
      <c r="AJ520" s="10"/>
    </row>
    <row r="521" spans="1:36">
      <c r="A521" s="137">
        <v>758</v>
      </c>
      <c r="B521" s="47" t="s">
        <v>309</v>
      </c>
      <c r="C521" s="47"/>
      <c r="D521" s="47"/>
      <c r="E521" s="7"/>
      <c r="F521" s="7"/>
      <c r="G521" s="7"/>
      <c r="H521" s="7"/>
      <c r="I521" s="7"/>
      <c r="J521" s="7">
        <f>+I521-'ROR-Model'!I521</f>
        <v>0</v>
      </c>
      <c r="K521" s="7"/>
      <c r="L521" s="7"/>
      <c r="M521" s="7"/>
      <c r="N521" s="7"/>
      <c r="O521" s="120"/>
      <c r="P521" s="126"/>
      <c r="Q521" s="7"/>
      <c r="R521" s="7"/>
      <c r="S521" s="126"/>
      <c r="T521" s="7"/>
      <c r="U521" s="7"/>
      <c r="V521" s="124"/>
      <c r="W521" s="7"/>
      <c r="X521" s="139"/>
      <c r="Y521" s="3">
        <f t="shared" si="30"/>
        <v>512</v>
      </c>
      <c r="AA521" s="7"/>
      <c r="AC521" s="7" t="str">
        <f t="shared" si="31"/>
        <v/>
      </c>
      <c r="AE521" s="42" t="str">
        <f t="shared" si="32"/>
        <v/>
      </c>
      <c r="AG521" s="162">
        <v>758</v>
      </c>
      <c r="AH521" s="10" t="s">
        <v>309</v>
      </c>
      <c r="AI521" s="10"/>
      <c r="AJ521" s="10"/>
    </row>
    <row r="522" spans="1:36">
      <c r="A522" s="137"/>
      <c r="B522" s="47"/>
      <c r="C522" s="47" t="s">
        <v>12</v>
      </c>
      <c r="D522" s="47"/>
      <c r="E522" s="7" t="s">
        <v>509</v>
      </c>
      <c r="F522" s="7">
        <f>EXPENSES!F16</f>
        <v>77597269.268456995</v>
      </c>
      <c r="G522" s="7">
        <f>+Adjustments!V521</f>
        <v>0</v>
      </c>
      <c r="H522" s="7"/>
      <c r="I522" s="7">
        <f>SUM($F$522:$H$522)</f>
        <v>77597269.268456995</v>
      </c>
      <c r="J522" s="7">
        <f>+I522-'ROR-Model'!I522</f>
        <v>0</v>
      </c>
      <c r="K522" s="7"/>
      <c r="L522" s="7" t="s">
        <v>12</v>
      </c>
      <c r="M522" s="7">
        <f>VLOOKUP($L522,$L$2:$N$7,2,FALSE)*I522</f>
        <v>77597269.268456995</v>
      </c>
      <c r="N522" s="7">
        <f>VLOOKUP($L522,$L$2:$N$7,3,FALSE)*I522</f>
        <v>0</v>
      </c>
      <c r="O522" s="120"/>
      <c r="P522" s="192" t="s">
        <v>509</v>
      </c>
      <c r="Q522" s="7">
        <f>IF(P522="G",M522,IF(P522="PT",0,ERR))</f>
        <v>0</v>
      </c>
      <c r="R522" s="7">
        <f>IF(P522="PT",M522,IF(P522="G",0,ERR))</f>
        <v>77597269.268456995</v>
      </c>
      <c r="S522" s="126" t="s">
        <v>509</v>
      </c>
      <c r="T522" s="7">
        <f>IF(S522="G",N522,IF(S522="PT",0,ERR))</f>
        <v>0</v>
      </c>
      <c r="U522" s="7">
        <f>IF(S522="PT",N522,IF(S522="G",0,ERR))</f>
        <v>0</v>
      </c>
      <c r="V522" s="124"/>
      <c r="W522" s="7">
        <f>HLOOKUP($W$9,'ROR-Model'!$Q$10:$U$1273,Y522)</f>
        <v>0</v>
      </c>
      <c r="X522" s="139"/>
      <c r="Y522" s="3">
        <f t="shared" si="30"/>
        <v>513</v>
      </c>
      <c r="AA522" s="7">
        <v>0</v>
      </c>
      <c r="AC522" s="7" t="str">
        <f t="shared" si="31"/>
        <v/>
      </c>
      <c r="AE522" s="42" t="str">
        <f t="shared" si="32"/>
        <v/>
      </c>
      <c r="AG522" s="162"/>
      <c r="AH522" s="10"/>
      <c r="AI522" s="10" t="s">
        <v>12</v>
      </c>
      <c r="AJ522" s="10"/>
    </row>
    <row r="523" spans="1:36">
      <c r="A523" s="137"/>
      <c r="B523" s="47"/>
      <c r="C523" s="47" t="s">
        <v>23</v>
      </c>
      <c r="D523" s="47"/>
      <c r="E523" s="7" t="s">
        <v>509</v>
      </c>
      <c r="F523" s="7">
        <f>EXPENSES!F17</f>
        <v>2477385.0915429983</v>
      </c>
      <c r="G523" s="7">
        <f>+Adjustments!V522</f>
        <v>0</v>
      </c>
      <c r="H523" s="7"/>
      <c r="I523" s="7">
        <f>SUM($F$523:$H$523)</f>
        <v>2477385.0915429983</v>
      </c>
      <c r="J523" s="7">
        <f>+I523-'ROR-Model'!I523</f>
        <v>0</v>
      </c>
      <c r="K523" s="7"/>
      <c r="L523" s="7" t="s">
        <v>23</v>
      </c>
      <c r="M523" s="7">
        <f>VLOOKUP($L523,$L$2:$N$7,2,FALSE)*I523</f>
        <v>0</v>
      </c>
      <c r="N523" s="7">
        <f>VLOOKUP($L523,$L$2:$N$7,3,FALSE)*I523</f>
        <v>2477385.0915429983</v>
      </c>
      <c r="O523" s="120"/>
      <c r="P523" s="192" t="s">
        <v>509</v>
      </c>
      <c r="Q523" s="7">
        <f>IF(P523="G",M523,IF(P523="PT",0,ERR))</f>
        <v>0</v>
      </c>
      <c r="R523" s="7">
        <f>IF(P523="PT",M523,IF(P523="G",0,ERR))</f>
        <v>0</v>
      </c>
      <c r="S523" s="126" t="s">
        <v>509</v>
      </c>
      <c r="T523" s="7">
        <f>IF(S523="G",N523,IF(S523="PT",0,ERR))</f>
        <v>0</v>
      </c>
      <c r="U523" s="7">
        <f>IF(S523="PT",N523,IF(S523="G",0,ERR))</f>
        <v>2477385.0915429983</v>
      </c>
      <c r="V523" s="124"/>
      <c r="W523" s="7">
        <f>HLOOKUP($W$9,'ROR-Model'!$Q$10:$U$1273,Y523)</f>
        <v>0</v>
      </c>
      <c r="X523" s="139"/>
      <c r="Y523" s="3">
        <f t="shared" si="30"/>
        <v>514</v>
      </c>
      <c r="AA523" s="7">
        <v>0</v>
      </c>
      <c r="AC523" s="7" t="str">
        <f t="shared" si="31"/>
        <v/>
      </c>
      <c r="AE523" s="42" t="str">
        <f t="shared" si="32"/>
        <v/>
      </c>
      <c r="AG523" s="162"/>
      <c r="AH523" s="10"/>
      <c r="AI523" s="10" t="s">
        <v>23</v>
      </c>
      <c r="AJ523" s="10"/>
    </row>
    <row r="524" spans="1:36">
      <c r="A524" s="137"/>
      <c r="B524" s="47"/>
      <c r="C524" s="47" t="s">
        <v>145</v>
      </c>
      <c r="D524" s="47"/>
      <c r="E524" s="140"/>
      <c r="F524" s="140">
        <f>SUM(F522:F523)</f>
        <v>80074654.359999999</v>
      </c>
      <c r="G524" s="140">
        <f>SUM(G522:G523)</f>
        <v>0</v>
      </c>
      <c r="H524" s="140">
        <f>SUM(H522:H523)</f>
        <v>0</v>
      </c>
      <c r="I524" s="140">
        <f>SUM(I522:I523)</f>
        <v>80074654.359999999</v>
      </c>
      <c r="J524" s="7">
        <f>+I524-'ROR-Model'!I524</f>
        <v>0</v>
      </c>
      <c r="K524" s="7"/>
      <c r="L524" s="140"/>
      <c r="M524" s="140">
        <f>SUM(M522:M523)</f>
        <v>77597269.268456995</v>
      </c>
      <c r="N524" s="140">
        <f>SUM(N522:N523)</f>
        <v>2477385.0915429983</v>
      </c>
      <c r="O524" s="120"/>
      <c r="P524" s="192"/>
      <c r="Q524" s="140">
        <f>SUM(Q522:Q523)</f>
        <v>0</v>
      </c>
      <c r="R524" s="140">
        <f>SUM(R522:R523)</f>
        <v>77597269.268456995</v>
      </c>
      <c r="S524" s="201"/>
      <c r="T524" s="140">
        <f>SUM(T522:T523)</f>
        <v>0</v>
      </c>
      <c r="U524" s="140">
        <f>SUM(U522:U523)</f>
        <v>2477385.0915429983</v>
      </c>
      <c r="V524" s="124"/>
      <c r="W524" s="140">
        <f>HLOOKUP($W$9,'ROR-Model'!$Q$10:$U$1273,Y524)</f>
        <v>0</v>
      </c>
      <c r="X524" s="139"/>
      <c r="Y524" s="3">
        <f t="shared" si="30"/>
        <v>515</v>
      </c>
      <c r="AA524" s="140">
        <v>0</v>
      </c>
      <c r="AC524" s="140" t="str">
        <f t="shared" si="31"/>
        <v/>
      </c>
      <c r="AE524" s="42" t="str">
        <f t="shared" si="32"/>
        <v/>
      </c>
      <c r="AG524" s="162"/>
      <c r="AH524" s="10"/>
      <c r="AI524" s="10" t="s">
        <v>145</v>
      </c>
      <c r="AJ524" s="10"/>
    </row>
    <row r="525" spans="1:36">
      <c r="A525" s="137"/>
      <c r="B525" s="47"/>
      <c r="C525" s="47"/>
      <c r="D525" s="47"/>
      <c r="E525" s="7"/>
      <c r="F525" s="7"/>
      <c r="G525" s="7"/>
      <c r="H525" s="7"/>
      <c r="I525" s="7"/>
      <c r="J525" s="7">
        <f>+I525-'ROR-Model'!I525</f>
        <v>0</v>
      </c>
      <c r="K525" s="7"/>
      <c r="L525" s="7"/>
      <c r="M525" s="7"/>
      <c r="N525" s="7"/>
      <c r="O525" s="120"/>
      <c r="P525" s="192"/>
      <c r="Q525" s="7"/>
      <c r="R525" s="7"/>
      <c r="S525" s="126"/>
      <c r="T525" s="7"/>
      <c r="U525" s="7"/>
      <c r="V525" s="124"/>
      <c r="W525" s="7"/>
      <c r="X525" s="139"/>
      <c r="Y525" s="3">
        <f t="shared" si="30"/>
        <v>516</v>
      </c>
      <c r="AA525" s="7"/>
      <c r="AC525" s="7" t="str">
        <f t="shared" si="31"/>
        <v/>
      </c>
      <c r="AE525" s="42" t="str">
        <f t="shared" si="32"/>
        <v/>
      </c>
      <c r="AG525" s="162"/>
      <c r="AH525" s="10"/>
      <c r="AI525" s="10"/>
      <c r="AJ525" s="10"/>
    </row>
    <row r="526" spans="1:36">
      <c r="A526" s="137" t="s">
        <v>646</v>
      </c>
      <c r="B526" s="47" t="s">
        <v>310</v>
      </c>
      <c r="C526" s="47"/>
      <c r="D526" s="47"/>
      <c r="E526" s="7"/>
      <c r="F526" s="7"/>
      <c r="G526" s="7"/>
      <c r="H526" s="7"/>
      <c r="I526" s="7"/>
      <c r="J526" s="7">
        <f>+I526-'ROR-Model'!I526</f>
        <v>0</v>
      </c>
      <c r="K526" s="7"/>
      <c r="L526" s="7"/>
      <c r="M526" s="7"/>
      <c r="N526" s="7"/>
      <c r="O526" s="120"/>
      <c r="P526" s="192"/>
      <c r="Q526" s="7"/>
      <c r="R526" s="7"/>
      <c r="S526" s="126"/>
      <c r="T526" s="7"/>
      <c r="U526" s="7"/>
      <c r="V526" s="124"/>
      <c r="W526" s="7"/>
      <c r="X526" s="139"/>
      <c r="Y526" s="3">
        <f t="shared" ref="Y526:Y589" si="33">Y525+1</f>
        <v>517</v>
      </c>
      <c r="AA526" s="7"/>
      <c r="AC526" s="7" t="str">
        <f t="shared" si="31"/>
        <v/>
      </c>
      <c r="AE526" s="42" t="str">
        <f t="shared" si="32"/>
        <v/>
      </c>
      <c r="AG526" s="162" t="s">
        <v>646</v>
      </c>
      <c r="AH526" s="10" t="s">
        <v>310</v>
      </c>
      <c r="AI526" s="10"/>
      <c r="AJ526" s="10"/>
    </row>
    <row r="527" spans="1:36">
      <c r="A527" s="137"/>
      <c r="B527" s="47"/>
      <c r="C527" s="47" t="s">
        <v>12</v>
      </c>
      <c r="D527" s="47"/>
      <c r="E527" s="7" t="s">
        <v>509</v>
      </c>
      <c r="F527" s="7">
        <f>EXPENSES!F21</f>
        <v>0</v>
      </c>
      <c r="G527" s="7">
        <f>+Adjustments!V526</f>
        <v>0</v>
      </c>
      <c r="H527" s="7"/>
      <c r="I527" s="7">
        <f>SUM($F$527:$H$527)</f>
        <v>0</v>
      </c>
      <c r="J527" s="7">
        <f>+I527-'ROR-Model'!I527</f>
        <v>0</v>
      </c>
      <c r="K527" s="7"/>
      <c r="L527" s="7" t="s">
        <v>12</v>
      </c>
      <c r="M527" s="7">
        <f>VLOOKUP($L527,$L$2:$N$7,2,FALSE)*I527</f>
        <v>0</v>
      </c>
      <c r="N527" s="7">
        <f>VLOOKUP($L527,$L$2:$N$7,3,FALSE)*I527</f>
        <v>0</v>
      </c>
      <c r="O527" s="120"/>
      <c r="P527" s="192" t="s">
        <v>509</v>
      </c>
      <c r="Q527" s="7">
        <f>IF(P527="G",M527,IF(P527="PT",0,ERR))</f>
        <v>0</v>
      </c>
      <c r="R527" s="7">
        <f>IF(P527="PT",M527,IF(P527="G",0,ERR))</f>
        <v>0</v>
      </c>
      <c r="S527" s="126" t="s">
        <v>509</v>
      </c>
      <c r="T527" s="7">
        <f>IF(S527="G",N527,IF(S527="PT",0,ERR))</f>
        <v>0</v>
      </c>
      <c r="U527" s="7">
        <f>IF(S527="PT",N527,IF(S527="G",0,ERR))</f>
        <v>0</v>
      </c>
      <c r="V527" s="124"/>
      <c r="W527" s="7">
        <f>HLOOKUP($W$9,'ROR-Model'!$Q$10:$U$1273,Y527)</f>
        <v>0</v>
      </c>
      <c r="X527" s="139"/>
      <c r="Y527" s="3">
        <f t="shared" si="33"/>
        <v>518</v>
      </c>
      <c r="AA527" s="7">
        <v>0</v>
      </c>
      <c r="AC527" s="7" t="str">
        <f t="shared" si="31"/>
        <v/>
      </c>
      <c r="AE527" s="42" t="str">
        <f t="shared" si="32"/>
        <v/>
      </c>
      <c r="AG527" s="162"/>
      <c r="AH527" s="10"/>
      <c r="AI527" s="10" t="s">
        <v>12</v>
      </c>
      <c r="AJ527" s="10"/>
    </row>
    <row r="528" spans="1:36">
      <c r="A528" s="137"/>
      <c r="B528" s="47"/>
      <c r="C528" s="47" t="s">
        <v>23</v>
      </c>
      <c r="D528" s="47"/>
      <c r="E528" s="7" t="s">
        <v>509</v>
      </c>
      <c r="F528" s="7">
        <f>EXPENSES!F22</f>
        <v>0</v>
      </c>
      <c r="G528" s="7">
        <f>+Adjustments!V527</f>
        <v>0</v>
      </c>
      <c r="H528" s="7"/>
      <c r="I528" s="7">
        <f>SUM($F$528:$H$528)</f>
        <v>0</v>
      </c>
      <c r="J528" s="7">
        <f>+I528-'ROR-Model'!I528</f>
        <v>0</v>
      </c>
      <c r="K528" s="7"/>
      <c r="L528" s="7" t="s">
        <v>23</v>
      </c>
      <c r="M528" s="7">
        <f>VLOOKUP($L528,$L$2:$N$7,2,FALSE)*I528</f>
        <v>0</v>
      </c>
      <c r="N528" s="7">
        <f>VLOOKUP($L528,$L$2:$N$7,3,FALSE)*I528</f>
        <v>0</v>
      </c>
      <c r="O528" s="120"/>
      <c r="P528" s="192" t="s">
        <v>509</v>
      </c>
      <c r="Q528" s="7">
        <f>IF(P528="G",M528,IF(P528="PT",0,ERR))</f>
        <v>0</v>
      </c>
      <c r="R528" s="7">
        <f>IF(P528="PT",M528,IF(P528="G",0,ERR))</f>
        <v>0</v>
      </c>
      <c r="S528" s="126" t="s">
        <v>509</v>
      </c>
      <c r="T528" s="7">
        <f>IF(S528="G",N528,IF(S528="PT",0,ERR))</f>
        <v>0</v>
      </c>
      <c r="U528" s="7">
        <f>IF(S528="PT",N528,IF(S528="G",0,ERR))</f>
        <v>0</v>
      </c>
      <c r="V528" s="124"/>
      <c r="W528" s="7">
        <f>HLOOKUP($W$9,'ROR-Model'!$Q$10:$U$1273,Y528)</f>
        <v>0</v>
      </c>
      <c r="X528" s="139"/>
      <c r="Y528" s="3">
        <f t="shared" si="33"/>
        <v>519</v>
      </c>
      <c r="AA528" s="7">
        <v>0</v>
      </c>
      <c r="AC528" s="7" t="str">
        <f t="shared" si="31"/>
        <v/>
      </c>
      <c r="AE528" s="42" t="str">
        <f t="shared" si="32"/>
        <v/>
      </c>
      <c r="AG528" s="162"/>
      <c r="AH528" s="10"/>
      <c r="AI528" s="10" t="s">
        <v>23</v>
      </c>
      <c r="AJ528" s="10"/>
    </row>
    <row r="529" spans="1:36">
      <c r="A529" s="137"/>
      <c r="B529" s="47"/>
      <c r="C529" s="47" t="s">
        <v>145</v>
      </c>
      <c r="D529" s="47"/>
      <c r="E529" s="140"/>
      <c r="F529" s="140">
        <f>SUM(F527:F528)</f>
        <v>0</v>
      </c>
      <c r="G529" s="140">
        <f>SUM(G527:G528)</f>
        <v>0</v>
      </c>
      <c r="H529" s="140">
        <f>SUM(H527:H528)</f>
        <v>0</v>
      </c>
      <c r="I529" s="140">
        <f>SUM(I527:I528)</f>
        <v>0</v>
      </c>
      <c r="J529" s="7">
        <f>+I529-'ROR-Model'!I529</f>
        <v>0</v>
      </c>
      <c r="K529" s="7"/>
      <c r="L529" s="140"/>
      <c r="M529" s="140">
        <f>SUM(M527:M528)</f>
        <v>0</v>
      </c>
      <c r="N529" s="140">
        <f>SUM(N527:N528)</f>
        <v>0</v>
      </c>
      <c r="O529" s="120"/>
      <c r="P529" s="192"/>
      <c r="Q529" s="140">
        <f>SUM(Q527:Q528)</f>
        <v>0</v>
      </c>
      <c r="R529" s="140">
        <f>SUM(R527:R528)</f>
        <v>0</v>
      </c>
      <c r="S529" s="201"/>
      <c r="T529" s="140">
        <f>SUM(T527:T528)</f>
        <v>0</v>
      </c>
      <c r="U529" s="140">
        <f>SUM(U527:U528)</f>
        <v>0</v>
      </c>
      <c r="V529" s="124"/>
      <c r="W529" s="140">
        <f>HLOOKUP($W$9,'ROR-Model'!$Q$10:$U$1273,Y529)</f>
        <v>0</v>
      </c>
      <c r="X529" s="139"/>
      <c r="Y529" s="3">
        <f t="shared" si="33"/>
        <v>520</v>
      </c>
      <c r="AA529" s="140">
        <v>0</v>
      </c>
      <c r="AC529" s="140" t="str">
        <f t="shared" ref="AC529:AC592" si="34">IF(ABS(AA529)&gt;0,W529-AA529,"")</f>
        <v/>
      </c>
      <c r="AE529" s="42" t="str">
        <f t="shared" si="32"/>
        <v/>
      </c>
      <c r="AG529" s="162"/>
      <c r="AH529" s="10"/>
      <c r="AI529" s="10" t="s">
        <v>145</v>
      </c>
      <c r="AJ529" s="10"/>
    </row>
    <row r="530" spans="1:36">
      <c r="A530" s="137"/>
      <c r="B530" s="47"/>
      <c r="C530" s="47"/>
      <c r="D530" s="47"/>
      <c r="E530" s="7"/>
      <c r="F530" s="7"/>
      <c r="G530" s="7"/>
      <c r="H530" s="7"/>
      <c r="I530" s="7"/>
      <c r="J530" s="7">
        <f>+I530-'ROR-Model'!I530</f>
        <v>0</v>
      </c>
      <c r="K530" s="7"/>
      <c r="L530" s="7"/>
      <c r="M530" s="7"/>
      <c r="N530" s="7"/>
      <c r="O530" s="120"/>
      <c r="P530" s="192"/>
      <c r="Q530" s="7"/>
      <c r="R530" s="7"/>
      <c r="S530" s="126"/>
      <c r="T530" s="7"/>
      <c r="U530" s="7"/>
      <c r="V530" s="124"/>
      <c r="W530" s="7"/>
      <c r="X530" s="139"/>
      <c r="Y530" s="3">
        <f t="shared" si="33"/>
        <v>521</v>
      </c>
      <c r="AA530" s="7"/>
      <c r="AC530" s="7" t="str">
        <f t="shared" si="34"/>
        <v/>
      </c>
      <c r="AE530" s="42" t="str">
        <f t="shared" ref="AE530:AE593" si="35">IF(ABS(AA530)&gt;0,AC530/AA530,"")</f>
        <v/>
      </c>
      <c r="AG530" s="162"/>
      <c r="AH530" s="10"/>
      <c r="AI530" s="10"/>
      <c r="AJ530" s="10"/>
    </row>
    <row r="531" spans="1:36">
      <c r="A531" s="137">
        <v>759</v>
      </c>
      <c r="B531" s="47" t="s">
        <v>669</v>
      </c>
      <c r="C531" s="47"/>
      <c r="D531" s="47"/>
      <c r="E531" s="7"/>
      <c r="F531" s="7"/>
      <c r="G531" s="7"/>
      <c r="H531" s="7"/>
      <c r="I531" s="7"/>
      <c r="J531" s="7">
        <f>+I531-'ROR-Model'!I531</f>
        <v>0</v>
      </c>
      <c r="K531" s="7"/>
      <c r="L531" s="7"/>
      <c r="M531" s="7"/>
      <c r="N531" s="7"/>
      <c r="O531" s="120"/>
      <c r="P531" s="192"/>
      <c r="Q531" s="7"/>
      <c r="R531" s="7"/>
      <c r="S531" s="126"/>
      <c r="T531" s="7"/>
      <c r="U531" s="7"/>
      <c r="V531" s="124"/>
      <c r="W531" s="7"/>
      <c r="X531" s="139"/>
      <c r="Y531" s="3">
        <f t="shared" si="33"/>
        <v>522</v>
      </c>
      <c r="AA531" s="7"/>
      <c r="AC531" s="7" t="str">
        <f t="shared" si="34"/>
        <v/>
      </c>
      <c r="AE531" s="42" t="str">
        <f t="shared" si="35"/>
        <v/>
      </c>
      <c r="AG531" s="162">
        <v>759</v>
      </c>
      <c r="AH531" s="10" t="s">
        <v>669</v>
      </c>
      <c r="AI531" s="10"/>
      <c r="AJ531" s="10"/>
    </row>
    <row r="532" spans="1:36">
      <c r="A532" s="137"/>
      <c r="B532" s="47"/>
      <c r="C532" s="47" t="s">
        <v>12</v>
      </c>
      <c r="D532" s="47"/>
      <c r="E532" s="7" t="s">
        <v>509</v>
      </c>
      <c r="F532" s="7">
        <f>EXPENSES!F26</f>
        <v>7016802.1791709997</v>
      </c>
      <c r="G532" s="7">
        <f>+Adjustments!V531</f>
        <v>0</v>
      </c>
      <c r="H532" s="7"/>
      <c r="I532" s="7">
        <f>SUM($F$532:$H$532)</f>
        <v>7016802.1791709997</v>
      </c>
      <c r="J532" s="7">
        <f>+I532-'ROR-Model'!I532</f>
        <v>0</v>
      </c>
      <c r="K532" s="7"/>
      <c r="L532" s="7" t="s">
        <v>12</v>
      </c>
      <c r="M532" s="7">
        <f>VLOOKUP($L532,$L$2:$N$7,2,FALSE)*I532</f>
        <v>7016802.1791709997</v>
      </c>
      <c r="N532" s="7">
        <f>VLOOKUP($L532,$L$2:$N$7,3,FALSE)*I532</f>
        <v>0</v>
      </c>
      <c r="O532" s="120"/>
      <c r="P532" s="192" t="s">
        <v>509</v>
      </c>
      <c r="Q532" s="7">
        <f>IF(P532="G",M532,IF(P532="PT",0,ERR))</f>
        <v>0</v>
      </c>
      <c r="R532" s="7">
        <f>IF(P532="PT",M532,IF(P532="G",0,ERR))</f>
        <v>7016802.1791709997</v>
      </c>
      <c r="S532" s="126" t="s">
        <v>509</v>
      </c>
      <c r="T532" s="7">
        <f>IF(S532="G",N532,IF(S532="PT",0,ERR))</f>
        <v>0</v>
      </c>
      <c r="U532" s="7">
        <f>IF(S532="PT",N532,IF(S532="G",0,ERR))</f>
        <v>0</v>
      </c>
      <c r="V532" s="124"/>
      <c r="W532" s="7">
        <f>HLOOKUP($W$9,'ROR-Model'!$Q$10:$U$1273,Y532)</f>
        <v>0</v>
      </c>
      <c r="X532" s="139"/>
      <c r="Y532" s="3">
        <f t="shared" si="33"/>
        <v>523</v>
      </c>
      <c r="AA532" s="7">
        <v>0</v>
      </c>
      <c r="AC532" s="7" t="str">
        <f t="shared" si="34"/>
        <v/>
      </c>
      <c r="AE532" s="42" t="str">
        <f t="shared" si="35"/>
        <v/>
      </c>
      <c r="AG532" s="162"/>
      <c r="AH532" s="10"/>
      <c r="AI532" s="10" t="s">
        <v>12</v>
      </c>
      <c r="AJ532" s="10"/>
    </row>
    <row r="533" spans="1:36">
      <c r="A533" s="137"/>
      <c r="B533" s="47"/>
      <c r="C533" s="47" t="s">
        <v>23</v>
      </c>
      <c r="D533" s="47"/>
      <c r="E533" s="7" t="s">
        <v>509</v>
      </c>
      <c r="F533" s="7">
        <f>EXPENSES!F27</f>
        <v>232631.1308289998</v>
      </c>
      <c r="G533" s="7">
        <f>+Adjustments!V532</f>
        <v>0</v>
      </c>
      <c r="H533" s="7"/>
      <c r="I533" s="7">
        <f>SUM($F$533:$H$533)</f>
        <v>232631.1308289998</v>
      </c>
      <c r="J533" s="7">
        <f>+I533-'ROR-Model'!I533</f>
        <v>0</v>
      </c>
      <c r="K533" s="7"/>
      <c r="L533" s="7" t="s">
        <v>23</v>
      </c>
      <c r="M533" s="7">
        <f>VLOOKUP($L533,$L$2:$N$7,2,FALSE)*I533</f>
        <v>0</v>
      </c>
      <c r="N533" s="7">
        <f>VLOOKUP($L533,$L$2:$N$7,3,FALSE)*I533</f>
        <v>232631.1308289998</v>
      </c>
      <c r="O533" s="120"/>
      <c r="P533" s="192" t="s">
        <v>509</v>
      </c>
      <c r="Q533" s="7">
        <f>IF(P533="G",M533,IF(P533="PT",0,ERR))</f>
        <v>0</v>
      </c>
      <c r="R533" s="7">
        <f>IF(P533="PT",M533,IF(P533="G",0,ERR))</f>
        <v>0</v>
      </c>
      <c r="S533" s="126" t="s">
        <v>509</v>
      </c>
      <c r="T533" s="7">
        <f>IF(S533="G",N533,IF(S533="PT",0,ERR))</f>
        <v>0</v>
      </c>
      <c r="U533" s="7">
        <f>IF(S533="PT",N533,IF(S533="G",0,ERR))</f>
        <v>232631.1308289998</v>
      </c>
      <c r="V533" s="124"/>
      <c r="W533" s="7">
        <f>HLOOKUP($W$9,'ROR-Model'!$Q$10:$U$1273,Y533)</f>
        <v>0</v>
      </c>
      <c r="X533" s="139"/>
      <c r="Y533" s="3">
        <f t="shared" si="33"/>
        <v>524</v>
      </c>
      <c r="AA533" s="7">
        <v>0</v>
      </c>
      <c r="AC533" s="7" t="str">
        <f t="shared" si="34"/>
        <v/>
      </c>
      <c r="AE533" s="42" t="str">
        <f t="shared" si="35"/>
        <v/>
      </c>
      <c r="AG533" s="162"/>
      <c r="AH533" s="10"/>
      <c r="AI533" s="10" t="s">
        <v>23</v>
      </c>
      <c r="AJ533" s="10"/>
    </row>
    <row r="534" spans="1:36">
      <c r="A534" s="137"/>
      <c r="B534" s="47"/>
      <c r="C534" s="47" t="s">
        <v>145</v>
      </c>
      <c r="D534" s="47"/>
      <c r="E534" s="140"/>
      <c r="F534" s="140">
        <f>SUM(F532:F533)</f>
        <v>7249433.3099999996</v>
      </c>
      <c r="G534" s="140">
        <f>SUM(G532:G533)</f>
        <v>0</v>
      </c>
      <c r="H534" s="140">
        <f>SUM(H532:H533)</f>
        <v>0</v>
      </c>
      <c r="I534" s="140">
        <f>SUM(I532:I533)</f>
        <v>7249433.3099999996</v>
      </c>
      <c r="J534" s="7">
        <f>+I534-'ROR-Model'!I534</f>
        <v>0</v>
      </c>
      <c r="K534" s="7"/>
      <c r="L534" s="140"/>
      <c r="M534" s="140">
        <f>SUM(M532:M533)</f>
        <v>7016802.1791709997</v>
      </c>
      <c r="N534" s="140">
        <f>SUM(N532:N533)</f>
        <v>232631.1308289998</v>
      </c>
      <c r="O534" s="120"/>
      <c r="P534" s="192"/>
      <c r="Q534" s="140">
        <f>SUM(Q532:Q533)</f>
        <v>0</v>
      </c>
      <c r="R534" s="140">
        <f>SUM(R532:R533)</f>
        <v>7016802.1791709997</v>
      </c>
      <c r="S534" s="201"/>
      <c r="T534" s="140">
        <f>SUM(T532:T533)</f>
        <v>0</v>
      </c>
      <c r="U534" s="140">
        <f>SUM(U532:U533)</f>
        <v>232631.1308289998</v>
      </c>
      <c r="V534" s="124"/>
      <c r="W534" s="140">
        <f>HLOOKUP($W$9,'ROR-Model'!$Q$10:$U$1273,Y534)</f>
        <v>0</v>
      </c>
      <c r="X534" s="139"/>
      <c r="Y534" s="3">
        <f t="shared" si="33"/>
        <v>525</v>
      </c>
      <c r="AA534" s="140">
        <v>0</v>
      </c>
      <c r="AC534" s="140" t="str">
        <f t="shared" si="34"/>
        <v/>
      </c>
      <c r="AE534" s="42" t="str">
        <f t="shared" si="35"/>
        <v/>
      </c>
      <c r="AG534" s="162"/>
      <c r="AH534" s="10"/>
      <c r="AI534" s="10" t="s">
        <v>145</v>
      </c>
      <c r="AJ534" s="10"/>
    </row>
    <row r="535" spans="1:36">
      <c r="A535" s="137"/>
      <c r="B535" s="47"/>
      <c r="C535" s="47"/>
      <c r="D535" s="47"/>
      <c r="E535" s="7"/>
      <c r="F535" s="7"/>
      <c r="G535" s="7"/>
      <c r="H535" s="7"/>
      <c r="I535" s="7"/>
      <c r="J535" s="7">
        <f>+I535-'ROR-Model'!I535</f>
        <v>0</v>
      </c>
      <c r="K535" s="7"/>
      <c r="L535" s="7"/>
      <c r="M535" s="7"/>
      <c r="N535" s="7"/>
      <c r="O535" s="120"/>
      <c r="P535" s="192"/>
      <c r="Q535" s="7"/>
      <c r="R535" s="7"/>
      <c r="S535" s="126"/>
      <c r="T535" s="7"/>
      <c r="U535" s="7"/>
      <c r="V535" s="124"/>
      <c r="W535" s="7"/>
      <c r="X535" s="139"/>
      <c r="Y535" s="3">
        <f t="shared" si="33"/>
        <v>526</v>
      </c>
      <c r="AA535" s="7"/>
      <c r="AC535" s="7" t="str">
        <f t="shared" si="34"/>
        <v/>
      </c>
      <c r="AE535" s="42" t="str">
        <f t="shared" si="35"/>
        <v/>
      </c>
      <c r="AG535" s="162"/>
      <c r="AH535" s="10"/>
      <c r="AI535" s="10"/>
      <c r="AJ535" s="10"/>
    </row>
    <row r="536" spans="1:36">
      <c r="A536" s="137">
        <v>759</v>
      </c>
      <c r="B536" s="47" t="s">
        <v>312</v>
      </c>
      <c r="C536" s="47"/>
      <c r="D536" s="47"/>
      <c r="E536" s="7"/>
      <c r="F536" s="7"/>
      <c r="G536" s="7"/>
      <c r="H536" s="7"/>
      <c r="I536" s="7"/>
      <c r="J536" s="7">
        <f>+I536-'ROR-Model'!I536</f>
        <v>0</v>
      </c>
      <c r="K536" s="7"/>
      <c r="L536" s="7"/>
      <c r="M536" s="7"/>
      <c r="N536" s="7"/>
      <c r="O536" s="120"/>
      <c r="P536" s="192"/>
      <c r="Q536" s="7"/>
      <c r="R536" s="7"/>
      <c r="S536" s="126"/>
      <c r="T536" s="7"/>
      <c r="U536" s="7"/>
      <c r="V536" s="124"/>
      <c r="W536" s="7"/>
      <c r="X536" s="139"/>
      <c r="Y536" s="3">
        <f t="shared" si="33"/>
        <v>527</v>
      </c>
      <c r="AA536" s="7"/>
      <c r="AC536" s="7" t="str">
        <f t="shared" si="34"/>
        <v/>
      </c>
      <c r="AE536" s="42" t="str">
        <f t="shared" si="35"/>
        <v/>
      </c>
      <c r="AG536" s="162">
        <v>759</v>
      </c>
      <c r="AH536" s="10" t="s">
        <v>312</v>
      </c>
      <c r="AI536" s="10"/>
      <c r="AJ536" s="10"/>
    </row>
    <row r="537" spans="1:36">
      <c r="A537" s="137"/>
      <c r="B537" s="47"/>
      <c r="C537" s="47" t="s">
        <v>12</v>
      </c>
      <c r="D537" s="47"/>
      <c r="E537" s="7" t="s">
        <v>510</v>
      </c>
      <c r="F537" s="7">
        <f>EXPENSES!F31</f>
        <v>0</v>
      </c>
      <c r="G537" s="7">
        <f>+Adjustments!V536</f>
        <v>0</v>
      </c>
      <c r="H537" s="7"/>
      <c r="I537" s="7">
        <f>SUM($F$537:$H$537)</f>
        <v>0</v>
      </c>
      <c r="J537" s="7">
        <f>+I537-'ROR-Model'!I537</f>
        <v>0</v>
      </c>
      <c r="K537" s="7"/>
      <c r="L537" s="7" t="s">
        <v>12</v>
      </c>
      <c r="M537" s="7">
        <f>VLOOKUP($L537,$L$2:$N$7,2,FALSE)*I537</f>
        <v>0</v>
      </c>
      <c r="N537" s="7">
        <f>VLOOKUP($L537,$L$2:$N$7,3,FALSE)*I537</f>
        <v>0</v>
      </c>
      <c r="O537" s="120"/>
      <c r="P537" s="192" t="s">
        <v>510</v>
      </c>
      <c r="Q537" s="7">
        <f>IF(P537="G",M537,IF(P537="PT",0,ERR))</f>
        <v>0</v>
      </c>
      <c r="R537" s="7">
        <f>IF(P537="PT",M537,IF(P537="G",0,ERR))</f>
        <v>0</v>
      </c>
      <c r="S537" s="126" t="s">
        <v>510</v>
      </c>
      <c r="T537" s="7">
        <f>IF(S537="G",N537,IF(S537="PT",0,ERR))</f>
        <v>0</v>
      </c>
      <c r="U537" s="7">
        <f>IF(S537="PT",N537,IF(S537="G",0,ERR))</f>
        <v>0</v>
      </c>
      <c r="V537" s="124"/>
      <c r="W537" s="7">
        <f>HLOOKUP($W$9,'ROR-Model'!$Q$10:$U$1273,Y537)</f>
        <v>0</v>
      </c>
      <c r="X537" s="139"/>
      <c r="Y537" s="3">
        <f t="shared" si="33"/>
        <v>528</v>
      </c>
      <c r="AA537" s="7">
        <v>0</v>
      </c>
      <c r="AC537" s="7" t="str">
        <f t="shared" si="34"/>
        <v/>
      </c>
      <c r="AE537" s="42" t="str">
        <f t="shared" si="35"/>
        <v/>
      </c>
      <c r="AG537" s="162"/>
      <c r="AH537" s="10"/>
      <c r="AI537" s="10" t="s">
        <v>12</v>
      </c>
      <c r="AJ537" s="10"/>
    </row>
    <row r="538" spans="1:36">
      <c r="A538" s="137"/>
      <c r="B538" s="47"/>
      <c r="C538" s="47" t="s">
        <v>23</v>
      </c>
      <c r="D538" s="47"/>
      <c r="E538" s="7" t="s">
        <v>509</v>
      </c>
      <c r="F538" s="7">
        <f>EXPENSES!F34</f>
        <v>0</v>
      </c>
      <c r="G538" s="7">
        <f>+Adjustments!V537</f>
        <v>0</v>
      </c>
      <c r="H538" s="7"/>
      <c r="I538" s="7">
        <f>SUM($F$538:$H$538)</f>
        <v>0</v>
      </c>
      <c r="J538" s="7">
        <f>+I538-'ROR-Model'!I538</f>
        <v>0</v>
      </c>
      <c r="K538" s="7"/>
      <c r="L538" s="7" t="s">
        <v>23</v>
      </c>
      <c r="M538" s="7">
        <f>VLOOKUP($L538,$L$2:$N$7,2,FALSE)*I538</f>
        <v>0</v>
      </c>
      <c r="N538" s="7">
        <f>VLOOKUP($L538,$L$2:$N$7,3,FALSE)*I538</f>
        <v>0</v>
      </c>
      <c r="O538" s="120"/>
      <c r="P538" s="192" t="s">
        <v>510</v>
      </c>
      <c r="Q538" s="7">
        <f>IF(P538="G",M538,IF(P538="PT",0,ERR))</f>
        <v>0</v>
      </c>
      <c r="R538" s="7">
        <f>IF(P538="PT",M538,IF(P538="G",0,ERR))</f>
        <v>0</v>
      </c>
      <c r="S538" s="126" t="s">
        <v>509</v>
      </c>
      <c r="T538" s="7">
        <f>IF(S538="G",N538,IF(S538="PT",0,ERR))</f>
        <v>0</v>
      </c>
      <c r="U538" s="7">
        <f>IF(S538="PT",N538,IF(S538="G",0,ERR))</f>
        <v>0</v>
      </c>
      <c r="V538" s="124"/>
      <c r="W538" s="7">
        <f>HLOOKUP($W$9,'ROR-Model'!$Q$10:$U$1273,Y538)</f>
        <v>0</v>
      </c>
      <c r="X538" s="139"/>
      <c r="Y538" s="3">
        <f t="shared" si="33"/>
        <v>529</v>
      </c>
      <c r="AA538" s="7">
        <v>0</v>
      </c>
      <c r="AC538" s="7" t="str">
        <f t="shared" si="34"/>
        <v/>
      </c>
      <c r="AE538" s="42" t="str">
        <f t="shared" si="35"/>
        <v/>
      </c>
      <c r="AG538" s="162"/>
      <c r="AH538" s="10"/>
      <c r="AI538" s="10" t="s">
        <v>23</v>
      </c>
      <c r="AJ538" s="10"/>
    </row>
    <row r="539" spans="1:36">
      <c r="A539" s="137"/>
      <c r="B539" s="47"/>
      <c r="C539" s="47" t="s">
        <v>145</v>
      </c>
      <c r="D539" s="47"/>
      <c r="E539" s="140"/>
      <c r="F539" s="140">
        <f>SUM(F537:F538)</f>
        <v>0</v>
      </c>
      <c r="G539" s="140">
        <f>SUM(G537:G538)</f>
        <v>0</v>
      </c>
      <c r="H539" s="140">
        <f>SUM(H537:H538)</f>
        <v>0</v>
      </c>
      <c r="I539" s="140">
        <f>SUM(I537:I538)</f>
        <v>0</v>
      </c>
      <c r="J539" s="7">
        <f>+I539-'ROR-Model'!I539</f>
        <v>0</v>
      </c>
      <c r="K539" s="7"/>
      <c r="L539" s="140"/>
      <c r="M539" s="140">
        <f>SUM(M537:M538)</f>
        <v>0</v>
      </c>
      <c r="N539" s="140">
        <f>SUM(N537:N538)</f>
        <v>0</v>
      </c>
      <c r="O539" s="120"/>
      <c r="P539" s="192"/>
      <c r="Q539" s="140">
        <f>SUM(Q537:Q538)</f>
        <v>0</v>
      </c>
      <c r="R539" s="140">
        <f>SUM(R537:R538)</f>
        <v>0</v>
      </c>
      <c r="S539" s="201"/>
      <c r="T539" s="140">
        <f>SUM(T537:T538)</f>
        <v>0</v>
      </c>
      <c r="U539" s="140">
        <f>SUM(U537:U538)</f>
        <v>0</v>
      </c>
      <c r="V539" s="124"/>
      <c r="W539" s="140">
        <f>HLOOKUP($W$9,'ROR-Model'!$Q$10:$U$1273,Y539)</f>
        <v>0</v>
      </c>
      <c r="X539" s="139"/>
      <c r="Y539" s="3">
        <f t="shared" si="33"/>
        <v>530</v>
      </c>
      <c r="AA539" s="140">
        <v>0</v>
      </c>
      <c r="AC539" s="140" t="str">
        <f t="shared" si="34"/>
        <v/>
      </c>
      <c r="AE539" s="42" t="str">
        <f t="shared" si="35"/>
        <v/>
      </c>
      <c r="AG539" s="162"/>
      <c r="AH539" s="10"/>
      <c r="AI539" s="10" t="s">
        <v>145</v>
      </c>
      <c r="AJ539" s="10"/>
    </row>
    <row r="540" spans="1:36">
      <c r="A540" s="137"/>
      <c r="B540" s="47"/>
      <c r="C540" s="47"/>
      <c r="D540" s="47"/>
      <c r="E540" s="7"/>
      <c r="F540" s="7"/>
      <c r="G540" s="7"/>
      <c r="H540" s="7"/>
      <c r="I540" s="7"/>
      <c r="J540" s="7">
        <f>+I540-'ROR-Model'!I540</f>
        <v>0</v>
      </c>
      <c r="K540" s="7"/>
      <c r="L540" s="7"/>
      <c r="M540" s="7"/>
      <c r="N540" s="7"/>
      <c r="O540" s="120"/>
      <c r="P540" s="192"/>
      <c r="Q540" s="7"/>
      <c r="R540" s="7"/>
      <c r="S540" s="126"/>
      <c r="T540" s="7"/>
      <c r="U540" s="7"/>
      <c r="V540" s="124"/>
      <c r="W540" s="7"/>
      <c r="X540" s="139"/>
      <c r="Y540" s="3">
        <f t="shared" si="33"/>
        <v>531</v>
      </c>
      <c r="AA540" s="7"/>
      <c r="AC540" s="7" t="str">
        <f t="shared" si="34"/>
        <v/>
      </c>
      <c r="AE540" s="42" t="str">
        <f t="shared" si="35"/>
        <v/>
      </c>
      <c r="AG540" s="162"/>
      <c r="AH540" s="10"/>
      <c r="AI540" s="10"/>
      <c r="AJ540" s="10"/>
    </row>
    <row r="541" spans="1:36">
      <c r="A541" s="137">
        <v>800</v>
      </c>
      <c r="B541" s="47" t="s">
        <v>313</v>
      </c>
      <c r="C541" s="47"/>
      <c r="D541" s="47"/>
      <c r="E541" s="7"/>
      <c r="F541" s="7"/>
      <c r="G541" s="7"/>
      <c r="H541" s="7"/>
      <c r="I541" s="7"/>
      <c r="J541" s="7">
        <f>+I541-'ROR-Model'!I541</f>
        <v>0</v>
      </c>
      <c r="K541" s="7"/>
      <c r="L541" s="7"/>
      <c r="M541" s="7"/>
      <c r="N541" s="7"/>
      <c r="O541" s="120"/>
      <c r="P541" s="192"/>
      <c r="Q541" s="7"/>
      <c r="R541" s="7"/>
      <c r="S541" s="126"/>
      <c r="T541" s="7"/>
      <c r="U541" s="7"/>
      <c r="V541" s="124"/>
      <c r="W541" s="7"/>
      <c r="X541" s="139"/>
      <c r="Y541" s="3">
        <f t="shared" si="33"/>
        <v>532</v>
      </c>
      <c r="AA541" s="7"/>
      <c r="AC541" s="7" t="str">
        <f t="shared" si="34"/>
        <v/>
      </c>
      <c r="AE541" s="42" t="str">
        <f t="shared" si="35"/>
        <v/>
      </c>
      <c r="AG541" s="162">
        <v>800</v>
      </c>
      <c r="AH541" s="10" t="s">
        <v>313</v>
      </c>
      <c r="AI541" s="10"/>
      <c r="AJ541" s="10"/>
    </row>
    <row r="542" spans="1:36">
      <c r="A542" s="137"/>
      <c r="B542" s="47"/>
      <c r="C542" s="47" t="s">
        <v>12</v>
      </c>
      <c r="D542" s="47"/>
      <c r="E542" s="7" t="s">
        <v>509</v>
      </c>
      <c r="F542" s="7">
        <f>EXPENSES!F38</f>
        <v>0</v>
      </c>
      <c r="G542" s="7">
        <f>+Adjustments!V541</f>
        <v>0</v>
      </c>
      <c r="H542" s="7"/>
      <c r="I542" s="7">
        <f>SUM($F$542:$H$542)</f>
        <v>0</v>
      </c>
      <c r="J542" s="7">
        <f>+I542-'ROR-Model'!I542</f>
        <v>0</v>
      </c>
      <c r="K542" s="7"/>
      <c r="L542" s="7" t="s">
        <v>12</v>
      </c>
      <c r="M542" s="7">
        <f>VLOOKUP($L542,$L$2:$N$7,2,FALSE)*I542</f>
        <v>0</v>
      </c>
      <c r="N542" s="7">
        <f>VLOOKUP($L542,$L$2:$N$7,3,FALSE)*I542</f>
        <v>0</v>
      </c>
      <c r="O542" s="120"/>
      <c r="P542" s="192" t="s">
        <v>509</v>
      </c>
      <c r="Q542" s="7">
        <f>IF(P542="G",M542,IF(P542="PT",0,ERR))</f>
        <v>0</v>
      </c>
      <c r="R542" s="7">
        <f>IF(P542="PT",M542,IF(P542="G",0,ERR))</f>
        <v>0</v>
      </c>
      <c r="S542" s="126" t="s">
        <v>509</v>
      </c>
      <c r="T542" s="7">
        <f>IF(S542="G",N542,IF(S542="PT",0,ERR))</f>
        <v>0</v>
      </c>
      <c r="U542" s="7">
        <f>IF(S542="PT",N542,IF(S542="G",0,ERR))</f>
        <v>0</v>
      </c>
      <c r="V542" s="124"/>
      <c r="W542" s="7">
        <f>HLOOKUP($W$9,'ROR-Model'!$Q$10:$U$1273,Y542)</f>
        <v>0</v>
      </c>
      <c r="X542" s="139"/>
      <c r="Y542" s="3">
        <f t="shared" si="33"/>
        <v>533</v>
      </c>
      <c r="AA542" s="7">
        <v>0</v>
      </c>
      <c r="AC542" s="7" t="str">
        <f t="shared" si="34"/>
        <v/>
      </c>
      <c r="AE542" s="42" t="str">
        <f t="shared" si="35"/>
        <v/>
      </c>
      <c r="AG542" s="162"/>
      <c r="AH542" s="10"/>
      <c r="AI542" s="10" t="s">
        <v>12</v>
      </c>
      <c r="AJ542" s="10"/>
    </row>
    <row r="543" spans="1:36">
      <c r="A543" s="137"/>
      <c r="B543" s="47"/>
      <c r="C543" s="47" t="s">
        <v>23</v>
      </c>
      <c r="D543" s="47"/>
      <c r="E543" s="7" t="s">
        <v>509</v>
      </c>
      <c r="F543" s="7">
        <f>EXPENSES!F39</f>
        <v>0</v>
      </c>
      <c r="G543" s="7">
        <f>+Adjustments!V542</f>
        <v>0</v>
      </c>
      <c r="H543" s="7"/>
      <c r="I543" s="7">
        <f>SUM($F$543:$H$543)</f>
        <v>0</v>
      </c>
      <c r="J543" s="7">
        <f>+I543-'ROR-Model'!I543</f>
        <v>0</v>
      </c>
      <c r="K543" s="7"/>
      <c r="L543" s="7" t="s">
        <v>23</v>
      </c>
      <c r="M543" s="7">
        <f>VLOOKUP($L543,$L$2:$N$7,2,FALSE)*I543</f>
        <v>0</v>
      </c>
      <c r="N543" s="7">
        <f>VLOOKUP($L543,$L$2:$N$7,3,FALSE)*I543</f>
        <v>0</v>
      </c>
      <c r="O543" s="120"/>
      <c r="P543" s="192" t="s">
        <v>509</v>
      </c>
      <c r="Q543" s="7">
        <f>IF(P543="G",M543,IF(P543="PT",0,ERR))</f>
        <v>0</v>
      </c>
      <c r="R543" s="7">
        <f>IF(P543="PT",M543,IF(P543="G",0,ERR))</f>
        <v>0</v>
      </c>
      <c r="S543" s="126" t="s">
        <v>509</v>
      </c>
      <c r="T543" s="7">
        <f>IF(S543="G",N543,IF(S543="PT",0,ERR))</f>
        <v>0</v>
      </c>
      <c r="U543" s="7">
        <f>IF(S543="PT",N543,IF(S543="G",0,ERR))</f>
        <v>0</v>
      </c>
      <c r="V543" s="124"/>
      <c r="W543" s="7">
        <f>HLOOKUP($W$9,'ROR-Model'!$Q$10:$U$1273,Y543)</f>
        <v>0</v>
      </c>
      <c r="X543" s="139"/>
      <c r="Y543" s="3">
        <f t="shared" si="33"/>
        <v>534</v>
      </c>
      <c r="AA543" s="7">
        <v>0</v>
      </c>
      <c r="AC543" s="7" t="str">
        <f t="shared" si="34"/>
        <v/>
      </c>
      <c r="AE543" s="42" t="str">
        <f t="shared" si="35"/>
        <v/>
      </c>
      <c r="AG543" s="162"/>
      <c r="AH543" s="10"/>
      <c r="AI543" s="10" t="s">
        <v>23</v>
      </c>
      <c r="AJ543" s="10"/>
    </row>
    <row r="544" spans="1:36">
      <c r="A544" s="137"/>
      <c r="B544" s="47"/>
      <c r="C544" s="47" t="s">
        <v>145</v>
      </c>
      <c r="D544" s="47"/>
      <c r="E544" s="140"/>
      <c r="F544" s="140">
        <f>SUM(F542:F543)</f>
        <v>0</v>
      </c>
      <c r="G544" s="140">
        <f>SUM(G542:G543)</f>
        <v>0</v>
      </c>
      <c r="H544" s="140">
        <f>SUM(H542:H543)</f>
        <v>0</v>
      </c>
      <c r="I544" s="140">
        <f>SUM(I542:I543)</f>
        <v>0</v>
      </c>
      <c r="J544" s="7">
        <f>+I544-'ROR-Model'!I544</f>
        <v>0</v>
      </c>
      <c r="K544" s="7"/>
      <c r="L544" s="140"/>
      <c r="M544" s="140">
        <f>SUM(M542:M543)</f>
        <v>0</v>
      </c>
      <c r="N544" s="140">
        <f>SUM(N542:N543)</f>
        <v>0</v>
      </c>
      <c r="O544" s="120"/>
      <c r="P544" s="192"/>
      <c r="Q544" s="140">
        <f>SUM(Q542:Q543)</f>
        <v>0</v>
      </c>
      <c r="R544" s="140">
        <f>SUM(R542:R543)</f>
        <v>0</v>
      </c>
      <c r="S544" s="201"/>
      <c r="T544" s="140">
        <f>SUM(T542:T543)</f>
        <v>0</v>
      </c>
      <c r="U544" s="140">
        <f>SUM(U542:U543)</f>
        <v>0</v>
      </c>
      <c r="V544" s="124"/>
      <c r="W544" s="140">
        <f>HLOOKUP($W$9,'ROR-Model'!$Q$10:$U$1273,Y544)</f>
        <v>0</v>
      </c>
      <c r="X544" s="139"/>
      <c r="Y544" s="3">
        <f t="shared" si="33"/>
        <v>535</v>
      </c>
      <c r="AA544" s="140">
        <v>0</v>
      </c>
      <c r="AC544" s="140" t="str">
        <f t="shared" si="34"/>
        <v/>
      </c>
      <c r="AE544" s="42" t="str">
        <f t="shared" si="35"/>
        <v/>
      </c>
      <c r="AG544" s="162"/>
      <c r="AH544" s="10"/>
      <c r="AI544" s="10" t="s">
        <v>145</v>
      </c>
      <c r="AJ544" s="10"/>
    </row>
    <row r="545" spans="1:36">
      <c r="A545" s="137"/>
      <c r="B545" s="47"/>
      <c r="C545" s="47"/>
      <c r="D545" s="47"/>
      <c r="E545" s="7"/>
      <c r="F545" s="7"/>
      <c r="G545" s="7"/>
      <c r="H545" s="7"/>
      <c r="I545" s="7"/>
      <c r="J545" s="7">
        <f>+I545-'ROR-Model'!I545</f>
        <v>0</v>
      </c>
      <c r="K545" s="7"/>
      <c r="L545" s="7"/>
      <c r="M545" s="7"/>
      <c r="N545" s="7"/>
      <c r="O545" s="120"/>
      <c r="P545" s="192"/>
      <c r="Q545" s="7"/>
      <c r="R545" s="7"/>
      <c r="S545" s="126"/>
      <c r="T545" s="7"/>
      <c r="U545" s="7"/>
      <c r="V545" s="124"/>
      <c r="W545" s="7"/>
      <c r="X545" s="139"/>
      <c r="Y545" s="3">
        <f t="shared" si="33"/>
        <v>536</v>
      </c>
      <c r="AA545" s="7"/>
      <c r="AC545" s="7" t="str">
        <f t="shared" si="34"/>
        <v/>
      </c>
      <c r="AE545" s="42" t="str">
        <f t="shared" si="35"/>
        <v/>
      </c>
      <c r="AG545" s="162"/>
      <c r="AH545" s="10"/>
      <c r="AI545" s="10"/>
      <c r="AJ545" s="10"/>
    </row>
    <row r="546" spans="1:36">
      <c r="A546" s="137">
        <v>801</v>
      </c>
      <c r="B546" s="47" t="s">
        <v>314</v>
      </c>
      <c r="C546" s="47"/>
      <c r="D546" s="47"/>
      <c r="E546" s="7"/>
      <c r="F546" s="7"/>
      <c r="G546" s="7"/>
      <c r="H546" s="7"/>
      <c r="I546" s="7"/>
      <c r="J546" s="7">
        <f>+I546-'ROR-Model'!I546</f>
        <v>0</v>
      </c>
      <c r="K546" s="7"/>
      <c r="L546" s="7"/>
      <c r="M546" s="7"/>
      <c r="N546" s="7"/>
      <c r="O546" s="120"/>
      <c r="P546" s="192"/>
      <c r="Q546" s="7"/>
      <c r="R546" s="7"/>
      <c r="S546" s="126"/>
      <c r="T546" s="7"/>
      <c r="U546" s="7"/>
      <c r="V546" s="124"/>
      <c r="W546" s="7"/>
      <c r="X546" s="139"/>
      <c r="Y546" s="3">
        <f t="shared" si="33"/>
        <v>537</v>
      </c>
      <c r="AA546" s="7"/>
      <c r="AC546" s="7" t="str">
        <f t="shared" si="34"/>
        <v/>
      </c>
      <c r="AE546" s="42" t="str">
        <f t="shared" si="35"/>
        <v/>
      </c>
      <c r="AG546" s="162">
        <v>801</v>
      </c>
      <c r="AH546" s="10" t="s">
        <v>314</v>
      </c>
      <c r="AI546" s="10"/>
      <c r="AJ546" s="10"/>
    </row>
    <row r="547" spans="1:36">
      <c r="A547" s="137"/>
      <c r="B547" s="47"/>
      <c r="C547" s="47" t="s">
        <v>12</v>
      </c>
      <c r="D547" s="47"/>
      <c r="E547" s="7" t="s">
        <v>509</v>
      </c>
      <c r="F547" s="7">
        <f>EXPENSES!F43</f>
        <v>0</v>
      </c>
      <c r="G547" s="7">
        <f>+Adjustments!V546</f>
        <v>0</v>
      </c>
      <c r="H547" s="7"/>
      <c r="I547" s="7">
        <f>SUM($F$547:$H$547)</f>
        <v>0</v>
      </c>
      <c r="J547" s="7">
        <f>+I547-'ROR-Model'!I547</f>
        <v>0</v>
      </c>
      <c r="K547" s="7"/>
      <c r="L547" s="7" t="s">
        <v>12</v>
      </c>
      <c r="M547" s="7">
        <f>VLOOKUP($L547,$L$2:$N$7,2,FALSE)*I547</f>
        <v>0</v>
      </c>
      <c r="N547" s="7">
        <f>VLOOKUP($L547,$L$2:$N$7,3,FALSE)*I547</f>
        <v>0</v>
      </c>
      <c r="O547" s="120"/>
      <c r="P547" s="192" t="s">
        <v>509</v>
      </c>
      <c r="Q547" s="7">
        <f>IF(P547="G",M547,IF(P547="PT",0,ERR))</f>
        <v>0</v>
      </c>
      <c r="R547" s="7">
        <f>IF(P547="PT",M547,IF(P547="G",0,ERR))</f>
        <v>0</v>
      </c>
      <c r="S547" s="126" t="s">
        <v>509</v>
      </c>
      <c r="T547" s="7">
        <f>IF(S547="G",N547,IF(S547="PT",0,ERR))</f>
        <v>0</v>
      </c>
      <c r="U547" s="7">
        <f>IF(S547="PT",N547,IF(S547="G",0,ERR))</f>
        <v>0</v>
      </c>
      <c r="V547" s="124"/>
      <c r="W547" s="7">
        <f>HLOOKUP($W$9,'ROR-Model'!$Q$10:$U$1273,Y547)</f>
        <v>0</v>
      </c>
      <c r="X547" s="139"/>
      <c r="Y547" s="3">
        <f t="shared" si="33"/>
        <v>538</v>
      </c>
      <c r="AA547" s="7">
        <v>0</v>
      </c>
      <c r="AC547" s="7" t="str">
        <f t="shared" si="34"/>
        <v/>
      </c>
      <c r="AE547" s="42" t="str">
        <f t="shared" si="35"/>
        <v/>
      </c>
      <c r="AG547" s="162"/>
      <c r="AH547" s="10"/>
      <c r="AI547" s="10" t="s">
        <v>12</v>
      </c>
      <c r="AJ547" s="10"/>
    </row>
    <row r="548" spans="1:36">
      <c r="A548" s="137"/>
      <c r="B548" s="47"/>
      <c r="C548" s="47" t="s">
        <v>23</v>
      </c>
      <c r="D548" s="47"/>
      <c r="E548" s="7" t="s">
        <v>509</v>
      </c>
      <c r="F548" s="7">
        <f>EXPENSES!F44</f>
        <v>0</v>
      </c>
      <c r="G548" s="7">
        <f>+Adjustments!V547</f>
        <v>0</v>
      </c>
      <c r="H548" s="7"/>
      <c r="I548" s="7">
        <f>SUM($F$548:$H$548)</f>
        <v>0</v>
      </c>
      <c r="J548" s="7">
        <f>+I548-'ROR-Model'!I548</f>
        <v>0</v>
      </c>
      <c r="K548" s="7"/>
      <c r="L548" s="7" t="s">
        <v>23</v>
      </c>
      <c r="M548" s="7">
        <f>VLOOKUP($L548,$L$2:$N$7,2,FALSE)*I548</f>
        <v>0</v>
      </c>
      <c r="N548" s="7">
        <f>VLOOKUP($L548,$L$2:$N$7,3,FALSE)*I548</f>
        <v>0</v>
      </c>
      <c r="O548" s="120"/>
      <c r="P548" s="192" t="s">
        <v>509</v>
      </c>
      <c r="Q548" s="7">
        <f>IF(P548="G",M548,IF(P548="PT",0,ERR))</f>
        <v>0</v>
      </c>
      <c r="R548" s="7">
        <f>IF(P548="PT",M548,IF(P548="G",0,ERR))</f>
        <v>0</v>
      </c>
      <c r="S548" s="126" t="s">
        <v>509</v>
      </c>
      <c r="T548" s="7">
        <f>IF(S548="G",N548,IF(S548="PT",0,ERR))</f>
        <v>0</v>
      </c>
      <c r="U548" s="7">
        <f>IF(S548="PT",N548,IF(S548="G",0,ERR))</f>
        <v>0</v>
      </c>
      <c r="V548" s="124"/>
      <c r="W548" s="7">
        <f>HLOOKUP($W$9,'ROR-Model'!$Q$10:$U$1273,Y548)</f>
        <v>0</v>
      </c>
      <c r="X548" s="139"/>
      <c r="Y548" s="3">
        <f t="shared" si="33"/>
        <v>539</v>
      </c>
      <c r="AA548" s="7">
        <v>0</v>
      </c>
      <c r="AC548" s="7" t="str">
        <f t="shared" si="34"/>
        <v/>
      </c>
      <c r="AE548" s="42" t="str">
        <f t="shared" si="35"/>
        <v/>
      </c>
      <c r="AG548" s="162"/>
      <c r="AH548" s="10"/>
      <c r="AI548" s="10" t="s">
        <v>23</v>
      </c>
      <c r="AJ548" s="10"/>
    </row>
    <row r="549" spans="1:36">
      <c r="A549" s="137"/>
      <c r="B549" s="47"/>
      <c r="C549" s="47" t="s">
        <v>145</v>
      </c>
      <c r="D549" s="47"/>
      <c r="E549" s="140"/>
      <c r="F549" s="140">
        <f>SUM(F547:F548)</f>
        <v>0</v>
      </c>
      <c r="G549" s="140">
        <f>SUM(G547:G548)</f>
        <v>0</v>
      </c>
      <c r="H549" s="140">
        <f>SUM(H547:H548)</f>
        <v>0</v>
      </c>
      <c r="I549" s="140">
        <f>SUM(I547:I548)</f>
        <v>0</v>
      </c>
      <c r="J549" s="7">
        <f>+I549-'ROR-Model'!I549</f>
        <v>0</v>
      </c>
      <c r="K549" s="7"/>
      <c r="L549" s="140"/>
      <c r="M549" s="140">
        <f>SUM(M547:M548)</f>
        <v>0</v>
      </c>
      <c r="N549" s="140">
        <f>SUM(N547:N548)</f>
        <v>0</v>
      </c>
      <c r="O549" s="120"/>
      <c r="P549" s="192"/>
      <c r="Q549" s="140">
        <f>SUM(Q547:Q548)</f>
        <v>0</v>
      </c>
      <c r="R549" s="140">
        <f>SUM(R547:R548)</f>
        <v>0</v>
      </c>
      <c r="S549" s="201"/>
      <c r="T549" s="140">
        <f>SUM(T547:T548)</f>
        <v>0</v>
      </c>
      <c r="U549" s="140">
        <f>SUM(U547:U548)</f>
        <v>0</v>
      </c>
      <c r="V549" s="124"/>
      <c r="W549" s="140">
        <f>HLOOKUP($W$9,'ROR-Model'!$Q$10:$U$1273,Y549)</f>
        <v>0</v>
      </c>
      <c r="X549" s="139"/>
      <c r="Y549" s="3">
        <f t="shared" si="33"/>
        <v>540</v>
      </c>
      <c r="AA549" s="140">
        <v>0</v>
      </c>
      <c r="AC549" s="140" t="str">
        <f t="shared" si="34"/>
        <v/>
      </c>
      <c r="AE549" s="42" t="str">
        <f t="shared" si="35"/>
        <v/>
      </c>
      <c r="AG549" s="162"/>
      <c r="AH549" s="10"/>
      <c r="AI549" s="10" t="s">
        <v>145</v>
      </c>
      <c r="AJ549" s="10"/>
    </row>
    <row r="550" spans="1:36">
      <c r="A550" s="137"/>
      <c r="B550" s="47"/>
      <c r="C550" s="47"/>
      <c r="D550" s="47"/>
      <c r="E550" s="7"/>
      <c r="F550" s="7"/>
      <c r="G550" s="7"/>
      <c r="H550" s="7"/>
      <c r="I550" s="7"/>
      <c r="J550" s="7">
        <f>+I550-'ROR-Model'!I550</f>
        <v>0</v>
      </c>
      <c r="K550" s="7"/>
      <c r="L550" s="7"/>
      <c r="M550" s="7"/>
      <c r="N550" s="7"/>
      <c r="O550" s="120"/>
      <c r="P550" s="192"/>
      <c r="Q550" s="7"/>
      <c r="R550" s="7"/>
      <c r="S550" s="126"/>
      <c r="T550" s="7"/>
      <c r="U550" s="7"/>
      <c r="V550" s="124"/>
      <c r="W550" s="7"/>
      <c r="X550" s="139"/>
      <c r="Y550" s="3">
        <f t="shared" si="33"/>
        <v>541</v>
      </c>
      <c r="AA550" s="7"/>
      <c r="AC550" s="7" t="str">
        <f t="shared" si="34"/>
        <v/>
      </c>
      <c r="AE550" s="42" t="str">
        <f t="shared" si="35"/>
        <v/>
      </c>
      <c r="AG550" s="162"/>
      <c r="AH550" s="10"/>
      <c r="AI550" s="10"/>
      <c r="AJ550" s="10"/>
    </row>
    <row r="551" spans="1:36">
      <c r="A551" s="137">
        <v>802</v>
      </c>
      <c r="B551" s="47" t="s">
        <v>668</v>
      </c>
      <c r="C551" s="47"/>
      <c r="D551" s="47"/>
      <c r="E551" s="7"/>
      <c r="F551" s="7"/>
      <c r="G551" s="7"/>
      <c r="H551" s="7"/>
      <c r="I551" s="7"/>
      <c r="J551" s="7">
        <f>+I551-'ROR-Model'!I551</f>
        <v>0</v>
      </c>
      <c r="K551" s="7"/>
      <c r="L551" s="7"/>
      <c r="M551" s="7"/>
      <c r="N551" s="7"/>
      <c r="O551" s="120"/>
      <c r="P551" s="192"/>
      <c r="Q551" s="7"/>
      <c r="R551" s="7"/>
      <c r="S551" s="126"/>
      <c r="T551" s="7"/>
      <c r="U551" s="7"/>
      <c r="V551" s="124"/>
      <c r="W551" s="7"/>
      <c r="X551" s="139"/>
      <c r="Y551" s="3">
        <f t="shared" si="33"/>
        <v>542</v>
      </c>
      <c r="AA551" s="7"/>
      <c r="AC551" s="7" t="str">
        <f t="shared" si="34"/>
        <v/>
      </c>
      <c r="AE551" s="42" t="str">
        <f t="shared" si="35"/>
        <v/>
      </c>
      <c r="AG551" s="162">
        <v>802</v>
      </c>
      <c r="AH551" s="10" t="s">
        <v>668</v>
      </c>
      <c r="AI551" s="10"/>
      <c r="AJ551" s="10"/>
    </row>
    <row r="552" spans="1:36">
      <c r="A552" s="137"/>
      <c r="B552" s="47"/>
      <c r="C552" s="47" t="s">
        <v>12</v>
      </c>
      <c r="D552" s="47"/>
      <c r="E552" s="7" t="s">
        <v>509</v>
      </c>
      <c r="F552" s="7">
        <f>EXPENSES!F48</f>
        <v>0</v>
      </c>
      <c r="G552" s="7">
        <f>+Adjustments!V551</f>
        <v>0</v>
      </c>
      <c r="H552" s="7"/>
      <c r="I552" s="7">
        <f>SUM($F$552:$H$552)</f>
        <v>0</v>
      </c>
      <c r="J552" s="7">
        <f>+I552-'ROR-Model'!I552</f>
        <v>0</v>
      </c>
      <c r="K552" s="7"/>
      <c r="L552" s="7" t="s">
        <v>12</v>
      </c>
      <c r="M552" s="7">
        <f>VLOOKUP($L552,$L$2:$N$7,2,FALSE)*I552</f>
        <v>0</v>
      </c>
      <c r="N552" s="7">
        <f>VLOOKUP($L552,$L$2:$N$7,3,FALSE)*I552</f>
        <v>0</v>
      </c>
      <c r="O552" s="120"/>
      <c r="P552" s="192" t="s">
        <v>509</v>
      </c>
      <c r="Q552" s="7">
        <f>IF(P552="G",M552,IF(P552="PT",0,ERR))</f>
        <v>0</v>
      </c>
      <c r="R552" s="7">
        <f>IF(P552="PT",M552,IF(P552="G",0,ERR))</f>
        <v>0</v>
      </c>
      <c r="S552" s="126" t="s">
        <v>509</v>
      </c>
      <c r="T552" s="7">
        <f>IF(S552="G",N552,IF(S552="PT",0,ERR))</f>
        <v>0</v>
      </c>
      <c r="U552" s="7">
        <f>IF(S552="PT",N552,IF(S552="G",0,ERR))</f>
        <v>0</v>
      </c>
      <c r="V552" s="124"/>
      <c r="W552" s="7">
        <f>HLOOKUP($W$9,'ROR-Model'!$Q$10:$U$1273,Y552)</f>
        <v>0</v>
      </c>
      <c r="X552" s="139"/>
      <c r="Y552" s="3">
        <f t="shared" si="33"/>
        <v>543</v>
      </c>
      <c r="AA552" s="7">
        <v>0</v>
      </c>
      <c r="AC552" s="7" t="str">
        <f t="shared" si="34"/>
        <v/>
      </c>
      <c r="AE552" s="42" t="str">
        <f t="shared" si="35"/>
        <v/>
      </c>
      <c r="AG552" s="162"/>
      <c r="AH552" s="10"/>
      <c r="AI552" s="10" t="s">
        <v>12</v>
      </c>
      <c r="AJ552" s="10"/>
    </row>
    <row r="553" spans="1:36">
      <c r="A553" s="137"/>
      <c r="B553" s="47"/>
      <c r="C553" s="47" t="s">
        <v>23</v>
      </c>
      <c r="D553" s="47"/>
      <c r="E553" s="7" t="s">
        <v>509</v>
      </c>
      <c r="F553" s="7">
        <f>EXPENSES!F49</f>
        <v>0</v>
      </c>
      <c r="G553" s="7">
        <f>+Adjustments!V552</f>
        <v>0</v>
      </c>
      <c r="H553" s="7"/>
      <c r="I553" s="7">
        <f>SUM($F$553:$H$553)</f>
        <v>0</v>
      </c>
      <c r="J553" s="7">
        <f>+I553-'ROR-Model'!I553</f>
        <v>0</v>
      </c>
      <c r="K553" s="7"/>
      <c r="L553" s="7" t="s">
        <v>23</v>
      </c>
      <c r="M553" s="7">
        <f>VLOOKUP($L553,$L$2:$N$7,2,FALSE)*I553</f>
        <v>0</v>
      </c>
      <c r="N553" s="7">
        <f>VLOOKUP($L553,$L$2:$N$7,3,FALSE)*I553</f>
        <v>0</v>
      </c>
      <c r="O553" s="120"/>
      <c r="P553" s="192" t="s">
        <v>509</v>
      </c>
      <c r="Q553" s="7">
        <f>IF(P553="G",M553,IF(P553="PT",0,ERR))</f>
        <v>0</v>
      </c>
      <c r="R553" s="7">
        <f>IF(P553="PT",M553,IF(P553="G",0,ERR))</f>
        <v>0</v>
      </c>
      <c r="S553" s="126" t="s">
        <v>509</v>
      </c>
      <c r="T553" s="7">
        <f>IF(S553="G",N553,IF(S553="PT",0,ERR))</f>
        <v>0</v>
      </c>
      <c r="U553" s="7">
        <f>IF(S553="PT",N553,IF(S553="G",0,ERR))</f>
        <v>0</v>
      </c>
      <c r="V553" s="124"/>
      <c r="W553" s="7">
        <f>HLOOKUP($W$9,'ROR-Model'!$Q$10:$U$1273,Y553)</f>
        <v>0</v>
      </c>
      <c r="X553" s="139"/>
      <c r="Y553" s="3">
        <f t="shared" si="33"/>
        <v>544</v>
      </c>
      <c r="AA553" s="7">
        <v>0</v>
      </c>
      <c r="AC553" s="7" t="str">
        <f t="shared" si="34"/>
        <v/>
      </c>
      <c r="AE553" s="42" t="str">
        <f t="shared" si="35"/>
        <v/>
      </c>
      <c r="AG553" s="162"/>
      <c r="AH553" s="10"/>
      <c r="AI553" s="10" t="s">
        <v>23</v>
      </c>
      <c r="AJ553" s="10"/>
    </row>
    <row r="554" spans="1:36">
      <c r="A554" s="137"/>
      <c r="B554" s="47"/>
      <c r="C554" s="47" t="s">
        <v>145</v>
      </c>
      <c r="D554" s="47"/>
      <c r="E554" s="140"/>
      <c r="F554" s="140">
        <f>SUM(F552:F553)</f>
        <v>0</v>
      </c>
      <c r="G554" s="140">
        <f>SUM(G552:G553)</f>
        <v>0</v>
      </c>
      <c r="H554" s="140">
        <f>SUM(H552:H553)</f>
        <v>0</v>
      </c>
      <c r="I554" s="140">
        <f>SUM(I552:I553)</f>
        <v>0</v>
      </c>
      <c r="J554" s="7">
        <f>+I554-'ROR-Model'!I554</f>
        <v>0</v>
      </c>
      <c r="K554" s="7"/>
      <c r="L554" s="140"/>
      <c r="M554" s="140">
        <f>SUM(M552:M553)</f>
        <v>0</v>
      </c>
      <c r="N554" s="140">
        <f>SUM(N552:N553)</f>
        <v>0</v>
      </c>
      <c r="O554" s="120"/>
      <c r="P554" s="192"/>
      <c r="Q554" s="140">
        <f>SUM(Q552:Q553)</f>
        <v>0</v>
      </c>
      <c r="R554" s="140">
        <f>SUM(R552:R553)</f>
        <v>0</v>
      </c>
      <c r="S554" s="201"/>
      <c r="T554" s="140">
        <f>SUM(T552:T553)</f>
        <v>0</v>
      </c>
      <c r="U554" s="140">
        <f>SUM(U552:U553)</f>
        <v>0</v>
      </c>
      <c r="V554" s="124"/>
      <c r="W554" s="140">
        <f>HLOOKUP($W$9,'ROR-Model'!$Q$10:$U$1273,Y554)</f>
        <v>0</v>
      </c>
      <c r="X554" s="139"/>
      <c r="Y554" s="3">
        <f t="shared" si="33"/>
        <v>545</v>
      </c>
      <c r="AA554" s="140">
        <v>0</v>
      </c>
      <c r="AC554" s="140" t="str">
        <f t="shared" si="34"/>
        <v/>
      </c>
      <c r="AE554" s="42" t="str">
        <f t="shared" si="35"/>
        <v/>
      </c>
      <c r="AG554" s="162"/>
      <c r="AH554" s="10"/>
      <c r="AI554" s="10" t="s">
        <v>145</v>
      </c>
      <c r="AJ554" s="10"/>
    </row>
    <row r="555" spans="1:36">
      <c r="A555" s="137"/>
      <c r="B555" s="47"/>
      <c r="C555" s="47"/>
      <c r="D555" s="47"/>
      <c r="E555" s="7"/>
      <c r="F555" s="7"/>
      <c r="G555" s="7"/>
      <c r="H555" s="7"/>
      <c r="I555" s="7"/>
      <c r="J555" s="7">
        <f>+I555-'ROR-Model'!I555</f>
        <v>0</v>
      </c>
      <c r="K555" s="7"/>
      <c r="L555" s="7"/>
      <c r="M555" s="7"/>
      <c r="N555" s="7"/>
      <c r="O555" s="120"/>
      <c r="P555" s="192"/>
      <c r="Q555" s="7"/>
      <c r="R555" s="7"/>
      <c r="S555" s="126"/>
      <c r="T555" s="7"/>
      <c r="U555" s="7"/>
      <c r="V555" s="124"/>
      <c r="W555" s="7"/>
      <c r="X555" s="139"/>
      <c r="Y555" s="3">
        <f t="shared" si="33"/>
        <v>546</v>
      </c>
      <c r="AA555" s="7"/>
      <c r="AC555" s="7" t="str">
        <f t="shared" si="34"/>
        <v/>
      </c>
      <c r="AE555" s="42" t="str">
        <f t="shared" si="35"/>
        <v/>
      </c>
      <c r="AG555" s="162"/>
      <c r="AH555" s="10"/>
      <c r="AI555" s="10"/>
      <c r="AJ555" s="10"/>
    </row>
    <row r="556" spans="1:36">
      <c r="A556" s="137">
        <v>803</v>
      </c>
      <c r="B556" s="47" t="s">
        <v>654</v>
      </c>
      <c r="C556" s="47"/>
      <c r="D556" s="47"/>
      <c r="E556" s="7"/>
      <c r="F556" s="7"/>
      <c r="G556" s="7"/>
      <c r="H556" s="7"/>
      <c r="I556" s="7"/>
      <c r="J556" s="7">
        <f>+I556-'ROR-Model'!I556</f>
        <v>0</v>
      </c>
      <c r="K556" s="7"/>
      <c r="L556" s="7"/>
      <c r="M556" s="7"/>
      <c r="N556" s="7"/>
      <c r="O556" s="120"/>
      <c r="P556" s="192"/>
      <c r="Q556" s="7"/>
      <c r="R556" s="7"/>
      <c r="S556" s="126"/>
      <c r="T556" s="7"/>
      <c r="U556" s="7"/>
      <c r="V556" s="124"/>
      <c r="W556" s="7"/>
      <c r="X556" s="139"/>
      <c r="Y556" s="3">
        <f t="shared" si="33"/>
        <v>547</v>
      </c>
      <c r="AA556" s="7"/>
      <c r="AC556" s="7" t="str">
        <f t="shared" si="34"/>
        <v/>
      </c>
      <c r="AE556" s="42" t="str">
        <f t="shared" si="35"/>
        <v/>
      </c>
      <c r="AG556" s="162">
        <v>803</v>
      </c>
      <c r="AH556" s="10" t="s">
        <v>654</v>
      </c>
      <c r="AI556" s="10"/>
      <c r="AJ556" s="10"/>
    </row>
    <row r="557" spans="1:36">
      <c r="A557" s="137"/>
      <c r="B557" s="47"/>
      <c r="C557" s="47" t="s">
        <v>12</v>
      </c>
      <c r="D557" s="47"/>
      <c r="E557" s="7" t="s">
        <v>509</v>
      </c>
      <c r="F557" s="7">
        <f>EXPENSES!F53</f>
        <v>981511934.55607605</v>
      </c>
      <c r="G557" s="7">
        <f>+Adjustments!V556</f>
        <v>0</v>
      </c>
      <c r="H557" s="7"/>
      <c r="I557" s="7">
        <f>SUM($F$557:$H$557)</f>
        <v>981511934.55607605</v>
      </c>
      <c r="J557" s="7">
        <f>+I557-'ROR-Model'!I557</f>
        <v>0</v>
      </c>
      <c r="K557" s="7"/>
      <c r="L557" s="7" t="s">
        <v>12</v>
      </c>
      <c r="M557" s="7">
        <f>VLOOKUP($L557,$L$2:$N$7,2,FALSE)*I557</f>
        <v>981511934.55607605</v>
      </c>
      <c r="N557" s="7">
        <f>VLOOKUP($L557,$L$2:$N$7,3,FALSE)*I557</f>
        <v>0</v>
      </c>
      <c r="O557" s="120"/>
      <c r="P557" s="192" t="s">
        <v>509</v>
      </c>
      <c r="Q557" s="7">
        <f>IF(P557="G",M557,IF(P557="PT",0,ERR))</f>
        <v>0</v>
      </c>
      <c r="R557" s="7">
        <f>IF(P557="PT",M557,IF(P557="G",0,ERR))</f>
        <v>981511934.55607605</v>
      </c>
      <c r="S557" s="126" t="s">
        <v>509</v>
      </c>
      <c r="T557" s="7">
        <f>IF(S557="G",N557,IF(S557="PT",0,ERR))</f>
        <v>0</v>
      </c>
      <c r="U557" s="7">
        <f>IF(S557="PT",N557,IF(S557="G",0,ERR))</f>
        <v>0</v>
      </c>
      <c r="V557" s="124"/>
      <c r="W557" s="7">
        <f>HLOOKUP($W$9,'ROR-Model'!$Q$10:$U$1273,Y557)</f>
        <v>0</v>
      </c>
      <c r="X557" s="139"/>
      <c r="Y557" s="3">
        <f t="shared" si="33"/>
        <v>548</v>
      </c>
      <c r="AA557" s="7">
        <v>0</v>
      </c>
      <c r="AC557" s="7" t="str">
        <f t="shared" si="34"/>
        <v/>
      </c>
      <c r="AE557" s="42" t="str">
        <f t="shared" si="35"/>
        <v/>
      </c>
      <c r="AG557" s="162"/>
      <c r="AH557" s="10"/>
      <c r="AI557" s="10" t="s">
        <v>12</v>
      </c>
      <c r="AJ557" s="10"/>
    </row>
    <row r="558" spans="1:36">
      <c r="A558" s="137"/>
      <c r="B558" s="47"/>
      <c r="C558" s="47" t="s">
        <v>23</v>
      </c>
      <c r="D558" s="47"/>
      <c r="E558" s="7" t="s">
        <v>509</v>
      </c>
      <c r="F558" s="7">
        <f>EXPENSES!F54</f>
        <v>32255664.833923984</v>
      </c>
      <c r="G558" s="7">
        <f>+Adjustments!V557</f>
        <v>0</v>
      </c>
      <c r="H558" s="7"/>
      <c r="I558" s="7">
        <f>SUM($F$558:$H$558)</f>
        <v>32255664.833923984</v>
      </c>
      <c r="J558" s="7">
        <f>+I558-'ROR-Model'!I558</f>
        <v>0</v>
      </c>
      <c r="K558" s="7"/>
      <c r="L558" s="7" t="s">
        <v>23</v>
      </c>
      <c r="M558" s="7">
        <f>VLOOKUP($L558,$L$2:$N$7,2,FALSE)*I558</f>
        <v>0</v>
      </c>
      <c r="N558" s="7">
        <f>VLOOKUP($L558,$L$2:$N$7,3,FALSE)*I558</f>
        <v>32255664.833923984</v>
      </c>
      <c r="O558" s="120"/>
      <c r="P558" s="192" t="s">
        <v>509</v>
      </c>
      <c r="Q558" s="7">
        <f>IF(P558="G",M558,IF(P558="PT",0,ERR))</f>
        <v>0</v>
      </c>
      <c r="R558" s="7">
        <f>IF(P558="PT",M558,IF(P558="G",0,ERR))</f>
        <v>0</v>
      </c>
      <c r="S558" s="126" t="s">
        <v>509</v>
      </c>
      <c r="T558" s="7">
        <f>IF(S558="G",N558,IF(S558="PT",0,ERR))</f>
        <v>0</v>
      </c>
      <c r="U558" s="7">
        <f>IF(S558="PT",N558,IF(S558="G",0,ERR))</f>
        <v>32255664.833923984</v>
      </c>
      <c r="V558" s="124"/>
      <c r="W558" s="7">
        <f>HLOOKUP($W$9,'ROR-Model'!$Q$10:$U$1273,Y558)</f>
        <v>0</v>
      </c>
      <c r="X558" s="139"/>
      <c r="Y558" s="3">
        <f t="shared" si="33"/>
        <v>549</v>
      </c>
      <c r="AA558" s="7">
        <v>0</v>
      </c>
      <c r="AC558" s="7" t="str">
        <f t="shared" si="34"/>
        <v/>
      </c>
      <c r="AE558" s="42" t="str">
        <f t="shared" si="35"/>
        <v/>
      </c>
      <c r="AG558" s="162"/>
      <c r="AH558" s="10"/>
      <c r="AI558" s="10" t="s">
        <v>23</v>
      </c>
      <c r="AJ558" s="10"/>
    </row>
    <row r="559" spans="1:36">
      <c r="A559" s="137"/>
      <c r="B559" s="47"/>
      <c r="C559" s="47" t="s">
        <v>145</v>
      </c>
      <c r="D559" s="47"/>
      <c r="E559" s="140"/>
      <c r="F559" s="140">
        <f>SUM(F557:F558)</f>
        <v>1013767599.39</v>
      </c>
      <c r="G559" s="140">
        <f>SUM(G557:G558)</f>
        <v>0</v>
      </c>
      <c r="H559" s="140">
        <f>SUM(H557:H558)</f>
        <v>0</v>
      </c>
      <c r="I559" s="140">
        <f>SUM(I557:I558)</f>
        <v>1013767599.39</v>
      </c>
      <c r="J559" s="7">
        <f>+I559-'ROR-Model'!I559</f>
        <v>0</v>
      </c>
      <c r="K559" s="7"/>
      <c r="L559" s="140"/>
      <c r="M559" s="140">
        <f>SUM(M557:M558)</f>
        <v>981511934.55607605</v>
      </c>
      <c r="N559" s="140">
        <f>SUM(N557:N558)</f>
        <v>32255664.833923984</v>
      </c>
      <c r="O559" s="120"/>
      <c r="P559" s="192"/>
      <c r="Q559" s="140">
        <f>SUM(Q557:Q558)</f>
        <v>0</v>
      </c>
      <c r="R559" s="140">
        <f>SUM(R557:R558)</f>
        <v>981511934.55607605</v>
      </c>
      <c r="S559" s="201"/>
      <c r="T559" s="140">
        <f>SUM(T557:T558)</f>
        <v>0</v>
      </c>
      <c r="U559" s="140">
        <f>SUM(U557:U558)</f>
        <v>32255664.833923984</v>
      </c>
      <c r="V559" s="124"/>
      <c r="W559" s="140">
        <f>HLOOKUP($W$9,'ROR-Model'!$Q$10:$U$1273,Y559)</f>
        <v>0</v>
      </c>
      <c r="X559" s="139"/>
      <c r="Y559" s="3">
        <f t="shared" si="33"/>
        <v>550</v>
      </c>
      <c r="AA559" s="140">
        <v>0</v>
      </c>
      <c r="AC559" s="140" t="str">
        <f t="shared" si="34"/>
        <v/>
      </c>
      <c r="AE559" s="42" t="str">
        <f t="shared" si="35"/>
        <v/>
      </c>
      <c r="AG559" s="162"/>
      <c r="AH559" s="10"/>
      <c r="AI559" s="10" t="s">
        <v>145</v>
      </c>
      <c r="AJ559" s="10"/>
    </row>
    <row r="560" spans="1:36">
      <c r="A560" s="137"/>
      <c r="B560" s="47"/>
      <c r="C560" s="47"/>
      <c r="D560" s="47"/>
      <c r="E560" s="7"/>
      <c r="F560" s="7"/>
      <c r="G560" s="7"/>
      <c r="H560" s="7"/>
      <c r="I560" s="7"/>
      <c r="J560" s="7">
        <f>+I560-'ROR-Model'!I560</f>
        <v>0</v>
      </c>
      <c r="K560" s="7"/>
      <c r="L560" s="7"/>
      <c r="M560" s="7"/>
      <c r="N560" s="7"/>
      <c r="O560" s="120"/>
      <c r="P560" s="192"/>
      <c r="Q560" s="7"/>
      <c r="R560" s="7"/>
      <c r="S560" s="126"/>
      <c r="T560" s="7"/>
      <c r="U560" s="7"/>
      <c r="V560" s="124"/>
      <c r="W560" s="7"/>
      <c r="X560" s="139"/>
      <c r="Y560" s="3">
        <f t="shared" si="33"/>
        <v>551</v>
      </c>
      <c r="AA560" s="7"/>
      <c r="AC560" s="7" t="str">
        <f t="shared" si="34"/>
        <v/>
      </c>
      <c r="AE560" s="42" t="str">
        <f t="shared" si="35"/>
        <v/>
      </c>
      <c r="AG560" s="162"/>
      <c r="AH560" s="10"/>
      <c r="AI560" s="10"/>
      <c r="AJ560" s="10"/>
    </row>
    <row r="561" spans="1:36">
      <c r="A561" s="137">
        <v>804</v>
      </c>
      <c r="B561" s="47" t="s">
        <v>656</v>
      </c>
      <c r="C561" s="47"/>
      <c r="D561" s="47"/>
      <c r="E561" s="7"/>
      <c r="F561" s="7"/>
      <c r="G561" s="7"/>
      <c r="H561" s="7"/>
      <c r="I561" s="7"/>
      <c r="J561" s="7">
        <f>+I561-'ROR-Model'!I561</f>
        <v>0</v>
      </c>
      <c r="K561" s="7"/>
      <c r="L561" s="7"/>
      <c r="M561" s="7"/>
      <c r="N561" s="7"/>
      <c r="O561" s="120"/>
      <c r="P561" s="192"/>
      <c r="Q561" s="7"/>
      <c r="R561" s="7"/>
      <c r="S561" s="126"/>
      <c r="T561" s="7"/>
      <c r="U561" s="7"/>
      <c r="V561" s="124"/>
      <c r="W561" s="7"/>
      <c r="X561" s="139"/>
      <c r="Y561" s="3">
        <f t="shared" si="33"/>
        <v>552</v>
      </c>
      <c r="AA561" s="7"/>
      <c r="AC561" s="7" t="str">
        <f t="shared" si="34"/>
        <v/>
      </c>
      <c r="AE561" s="42" t="str">
        <f t="shared" si="35"/>
        <v/>
      </c>
      <c r="AG561" s="162">
        <v>804</v>
      </c>
      <c r="AH561" s="10" t="s">
        <v>656</v>
      </c>
      <c r="AI561" s="10"/>
      <c r="AJ561" s="10"/>
    </row>
    <row r="562" spans="1:36">
      <c r="A562" s="137"/>
      <c r="B562" s="47"/>
      <c r="C562" s="47" t="s">
        <v>12</v>
      </c>
      <c r="D562" s="47"/>
      <c r="E562" s="7" t="s">
        <v>509</v>
      </c>
      <c r="F562" s="7">
        <f>EXPENSES!F58</f>
        <v>15805820.911920998</v>
      </c>
      <c r="G562" s="7">
        <f>+Adjustments!V561</f>
        <v>0</v>
      </c>
      <c r="H562" s="7">
        <v>0</v>
      </c>
      <c r="I562" s="7">
        <f>SUM($F$562:$H$562)</f>
        <v>15805820.911920998</v>
      </c>
      <c r="J562" s="7">
        <f>+I562-'ROR-Model'!I562</f>
        <v>0</v>
      </c>
      <c r="K562" s="7"/>
      <c r="L562" s="7" t="s">
        <v>12</v>
      </c>
      <c r="M562" s="7">
        <f>VLOOKUP($L562,$L$2:$N$7,2,FALSE)*I562</f>
        <v>15805820.911920998</v>
      </c>
      <c r="N562" s="7">
        <f>VLOOKUP($L562,$L$2:$N$7,3,FALSE)*I562</f>
        <v>0</v>
      </c>
      <c r="O562" s="120"/>
      <c r="P562" s="192" t="s">
        <v>509</v>
      </c>
      <c r="Q562" s="7">
        <f>IF(P562="G",M562,IF(P562="PT",0,ERR))</f>
        <v>0</v>
      </c>
      <c r="R562" s="7">
        <f>IF(P562="PT",M562,IF(P562="G",0,ERR))</f>
        <v>15805820.911920998</v>
      </c>
      <c r="S562" s="126" t="s">
        <v>509</v>
      </c>
      <c r="T562" s="7">
        <f>IF(S562="G",N562,IF(S562="PT",0,ERR))</f>
        <v>0</v>
      </c>
      <c r="U562" s="7">
        <f>IF(S562="PT",N562,IF(S562="G",0,ERR))</f>
        <v>0</v>
      </c>
      <c r="V562" s="124"/>
      <c r="W562" s="7">
        <f>HLOOKUP($W$9,'ROR-Model'!$Q$10:$U$1273,Y562)</f>
        <v>0</v>
      </c>
      <c r="X562" s="139"/>
      <c r="Y562" s="3">
        <f t="shared" si="33"/>
        <v>553</v>
      </c>
      <c r="AA562" s="7">
        <v>0</v>
      </c>
      <c r="AC562" s="7" t="str">
        <f t="shared" si="34"/>
        <v/>
      </c>
      <c r="AE562" s="42" t="str">
        <f t="shared" si="35"/>
        <v/>
      </c>
      <c r="AG562" s="162"/>
      <c r="AH562" s="10"/>
      <c r="AI562" s="10" t="s">
        <v>12</v>
      </c>
      <c r="AJ562" s="10"/>
    </row>
    <row r="563" spans="1:36">
      <c r="A563" s="137"/>
      <c r="B563" s="47"/>
      <c r="C563" s="47" t="s">
        <v>23</v>
      </c>
      <c r="D563" s="47"/>
      <c r="E563" s="7" t="s">
        <v>509</v>
      </c>
      <c r="F563" s="7">
        <f>EXPENSES!F59</f>
        <v>526144.7780789996</v>
      </c>
      <c r="G563" s="7">
        <f>+Adjustments!V562</f>
        <v>0</v>
      </c>
      <c r="H563" s="7">
        <v>0</v>
      </c>
      <c r="I563" s="7">
        <f>SUM($F$563:$H$563)</f>
        <v>526144.7780789996</v>
      </c>
      <c r="J563" s="7">
        <f>+I563-'ROR-Model'!I563</f>
        <v>0</v>
      </c>
      <c r="K563" s="7"/>
      <c r="L563" s="7" t="s">
        <v>23</v>
      </c>
      <c r="M563" s="7">
        <f>VLOOKUP($L563,$L$2:$N$7,2,FALSE)*I563</f>
        <v>0</v>
      </c>
      <c r="N563" s="7">
        <f>VLOOKUP($L563,$L$2:$N$7,3,FALSE)*I563</f>
        <v>526144.7780789996</v>
      </c>
      <c r="O563" s="120"/>
      <c r="P563" s="192" t="s">
        <v>509</v>
      </c>
      <c r="Q563" s="7">
        <f>IF(P563="G",M563,IF(P563="PT",0,ERR))</f>
        <v>0</v>
      </c>
      <c r="R563" s="7">
        <f>IF(P563="PT",M563,IF(P563="G",0,ERR))</f>
        <v>0</v>
      </c>
      <c r="S563" s="126" t="s">
        <v>509</v>
      </c>
      <c r="T563" s="7">
        <f>IF(S563="G",N563,IF(S563="PT",0,ERR))</f>
        <v>0</v>
      </c>
      <c r="U563" s="7">
        <f>IF(S563="PT",N563,IF(S563="G",0,ERR))</f>
        <v>526144.7780789996</v>
      </c>
      <c r="V563" s="124"/>
      <c r="W563" s="7">
        <f>HLOOKUP($W$9,'ROR-Model'!$Q$10:$U$1273,Y563)</f>
        <v>0</v>
      </c>
      <c r="X563" s="139"/>
      <c r="Y563" s="3">
        <f t="shared" si="33"/>
        <v>554</v>
      </c>
      <c r="AA563" s="7">
        <v>0</v>
      </c>
      <c r="AC563" s="7" t="str">
        <f t="shared" si="34"/>
        <v/>
      </c>
      <c r="AE563" s="42" t="str">
        <f t="shared" si="35"/>
        <v/>
      </c>
      <c r="AG563" s="162"/>
      <c r="AH563" s="10"/>
      <c r="AI563" s="10" t="s">
        <v>23</v>
      </c>
      <c r="AJ563" s="10"/>
    </row>
    <row r="564" spans="1:36">
      <c r="A564" s="137"/>
      <c r="B564" s="47"/>
      <c r="C564" s="47" t="s">
        <v>145</v>
      </c>
      <c r="D564" s="47"/>
      <c r="E564" s="140"/>
      <c r="F564" s="140">
        <f>SUM(F562:F563)</f>
        <v>16331965.689999998</v>
      </c>
      <c r="G564" s="140">
        <f>SUM(G562:G563)</f>
        <v>0</v>
      </c>
      <c r="H564" s="140">
        <f>SUM(H562:H563)</f>
        <v>0</v>
      </c>
      <c r="I564" s="140">
        <f>SUM(I562:I563)</f>
        <v>16331965.689999998</v>
      </c>
      <c r="J564" s="7">
        <f>+I564-'ROR-Model'!I564</f>
        <v>0</v>
      </c>
      <c r="K564" s="7"/>
      <c r="L564" s="140"/>
      <c r="M564" s="140">
        <f>SUM(M562:M563)</f>
        <v>15805820.911920998</v>
      </c>
      <c r="N564" s="140">
        <f>SUM(N562:N563)</f>
        <v>526144.7780789996</v>
      </c>
      <c r="O564" s="120"/>
      <c r="P564" s="192"/>
      <c r="Q564" s="140">
        <f>SUM(Q562:Q563)</f>
        <v>0</v>
      </c>
      <c r="R564" s="140">
        <f>SUM(R562:R563)</f>
        <v>15805820.911920998</v>
      </c>
      <c r="S564" s="201"/>
      <c r="T564" s="140">
        <f>SUM(T562:T563)</f>
        <v>0</v>
      </c>
      <c r="U564" s="140">
        <f>SUM(U562:U563)</f>
        <v>526144.7780789996</v>
      </c>
      <c r="V564" s="124"/>
      <c r="W564" s="140">
        <f>HLOOKUP($W$9,'ROR-Model'!$Q$10:$U$1273,Y564)</f>
        <v>0</v>
      </c>
      <c r="X564" s="139"/>
      <c r="Y564" s="3">
        <f t="shared" si="33"/>
        <v>555</v>
      </c>
      <c r="AA564" s="140">
        <v>0</v>
      </c>
      <c r="AC564" s="140" t="str">
        <f t="shared" si="34"/>
        <v/>
      </c>
      <c r="AE564" s="42" t="str">
        <f t="shared" si="35"/>
        <v/>
      </c>
      <c r="AG564" s="162"/>
      <c r="AH564" s="10"/>
      <c r="AI564" s="10" t="s">
        <v>145</v>
      </c>
      <c r="AJ564" s="10"/>
    </row>
    <row r="565" spans="1:36">
      <c r="A565" s="137"/>
      <c r="B565" s="47"/>
      <c r="C565" s="47"/>
      <c r="D565" s="47"/>
      <c r="E565" s="7"/>
      <c r="F565" s="7"/>
      <c r="G565" s="7"/>
      <c r="H565" s="7"/>
      <c r="I565" s="7"/>
      <c r="J565" s="7">
        <f>+I565-'ROR-Model'!I565</f>
        <v>0</v>
      </c>
      <c r="K565" s="7"/>
      <c r="L565" s="7"/>
      <c r="M565" s="7"/>
      <c r="N565" s="7"/>
      <c r="O565" s="120"/>
      <c r="P565" s="192"/>
      <c r="Q565" s="7"/>
      <c r="R565" s="7"/>
      <c r="S565" s="126"/>
      <c r="T565" s="7"/>
      <c r="U565" s="7"/>
      <c r="V565" s="124"/>
      <c r="W565" s="7"/>
      <c r="X565" s="139"/>
      <c r="Y565" s="3">
        <f t="shared" si="33"/>
        <v>556</v>
      </c>
      <c r="AA565" s="7"/>
      <c r="AC565" s="7" t="str">
        <f t="shared" si="34"/>
        <v/>
      </c>
      <c r="AE565" s="42" t="str">
        <f t="shared" si="35"/>
        <v/>
      </c>
      <c r="AG565" s="162"/>
      <c r="AH565" s="10"/>
      <c r="AI565" s="10"/>
      <c r="AJ565" s="10"/>
    </row>
    <row r="566" spans="1:36">
      <c r="A566" s="137" t="s">
        <v>647</v>
      </c>
      <c r="B566" s="47" t="s">
        <v>661</v>
      </c>
      <c r="C566" s="47"/>
      <c r="D566" s="47"/>
      <c r="E566" s="7"/>
      <c r="F566" s="7"/>
      <c r="G566" s="7"/>
      <c r="H566" s="7"/>
      <c r="I566" s="7"/>
      <c r="J566" s="7">
        <f>+I566-'ROR-Model'!I566</f>
        <v>0</v>
      </c>
      <c r="K566" s="7"/>
      <c r="L566" s="7"/>
      <c r="M566" s="7"/>
      <c r="N566" s="7"/>
      <c r="O566" s="120"/>
      <c r="P566" s="192"/>
      <c r="Q566" s="7"/>
      <c r="R566" s="7"/>
      <c r="S566" s="126"/>
      <c r="T566" s="7"/>
      <c r="U566" s="7"/>
      <c r="V566" s="124"/>
      <c r="W566" s="7"/>
      <c r="X566" s="139"/>
      <c r="Y566" s="3">
        <f t="shared" si="33"/>
        <v>557</v>
      </c>
      <c r="AA566" s="7"/>
      <c r="AC566" s="7" t="str">
        <f t="shared" si="34"/>
        <v/>
      </c>
      <c r="AE566" s="42" t="str">
        <f t="shared" si="35"/>
        <v/>
      </c>
      <c r="AG566" s="162" t="s">
        <v>647</v>
      </c>
      <c r="AH566" s="10" t="s">
        <v>661</v>
      </c>
      <c r="AI566" s="10"/>
      <c r="AJ566" s="10"/>
    </row>
    <row r="567" spans="1:36">
      <c r="A567" s="137"/>
      <c r="B567" s="47"/>
      <c r="C567" s="47" t="s">
        <v>12</v>
      </c>
      <c r="D567" s="47"/>
      <c r="E567" s="7" t="s">
        <v>509</v>
      </c>
      <c r="F567" s="7">
        <f>EXPENSES!F63</f>
        <v>0</v>
      </c>
      <c r="G567" s="7">
        <f>+Adjustments!V566</f>
        <v>0</v>
      </c>
      <c r="H567" s="7"/>
      <c r="I567" s="7">
        <f>SUM($F$567:$H$567)</f>
        <v>0</v>
      </c>
      <c r="J567" s="7">
        <f>+I567-'ROR-Model'!I567</f>
        <v>0</v>
      </c>
      <c r="K567" s="7"/>
      <c r="L567" s="7" t="s">
        <v>12</v>
      </c>
      <c r="M567" s="7">
        <f>VLOOKUP($L567,$L$2:$N$7,2,FALSE)*I567</f>
        <v>0</v>
      </c>
      <c r="N567" s="7">
        <f>VLOOKUP($L567,$L$2:$N$7,3,FALSE)*I567</f>
        <v>0</v>
      </c>
      <c r="O567" s="120"/>
      <c r="P567" s="192" t="s">
        <v>509</v>
      </c>
      <c r="Q567" s="7">
        <f>IF(P567="G",M567,IF(P567="PT",0,ERR))</f>
        <v>0</v>
      </c>
      <c r="R567" s="7">
        <f>IF(P567="PT",M567,IF(P567="G",0,ERR))</f>
        <v>0</v>
      </c>
      <c r="S567" s="126" t="s">
        <v>509</v>
      </c>
      <c r="T567" s="7">
        <f>IF(S567="G",N567,IF(S567="PT",0,ERR))</f>
        <v>0</v>
      </c>
      <c r="U567" s="7">
        <f>IF(S567="PT",N567,IF(S567="G",0,ERR))</f>
        <v>0</v>
      </c>
      <c r="V567" s="124"/>
      <c r="W567" s="7">
        <f>HLOOKUP($W$9,'ROR-Model'!$Q$10:$U$1273,Y567)</f>
        <v>0</v>
      </c>
      <c r="X567" s="139"/>
      <c r="Y567" s="3">
        <f t="shared" si="33"/>
        <v>558</v>
      </c>
      <c r="AA567" s="7">
        <v>0</v>
      </c>
      <c r="AC567" s="7" t="str">
        <f t="shared" si="34"/>
        <v/>
      </c>
      <c r="AE567" s="42" t="str">
        <f t="shared" si="35"/>
        <v/>
      </c>
      <c r="AG567" s="162"/>
      <c r="AH567" s="10"/>
      <c r="AI567" s="10" t="s">
        <v>12</v>
      </c>
      <c r="AJ567" s="10"/>
    </row>
    <row r="568" spans="1:36">
      <c r="A568" s="137"/>
      <c r="B568" s="47"/>
      <c r="C568" s="47" t="s">
        <v>23</v>
      </c>
      <c r="D568" s="47"/>
      <c r="E568" s="7" t="s">
        <v>509</v>
      </c>
      <c r="F568" s="7">
        <f>EXPENSES!F64</f>
        <v>0</v>
      </c>
      <c r="G568" s="7">
        <f>+Adjustments!V567</f>
        <v>0</v>
      </c>
      <c r="H568" s="7"/>
      <c r="I568" s="7">
        <f>SUM($F$568:$H$568)</f>
        <v>0</v>
      </c>
      <c r="J568" s="7">
        <f>+I568-'ROR-Model'!I568</f>
        <v>0</v>
      </c>
      <c r="K568" s="7"/>
      <c r="L568" s="7" t="s">
        <v>23</v>
      </c>
      <c r="M568" s="7">
        <f>VLOOKUP($L568,$L$2:$N$7,2,FALSE)*I568</f>
        <v>0</v>
      </c>
      <c r="N568" s="7">
        <f>VLOOKUP($L568,$L$2:$N$7,3,FALSE)*I568</f>
        <v>0</v>
      </c>
      <c r="O568" s="120"/>
      <c r="P568" s="192" t="s">
        <v>509</v>
      </c>
      <c r="Q568" s="7">
        <f>IF(P568="G",M568,IF(P568="PT",0,ERR))</f>
        <v>0</v>
      </c>
      <c r="R568" s="7">
        <f>IF(P568="PT",M568,IF(P568="G",0,ERR))</f>
        <v>0</v>
      </c>
      <c r="S568" s="126" t="s">
        <v>509</v>
      </c>
      <c r="T568" s="7">
        <f>IF(S568="G",N568,IF(S568="PT",0,ERR))</f>
        <v>0</v>
      </c>
      <c r="U568" s="7">
        <f>IF(S568="PT",N568,IF(S568="G",0,ERR))</f>
        <v>0</v>
      </c>
      <c r="V568" s="124"/>
      <c r="W568" s="7">
        <f>HLOOKUP($W$9,'ROR-Model'!$Q$10:$U$1273,Y568)</f>
        <v>0</v>
      </c>
      <c r="X568" s="139"/>
      <c r="Y568" s="3">
        <f t="shared" si="33"/>
        <v>559</v>
      </c>
      <c r="AA568" s="7">
        <v>0</v>
      </c>
      <c r="AC568" s="7" t="str">
        <f t="shared" si="34"/>
        <v/>
      </c>
      <c r="AE568" s="42" t="str">
        <f t="shared" si="35"/>
        <v/>
      </c>
      <c r="AG568" s="162"/>
      <c r="AH568" s="10"/>
      <c r="AI568" s="10" t="s">
        <v>23</v>
      </c>
      <c r="AJ568" s="10"/>
    </row>
    <row r="569" spans="1:36">
      <c r="A569" s="137"/>
      <c r="B569" s="47"/>
      <c r="C569" s="47" t="s">
        <v>145</v>
      </c>
      <c r="D569" s="47"/>
      <c r="E569" s="140"/>
      <c r="F569" s="140">
        <f>SUM(F567:F568)</f>
        <v>0</v>
      </c>
      <c r="G569" s="140">
        <f>SUM(G567:G568)</f>
        <v>0</v>
      </c>
      <c r="H569" s="140">
        <f>SUM(H567:H568)</f>
        <v>0</v>
      </c>
      <c r="I569" s="140">
        <f>SUM(I567:I568)</f>
        <v>0</v>
      </c>
      <c r="J569" s="7">
        <f>+I569-'ROR-Model'!I569</f>
        <v>0</v>
      </c>
      <c r="K569" s="7"/>
      <c r="L569" s="140"/>
      <c r="M569" s="140">
        <f>SUM(M567:M568)</f>
        <v>0</v>
      </c>
      <c r="N569" s="140">
        <f>SUM(N567:N568)</f>
        <v>0</v>
      </c>
      <c r="O569" s="120"/>
      <c r="P569" s="192"/>
      <c r="Q569" s="140">
        <f>SUM(Q567:Q568)</f>
        <v>0</v>
      </c>
      <c r="R569" s="140">
        <f>SUM(R567:R568)</f>
        <v>0</v>
      </c>
      <c r="S569" s="201"/>
      <c r="T569" s="140">
        <f>SUM(T567:T568)</f>
        <v>0</v>
      </c>
      <c r="U569" s="140">
        <f>SUM(U567:U568)</f>
        <v>0</v>
      </c>
      <c r="V569" s="124"/>
      <c r="W569" s="140">
        <f>HLOOKUP($W$9,'ROR-Model'!$Q$10:$U$1273,Y569)</f>
        <v>0</v>
      </c>
      <c r="X569" s="139"/>
      <c r="Y569" s="3">
        <f t="shared" si="33"/>
        <v>560</v>
      </c>
      <c r="AA569" s="140">
        <v>0</v>
      </c>
      <c r="AC569" s="140" t="str">
        <f t="shared" si="34"/>
        <v/>
      </c>
      <c r="AE569" s="42" t="str">
        <f t="shared" si="35"/>
        <v/>
      </c>
      <c r="AG569" s="162"/>
      <c r="AH569" s="10"/>
      <c r="AI569" s="10" t="s">
        <v>145</v>
      </c>
      <c r="AJ569" s="10"/>
    </row>
    <row r="570" spans="1:36">
      <c r="A570" s="137"/>
      <c r="B570" s="47"/>
      <c r="C570" s="47"/>
      <c r="D570" s="47"/>
      <c r="E570" s="7"/>
      <c r="F570" s="7"/>
      <c r="G570" s="7"/>
      <c r="H570" s="7"/>
      <c r="I570" s="7"/>
      <c r="J570" s="7">
        <f>+I570-'ROR-Model'!I570</f>
        <v>0</v>
      </c>
      <c r="K570" s="7"/>
      <c r="L570" s="7"/>
      <c r="M570" s="7"/>
      <c r="N570" s="7"/>
      <c r="O570" s="120"/>
      <c r="P570" s="192"/>
      <c r="Q570" s="7"/>
      <c r="R570" s="7"/>
      <c r="S570" s="126"/>
      <c r="T570" s="7"/>
      <c r="U570" s="7"/>
      <c r="V570" s="124"/>
      <c r="W570" s="7"/>
      <c r="X570" s="139"/>
      <c r="Y570" s="3">
        <f t="shared" si="33"/>
        <v>561</v>
      </c>
      <c r="AA570" s="7"/>
      <c r="AC570" s="7" t="str">
        <f t="shared" si="34"/>
        <v/>
      </c>
      <c r="AE570" s="42" t="str">
        <f t="shared" si="35"/>
        <v/>
      </c>
      <c r="AG570" s="162"/>
      <c r="AH570" s="10"/>
      <c r="AI570" s="10"/>
      <c r="AJ570" s="10"/>
    </row>
    <row r="571" spans="1:36">
      <c r="A571" s="137">
        <v>805</v>
      </c>
      <c r="B571" s="47" t="s">
        <v>664</v>
      </c>
      <c r="C571" s="47"/>
      <c r="D571" s="47"/>
      <c r="E571" s="7"/>
      <c r="F571" s="7"/>
      <c r="G571" s="7"/>
      <c r="H571" s="7"/>
      <c r="I571" s="7"/>
      <c r="J571" s="7">
        <f>+I571-'ROR-Model'!I571</f>
        <v>0</v>
      </c>
      <c r="K571" s="7"/>
      <c r="L571" s="7"/>
      <c r="M571" s="7"/>
      <c r="N571" s="7"/>
      <c r="O571" s="120"/>
      <c r="P571" s="192"/>
      <c r="Q571" s="7"/>
      <c r="R571" s="7"/>
      <c r="S571" s="126"/>
      <c r="T571" s="7"/>
      <c r="U571" s="7"/>
      <c r="V571" s="124"/>
      <c r="W571" s="7"/>
      <c r="X571" s="139"/>
      <c r="Y571" s="3">
        <f t="shared" si="33"/>
        <v>562</v>
      </c>
      <c r="AA571" s="7"/>
      <c r="AC571" s="7" t="str">
        <f t="shared" si="34"/>
        <v/>
      </c>
      <c r="AE571" s="42" t="str">
        <f t="shared" si="35"/>
        <v/>
      </c>
      <c r="AG571" s="162">
        <v>805</v>
      </c>
      <c r="AH571" s="10" t="s">
        <v>664</v>
      </c>
      <c r="AI571" s="10"/>
      <c r="AJ571" s="10"/>
    </row>
    <row r="572" spans="1:36">
      <c r="A572" s="137"/>
      <c r="B572" s="47"/>
      <c r="C572" s="47" t="s">
        <v>12</v>
      </c>
      <c r="D572" s="47"/>
      <c r="E572" s="7" t="s">
        <v>509</v>
      </c>
      <c r="F572" s="7">
        <f>EXPENSES!F68</f>
        <v>0</v>
      </c>
      <c r="G572" s="7">
        <f>+Adjustments!V571</f>
        <v>0</v>
      </c>
      <c r="H572" s="7"/>
      <c r="I572" s="7">
        <f>SUM($F$572:$H$572)</f>
        <v>0</v>
      </c>
      <c r="J572" s="7">
        <f>+I572-'ROR-Model'!I572</f>
        <v>0</v>
      </c>
      <c r="K572" s="7"/>
      <c r="L572" s="7" t="s">
        <v>12</v>
      </c>
      <c r="M572" s="7">
        <f>VLOOKUP($L572,$L$2:$N$7,2,FALSE)*I572</f>
        <v>0</v>
      </c>
      <c r="N572" s="7">
        <f>VLOOKUP($L572,$L$2:$N$7,3,FALSE)*I572</f>
        <v>0</v>
      </c>
      <c r="O572" s="120"/>
      <c r="P572" s="192" t="s">
        <v>509</v>
      </c>
      <c r="Q572" s="7">
        <f>IF(P572="G",M572,IF(P572="PT",0,ERR))</f>
        <v>0</v>
      </c>
      <c r="R572" s="7">
        <f>IF(P572="PT",M572,IF(P572="G",0,ERR))</f>
        <v>0</v>
      </c>
      <c r="S572" s="126" t="s">
        <v>509</v>
      </c>
      <c r="T572" s="7">
        <f>IF(S572="G",N572,IF(S572="PT",0,ERR))</f>
        <v>0</v>
      </c>
      <c r="U572" s="7">
        <f>IF(S572="PT",N572,IF(S572="G",0,ERR))</f>
        <v>0</v>
      </c>
      <c r="V572" s="124"/>
      <c r="W572" s="7">
        <f>HLOOKUP($W$9,'ROR-Model'!$Q$10:$U$1273,Y572)</f>
        <v>0</v>
      </c>
      <c r="X572" s="139"/>
      <c r="Y572" s="3">
        <f t="shared" si="33"/>
        <v>563</v>
      </c>
      <c r="AA572" s="7">
        <v>0</v>
      </c>
      <c r="AC572" s="7" t="str">
        <f t="shared" si="34"/>
        <v/>
      </c>
      <c r="AE572" s="42" t="str">
        <f t="shared" si="35"/>
        <v/>
      </c>
      <c r="AG572" s="162"/>
      <c r="AH572" s="10"/>
      <c r="AI572" s="10" t="s">
        <v>12</v>
      </c>
      <c r="AJ572" s="10"/>
    </row>
    <row r="573" spans="1:36">
      <c r="A573" s="137"/>
      <c r="B573" s="47"/>
      <c r="C573" s="47" t="s">
        <v>23</v>
      </c>
      <c r="D573" s="47"/>
      <c r="E573" s="7" t="s">
        <v>509</v>
      </c>
      <c r="F573" s="7">
        <f>EXPENSES!F69</f>
        <v>0</v>
      </c>
      <c r="G573" s="7">
        <f>+Adjustments!V572</f>
        <v>0</v>
      </c>
      <c r="H573" s="7"/>
      <c r="I573" s="7">
        <f>SUM($F$573:$H$573)</f>
        <v>0</v>
      </c>
      <c r="J573" s="7">
        <f>+I573-'ROR-Model'!I573</f>
        <v>0</v>
      </c>
      <c r="K573" s="7"/>
      <c r="L573" s="7" t="s">
        <v>23</v>
      </c>
      <c r="M573" s="7">
        <f>VLOOKUP($L573,$L$2:$N$7,2,FALSE)*I573</f>
        <v>0</v>
      </c>
      <c r="N573" s="7">
        <f>VLOOKUP($L573,$L$2:$N$7,3,FALSE)*I573</f>
        <v>0</v>
      </c>
      <c r="O573" s="120"/>
      <c r="P573" s="192" t="s">
        <v>509</v>
      </c>
      <c r="Q573" s="7">
        <f>IF(P573="G",M573,IF(P573="PT",0,ERR))</f>
        <v>0</v>
      </c>
      <c r="R573" s="7">
        <f>IF(P573="PT",M573,IF(P573="G",0,ERR))</f>
        <v>0</v>
      </c>
      <c r="S573" s="126" t="s">
        <v>509</v>
      </c>
      <c r="T573" s="7">
        <f>IF(S573="G",N573,IF(S573="PT",0,ERR))</f>
        <v>0</v>
      </c>
      <c r="U573" s="7">
        <f>IF(S573="PT",N573,IF(S573="G",0,ERR))</f>
        <v>0</v>
      </c>
      <c r="V573" s="124"/>
      <c r="W573" s="7">
        <f>HLOOKUP($W$9,'ROR-Model'!$Q$10:$U$1273,Y573)</f>
        <v>0</v>
      </c>
      <c r="X573" s="139"/>
      <c r="Y573" s="3">
        <f t="shared" si="33"/>
        <v>564</v>
      </c>
      <c r="AA573" s="7">
        <v>0</v>
      </c>
      <c r="AC573" s="7" t="str">
        <f t="shared" si="34"/>
        <v/>
      </c>
      <c r="AE573" s="42" t="str">
        <f t="shared" si="35"/>
        <v/>
      </c>
      <c r="AG573" s="162"/>
      <c r="AH573" s="10"/>
      <c r="AI573" s="10" t="s">
        <v>23</v>
      </c>
      <c r="AJ573" s="10"/>
    </row>
    <row r="574" spans="1:36">
      <c r="A574" s="137"/>
      <c r="B574" s="47"/>
      <c r="C574" s="47" t="s">
        <v>145</v>
      </c>
      <c r="D574" s="47"/>
      <c r="E574" s="140"/>
      <c r="F574" s="140">
        <f>SUM(F572:F573)</f>
        <v>0</v>
      </c>
      <c r="G574" s="140">
        <f>SUM(G572:G573)</f>
        <v>0</v>
      </c>
      <c r="H574" s="140">
        <f>SUM(H572:H573)</f>
        <v>0</v>
      </c>
      <c r="I574" s="140">
        <f>SUM(I572:I573)</f>
        <v>0</v>
      </c>
      <c r="J574" s="7">
        <f>+I574-'ROR-Model'!I574</f>
        <v>0</v>
      </c>
      <c r="K574" s="7"/>
      <c r="L574" s="140"/>
      <c r="M574" s="140">
        <f>SUM(M572:M573)</f>
        <v>0</v>
      </c>
      <c r="N574" s="140">
        <f>SUM(N572:N573)</f>
        <v>0</v>
      </c>
      <c r="O574" s="120"/>
      <c r="P574" s="192"/>
      <c r="Q574" s="140">
        <f>SUM(Q572:Q573)</f>
        <v>0</v>
      </c>
      <c r="R574" s="140">
        <f>SUM(R572:R573)</f>
        <v>0</v>
      </c>
      <c r="S574" s="201"/>
      <c r="T574" s="140">
        <f>SUM(T572:T573)</f>
        <v>0</v>
      </c>
      <c r="U574" s="140">
        <f>SUM(U572:U573)</f>
        <v>0</v>
      </c>
      <c r="V574" s="124"/>
      <c r="W574" s="140">
        <f>HLOOKUP($W$9,'ROR-Model'!$Q$10:$U$1273,Y574)</f>
        <v>0</v>
      </c>
      <c r="X574" s="139"/>
      <c r="Y574" s="3">
        <f t="shared" si="33"/>
        <v>565</v>
      </c>
      <c r="AA574" s="140">
        <v>0</v>
      </c>
      <c r="AC574" s="140" t="str">
        <f t="shared" si="34"/>
        <v/>
      </c>
      <c r="AE574" s="42" t="str">
        <f t="shared" si="35"/>
        <v/>
      </c>
      <c r="AG574" s="162"/>
      <c r="AH574" s="10"/>
      <c r="AI574" s="10" t="s">
        <v>145</v>
      </c>
      <c r="AJ574" s="10"/>
    </row>
    <row r="575" spans="1:36">
      <c r="A575" s="137"/>
      <c r="B575" s="47"/>
      <c r="C575" s="47"/>
      <c r="D575" s="47"/>
      <c r="E575" s="7"/>
      <c r="F575" s="7"/>
      <c r="G575" s="7"/>
      <c r="H575" s="7"/>
      <c r="I575" s="7"/>
      <c r="J575" s="7">
        <f>+I575-'ROR-Model'!I575</f>
        <v>0</v>
      </c>
      <c r="K575" s="7"/>
      <c r="L575" s="7"/>
      <c r="M575" s="7"/>
      <c r="N575" s="7"/>
      <c r="O575" s="120"/>
      <c r="P575" s="192"/>
      <c r="Q575" s="7"/>
      <c r="R575" s="7"/>
      <c r="S575" s="126"/>
      <c r="T575" s="7"/>
      <c r="U575" s="7"/>
      <c r="V575" s="124"/>
      <c r="W575" s="7"/>
      <c r="X575" s="139"/>
      <c r="Y575" s="3">
        <f t="shared" si="33"/>
        <v>566</v>
      </c>
      <c r="AA575" s="7"/>
      <c r="AC575" s="7" t="str">
        <f t="shared" si="34"/>
        <v/>
      </c>
      <c r="AE575" s="42" t="str">
        <f t="shared" si="35"/>
        <v/>
      </c>
      <c r="AG575" s="162"/>
      <c r="AH575" s="10"/>
      <c r="AI575" s="10"/>
      <c r="AJ575" s="10"/>
    </row>
    <row r="576" spans="1:36">
      <c r="A576" s="137" t="s">
        <v>648</v>
      </c>
      <c r="B576" s="47" t="s">
        <v>666</v>
      </c>
      <c r="C576" s="47"/>
      <c r="D576" s="47"/>
      <c r="E576" s="7"/>
      <c r="F576" s="7"/>
      <c r="G576" s="7"/>
      <c r="H576" s="7"/>
      <c r="I576" s="7"/>
      <c r="J576" s="7">
        <f>+I576-'ROR-Model'!I576</f>
        <v>0</v>
      </c>
      <c r="K576" s="7"/>
      <c r="L576" s="7"/>
      <c r="M576" s="7"/>
      <c r="N576" s="7"/>
      <c r="O576" s="120"/>
      <c r="P576" s="192"/>
      <c r="Q576" s="7"/>
      <c r="R576" s="7"/>
      <c r="S576" s="126"/>
      <c r="T576" s="7"/>
      <c r="U576" s="7"/>
      <c r="V576" s="124"/>
      <c r="W576" s="7"/>
      <c r="X576" s="139"/>
      <c r="Y576" s="3">
        <f t="shared" si="33"/>
        <v>567</v>
      </c>
      <c r="AA576" s="7"/>
      <c r="AC576" s="7" t="str">
        <f t="shared" si="34"/>
        <v/>
      </c>
      <c r="AE576" s="42" t="str">
        <f t="shared" si="35"/>
        <v/>
      </c>
      <c r="AG576" s="162" t="s">
        <v>648</v>
      </c>
      <c r="AH576" s="10" t="s">
        <v>666</v>
      </c>
      <c r="AI576" s="10"/>
      <c r="AJ576" s="10"/>
    </row>
    <row r="577" spans="1:36">
      <c r="A577" s="137"/>
      <c r="B577" s="47"/>
      <c r="C577" s="47" t="s">
        <v>12</v>
      </c>
      <c r="D577" s="47"/>
      <c r="E577" s="7" t="s">
        <v>509</v>
      </c>
      <c r="F577" s="7">
        <f>EXPENSES!F73</f>
        <v>-347806111.51721603</v>
      </c>
      <c r="G577" s="7">
        <f>+Adjustments!V576</f>
        <v>0</v>
      </c>
      <c r="H577" s="7"/>
      <c r="I577" s="7">
        <f>SUM($F$577:$H$577)</f>
        <v>-347806111.51721603</v>
      </c>
      <c r="J577" s="7">
        <f>+I577-'ROR-Model'!I577</f>
        <v>0</v>
      </c>
      <c r="K577" s="7"/>
      <c r="L577" s="7" t="s">
        <v>12</v>
      </c>
      <c r="M577" s="7">
        <f>VLOOKUP($L577,$L$2:$N$7,2,FALSE)*I577</f>
        <v>-347806111.51721603</v>
      </c>
      <c r="N577" s="7">
        <f>VLOOKUP($L577,$L$2:$N$7,3,FALSE)*I577</f>
        <v>0</v>
      </c>
      <c r="O577" s="120"/>
      <c r="P577" s="192" t="s">
        <v>509</v>
      </c>
      <c r="Q577" s="7">
        <f>IF(P577="G",M577,IF(P577="PT",0,ERR))</f>
        <v>0</v>
      </c>
      <c r="R577" s="7">
        <f>IF(P577="PT",M577,IF(P577="G",0,ERR))</f>
        <v>-347806111.51721603</v>
      </c>
      <c r="S577" s="126" t="s">
        <v>509</v>
      </c>
      <c r="T577" s="7">
        <f>IF(S577="G",N577,IF(S577="PT",0,ERR))</f>
        <v>0</v>
      </c>
      <c r="U577" s="7">
        <f>IF(S577="PT",N577,IF(S577="G",0,ERR))</f>
        <v>0</v>
      </c>
      <c r="V577" s="124"/>
      <c r="W577" s="7">
        <f>HLOOKUP($W$9,'ROR-Model'!$Q$10:$U$1273,Y577)</f>
        <v>0</v>
      </c>
      <c r="X577" s="139"/>
      <c r="Y577" s="3">
        <f t="shared" si="33"/>
        <v>568</v>
      </c>
      <c r="AA577" s="7">
        <v>0</v>
      </c>
      <c r="AC577" s="7" t="str">
        <f t="shared" si="34"/>
        <v/>
      </c>
      <c r="AE577" s="42" t="str">
        <f t="shared" si="35"/>
        <v/>
      </c>
      <c r="AG577" s="162"/>
      <c r="AH577" s="10"/>
      <c r="AI577" s="10" t="s">
        <v>12</v>
      </c>
      <c r="AJ577" s="10"/>
    </row>
    <row r="578" spans="1:36">
      <c r="A578" s="137"/>
      <c r="B578" s="47"/>
      <c r="C578" s="47" t="s">
        <v>23</v>
      </c>
      <c r="D578" s="47"/>
      <c r="E578" s="7" t="s">
        <v>509</v>
      </c>
      <c r="F578" s="7">
        <f>EXPENSES!F74</f>
        <v>-10877949.372783961</v>
      </c>
      <c r="G578" s="7">
        <f>+Adjustments!V577</f>
        <v>0</v>
      </c>
      <c r="H578" s="7"/>
      <c r="I578" s="7">
        <f>SUM($F$578:$H$578)</f>
        <v>-10877949.372783961</v>
      </c>
      <c r="J578" s="7">
        <f>+I578-'ROR-Model'!I578</f>
        <v>0</v>
      </c>
      <c r="K578" s="7"/>
      <c r="L578" s="7" t="s">
        <v>23</v>
      </c>
      <c r="M578" s="7">
        <f>VLOOKUP($L578,$L$2:$N$7,2,FALSE)*I578</f>
        <v>0</v>
      </c>
      <c r="N578" s="7">
        <f>VLOOKUP($L578,$L$2:$N$7,3,FALSE)*I578</f>
        <v>-10877949.372783961</v>
      </c>
      <c r="O578" s="120"/>
      <c r="P578" s="192" t="s">
        <v>509</v>
      </c>
      <c r="Q578" s="7">
        <f>IF(P578="G",M578,IF(P578="PT",0,ERR))</f>
        <v>0</v>
      </c>
      <c r="R578" s="7">
        <f>IF(P578="PT",M578,IF(P578="G",0,ERR))</f>
        <v>0</v>
      </c>
      <c r="S578" s="126" t="s">
        <v>509</v>
      </c>
      <c r="T578" s="7">
        <f>IF(S578="G",N578,IF(S578="PT",0,ERR))</f>
        <v>0</v>
      </c>
      <c r="U578" s="7">
        <f>IF(S578="PT",N578,IF(S578="G",0,ERR))</f>
        <v>-10877949.372783961</v>
      </c>
      <c r="V578" s="124"/>
      <c r="W578" s="7">
        <f>HLOOKUP($W$9,'ROR-Model'!$Q$10:$U$1273,Y578)</f>
        <v>0</v>
      </c>
      <c r="X578" s="139"/>
      <c r="Y578" s="3">
        <f t="shared" si="33"/>
        <v>569</v>
      </c>
      <c r="AA578" s="7">
        <v>0</v>
      </c>
      <c r="AC578" s="7" t="str">
        <f t="shared" si="34"/>
        <v/>
      </c>
      <c r="AE578" s="42" t="str">
        <f t="shared" si="35"/>
        <v/>
      </c>
      <c r="AG578" s="162"/>
      <c r="AH578" s="10"/>
      <c r="AI578" s="10" t="s">
        <v>23</v>
      </c>
      <c r="AJ578" s="10"/>
    </row>
    <row r="579" spans="1:36">
      <c r="A579" s="137"/>
      <c r="B579" s="47"/>
      <c r="C579" s="47" t="s">
        <v>145</v>
      </c>
      <c r="D579" s="47"/>
      <c r="E579" s="140"/>
      <c r="F579" s="140">
        <f>SUM(F577:F578)</f>
        <v>-358684060.88999999</v>
      </c>
      <c r="G579" s="140">
        <f>SUM(G577:G578)</f>
        <v>0</v>
      </c>
      <c r="H579" s="140">
        <f>SUM(H577:H578)</f>
        <v>0</v>
      </c>
      <c r="I579" s="140">
        <f>SUM(I577:I578)</f>
        <v>-358684060.88999999</v>
      </c>
      <c r="J579" s="7">
        <f>+I579-'ROR-Model'!I579</f>
        <v>0</v>
      </c>
      <c r="K579" s="7"/>
      <c r="L579" s="140"/>
      <c r="M579" s="140">
        <f>SUM(M577:M578)</f>
        <v>-347806111.51721603</v>
      </c>
      <c r="N579" s="140">
        <f>SUM(N577:N578)</f>
        <v>-10877949.372783961</v>
      </c>
      <c r="O579" s="120"/>
      <c r="P579" s="192"/>
      <c r="Q579" s="140">
        <f>SUM(Q577:Q578)</f>
        <v>0</v>
      </c>
      <c r="R579" s="140">
        <f>SUM(R577:R578)</f>
        <v>-347806111.51721603</v>
      </c>
      <c r="S579" s="201"/>
      <c r="T579" s="140">
        <f>SUM(T577:T578)</f>
        <v>0</v>
      </c>
      <c r="U579" s="140">
        <f>SUM(U577:U578)</f>
        <v>-10877949.372783961</v>
      </c>
      <c r="V579" s="124"/>
      <c r="W579" s="140">
        <f>HLOOKUP($W$9,'ROR-Model'!$Q$10:$U$1273,Y579)</f>
        <v>0</v>
      </c>
      <c r="X579" s="139"/>
      <c r="Y579" s="3">
        <f t="shared" si="33"/>
        <v>570</v>
      </c>
      <c r="AA579" s="140">
        <v>0</v>
      </c>
      <c r="AC579" s="140" t="str">
        <f t="shared" si="34"/>
        <v/>
      </c>
      <c r="AE579" s="42" t="str">
        <f t="shared" si="35"/>
        <v/>
      </c>
      <c r="AG579" s="162"/>
      <c r="AH579" s="10"/>
      <c r="AI579" s="10" t="s">
        <v>145</v>
      </c>
      <c r="AJ579" s="10"/>
    </row>
    <row r="580" spans="1:36">
      <c r="A580" s="137"/>
      <c r="B580" s="47"/>
      <c r="C580" s="47"/>
      <c r="D580" s="47"/>
      <c r="E580" s="7"/>
      <c r="F580" s="7"/>
      <c r="G580" s="7"/>
      <c r="H580" s="7"/>
      <c r="I580" s="7"/>
      <c r="J580" s="7">
        <f>+I580-'ROR-Model'!I580</f>
        <v>0</v>
      </c>
      <c r="K580" s="7"/>
      <c r="L580" s="7"/>
      <c r="M580" s="7"/>
      <c r="N580" s="7"/>
      <c r="O580" s="120"/>
      <c r="P580" s="192"/>
      <c r="Q580" s="7"/>
      <c r="R580" s="7"/>
      <c r="S580" s="126"/>
      <c r="T580" s="7"/>
      <c r="U580" s="7"/>
      <c r="V580" s="124"/>
      <c r="W580" s="7"/>
      <c r="X580" s="139"/>
      <c r="Y580" s="3">
        <f t="shared" si="33"/>
        <v>571</v>
      </c>
      <c r="AA580" s="7"/>
      <c r="AC580" s="7" t="str">
        <f t="shared" si="34"/>
        <v/>
      </c>
      <c r="AE580" s="42" t="str">
        <f t="shared" si="35"/>
        <v/>
      </c>
      <c r="AG580" s="162"/>
      <c r="AH580" s="10"/>
      <c r="AI580" s="10"/>
      <c r="AJ580" s="10"/>
    </row>
    <row r="581" spans="1:36">
      <c r="A581" s="137">
        <v>806</v>
      </c>
      <c r="B581" s="47" t="s">
        <v>322</v>
      </c>
      <c r="C581" s="47"/>
      <c r="D581" s="47"/>
      <c r="E581" s="7"/>
      <c r="F581" s="7"/>
      <c r="G581" s="7"/>
      <c r="H581" s="7"/>
      <c r="I581" s="7"/>
      <c r="J581" s="7">
        <f>+I581-'ROR-Model'!I581</f>
        <v>0</v>
      </c>
      <c r="K581" s="7"/>
      <c r="L581" s="7"/>
      <c r="M581" s="7"/>
      <c r="N581" s="7"/>
      <c r="O581" s="120"/>
      <c r="P581" s="192"/>
      <c r="Q581" s="7"/>
      <c r="R581" s="7"/>
      <c r="S581" s="126"/>
      <c r="T581" s="7"/>
      <c r="U581" s="7"/>
      <c r="V581" s="124"/>
      <c r="W581" s="7"/>
      <c r="X581" s="139"/>
      <c r="Y581" s="3">
        <f t="shared" si="33"/>
        <v>572</v>
      </c>
      <c r="AA581" s="7"/>
      <c r="AC581" s="7" t="str">
        <f t="shared" si="34"/>
        <v/>
      </c>
      <c r="AE581" s="42" t="str">
        <f t="shared" si="35"/>
        <v/>
      </c>
      <c r="AG581" s="162">
        <v>806</v>
      </c>
      <c r="AH581" s="10" t="s">
        <v>322</v>
      </c>
      <c r="AI581" s="10"/>
      <c r="AJ581" s="10"/>
    </row>
    <row r="582" spans="1:36">
      <c r="A582" s="137"/>
      <c r="B582" s="47"/>
      <c r="C582" s="47" t="s">
        <v>12</v>
      </c>
      <c r="D582" s="47"/>
      <c r="E582" s="7" t="s">
        <v>509</v>
      </c>
      <c r="F582" s="7">
        <f>EXPENSES!F78</f>
        <v>1493809.1367120021</v>
      </c>
      <c r="G582" s="7">
        <f>+Adjustments!V581</f>
        <v>0</v>
      </c>
      <c r="H582" s="7"/>
      <c r="I582" s="7">
        <f>SUM($F$582:$H$582)</f>
        <v>1493809.1367120021</v>
      </c>
      <c r="J582" s="7">
        <f>+I582-'ROR-Model'!I582</f>
        <v>0</v>
      </c>
      <c r="K582" s="7"/>
      <c r="L582" s="7" t="s">
        <v>12</v>
      </c>
      <c r="M582" s="7">
        <f>VLOOKUP($L582,$L$2:$N$7,2,FALSE)*I582</f>
        <v>1493809.1367120021</v>
      </c>
      <c r="N582" s="7">
        <f>VLOOKUP($L582,$L$2:$N$7,3,FALSE)*I582</f>
        <v>0</v>
      </c>
      <c r="O582" s="120"/>
      <c r="P582" s="192" t="s">
        <v>509</v>
      </c>
      <c r="Q582" s="7">
        <f>IF(P582="G",M582,IF(P582="PT",0,ERR))</f>
        <v>0</v>
      </c>
      <c r="R582" s="7">
        <f>IF(P582="PT",M582,IF(P582="G",0,ERR))</f>
        <v>1493809.1367120021</v>
      </c>
      <c r="S582" s="126" t="s">
        <v>509</v>
      </c>
      <c r="T582" s="7">
        <f>IF(S582="G",N582,IF(S582="PT",0,ERR))</f>
        <v>0</v>
      </c>
      <c r="U582" s="7">
        <f>IF(S582="PT",N582,IF(S582="G",0,ERR))</f>
        <v>0</v>
      </c>
      <c r="V582" s="124"/>
      <c r="W582" s="7">
        <f>HLOOKUP($W$9,'ROR-Model'!$Q$10:$U$1273,Y582)</f>
        <v>0</v>
      </c>
      <c r="X582" s="139"/>
      <c r="Y582" s="3">
        <f t="shared" si="33"/>
        <v>573</v>
      </c>
      <c r="AA582" s="7">
        <v>0</v>
      </c>
      <c r="AC582" s="7" t="str">
        <f t="shared" si="34"/>
        <v/>
      </c>
      <c r="AE582" s="42" t="str">
        <f t="shared" si="35"/>
        <v/>
      </c>
      <c r="AG582" s="162"/>
      <c r="AH582" s="10"/>
      <c r="AI582" s="10" t="s">
        <v>12</v>
      </c>
      <c r="AJ582" s="10"/>
    </row>
    <row r="583" spans="1:36">
      <c r="A583" s="137"/>
      <c r="B583" s="47"/>
      <c r="C583" s="47" t="s">
        <v>23</v>
      </c>
      <c r="D583" s="47"/>
      <c r="E583" s="7" t="s">
        <v>509</v>
      </c>
      <c r="F583" s="7">
        <f>EXPENSES!F79</f>
        <v>8871.663287998992</v>
      </c>
      <c r="G583" s="7">
        <f>+Adjustments!V582</f>
        <v>0</v>
      </c>
      <c r="H583" s="7"/>
      <c r="I583" s="7">
        <f>SUM($F$583:$H$583)</f>
        <v>8871.663287998992</v>
      </c>
      <c r="J583" s="7">
        <f>+I583-'ROR-Model'!I583</f>
        <v>0</v>
      </c>
      <c r="K583" s="7"/>
      <c r="L583" s="7" t="s">
        <v>23</v>
      </c>
      <c r="M583" s="7">
        <f>VLOOKUP($L583,$L$2:$N$7,2,FALSE)*I583</f>
        <v>0</v>
      </c>
      <c r="N583" s="7">
        <f>VLOOKUP($L583,$L$2:$N$7,3,FALSE)*I583</f>
        <v>8871.663287998992</v>
      </c>
      <c r="O583" s="120"/>
      <c r="P583" s="192" t="s">
        <v>509</v>
      </c>
      <c r="Q583" s="7">
        <f>IF(P583="G",M583,IF(P583="PT",0,ERR))</f>
        <v>0</v>
      </c>
      <c r="R583" s="7">
        <f>IF(P583="PT",M583,IF(P583="G",0,ERR))</f>
        <v>0</v>
      </c>
      <c r="S583" s="126" t="s">
        <v>509</v>
      </c>
      <c r="T583" s="7">
        <f>IF(S583="G",N583,IF(S583="PT",0,ERR))</f>
        <v>0</v>
      </c>
      <c r="U583" s="7">
        <f>IF(S583="PT",N583,IF(S583="G",0,ERR))</f>
        <v>8871.663287998992</v>
      </c>
      <c r="V583" s="124"/>
      <c r="W583" s="7">
        <f>HLOOKUP($W$9,'ROR-Model'!$Q$10:$U$1273,Y583)</f>
        <v>0</v>
      </c>
      <c r="X583" s="139"/>
      <c r="Y583" s="3">
        <f t="shared" si="33"/>
        <v>574</v>
      </c>
      <c r="AA583" s="7">
        <v>0</v>
      </c>
      <c r="AC583" s="7" t="str">
        <f t="shared" si="34"/>
        <v/>
      </c>
      <c r="AE583" s="42" t="str">
        <f t="shared" si="35"/>
        <v/>
      </c>
      <c r="AG583" s="162"/>
      <c r="AH583" s="10"/>
      <c r="AI583" s="10" t="s">
        <v>23</v>
      </c>
      <c r="AJ583" s="10"/>
    </row>
    <row r="584" spans="1:36">
      <c r="A584" s="137"/>
      <c r="B584" s="47"/>
      <c r="C584" s="47" t="s">
        <v>145</v>
      </c>
      <c r="D584" s="47"/>
      <c r="E584" s="140"/>
      <c r="F584" s="140">
        <f>SUM(F582:F583)</f>
        <v>1502680.8000000012</v>
      </c>
      <c r="G584" s="140">
        <f>SUM(G582:G583)</f>
        <v>0</v>
      </c>
      <c r="H584" s="140">
        <f>SUM(H582:H583)</f>
        <v>0</v>
      </c>
      <c r="I584" s="140">
        <f>SUM(I582:I583)</f>
        <v>1502680.8000000012</v>
      </c>
      <c r="J584" s="7">
        <f>+I584-'ROR-Model'!I584</f>
        <v>0</v>
      </c>
      <c r="K584" s="7"/>
      <c r="L584" s="140"/>
      <c r="M584" s="140">
        <f>SUM(M582:M583)</f>
        <v>1493809.1367120021</v>
      </c>
      <c r="N584" s="140">
        <f>SUM(N582:N583)</f>
        <v>8871.663287998992</v>
      </c>
      <c r="O584" s="120"/>
      <c r="P584" s="192"/>
      <c r="Q584" s="140">
        <f>SUM(Q582:Q583)</f>
        <v>0</v>
      </c>
      <c r="R584" s="140">
        <f>SUM(R582:R583)</f>
        <v>1493809.1367120021</v>
      </c>
      <c r="S584" s="201"/>
      <c r="T584" s="140">
        <f>SUM(T582:T583)</f>
        <v>0</v>
      </c>
      <c r="U584" s="140">
        <f>SUM(U582:U583)</f>
        <v>8871.663287998992</v>
      </c>
      <c r="V584" s="124"/>
      <c r="W584" s="140">
        <f>HLOOKUP($W$9,'ROR-Model'!$Q$10:$U$1273,Y584)</f>
        <v>0</v>
      </c>
      <c r="X584" s="139"/>
      <c r="Y584" s="3">
        <f t="shared" si="33"/>
        <v>575</v>
      </c>
      <c r="AA584" s="140">
        <v>0</v>
      </c>
      <c r="AC584" s="140" t="str">
        <f t="shared" si="34"/>
        <v/>
      </c>
      <c r="AE584" s="42" t="str">
        <f t="shared" si="35"/>
        <v/>
      </c>
      <c r="AG584" s="162"/>
      <c r="AH584" s="10"/>
      <c r="AI584" s="10" t="s">
        <v>145</v>
      </c>
      <c r="AJ584" s="10"/>
    </row>
    <row r="585" spans="1:36">
      <c r="A585" s="137"/>
      <c r="B585" s="47"/>
      <c r="C585" s="47"/>
      <c r="D585" s="47"/>
      <c r="E585" s="7"/>
      <c r="F585" s="7"/>
      <c r="G585" s="7"/>
      <c r="H585" s="7"/>
      <c r="I585" s="7"/>
      <c r="J585" s="7">
        <f>+I585-'ROR-Model'!I585</f>
        <v>0</v>
      </c>
      <c r="K585" s="7"/>
      <c r="L585" s="7"/>
      <c r="M585" s="7"/>
      <c r="N585" s="7"/>
      <c r="O585" s="120"/>
      <c r="P585" s="192"/>
      <c r="Q585" s="7"/>
      <c r="R585" s="7"/>
      <c r="S585" s="126"/>
      <c r="T585" s="7"/>
      <c r="U585" s="7"/>
      <c r="V585" s="124"/>
      <c r="W585" s="7"/>
      <c r="X585" s="139"/>
      <c r="Y585" s="3">
        <f t="shared" si="33"/>
        <v>576</v>
      </c>
      <c r="AA585" s="7"/>
      <c r="AC585" s="7" t="str">
        <f t="shared" si="34"/>
        <v/>
      </c>
      <c r="AE585" s="42" t="str">
        <f t="shared" si="35"/>
        <v/>
      </c>
      <c r="AG585" s="162"/>
      <c r="AH585" s="10"/>
      <c r="AI585" s="10"/>
      <c r="AJ585" s="10"/>
    </row>
    <row r="586" spans="1:36">
      <c r="A586" s="137" t="s">
        <v>649</v>
      </c>
      <c r="B586" s="47" t="s">
        <v>667</v>
      </c>
      <c r="C586" s="47"/>
      <c r="D586" s="47"/>
      <c r="E586" s="7"/>
      <c r="F586" s="7"/>
      <c r="G586" s="7"/>
      <c r="H586" s="7"/>
      <c r="I586" s="7"/>
      <c r="J586" s="7">
        <f>+I586-'ROR-Model'!I586</f>
        <v>0</v>
      </c>
      <c r="K586" s="7"/>
      <c r="L586" s="7"/>
      <c r="M586" s="7"/>
      <c r="N586" s="7"/>
      <c r="O586" s="120"/>
      <c r="P586" s="192"/>
      <c r="Q586" s="7"/>
      <c r="R586" s="7"/>
      <c r="S586" s="126"/>
      <c r="T586" s="7"/>
      <c r="U586" s="7"/>
      <c r="V586" s="124"/>
      <c r="W586" s="7"/>
      <c r="X586" s="139"/>
      <c r="Y586" s="3">
        <f t="shared" si="33"/>
        <v>577</v>
      </c>
      <c r="AA586" s="7"/>
      <c r="AC586" s="7" t="str">
        <f t="shared" si="34"/>
        <v/>
      </c>
      <c r="AE586" s="42" t="str">
        <f t="shared" si="35"/>
        <v/>
      </c>
      <c r="AG586" s="162" t="s">
        <v>649</v>
      </c>
      <c r="AH586" s="10" t="s">
        <v>667</v>
      </c>
      <c r="AI586" s="10"/>
      <c r="AJ586" s="10"/>
    </row>
    <row r="587" spans="1:36">
      <c r="A587" s="137"/>
      <c r="B587" s="47"/>
      <c r="C587" s="47" t="s">
        <v>12</v>
      </c>
      <c r="D587" s="47"/>
      <c r="E587" s="7" t="s">
        <v>509</v>
      </c>
      <c r="F587" s="7">
        <f>EXPENSES!F83</f>
        <v>82048414.268302992</v>
      </c>
      <c r="G587" s="7">
        <f>+Adjustments!V586</f>
        <v>0</v>
      </c>
      <c r="H587" s="7"/>
      <c r="I587" s="7">
        <f>SUM($F$587:$H$587)</f>
        <v>82048414.268302992</v>
      </c>
      <c r="J587" s="7">
        <f>+I587-'ROR-Model'!I587</f>
        <v>0</v>
      </c>
      <c r="K587" s="7"/>
      <c r="L587" s="7" t="s">
        <v>12</v>
      </c>
      <c r="M587" s="7">
        <f>VLOOKUP($L587,$L$2:$N$7,2,FALSE)*I587</f>
        <v>82048414.268302992</v>
      </c>
      <c r="N587" s="7">
        <f>VLOOKUP($L587,$L$2:$N$7,3,FALSE)*I587</f>
        <v>0</v>
      </c>
      <c r="O587" s="120"/>
      <c r="P587" s="192" t="s">
        <v>509</v>
      </c>
      <c r="Q587" s="7">
        <f>IF(P587="G",M587,IF(P587="PT",0,ERR))</f>
        <v>0</v>
      </c>
      <c r="R587" s="7">
        <f>IF(P587="PT",M587,IF(P587="G",0,ERR))</f>
        <v>82048414.268302992</v>
      </c>
      <c r="S587" s="126" t="s">
        <v>509</v>
      </c>
      <c r="T587" s="7">
        <f>IF(S587="G",N587,IF(S587="PT",0,ERR))</f>
        <v>0</v>
      </c>
      <c r="U587" s="7">
        <f>IF(S587="PT",N587,IF(S587="G",0,ERR))</f>
        <v>0</v>
      </c>
      <c r="V587" s="124"/>
      <c r="W587" s="7">
        <f>HLOOKUP($W$9,'ROR-Model'!$Q$10:$U$1273,Y587)</f>
        <v>0</v>
      </c>
      <c r="X587" s="139"/>
      <c r="Y587" s="3">
        <f t="shared" si="33"/>
        <v>578</v>
      </c>
      <c r="AA587" s="7">
        <v>0</v>
      </c>
      <c r="AC587" s="7" t="str">
        <f t="shared" si="34"/>
        <v/>
      </c>
      <c r="AE587" s="42" t="str">
        <f t="shared" si="35"/>
        <v/>
      </c>
      <c r="AG587" s="162"/>
      <c r="AH587" s="10"/>
      <c r="AI587" s="10" t="s">
        <v>12</v>
      </c>
      <c r="AJ587" s="10"/>
    </row>
    <row r="588" spans="1:36">
      <c r="A588" s="137"/>
      <c r="B588" s="47"/>
      <c r="C588" s="47" t="s">
        <v>23</v>
      </c>
      <c r="D588" s="47"/>
      <c r="E588" s="7" t="s">
        <v>509</v>
      </c>
      <c r="F588" s="7">
        <f>EXPENSES!F84</f>
        <v>2749344.6916970019</v>
      </c>
      <c r="G588" s="7">
        <f>+Adjustments!V587</f>
        <v>0</v>
      </c>
      <c r="H588" s="7"/>
      <c r="I588" s="7">
        <f>SUM($F$588:$H$588)</f>
        <v>2749344.6916970019</v>
      </c>
      <c r="J588" s="7">
        <f>+I588-'ROR-Model'!I588</f>
        <v>0</v>
      </c>
      <c r="K588" s="7"/>
      <c r="L588" s="7" t="s">
        <v>23</v>
      </c>
      <c r="M588" s="7">
        <f>VLOOKUP($L588,$L$2:$N$7,2,FALSE)*I588</f>
        <v>0</v>
      </c>
      <c r="N588" s="7">
        <f>VLOOKUP($L588,$L$2:$N$7,3,FALSE)*I588</f>
        <v>2749344.6916970019</v>
      </c>
      <c r="O588" s="120"/>
      <c r="P588" s="192" t="s">
        <v>509</v>
      </c>
      <c r="Q588" s="7">
        <f>IF(P588="G",M588,IF(P588="PT",0,ERR))</f>
        <v>0</v>
      </c>
      <c r="R588" s="7">
        <f>IF(P588="PT",M588,IF(P588="G",0,ERR))</f>
        <v>0</v>
      </c>
      <c r="S588" s="126" t="s">
        <v>509</v>
      </c>
      <c r="T588" s="7">
        <f>IF(S588="G",N588,IF(S588="PT",0,ERR))</f>
        <v>0</v>
      </c>
      <c r="U588" s="7">
        <f>IF(S588="PT",N588,IF(S588="G",0,ERR))</f>
        <v>2749344.6916970019</v>
      </c>
      <c r="V588" s="124"/>
      <c r="W588" s="7">
        <f>HLOOKUP($W$9,'ROR-Model'!$Q$10:$U$1273,Y588)</f>
        <v>0</v>
      </c>
      <c r="X588" s="139"/>
      <c r="Y588" s="3">
        <f t="shared" si="33"/>
        <v>579</v>
      </c>
      <c r="AA588" s="7">
        <v>0</v>
      </c>
      <c r="AC588" s="7" t="str">
        <f t="shared" si="34"/>
        <v/>
      </c>
      <c r="AE588" s="42" t="str">
        <f t="shared" si="35"/>
        <v/>
      </c>
      <c r="AG588" s="162"/>
      <c r="AH588" s="10"/>
      <c r="AI588" s="10" t="s">
        <v>23</v>
      </c>
      <c r="AJ588" s="10"/>
    </row>
    <row r="589" spans="1:36">
      <c r="A589" s="137"/>
      <c r="B589" s="47"/>
      <c r="C589" s="47" t="s">
        <v>145</v>
      </c>
      <c r="D589" s="47"/>
      <c r="E589" s="140"/>
      <c r="F589" s="140">
        <f>SUM(F587:F588)</f>
        <v>84797758.959999993</v>
      </c>
      <c r="G589" s="140">
        <f>SUM(G587:G588)</f>
        <v>0</v>
      </c>
      <c r="H589" s="140">
        <f>SUM(H587:H588)</f>
        <v>0</v>
      </c>
      <c r="I589" s="140">
        <f>SUM(I587:I588)</f>
        <v>84797758.959999993</v>
      </c>
      <c r="J589" s="7">
        <f>+I589-'ROR-Model'!I589</f>
        <v>0</v>
      </c>
      <c r="K589" s="7"/>
      <c r="L589" s="140"/>
      <c r="M589" s="140">
        <f>SUM(M587:M588)</f>
        <v>82048414.268302992</v>
      </c>
      <c r="N589" s="140">
        <f>SUM(N587:N588)</f>
        <v>2749344.6916970019</v>
      </c>
      <c r="O589" s="120"/>
      <c r="P589" s="192"/>
      <c r="Q589" s="140">
        <f>SUM(Q587:Q588)</f>
        <v>0</v>
      </c>
      <c r="R589" s="140">
        <f>SUM(R587:R588)</f>
        <v>82048414.268302992</v>
      </c>
      <c r="S589" s="201"/>
      <c r="T589" s="140">
        <f>SUM(T587:T588)</f>
        <v>0</v>
      </c>
      <c r="U589" s="140">
        <f>SUM(U587:U588)</f>
        <v>2749344.6916970019</v>
      </c>
      <c r="V589" s="124"/>
      <c r="W589" s="140">
        <f>HLOOKUP($W$9,'ROR-Model'!$Q$10:$U$1273,Y589)</f>
        <v>0</v>
      </c>
      <c r="X589" s="139"/>
      <c r="Y589" s="3">
        <f t="shared" si="33"/>
        <v>580</v>
      </c>
      <c r="AA589" s="140">
        <v>0</v>
      </c>
      <c r="AC589" s="140" t="str">
        <f t="shared" si="34"/>
        <v/>
      </c>
      <c r="AE589" s="42" t="str">
        <f t="shared" si="35"/>
        <v/>
      </c>
      <c r="AG589" s="162"/>
      <c r="AH589" s="10"/>
      <c r="AI589" s="10" t="s">
        <v>145</v>
      </c>
      <c r="AJ589" s="10"/>
    </row>
    <row r="590" spans="1:36">
      <c r="A590" s="137"/>
      <c r="B590" s="47"/>
      <c r="C590" s="47"/>
      <c r="D590" s="47"/>
      <c r="E590" s="7"/>
      <c r="F590" s="7"/>
      <c r="G590" s="7"/>
      <c r="H590" s="7"/>
      <c r="I590" s="7"/>
      <c r="J590" s="7">
        <f>+I590-'ROR-Model'!I590</f>
        <v>0</v>
      </c>
      <c r="K590" s="7"/>
      <c r="L590" s="7"/>
      <c r="M590" s="7"/>
      <c r="N590" s="7"/>
      <c r="O590" s="120"/>
      <c r="P590" s="192"/>
      <c r="Q590" s="7"/>
      <c r="R590" s="7"/>
      <c r="S590" s="126"/>
      <c r="T590" s="7"/>
      <c r="U590" s="7"/>
      <c r="V590" s="124"/>
      <c r="W590" s="7"/>
      <c r="X590" s="139"/>
      <c r="Y590" s="3">
        <f t="shared" ref="Y590:Y653" si="36">Y589+1</f>
        <v>581</v>
      </c>
      <c r="AA590" s="7"/>
      <c r="AC590" s="7" t="str">
        <f t="shared" si="34"/>
        <v/>
      </c>
      <c r="AE590" s="42" t="str">
        <f t="shared" si="35"/>
        <v/>
      </c>
      <c r="AG590" s="162"/>
      <c r="AH590" s="10"/>
      <c r="AI590" s="10"/>
      <c r="AJ590" s="10"/>
    </row>
    <row r="591" spans="1:36">
      <c r="A591" s="137" t="s">
        <v>650</v>
      </c>
      <c r="B591" s="47" t="s">
        <v>324</v>
      </c>
      <c r="C591" s="47"/>
      <c r="D591" s="47"/>
      <c r="E591" s="7"/>
      <c r="F591" s="7"/>
      <c r="G591" s="7"/>
      <c r="H591" s="7"/>
      <c r="I591" s="7"/>
      <c r="J591" s="7">
        <f>+I591-'ROR-Model'!I591</f>
        <v>0</v>
      </c>
      <c r="K591" s="7"/>
      <c r="L591" s="7"/>
      <c r="M591" s="7"/>
      <c r="N591" s="7"/>
      <c r="O591" s="120"/>
      <c r="P591" s="192"/>
      <c r="Q591" s="7"/>
      <c r="R591" s="7"/>
      <c r="S591" s="126"/>
      <c r="T591" s="7"/>
      <c r="U591" s="7"/>
      <c r="V591" s="124"/>
      <c r="W591" s="7"/>
      <c r="X591" s="139"/>
      <c r="Y591" s="3">
        <f t="shared" si="36"/>
        <v>582</v>
      </c>
      <c r="AA591" s="7"/>
      <c r="AC591" s="7" t="str">
        <f t="shared" si="34"/>
        <v/>
      </c>
      <c r="AE591" s="42" t="str">
        <f t="shared" si="35"/>
        <v/>
      </c>
      <c r="AG591" s="162" t="s">
        <v>650</v>
      </c>
      <c r="AH591" s="10" t="s">
        <v>324</v>
      </c>
      <c r="AI591" s="10"/>
      <c r="AJ591" s="10"/>
    </row>
    <row r="592" spans="1:36">
      <c r="A592" s="137"/>
      <c r="B592" s="47"/>
      <c r="C592" s="47" t="s">
        <v>12</v>
      </c>
      <c r="D592" s="47"/>
      <c r="E592" s="7" t="s">
        <v>509</v>
      </c>
      <c r="F592" s="7">
        <f>EXPENSES!F88</f>
        <v>-92716351.565326005</v>
      </c>
      <c r="G592" s="7">
        <f>+Adjustments!V591</f>
        <v>0</v>
      </c>
      <c r="H592" s="7"/>
      <c r="I592" s="7">
        <f>SUM($F$592:$H$592)</f>
        <v>-92716351.565326005</v>
      </c>
      <c r="J592" s="7">
        <f>+I592-'ROR-Model'!I592</f>
        <v>0</v>
      </c>
      <c r="K592" s="7"/>
      <c r="L592" s="7" t="s">
        <v>12</v>
      </c>
      <c r="M592" s="7">
        <f>VLOOKUP($L592,$L$2:$N$7,2,FALSE)*I592</f>
        <v>-92716351.565326005</v>
      </c>
      <c r="N592" s="7">
        <f>VLOOKUP($L592,$L$2:$N$7,3,FALSE)*I592</f>
        <v>0</v>
      </c>
      <c r="O592" s="120"/>
      <c r="P592" s="192" t="s">
        <v>509</v>
      </c>
      <c r="Q592" s="7">
        <f>IF(P592="G",M592,IF(P592="PT",0,ERR))</f>
        <v>0</v>
      </c>
      <c r="R592" s="7">
        <f>IF(P592="PT",M592,IF(P592="G",0,ERR))</f>
        <v>-92716351.565326005</v>
      </c>
      <c r="S592" s="126" t="s">
        <v>509</v>
      </c>
      <c r="T592" s="7">
        <f>IF(S592="G",N592,IF(S592="PT",0,ERR))</f>
        <v>0</v>
      </c>
      <c r="U592" s="7">
        <f>IF(S592="PT",N592,IF(S592="G",0,ERR))</f>
        <v>0</v>
      </c>
      <c r="V592" s="124"/>
      <c r="W592" s="7">
        <f>HLOOKUP($W$9,'ROR-Model'!$Q$10:$U$1273,Y592)</f>
        <v>0</v>
      </c>
      <c r="X592" s="139"/>
      <c r="Y592" s="3">
        <f t="shared" si="36"/>
        <v>583</v>
      </c>
      <c r="AA592" s="7">
        <v>0</v>
      </c>
      <c r="AC592" s="7" t="str">
        <f t="shared" si="34"/>
        <v/>
      </c>
      <c r="AE592" s="42" t="str">
        <f t="shared" si="35"/>
        <v/>
      </c>
      <c r="AG592" s="162"/>
      <c r="AH592" s="10"/>
      <c r="AI592" s="10" t="s">
        <v>12</v>
      </c>
      <c r="AJ592" s="10"/>
    </row>
    <row r="593" spans="1:36">
      <c r="A593" s="137"/>
      <c r="B593" s="47"/>
      <c r="C593" s="47" t="s">
        <v>23</v>
      </c>
      <c r="D593" s="47"/>
      <c r="E593" s="7" t="s">
        <v>509</v>
      </c>
      <c r="F593" s="7">
        <f>EXPENSES!F89</f>
        <v>-2997636.4746739985</v>
      </c>
      <c r="G593" s="7">
        <f>+Adjustments!V592</f>
        <v>0</v>
      </c>
      <c r="H593" s="7"/>
      <c r="I593" s="7">
        <f>SUM($F$593:$H$593)</f>
        <v>-2997636.4746739985</v>
      </c>
      <c r="J593" s="7">
        <f>+I593-'ROR-Model'!I593</f>
        <v>0</v>
      </c>
      <c r="K593" s="7"/>
      <c r="L593" s="7" t="s">
        <v>23</v>
      </c>
      <c r="M593" s="7">
        <f>VLOOKUP($L593,$L$2:$N$7,2,FALSE)*I593</f>
        <v>0</v>
      </c>
      <c r="N593" s="7">
        <f>VLOOKUP($L593,$L$2:$N$7,3,FALSE)*I593</f>
        <v>-2997636.4746739985</v>
      </c>
      <c r="O593" s="120"/>
      <c r="P593" s="192" t="s">
        <v>509</v>
      </c>
      <c r="Q593" s="7">
        <f>IF(P593="G",M593,IF(P593="PT",0,ERR))</f>
        <v>0</v>
      </c>
      <c r="R593" s="7">
        <f>IF(P593="PT",M593,IF(P593="G",0,ERR))</f>
        <v>0</v>
      </c>
      <c r="S593" s="126" t="s">
        <v>509</v>
      </c>
      <c r="T593" s="7">
        <f>IF(S593="G",N593,IF(S593="PT",0,ERR))</f>
        <v>0</v>
      </c>
      <c r="U593" s="7">
        <f>IF(S593="PT",N593,IF(S593="G",0,ERR))</f>
        <v>-2997636.4746739985</v>
      </c>
      <c r="V593" s="124"/>
      <c r="W593" s="7">
        <f>HLOOKUP($W$9,'ROR-Model'!$Q$10:$U$1273,Y593)</f>
        <v>0</v>
      </c>
      <c r="X593" s="139"/>
      <c r="Y593" s="3">
        <f t="shared" si="36"/>
        <v>584</v>
      </c>
      <c r="AA593" s="7">
        <v>0</v>
      </c>
      <c r="AC593" s="7" t="str">
        <f t="shared" ref="AC593:AC656" si="37">IF(ABS(AA593)&gt;0,W593-AA593,"")</f>
        <v/>
      </c>
      <c r="AE593" s="42" t="str">
        <f t="shared" si="35"/>
        <v/>
      </c>
      <c r="AG593" s="162"/>
      <c r="AH593" s="10"/>
      <c r="AI593" s="10" t="s">
        <v>23</v>
      </c>
      <c r="AJ593" s="10"/>
    </row>
    <row r="594" spans="1:36">
      <c r="A594" s="137"/>
      <c r="B594" s="47"/>
      <c r="C594" s="47" t="s">
        <v>145</v>
      </c>
      <c r="D594" s="47"/>
      <c r="E594" s="140"/>
      <c r="F594" s="140">
        <f>SUM(F592:F593)</f>
        <v>-95713988.040000007</v>
      </c>
      <c r="G594" s="140">
        <f>SUM(G592:G593)</f>
        <v>0</v>
      </c>
      <c r="H594" s="140">
        <f>SUM(H592:H593)</f>
        <v>0</v>
      </c>
      <c r="I594" s="140">
        <f>SUM(I592:I593)</f>
        <v>-95713988.040000007</v>
      </c>
      <c r="J594" s="7">
        <f>+I594-'ROR-Model'!I594</f>
        <v>0</v>
      </c>
      <c r="K594" s="7"/>
      <c r="L594" s="140"/>
      <c r="M594" s="140">
        <f>SUM(M592:M593)</f>
        <v>-92716351.565326005</v>
      </c>
      <c r="N594" s="140">
        <f>SUM(N592:N593)</f>
        <v>-2997636.4746739985</v>
      </c>
      <c r="O594" s="120"/>
      <c r="P594" s="192"/>
      <c r="Q594" s="140">
        <f>SUM(Q592:Q593)</f>
        <v>0</v>
      </c>
      <c r="R594" s="140">
        <f>SUM(R592:R593)</f>
        <v>-92716351.565326005</v>
      </c>
      <c r="S594" s="201"/>
      <c r="T594" s="140">
        <f>SUM(T592:T593)</f>
        <v>0</v>
      </c>
      <c r="U594" s="140">
        <f>SUM(U592:U593)</f>
        <v>-2997636.4746739985</v>
      </c>
      <c r="V594" s="124"/>
      <c r="W594" s="140">
        <f>HLOOKUP($W$9,'ROR-Model'!$Q$10:$U$1273,Y594)</f>
        <v>0</v>
      </c>
      <c r="X594" s="139"/>
      <c r="Y594" s="3">
        <f t="shared" si="36"/>
        <v>585</v>
      </c>
      <c r="AA594" s="140">
        <v>0</v>
      </c>
      <c r="AC594" s="140" t="str">
        <f t="shared" si="37"/>
        <v/>
      </c>
      <c r="AE594" s="42" t="str">
        <f t="shared" ref="AE594:AE657" si="38">IF(ABS(AA594)&gt;0,AC594/AA594,"")</f>
        <v/>
      </c>
      <c r="AG594" s="162"/>
      <c r="AH594" s="10"/>
      <c r="AI594" s="10" t="s">
        <v>145</v>
      </c>
      <c r="AJ594" s="10"/>
    </row>
    <row r="595" spans="1:36">
      <c r="A595" s="137"/>
      <c r="B595" s="47"/>
      <c r="C595" s="47"/>
      <c r="D595" s="47"/>
      <c r="E595" s="7"/>
      <c r="F595" s="7"/>
      <c r="G595" s="7"/>
      <c r="H595" s="7"/>
      <c r="I595" s="7"/>
      <c r="J595" s="7">
        <f>+I595-'ROR-Model'!I595</f>
        <v>0</v>
      </c>
      <c r="K595" s="7"/>
      <c r="L595" s="7"/>
      <c r="M595" s="7"/>
      <c r="N595" s="7"/>
      <c r="O595" s="120"/>
      <c r="P595" s="192"/>
      <c r="Q595" s="7"/>
      <c r="R595" s="7"/>
      <c r="S595" s="126"/>
      <c r="T595" s="7"/>
      <c r="U595" s="7"/>
      <c r="V595" s="124"/>
      <c r="W595" s="7"/>
      <c r="X595" s="139"/>
      <c r="Y595" s="3">
        <f t="shared" si="36"/>
        <v>586</v>
      </c>
      <c r="AA595" s="7"/>
      <c r="AC595" s="7" t="str">
        <f t="shared" si="37"/>
        <v/>
      </c>
      <c r="AE595" s="42" t="str">
        <f t="shared" si="38"/>
        <v/>
      </c>
      <c r="AG595" s="162"/>
      <c r="AH595" s="10"/>
      <c r="AI595" s="10"/>
      <c r="AJ595" s="10"/>
    </row>
    <row r="596" spans="1:36">
      <c r="A596" s="137" t="s">
        <v>651</v>
      </c>
      <c r="B596" s="47" t="s">
        <v>322</v>
      </c>
      <c r="C596" s="47"/>
      <c r="D596" s="47"/>
      <c r="E596" s="7"/>
      <c r="F596" s="7"/>
      <c r="G596" s="7"/>
      <c r="H596" s="7"/>
      <c r="I596" s="7"/>
      <c r="J596" s="7">
        <f>+I596-'ROR-Model'!I596</f>
        <v>0</v>
      </c>
      <c r="K596" s="7"/>
      <c r="L596" s="7"/>
      <c r="M596" s="7"/>
      <c r="N596" s="7"/>
      <c r="O596" s="120"/>
      <c r="P596" s="192"/>
      <c r="Q596" s="7"/>
      <c r="R596" s="7"/>
      <c r="S596" s="126"/>
      <c r="T596" s="7"/>
      <c r="U596" s="7"/>
      <c r="V596" s="124"/>
      <c r="W596" s="7"/>
      <c r="X596" s="139"/>
      <c r="Y596" s="3">
        <f t="shared" si="36"/>
        <v>587</v>
      </c>
      <c r="AA596" s="7"/>
      <c r="AC596" s="7" t="str">
        <f t="shared" si="37"/>
        <v/>
      </c>
      <c r="AE596" s="42" t="str">
        <f t="shared" si="38"/>
        <v/>
      </c>
      <c r="AG596" s="162" t="s">
        <v>651</v>
      </c>
      <c r="AH596" s="10" t="s">
        <v>322</v>
      </c>
      <c r="AI596" s="10"/>
      <c r="AJ596" s="10"/>
    </row>
    <row r="597" spans="1:36">
      <c r="A597" s="137"/>
      <c r="B597" s="47"/>
      <c r="C597" s="47" t="s">
        <v>12</v>
      </c>
      <c r="D597" s="47"/>
      <c r="E597" s="7" t="s">
        <v>509</v>
      </c>
      <c r="F597" s="7">
        <f>EXPENSES!F93</f>
        <v>2345106.1950559998</v>
      </c>
      <c r="G597" s="7">
        <f>+Adjustments!V596</f>
        <v>0</v>
      </c>
      <c r="H597" s="7"/>
      <c r="I597" s="7">
        <f>SUM($F$597:$H$597)</f>
        <v>2345106.1950559998</v>
      </c>
      <c r="J597" s="7">
        <f>+I597-'ROR-Model'!I597</f>
        <v>0</v>
      </c>
      <c r="K597" s="7"/>
      <c r="L597" s="7" t="s">
        <v>12</v>
      </c>
      <c r="M597" s="7">
        <f>VLOOKUP($L597,$L$2:$N$7,2,FALSE)*I597</f>
        <v>2345106.1950559998</v>
      </c>
      <c r="N597" s="7">
        <f>VLOOKUP($L597,$L$2:$N$7,3,FALSE)*I597</f>
        <v>0</v>
      </c>
      <c r="O597" s="120"/>
      <c r="P597" s="192" t="s">
        <v>509</v>
      </c>
      <c r="Q597" s="7">
        <f>IF(P597="G",M597,IF(P597="PT",0,ERR))</f>
        <v>0</v>
      </c>
      <c r="R597" s="7">
        <f>IF(P597="PT",M597,IF(P597="G",0,ERR))</f>
        <v>2345106.1950559998</v>
      </c>
      <c r="S597" s="126" t="s">
        <v>509</v>
      </c>
      <c r="T597" s="7">
        <f>IF(S597="G",N597,IF(S597="PT",0,ERR))</f>
        <v>0</v>
      </c>
      <c r="U597" s="7">
        <f>IF(S597="PT",N597,IF(S597="G",0,ERR))</f>
        <v>0</v>
      </c>
      <c r="V597" s="124"/>
      <c r="W597" s="7">
        <f>HLOOKUP($W$9,'ROR-Model'!$Q$10:$U$1273,Y597)</f>
        <v>0</v>
      </c>
      <c r="X597" s="139"/>
      <c r="Y597" s="3">
        <f t="shared" si="36"/>
        <v>588</v>
      </c>
      <c r="AA597" s="7">
        <v>0</v>
      </c>
      <c r="AC597" s="7" t="str">
        <f t="shared" si="37"/>
        <v/>
      </c>
      <c r="AE597" s="42" t="str">
        <f t="shared" si="38"/>
        <v/>
      </c>
      <c r="AG597" s="162"/>
      <c r="AH597" s="10"/>
      <c r="AI597" s="10" t="s">
        <v>12</v>
      </c>
      <c r="AJ597" s="10"/>
    </row>
    <row r="598" spans="1:36">
      <c r="A598" s="137"/>
      <c r="B598" s="47"/>
      <c r="C598" s="47" t="s">
        <v>23</v>
      </c>
      <c r="D598" s="47"/>
      <c r="E598" s="7" t="s">
        <v>509</v>
      </c>
      <c r="F598" s="7">
        <f>EXPENSES!F94</f>
        <v>77264.574943999993</v>
      </c>
      <c r="G598" s="7">
        <f>+Adjustments!V597</f>
        <v>0</v>
      </c>
      <c r="H598" s="7"/>
      <c r="I598" s="7">
        <f>SUM($F$598:$H$598)</f>
        <v>77264.574943999993</v>
      </c>
      <c r="J598" s="7">
        <f>+I598-'ROR-Model'!I598</f>
        <v>0</v>
      </c>
      <c r="K598" s="7"/>
      <c r="L598" s="7" t="s">
        <v>23</v>
      </c>
      <c r="M598" s="7">
        <f>VLOOKUP($L598,$L$2:$N$7,2,FALSE)*I598</f>
        <v>0</v>
      </c>
      <c r="N598" s="7">
        <f>VLOOKUP($L598,$L$2:$N$7,3,FALSE)*I598</f>
        <v>77264.574943999993</v>
      </c>
      <c r="O598" s="120"/>
      <c r="P598" s="192" t="s">
        <v>509</v>
      </c>
      <c r="Q598" s="7">
        <f>IF(P598="G",M598,IF(P598="PT",0,ERR))</f>
        <v>0</v>
      </c>
      <c r="R598" s="7">
        <f>IF(P598="PT",M598,IF(P598="G",0,ERR))</f>
        <v>0</v>
      </c>
      <c r="S598" s="126" t="s">
        <v>509</v>
      </c>
      <c r="T598" s="7">
        <f>IF(S598="G",N598,IF(S598="PT",0,ERR))</f>
        <v>0</v>
      </c>
      <c r="U598" s="7">
        <f>IF(S598="PT",N598,IF(S598="G",0,ERR))</f>
        <v>77264.574943999993</v>
      </c>
      <c r="V598" s="124"/>
      <c r="W598" s="7">
        <f>HLOOKUP($W$9,'ROR-Model'!$Q$10:$U$1273,Y598)</f>
        <v>0</v>
      </c>
      <c r="X598" s="139"/>
      <c r="Y598" s="3">
        <f t="shared" si="36"/>
        <v>589</v>
      </c>
      <c r="AA598" s="7">
        <v>0</v>
      </c>
      <c r="AC598" s="7" t="str">
        <f t="shared" si="37"/>
        <v/>
      </c>
      <c r="AE598" s="42" t="str">
        <f t="shared" si="38"/>
        <v/>
      </c>
      <c r="AG598" s="162"/>
      <c r="AH598" s="10"/>
      <c r="AI598" s="10" t="s">
        <v>23</v>
      </c>
      <c r="AJ598" s="10"/>
    </row>
    <row r="599" spans="1:36">
      <c r="A599" s="137"/>
      <c r="B599" s="47"/>
      <c r="C599" s="47" t="s">
        <v>145</v>
      </c>
      <c r="D599" s="47"/>
      <c r="E599" s="140"/>
      <c r="F599" s="140">
        <f>SUM(F597:F598)</f>
        <v>2422370.7699999996</v>
      </c>
      <c r="G599" s="140">
        <f>SUM(G597:G598)</f>
        <v>0</v>
      </c>
      <c r="H599" s="140">
        <f>SUM(H597:H598)</f>
        <v>0</v>
      </c>
      <c r="I599" s="140">
        <f>SUM(I597:I598)</f>
        <v>2422370.7699999996</v>
      </c>
      <c r="J599" s="7">
        <f>+I599-'ROR-Model'!I599</f>
        <v>0</v>
      </c>
      <c r="K599" s="7"/>
      <c r="L599" s="140"/>
      <c r="M599" s="140">
        <f>SUM(M597:M598)</f>
        <v>2345106.1950559998</v>
      </c>
      <c r="N599" s="140">
        <f>SUM(N597:N598)</f>
        <v>77264.574943999993</v>
      </c>
      <c r="O599" s="120"/>
      <c r="P599" s="192"/>
      <c r="Q599" s="140">
        <f>SUM(Q597:Q598)</f>
        <v>0</v>
      </c>
      <c r="R599" s="140">
        <f>SUM(R597:R598)</f>
        <v>2345106.1950559998</v>
      </c>
      <c r="S599" s="201"/>
      <c r="T599" s="140">
        <f>SUM(T597:T598)</f>
        <v>0</v>
      </c>
      <c r="U599" s="140">
        <f>SUM(U597:U598)</f>
        <v>77264.574943999993</v>
      </c>
      <c r="V599" s="124"/>
      <c r="W599" s="140">
        <f>HLOOKUP($W$9,'ROR-Model'!$Q$10:$U$1273,Y599)</f>
        <v>0</v>
      </c>
      <c r="X599" s="139"/>
      <c r="Y599" s="3">
        <f t="shared" si="36"/>
        <v>590</v>
      </c>
      <c r="AA599" s="140">
        <v>0</v>
      </c>
      <c r="AC599" s="140" t="str">
        <f t="shared" si="37"/>
        <v/>
      </c>
      <c r="AE599" s="42" t="str">
        <f t="shared" si="38"/>
        <v/>
      </c>
      <c r="AG599" s="162"/>
      <c r="AH599" s="10"/>
      <c r="AI599" s="10" t="s">
        <v>145</v>
      </c>
      <c r="AJ599" s="10"/>
    </row>
    <row r="600" spans="1:36">
      <c r="A600" s="137"/>
      <c r="B600" s="47"/>
      <c r="C600" s="47"/>
      <c r="D600" s="47"/>
      <c r="E600" s="7"/>
      <c r="F600" s="7"/>
      <c r="G600" s="7"/>
      <c r="H600" s="7"/>
      <c r="I600" s="7"/>
      <c r="J600" s="7">
        <f>+I600-'ROR-Model'!I600</f>
        <v>0</v>
      </c>
      <c r="K600" s="7"/>
      <c r="L600" s="7"/>
      <c r="M600" s="7"/>
      <c r="N600" s="7"/>
      <c r="O600" s="120"/>
      <c r="P600" s="192"/>
      <c r="Q600" s="7"/>
      <c r="R600" s="7"/>
      <c r="S600" s="126"/>
      <c r="T600" s="7"/>
      <c r="U600" s="7"/>
      <c r="V600" s="124"/>
      <c r="W600" s="7"/>
      <c r="X600" s="139"/>
      <c r="Y600" s="3">
        <f t="shared" si="36"/>
        <v>591</v>
      </c>
      <c r="AA600" s="7"/>
      <c r="AC600" s="7" t="str">
        <f t="shared" si="37"/>
        <v/>
      </c>
      <c r="AE600" s="42" t="str">
        <f t="shared" si="38"/>
        <v/>
      </c>
      <c r="AG600" s="162"/>
      <c r="AH600" s="10"/>
      <c r="AI600" s="10"/>
      <c r="AJ600" s="10"/>
    </row>
    <row r="601" spans="1:36">
      <c r="A601" s="137">
        <v>813</v>
      </c>
      <c r="B601" s="47" t="s">
        <v>325</v>
      </c>
      <c r="C601" s="47"/>
      <c r="D601" s="47"/>
      <c r="E601" s="7"/>
      <c r="F601" s="7"/>
      <c r="G601" s="7"/>
      <c r="H601" s="7"/>
      <c r="I601" s="7"/>
      <c r="J601" s="7">
        <f>+I601-'ROR-Model'!I601</f>
        <v>0</v>
      </c>
      <c r="K601" s="7"/>
      <c r="L601" s="7"/>
      <c r="M601" s="7"/>
      <c r="N601" s="7"/>
      <c r="O601" s="120"/>
      <c r="P601" s="192"/>
      <c r="Q601" s="7"/>
      <c r="R601" s="7"/>
      <c r="S601" s="126"/>
      <c r="T601" s="7"/>
      <c r="U601" s="7"/>
      <c r="V601" s="124"/>
      <c r="W601" s="7"/>
      <c r="X601" s="139"/>
      <c r="Y601" s="3">
        <f t="shared" si="36"/>
        <v>592</v>
      </c>
      <c r="AA601" s="7"/>
      <c r="AC601" s="7" t="str">
        <f t="shared" si="37"/>
        <v/>
      </c>
      <c r="AE601" s="42" t="str">
        <f t="shared" si="38"/>
        <v/>
      </c>
      <c r="AG601" s="162">
        <v>813</v>
      </c>
      <c r="AH601" s="10" t="s">
        <v>325</v>
      </c>
      <c r="AI601" s="10"/>
      <c r="AJ601" s="10"/>
    </row>
    <row r="602" spans="1:36">
      <c r="A602" s="137"/>
      <c r="B602" s="47"/>
      <c r="C602" s="47" t="s">
        <v>12</v>
      </c>
      <c r="D602" s="47"/>
      <c r="E602" s="7" t="s">
        <v>509</v>
      </c>
      <c r="F602" s="7">
        <f>EXPENSES!F98</f>
        <v>257215711.09163699</v>
      </c>
      <c r="G602" s="7">
        <f>+Adjustments!V601</f>
        <v>0</v>
      </c>
      <c r="H602" s="7"/>
      <c r="I602" s="7">
        <f>SUM($F$602:$H$602)</f>
        <v>257215711.09163699</v>
      </c>
      <c r="J602" s="7">
        <f>+I602-'ROR-Model'!I602</f>
        <v>0</v>
      </c>
      <c r="K602" s="7"/>
      <c r="L602" s="7" t="s">
        <v>12</v>
      </c>
      <c r="M602" s="7">
        <f>VLOOKUP($L602,$L$2:$N$7,2,FALSE)*I602</f>
        <v>257215711.09163699</v>
      </c>
      <c r="N602" s="7">
        <f>VLOOKUP($L602,$L$2:$N$7,3,FALSE)*I602</f>
        <v>0</v>
      </c>
      <c r="O602" s="120"/>
      <c r="P602" s="192" t="s">
        <v>509</v>
      </c>
      <c r="Q602" s="7">
        <f>IF(P602="G",M602,IF(P602="PT",0,ERR))</f>
        <v>0</v>
      </c>
      <c r="R602" s="7">
        <f>IF(P602="PT",M602,IF(P602="G",0,ERR))</f>
        <v>257215711.09163699</v>
      </c>
      <c r="S602" s="126" t="s">
        <v>509</v>
      </c>
      <c r="T602" s="7">
        <f>IF(S602="G",N602,IF(S602="PT",0,ERR))</f>
        <v>0</v>
      </c>
      <c r="U602" s="7">
        <f>IF(S602="PT",N602,IF(S602="G",0,ERR))</f>
        <v>0</v>
      </c>
      <c r="V602" s="124"/>
      <c r="W602" s="7">
        <f>HLOOKUP($W$9,'ROR-Model'!$Q$10:$U$1273,Y602)</f>
        <v>0</v>
      </c>
      <c r="X602" s="139"/>
      <c r="Y602" s="3">
        <f t="shared" si="36"/>
        <v>593</v>
      </c>
      <c r="AA602" s="7">
        <v>0</v>
      </c>
      <c r="AC602" s="7" t="str">
        <f t="shared" si="37"/>
        <v/>
      </c>
      <c r="AE602" s="42" t="str">
        <f t="shared" si="38"/>
        <v/>
      </c>
      <c r="AG602" s="162"/>
      <c r="AH602" s="10"/>
      <c r="AI602" s="10" t="s">
        <v>12</v>
      </c>
      <c r="AJ602" s="10"/>
    </row>
    <row r="603" spans="1:36">
      <c r="A603" s="137"/>
      <c r="B603" s="47"/>
      <c r="C603" s="47" t="s">
        <v>23</v>
      </c>
      <c r="D603" s="47"/>
      <c r="E603" s="7" t="s">
        <v>509</v>
      </c>
      <c r="F603" s="7">
        <f>EXPENSES!F99</f>
        <v>8403829.5183629971</v>
      </c>
      <c r="G603" s="7">
        <f>+Adjustments!V602</f>
        <v>0</v>
      </c>
      <c r="H603" s="7"/>
      <c r="I603" s="7">
        <f>SUM($F$603:$H$603)</f>
        <v>8403829.5183629971</v>
      </c>
      <c r="J603" s="7">
        <f>+I603-'ROR-Model'!I603</f>
        <v>0</v>
      </c>
      <c r="K603" s="7"/>
      <c r="L603" s="7" t="s">
        <v>23</v>
      </c>
      <c r="M603" s="7">
        <f>VLOOKUP($L603,$L$2:$N$7,2,FALSE)*I603</f>
        <v>0</v>
      </c>
      <c r="N603" s="7">
        <f>VLOOKUP($L603,$L$2:$N$7,3,FALSE)*I603</f>
        <v>8403829.5183629971</v>
      </c>
      <c r="O603" s="120"/>
      <c r="P603" s="192" t="s">
        <v>509</v>
      </c>
      <c r="Q603" s="7">
        <f>IF(P603="G",M603,IF(P603="PT",0,ERR))</f>
        <v>0</v>
      </c>
      <c r="R603" s="7">
        <f>IF(P603="PT",M603,IF(P603="G",0,ERR))</f>
        <v>0</v>
      </c>
      <c r="S603" s="126" t="s">
        <v>509</v>
      </c>
      <c r="T603" s="7">
        <f>IF(S603="G",N603,IF(S603="PT",0,ERR))</f>
        <v>0</v>
      </c>
      <c r="U603" s="7">
        <f>IF(S603="PT",N603,IF(S603="G",0,ERR))</f>
        <v>8403829.5183629971</v>
      </c>
      <c r="V603" s="124"/>
      <c r="W603" s="7">
        <f>HLOOKUP($W$9,'ROR-Model'!$Q$10:$U$1273,Y603)</f>
        <v>0</v>
      </c>
      <c r="X603" s="139"/>
      <c r="Y603" s="3">
        <f t="shared" si="36"/>
        <v>594</v>
      </c>
      <c r="AA603" s="7">
        <v>0</v>
      </c>
      <c r="AC603" s="7" t="str">
        <f t="shared" si="37"/>
        <v/>
      </c>
      <c r="AE603" s="42" t="str">
        <f t="shared" si="38"/>
        <v/>
      </c>
      <c r="AG603" s="162"/>
      <c r="AH603" s="10"/>
      <c r="AI603" s="10" t="s">
        <v>23</v>
      </c>
      <c r="AJ603" s="10"/>
    </row>
    <row r="604" spans="1:36">
      <c r="A604" s="137"/>
      <c r="B604" s="47"/>
      <c r="C604" s="47" t="s">
        <v>145</v>
      </c>
      <c r="D604" s="47"/>
      <c r="E604" s="140"/>
      <c r="F604" s="140">
        <f>SUM(F602:F603)</f>
        <v>265619540.60999998</v>
      </c>
      <c r="G604" s="140">
        <f>SUM(G602:G603)</f>
        <v>0</v>
      </c>
      <c r="H604" s="140">
        <f>SUM(H602:H603)</f>
        <v>0</v>
      </c>
      <c r="I604" s="140">
        <f>SUM(I602:I603)</f>
        <v>265619540.60999998</v>
      </c>
      <c r="J604" s="7">
        <f>+I604-'ROR-Model'!I604</f>
        <v>0</v>
      </c>
      <c r="K604" s="7"/>
      <c r="L604" s="140"/>
      <c r="M604" s="140">
        <f>SUM(M602:M603)</f>
        <v>257215711.09163699</v>
      </c>
      <c r="N604" s="140">
        <f>SUM(N602:N603)</f>
        <v>8403829.5183629971</v>
      </c>
      <c r="O604" s="120"/>
      <c r="P604" s="192"/>
      <c r="Q604" s="140">
        <f>SUM(Q602:Q603)</f>
        <v>0</v>
      </c>
      <c r="R604" s="140">
        <f>SUM(R602:R603)</f>
        <v>257215711.09163699</v>
      </c>
      <c r="S604" s="201"/>
      <c r="T604" s="140">
        <f>SUM(T602:T603)</f>
        <v>0</v>
      </c>
      <c r="U604" s="140">
        <f>SUM(U602:U603)</f>
        <v>8403829.5183629971</v>
      </c>
      <c r="V604" s="124"/>
      <c r="W604" s="140">
        <f>HLOOKUP($W$9,'ROR-Model'!$Q$10:$U$1273,Y604)</f>
        <v>0</v>
      </c>
      <c r="X604" s="139"/>
      <c r="Y604" s="3">
        <f t="shared" si="36"/>
        <v>595</v>
      </c>
      <c r="AA604" s="140">
        <v>0</v>
      </c>
      <c r="AC604" s="140" t="str">
        <f t="shared" si="37"/>
        <v/>
      </c>
      <c r="AE604" s="42" t="str">
        <f t="shared" si="38"/>
        <v/>
      </c>
      <c r="AG604" s="162"/>
      <c r="AH604" s="10"/>
      <c r="AI604" s="10" t="s">
        <v>145</v>
      </c>
      <c r="AJ604" s="10"/>
    </row>
    <row r="605" spans="1:36">
      <c r="A605" s="137"/>
      <c r="B605" s="47"/>
      <c r="C605" s="47"/>
      <c r="D605" s="47"/>
      <c r="E605" s="7"/>
      <c r="F605" s="7"/>
      <c r="G605" s="7"/>
      <c r="H605" s="7"/>
      <c r="I605" s="7"/>
      <c r="J605" s="7">
        <f>+I605-'ROR-Model'!I605</f>
        <v>0</v>
      </c>
      <c r="K605" s="7"/>
      <c r="L605" s="7"/>
      <c r="M605" s="7"/>
      <c r="N605" s="7"/>
      <c r="O605" s="120"/>
      <c r="P605" s="192"/>
      <c r="Q605" s="7"/>
      <c r="R605" s="7"/>
      <c r="S605" s="126"/>
      <c r="T605" s="7"/>
      <c r="U605" s="7"/>
      <c r="V605" s="124"/>
      <c r="W605" s="7"/>
      <c r="X605" s="139"/>
      <c r="Y605" s="3">
        <f t="shared" si="36"/>
        <v>596</v>
      </c>
      <c r="AA605" s="7"/>
      <c r="AC605" s="7" t="str">
        <f t="shared" si="37"/>
        <v/>
      </c>
      <c r="AE605" s="42" t="str">
        <f t="shared" si="38"/>
        <v/>
      </c>
      <c r="AG605" s="162"/>
      <c r="AH605" s="10"/>
      <c r="AI605" s="10"/>
      <c r="AJ605" s="10"/>
    </row>
    <row r="606" spans="1:36">
      <c r="A606" s="137">
        <v>813</v>
      </c>
      <c r="B606" s="47" t="s">
        <v>326</v>
      </c>
      <c r="C606" s="47"/>
      <c r="D606" s="47"/>
      <c r="E606" s="7"/>
      <c r="F606" s="7"/>
      <c r="G606" s="7"/>
      <c r="H606" s="7"/>
      <c r="I606" s="7"/>
      <c r="J606" s="7">
        <f>+I606-'ROR-Model'!I606</f>
        <v>0</v>
      </c>
      <c r="K606" s="7"/>
      <c r="L606" s="7"/>
      <c r="M606" s="7"/>
      <c r="N606" s="7"/>
      <c r="O606" s="120"/>
      <c r="P606" s="192"/>
      <c r="Q606" s="7"/>
      <c r="R606" s="7"/>
      <c r="S606" s="126"/>
      <c r="T606" s="7"/>
      <c r="U606" s="7"/>
      <c r="V606" s="124"/>
      <c r="W606" s="7"/>
      <c r="X606" s="139"/>
      <c r="Y606" s="3">
        <f t="shared" si="36"/>
        <v>597</v>
      </c>
      <c r="AA606" s="7"/>
      <c r="AC606" s="7" t="str">
        <f t="shared" si="37"/>
        <v/>
      </c>
      <c r="AE606" s="42" t="str">
        <f t="shared" si="38"/>
        <v/>
      </c>
      <c r="AG606" s="162">
        <v>813</v>
      </c>
      <c r="AH606" s="10" t="s">
        <v>326</v>
      </c>
      <c r="AI606" s="10"/>
      <c r="AJ606" s="10"/>
    </row>
    <row r="607" spans="1:36">
      <c r="A607" s="137"/>
      <c r="B607" s="47"/>
      <c r="C607" s="47" t="s">
        <v>12</v>
      </c>
      <c r="D607" s="47"/>
      <c r="E607" s="7" t="s">
        <v>509</v>
      </c>
      <c r="F607" s="7">
        <f>EXPENSES!F103</f>
        <v>0</v>
      </c>
      <c r="G607" s="7">
        <f>+Adjustments!V606</f>
        <v>0</v>
      </c>
      <c r="H607" s="7"/>
      <c r="I607" s="7">
        <f>SUM($F$607:$H$607)</f>
        <v>0</v>
      </c>
      <c r="J607" s="7">
        <f>+I607-'ROR-Model'!I607</f>
        <v>0</v>
      </c>
      <c r="K607" s="7"/>
      <c r="L607" s="7" t="s">
        <v>12</v>
      </c>
      <c r="M607" s="7">
        <f>VLOOKUP($L607,$L$2:$N$7,2,FALSE)*I607</f>
        <v>0</v>
      </c>
      <c r="N607" s="7">
        <f>VLOOKUP($L607,$L$2:$N$7,3,FALSE)*I607</f>
        <v>0</v>
      </c>
      <c r="O607" s="120"/>
      <c r="P607" s="192" t="s">
        <v>509</v>
      </c>
      <c r="Q607" s="7">
        <f>IF(P607="G",M607,IF(P607="PT",0,ERR))</f>
        <v>0</v>
      </c>
      <c r="R607" s="7">
        <f>IF(P607="PT",M607,IF(P607="G",0,ERR))</f>
        <v>0</v>
      </c>
      <c r="S607" s="126" t="s">
        <v>509</v>
      </c>
      <c r="T607" s="7">
        <f>IF(S607="G",N607,IF(S607="PT",0,ERR))</f>
        <v>0</v>
      </c>
      <c r="U607" s="7">
        <f>IF(S607="PT",N607,IF(S607="G",0,ERR))</f>
        <v>0</v>
      </c>
      <c r="V607" s="124"/>
      <c r="W607" s="7">
        <f>HLOOKUP($W$9,'ROR-Model'!$Q$10:$U$1273,Y607)</f>
        <v>0</v>
      </c>
      <c r="X607" s="139"/>
      <c r="Y607" s="3">
        <f t="shared" si="36"/>
        <v>598</v>
      </c>
      <c r="AA607" s="7">
        <v>0</v>
      </c>
      <c r="AC607" s="7" t="str">
        <f t="shared" si="37"/>
        <v/>
      </c>
      <c r="AE607" s="42" t="str">
        <f t="shared" si="38"/>
        <v/>
      </c>
      <c r="AG607" s="162"/>
      <c r="AH607" s="10"/>
      <c r="AI607" s="10" t="s">
        <v>12</v>
      </c>
      <c r="AJ607" s="10"/>
    </row>
    <row r="608" spans="1:36">
      <c r="A608" s="137"/>
      <c r="B608" s="47"/>
      <c r="C608" s="47" t="s">
        <v>23</v>
      </c>
      <c r="D608" s="47"/>
      <c r="E608" s="7" t="s">
        <v>509</v>
      </c>
      <c r="F608" s="7">
        <f>EXPENSES!F104</f>
        <v>0</v>
      </c>
      <c r="G608" s="7">
        <f>+Adjustments!V607</f>
        <v>0</v>
      </c>
      <c r="H608" s="7"/>
      <c r="I608" s="7">
        <f>SUM($F$608:$H$608)</f>
        <v>0</v>
      </c>
      <c r="J608" s="7">
        <f>+I608-'ROR-Model'!I608</f>
        <v>0</v>
      </c>
      <c r="K608" s="7"/>
      <c r="L608" s="7" t="s">
        <v>23</v>
      </c>
      <c r="M608" s="7">
        <f>VLOOKUP($L608,$L$2:$N$7,2,FALSE)*I608</f>
        <v>0</v>
      </c>
      <c r="N608" s="7">
        <f>VLOOKUP($L608,$L$2:$N$7,3,FALSE)*I608</f>
        <v>0</v>
      </c>
      <c r="O608" s="120"/>
      <c r="P608" s="192" t="s">
        <v>509</v>
      </c>
      <c r="Q608" s="7">
        <f>IF(P608="G",M608,IF(P608="PT",0,ERR))</f>
        <v>0</v>
      </c>
      <c r="R608" s="7">
        <f>IF(P608="PT",M608,IF(P608="G",0,ERR))</f>
        <v>0</v>
      </c>
      <c r="S608" s="126" t="s">
        <v>509</v>
      </c>
      <c r="T608" s="7">
        <f>IF(S608="G",N608,IF(S608="PT",0,ERR))</f>
        <v>0</v>
      </c>
      <c r="U608" s="7">
        <f>IF(S608="PT",N608,IF(S608="G",0,ERR))</f>
        <v>0</v>
      </c>
      <c r="V608" s="124"/>
      <c r="W608" s="7">
        <f>HLOOKUP($W$9,'ROR-Model'!$Q$10:$U$1273,Y608)</f>
        <v>0</v>
      </c>
      <c r="X608" s="139"/>
      <c r="Y608" s="3">
        <f t="shared" si="36"/>
        <v>599</v>
      </c>
      <c r="AA608" s="7">
        <v>0</v>
      </c>
      <c r="AC608" s="7" t="str">
        <f t="shared" si="37"/>
        <v/>
      </c>
      <c r="AE608" s="42" t="str">
        <f t="shared" si="38"/>
        <v/>
      </c>
      <c r="AG608" s="162"/>
      <c r="AH608" s="10"/>
      <c r="AI608" s="10" t="s">
        <v>23</v>
      </c>
      <c r="AJ608" s="10"/>
    </row>
    <row r="609" spans="1:36">
      <c r="A609" s="137"/>
      <c r="B609" s="47"/>
      <c r="C609" s="47" t="s">
        <v>145</v>
      </c>
      <c r="D609" s="47"/>
      <c r="E609" s="140"/>
      <c r="F609" s="140">
        <f>SUM(F607:F608)</f>
        <v>0</v>
      </c>
      <c r="G609" s="140">
        <f>SUM(G607:G608)</f>
        <v>0</v>
      </c>
      <c r="H609" s="140">
        <f>SUM(H607:H608)</f>
        <v>0</v>
      </c>
      <c r="I609" s="140">
        <f>SUM(I607:I608)</f>
        <v>0</v>
      </c>
      <c r="J609" s="7">
        <f>+I609-'ROR-Model'!I609</f>
        <v>0</v>
      </c>
      <c r="K609" s="7"/>
      <c r="L609" s="140"/>
      <c r="M609" s="140">
        <f>SUM(M607:M608)</f>
        <v>0</v>
      </c>
      <c r="N609" s="140">
        <f>SUM(N607:N608)</f>
        <v>0</v>
      </c>
      <c r="O609" s="120"/>
      <c r="P609" s="192"/>
      <c r="Q609" s="140">
        <f>SUM(Q607:Q608)</f>
        <v>0</v>
      </c>
      <c r="R609" s="140">
        <f>SUM(R607:R608)</f>
        <v>0</v>
      </c>
      <c r="S609" s="201"/>
      <c r="T609" s="140">
        <f>SUM(T607:T608)</f>
        <v>0</v>
      </c>
      <c r="U609" s="140">
        <f>SUM(U607:U608)</f>
        <v>0</v>
      </c>
      <c r="V609" s="124"/>
      <c r="W609" s="140">
        <f>HLOOKUP($W$9,'ROR-Model'!$Q$10:$U$1273,Y609)</f>
        <v>0</v>
      </c>
      <c r="X609" s="139"/>
      <c r="Y609" s="3">
        <f t="shared" si="36"/>
        <v>600</v>
      </c>
      <c r="AA609" s="140">
        <v>0</v>
      </c>
      <c r="AC609" s="140" t="str">
        <f t="shared" si="37"/>
        <v/>
      </c>
      <c r="AE609" s="42" t="str">
        <f t="shared" si="38"/>
        <v/>
      </c>
      <c r="AG609" s="162"/>
      <c r="AH609" s="10"/>
      <c r="AI609" s="10" t="s">
        <v>145</v>
      </c>
      <c r="AJ609" s="10"/>
    </row>
    <row r="610" spans="1:36">
      <c r="A610" s="137"/>
      <c r="B610" s="47"/>
      <c r="C610" s="47"/>
      <c r="D610" s="47"/>
      <c r="E610" s="7"/>
      <c r="F610" s="7"/>
      <c r="G610" s="7"/>
      <c r="H610" s="7"/>
      <c r="I610" s="7"/>
      <c r="J610" s="7">
        <f>+I610-'ROR-Model'!I610</f>
        <v>0</v>
      </c>
      <c r="K610" s="7"/>
      <c r="L610" s="7"/>
      <c r="M610" s="7"/>
      <c r="N610" s="7"/>
      <c r="O610" s="120"/>
      <c r="P610" s="192"/>
      <c r="Q610" s="7"/>
      <c r="R610" s="7"/>
      <c r="S610" s="126"/>
      <c r="T610" s="7"/>
      <c r="U610" s="7"/>
      <c r="V610" s="124"/>
      <c r="W610" s="7"/>
      <c r="X610" s="139"/>
      <c r="Y610" s="3">
        <f t="shared" si="36"/>
        <v>601</v>
      </c>
      <c r="AA610" s="7"/>
      <c r="AC610" s="7" t="str">
        <f t="shared" si="37"/>
        <v/>
      </c>
      <c r="AE610" s="42" t="str">
        <f t="shared" si="38"/>
        <v/>
      </c>
      <c r="AG610" s="162"/>
      <c r="AH610" s="10"/>
      <c r="AI610" s="10"/>
      <c r="AJ610" s="10"/>
    </row>
    <row r="611" spans="1:36">
      <c r="A611" s="137" t="s">
        <v>652</v>
      </c>
      <c r="B611" s="47" t="s">
        <v>327</v>
      </c>
      <c r="C611" s="47"/>
      <c r="D611" s="47"/>
      <c r="E611" s="7"/>
      <c r="F611" s="7"/>
      <c r="G611" s="7"/>
      <c r="H611" s="7"/>
      <c r="I611" s="7"/>
      <c r="J611" s="7">
        <f>+I611-'ROR-Model'!I611</f>
        <v>0</v>
      </c>
      <c r="K611" s="7"/>
      <c r="L611" s="7"/>
      <c r="M611" s="7"/>
      <c r="N611" s="7"/>
      <c r="O611" s="120"/>
      <c r="P611" s="192"/>
      <c r="Q611" s="7"/>
      <c r="R611" s="7"/>
      <c r="S611" s="126"/>
      <c r="T611" s="7"/>
      <c r="U611" s="7"/>
      <c r="V611" s="124"/>
      <c r="W611" s="7"/>
      <c r="X611" s="139"/>
      <c r="Y611" s="3">
        <f t="shared" si="36"/>
        <v>602</v>
      </c>
      <c r="AA611" s="7"/>
      <c r="AC611" s="7" t="str">
        <f t="shared" si="37"/>
        <v/>
      </c>
      <c r="AE611" s="42" t="str">
        <f t="shared" si="38"/>
        <v/>
      </c>
      <c r="AG611" s="162" t="s">
        <v>652</v>
      </c>
      <c r="AH611" s="10" t="s">
        <v>327</v>
      </c>
      <c r="AI611" s="10"/>
      <c r="AJ611" s="10"/>
    </row>
    <row r="612" spans="1:36">
      <c r="A612" s="7"/>
      <c r="B612" s="47"/>
      <c r="C612" s="47" t="s">
        <v>12</v>
      </c>
      <c r="D612" s="47"/>
      <c r="E612" s="7" t="s">
        <v>509</v>
      </c>
      <c r="F612" s="7">
        <f>EXPENSES!F108</f>
        <v>0</v>
      </c>
      <c r="G612" s="7">
        <f>+Adjustments!V611</f>
        <v>0</v>
      </c>
      <c r="H612" s="7"/>
      <c r="I612" s="7">
        <f>SUM($F$612:$H$612)</f>
        <v>0</v>
      </c>
      <c r="J612" s="7">
        <f>+I612-'ROR-Model'!I612</f>
        <v>0</v>
      </c>
      <c r="K612" s="7"/>
      <c r="L612" s="7" t="s">
        <v>12</v>
      </c>
      <c r="M612" s="7">
        <f>VLOOKUP($L612,$L$2:$N$7,2,FALSE)*I612</f>
        <v>0</v>
      </c>
      <c r="N612" s="7">
        <f>VLOOKUP($L612,$L$2:$N$7,3,FALSE)*I612</f>
        <v>0</v>
      </c>
      <c r="O612" s="120"/>
      <c r="P612" s="192" t="s">
        <v>509</v>
      </c>
      <c r="Q612" s="7">
        <f>IF(P612="G",M612,IF(P612="PT",0,ERR))</f>
        <v>0</v>
      </c>
      <c r="R612" s="7">
        <f>IF(P612="PT",M612,IF(P612="G",0,ERR))</f>
        <v>0</v>
      </c>
      <c r="S612" s="126" t="s">
        <v>509</v>
      </c>
      <c r="T612" s="7">
        <f>IF(S612="G",N612,IF(S612="PT",0,ERR))</f>
        <v>0</v>
      </c>
      <c r="U612" s="7">
        <f>IF(S612="PT",N612,IF(S612="G",0,ERR))</f>
        <v>0</v>
      </c>
      <c r="V612" s="124"/>
      <c r="W612" s="7">
        <f>HLOOKUP($W$9,'ROR-Model'!$Q$10:$U$1273,Y612)</f>
        <v>0</v>
      </c>
      <c r="X612" s="139"/>
      <c r="Y612" s="3">
        <f t="shared" si="36"/>
        <v>603</v>
      </c>
      <c r="AA612" s="7">
        <v>0</v>
      </c>
      <c r="AC612" s="7" t="str">
        <f t="shared" si="37"/>
        <v/>
      </c>
      <c r="AE612" s="42" t="str">
        <f t="shared" si="38"/>
        <v/>
      </c>
      <c r="AG612" s="1"/>
      <c r="AH612" s="10"/>
      <c r="AI612" s="10" t="s">
        <v>12</v>
      </c>
      <c r="AJ612" s="10"/>
    </row>
    <row r="613" spans="1:36">
      <c r="A613" s="7"/>
      <c r="B613" s="47"/>
      <c r="C613" s="47" t="s">
        <v>23</v>
      </c>
      <c r="D613" s="47"/>
      <c r="E613" s="7" t="s">
        <v>510</v>
      </c>
      <c r="F613" s="7">
        <f>EXPENSES!F109</f>
        <v>0</v>
      </c>
      <c r="G613" s="7">
        <f>+Adjustments!V612</f>
        <v>0</v>
      </c>
      <c r="H613" s="7"/>
      <c r="I613" s="7">
        <f>SUM($F$613:$H$613)</f>
        <v>0</v>
      </c>
      <c r="J613" s="7">
        <f>+I613-'ROR-Model'!I613</f>
        <v>0</v>
      </c>
      <c r="K613" s="7"/>
      <c r="L613" s="7" t="s">
        <v>23</v>
      </c>
      <c r="M613" s="7">
        <f>VLOOKUP($L613,$L$2:$N$7,2,FALSE)*I613</f>
        <v>0</v>
      </c>
      <c r="N613" s="7">
        <f>VLOOKUP($L613,$L$2:$N$7,3,FALSE)*I613</f>
        <v>0</v>
      </c>
      <c r="O613" s="120"/>
      <c r="P613" s="139" t="s">
        <v>509</v>
      </c>
      <c r="Q613" s="7">
        <f>IF(P613="G",M613,IF(P613="PT",0,ERR))</f>
        <v>0</v>
      </c>
      <c r="R613" s="7">
        <f>IF(P613="PT",M613,IF(P613="G",0,ERR))</f>
        <v>0</v>
      </c>
      <c r="S613" s="126" t="s">
        <v>509</v>
      </c>
      <c r="T613" s="7">
        <f>IF(S613="G",N613,IF(S613="PT",0,ERR))</f>
        <v>0</v>
      </c>
      <c r="U613" s="7">
        <f>IF(S613="PT",N613,IF(S613="G",0,ERR))</f>
        <v>0</v>
      </c>
      <c r="V613" s="124"/>
      <c r="W613" s="7">
        <f>HLOOKUP($W$9,'ROR-Model'!$Q$10:$U$1273,Y613)</f>
        <v>0</v>
      </c>
      <c r="X613" s="139"/>
      <c r="Y613" s="3">
        <f t="shared" si="36"/>
        <v>604</v>
      </c>
      <c r="AA613" s="7">
        <v>0</v>
      </c>
      <c r="AC613" s="7" t="str">
        <f t="shared" si="37"/>
        <v/>
      </c>
      <c r="AE613" s="42" t="str">
        <f t="shared" si="38"/>
        <v/>
      </c>
      <c r="AG613" s="1"/>
      <c r="AH613" s="10"/>
      <c r="AI613" s="10" t="s">
        <v>23</v>
      </c>
      <c r="AJ613" s="10"/>
    </row>
    <row r="614" spans="1:36">
      <c r="A614" s="137"/>
      <c r="B614" s="47"/>
      <c r="C614" s="47" t="s">
        <v>145</v>
      </c>
      <c r="D614" s="47"/>
      <c r="E614" s="140"/>
      <c r="F614" s="140">
        <f>SUM(F612:F613)</f>
        <v>0</v>
      </c>
      <c r="G614" s="140">
        <f>SUM(G612:G613)</f>
        <v>0</v>
      </c>
      <c r="H614" s="140">
        <f>SUM(H612:H613)</f>
        <v>0</v>
      </c>
      <c r="I614" s="140">
        <f>SUM(I612:I613)</f>
        <v>0</v>
      </c>
      <c r="J614" s="7">
        <f>+I614-'ROR-Model'!I614</f>
        <v>0</v>
      </c>
      <c r="K614" s="7"/>
      <c r="L614" s="140"/>
      <c r="M614" s="140">
        <f>SUM(M612:M613)</f>
        <v>0</v>
      </c>
      <c r="N614" s="140">
        <f>SUM(N612:N613)</f>
        <v>0</v>
      </c>
      <c r="O614" s="120"/>
      <c r="P614" s="192"/>
      <c r="Q614" s="140">
        <f>SUM(Q612:Q613)</f>
        <v>0</v>
      </c>
      <c r="R614" s="140">
        <f>SUM(R612:R613)</f>
        <v>0</v>
      </c>
      <c r="S614" s="201"/>
      <c r="T614" s="140">
        <f>SUM(T612:T613)</f>
        <v>0</v>
      </c>
      <c r="U614" s="140">
        <f>SUM(U612:U613)</f>
        <v>0</v>
      </c>
      <c r="V614" s="124"/>
      <c r="W614" s="140">
        <f>HLOOKUP($W$9,'ROR-Model'!$Q$10:$U$1273,Y614)</f>
        <v>0</v>
      </c>
      <c r="X614" s="139"/>
      <c r="Y614" s="3">
        <f t="shared" si="36"/>
        <v>605</v>
      </c>
      <c r="AA614" s="140">
        <v>0</v>
      </c>
      <c r="AC614" s="140" t="str">
        <f t="shared" si="37"/>
        <v/>
      </c>
      <c r="AE614" s="42" t="str">
        <f t="shared" si="38"/>
        <v/>
      </c>
      <c r="AG614" s="162"/>
      <c r="AH614" s="10"/>
      <c r="AI614" s="10" t="s">
        <v>145</v>
      </c>
      <c r="AJ614" s="10"/>
    </row>
    <row r="615" spans="1:36">
      <c r="A615" s="137"/>
      <c r="B615" s="47"/>
      <c r="C615" s="47"/>
      <c r="D615" s="47"/>
      <c r="E615" s="7"/>
      <c r="F615" s="7"/>
      <c r="G615" s="7"/>
      <c r="H615" s="7"/>
      <c r="I615" s="7"/>
      <c r="J615" s="7">
        <f>+I615-'ROR-Model'!I615</f>
        <v>0</v>
      </c>
      <c r="K615" s="7"/>
      <c r="L615" s="7"/>
      <c r="M615" s="7"/>
      <c r="N615" s="7"/>
      <c r="O615" s="120"/>
      <c r="P615" s="192"/>
      <c r="Q615" s="7"/>
      <c r="R615" s="7"/>
      <c r="S615" s="126"/>
      <c r="T615" s="7"/>
      <c r="U615" s="7"/>
      <c r="V615" s="124"/>
      <c r="W615" s="7"/>
      <c r="X615" s="139"/>
      <c r="Y615" s="3">
        <f t="shared" si="36"/>
        <v>606</v>
      </c>
      <c r="AA615" s="7"/>
      <c r="AC615" s="7" t="str">
        <f t="shared" si="37"/>
        <v/>
      </c>
      <c r="AE615" s="42" t="str">
        <f t="shared" si="38"/>
        <v/>
      </c>
      <c r="AG615" s="162"/>
      <c r="AH615" s="10"/>
      <c r="AI615" s="10"/>
      <c r="AJ615" s="10"/>
    </row>
    <row r="616" spans="1:36">
      <c r="A616" s="137">
        <v>858</v>
      </c>
      <c r="B616" s="47" t="s">
        <v>328</v>
      </c>
      <c r="C616" s="47"/>
      <c r="D616" s="47"/>
      <c r="E616" s="7"/>
      <c r="F616" s="7"/>
      <c r="G616" s="7"/>
      <c r="H616" s="7"/>
      <c r="I616" s="7"/>
      <c r="J616" s="7">
        <f>+I616-'ROR-Model'!I616</f>
        <v>0</v>
      </c>
      <c r="K616" s="7"/>
      <c r="L616" s="7"/>
      <c r="M616" s="7"/>
      <c r="N616" s="7"/>
      <c r="O616" s="120"/>
      <c r="P616" s="192"/>
      <c r="Q616" s="7"/>
      <c r="R616" s="7"/>
      <c r="S616" s="126"/>
      <c r="T616" s="7"/>
      <c r="U616" s="7"/>
      <c r="V616" s="124"/>
      <c r="W616" s="7"/>
      <c r="X616" s="139"/>
      <c r="Y616" s="3">
        <f t="shared" si="36"/>
        <v>607</v>
      </c>
      <c r="AA616" s="7"/>
      <c r="AC616" s="7" t="str">
        <f t="shared" si="37"/>
        <v/>
      </c>
      <c r="AE616" s="42" t="str">
        <f t="shared" si="38"/>
        <v/>
      </c>
      <c r="AG616" s="162">
        <v>858</v>
      </c>
      <c r="AH616" s="10" t="s">
        <v>328</v>
      </c>
      <c r="AI616" s="10"/>
      <c r="AJ616" s="10"/>
    </row>
    <row r="617" spans="1:36">
      <c r="A617" s="137"/>
      <c r="B617" s="47"/>
      <c r="C617" s="47" t="s">
        <v>12</v>
      </c>
      <c r="D617" s="47"/>
      <c r="E617" s="7" t="s">
        <v>509</v>
      </c>
      <c r="F617" s="7">
        <f>EXPENSES!F113</f>
        <v>69778342.640221998</v>
      </c>
      <c r="G617" s="7">
        <f>+Adjustments!V616</f>
        <v>0</v>
      </c>
      <c r="H617" s="7"/>
      <c r="I617" s="7">
        <f>SUM($F$617:$H$617)</f>
        <v>69778342.640221998</v>
      </c>
      <c r="J617" s="7">
        <f>+I617-'ROR-Model'!I617</f>
        <v>0</v>
      </c>
      <c r="K617" s="7"/>
      <c r="L617" s="7" t="s">
        <v>12</v>
      </c>
      <c r="M617" s="7">
        <f>VLOOKUP($L617,$L$2:$N$7,2,FALSE)*I617</f>
        <v>69778342.640221998</v>
      </c>
      <c r="N617" s="7">
        <f>VLOOKUP($L617,$L$2:$N$7,3,FALSE)*I617</f>
        <v>0</v>
      </c>
      <c r="O617" s="120"/>
      <c r="P617" s="192" t="s">
        <v>509</v>
      </c>
      <c r="Q617" s="7">
        <f>IF(P617="G",M617,IF(P617="PT",0,ERR))</f>
        <v>0</v>
      </c>
      <c r="R617" s="7">
        <f>IF(P617="PT",M617,IF(P617="G",0,ERR))</f>
        <v>69778342.640221998</v>
      </c>
      <c r="S617" s="126" t="s">
        <v>509</v>
      </c>
      <c r="T617" s="7">
        <f>IF(S617="G",N617,IF(S617="PT",0,ERR))</f>
        <v>0</v>
      </c>
      <c r="U617" s="7">
        <f>IF(S617="PT",N617,IF(S617="G",0,ERR))</f>
        <v>0</v>
      </c>
      <c r="V617" s="124"/>
      <c r="W617" s="7">
        <f>HLOOKUP($W$9,'ROR-Model'!$Q$10:$U$1273,Y617)</f>
        <v>0</v>
      </c>
      <c r="X617" s="139"/>
      <c r="Y617" s="3">
        <f t="shared" si="36"/>
        <v>608</v>
      </c>
      <c r="AA617" s="7">
        <v>0</v>
      </c>
      <c r="AC617" s="7" t="str">
        <f t="shared" si="37"/>
        <v/>
      </c>
      <c r="AE617" s="42" t="str">
        <f t="shared" si="38"/>
        <v/>
      </c>
      <c r="AG617" s="162"/>
      <c r="AH617" s="10"/>
      <c r="AI617" s="10" t="s">
        <v>12</v>
      </c>
      <c r="AJ617" s="10"/>
    </row>
    <row r="618" spans="1:36">
      <c r="A618" s="137"/>
      <c r="B618" s="47"/>
      <c r="C618" s="47" t="s">
        <v>23</v>
      </c>
      <c r="D618" s="47"/>
      <c r="E618" s="7" t="s">
        <v>509</v>
      </c>
      <c r="F618" s="7">
        <f>EXPENSES!F114</f>
        <v>2304160.0597780002</v>
      </c>
      <c r="G618" s="7">
        <f>+Adjustments!V617</f>
        <v>0</v>
      </c>
      <c r="H618" s="7"/>
      <c r="I618" s="7">
        <f>SUM($F$618:$H$618)</f>
        <v>2304160.0597780002</v>
      </c>
      <c r="J618" s="7">
        <f>+I618-'ROR-Model'!I618</f>
        <v>0</v>
      </c>
      <c r="K618" s="7"/>
      <c r="L618" s="7" t="s">
        <v>23</v>
      </c>
      <c r="M618" s="7">
        <f>VLOOKUP($L618,$L$2:$N$7,2,FALSE)*I618</f>
        <v>0</v>
      </c>
      <c r="N618" s="7">
        <f>VLOOKUP($L618,$L$2:$N$7,3,FALSE)*I618</f>
        <v>2304160.0597780002</v>
      </c>
      <c r="O618" s="120"/>
      <c r="P618" s="192" t="s">
        <v>509</v>
      </c>
      <c r="Q618" s="7">
        <f>IF(P618="G",M618,IF(P618="PT",0,ERR))</f>
        <v>0</v>
      </c>
      <c r="R618" s="7">
        <f>IF(P618="PT",M618,IF(P618="G",0,ERR))</f>
        <v>0</v>
      </c>
      <c r="S618" s="126" t="s">
        <v>509</v>
      </c>
      <c r="T618" s="7">
        <f>IF(S618="G",N618,IF(S618="PT",0,ERR))</f>
        <v>0</v>
      </c>
      <c r="U618" s="7">
        <f>IF(S618="PT",N618,IF(S618="G",0,ERR))</f>
        <v>2304160.0597780002</v>
      </c>
      <c r="V618" s="124"/>
      <c r="W618" s="7">
        <f>HLOOKUP($W$9,'ROR-Model'!$Q$10:$U$1273,Y618)</f>
        <v>0</v>
      </c>
      <c r="X618" s="139"/>
      <c r="Y618" s="3">
        <f t="shared" si="36"/>
        <v>609</v>
      </c>
      <c r="AA618" s="7">
        <v>0</v>
      </c>
      <c r="AC618" s="7" t="str">
        <f t="shared" si="37"/>
        <v/>
      </c>
      <c r="AE618" s="42" t="str">
        <f t="shared" si="38"/>
        <v/>
      </c>
      <c r="AG618" s="162"/>
      <c r="AH618" s="10"/>
      <c r="AI618" s="10" t="s">
        <v>23</v>
      </c>
      <c r="AJ618" s="10"/>
    </row>
    <row r="619" spans="1:36">
      <c r="A619" s="137"/>
      <c r="B619" s="47"/>
      <c r="C619" s="47" t="s">
        <v>145</v>
      </c>
      <c r="D619" s="47"/>
      <c r="E619" s="140"/>
      <c r="F619" s="140">
        <f>SUM(F617:F618)</f>
        <v>72082502.700000003</v>
      </c>
      <c r="G619" s="140">
        <f>SUM(G617:G618)</f>
        <v>0</v>
      </c>
      <c r="H619" s="140">
        <f>SUM(H617:H618)</f>
        <v>0</v>
      </c>
      <c r="I619" s="140">
        <f>SUM(I617:I618)</f>
        <v>72082502.700000003</v>
      </c>
      <c r="J619" s="7">
        <f>+I619-'ROR-Model'!I619</f>
        <v>0</v>
      </c>
      <c r="K619" s="7"/>
      <c r="L619" s="140"/>
      <c r="M619" s="140">
        <f>SUM(M617:M618)</f>
        <v>69778342.640221998</v>
      </c>
      <c r="N619" s="140">
        <f>SUM(N617:N618)</f>
        <v>2304160.0597780002</v>
      </c>
      <c r="O619" s="120"/>
      <c r="P619" s="192"/>
      <c r="Q619" s="140">
        <f>SUM(Q617:Q618)</f>
        <v>0</v>
      </c>
      <c r="R619" s="140">
        <f>SUM(R617:R618)</f>
        <v>69778342.640221998</v>
      </c>
      <c r="S619" s="201"/>
      <c r="T619" s="140">
        <f>SUM(T617:T618)</f>
        <v>0</v>
      </c>
      <c r="U619" s="140">
        <f>SUM(U617:U618)</f>
        <v>2304160.0597780002</v>
      </c>
      <c r="V619" s="124"/>
      <c r="W619" s="140">
        <f>HLOOKUP($W$9,'ROR-Model'!$Q$10:$U$1273,Y619)</f>
        <v>0</v>
      </c>
      <c r="X619" s="139"/>
      <c r="Y619" s="3">
        <f t="shared" si="36"/>
        <v>610</v>
      </c>
      <c r="AA619" s="140">
        <v>0</v>
      </c>
      <c r="AC619" s="140" t="str">
        <f t="shared" si="37"/>
        <v/>
      </c>
      <c r="AE619" s="42" t="str">
        <f t="shared" si="38"/>
        <v/>
      </c>
      <c r="AG619" s="162"/>
      <c r="AH619" s="10"/>
      <c r="AI619" s="10" t="s">
        <v>145</v>
      </c>
      <c r="AJ619" s="10"/>
    </row>
    <row r="620" spans="1:36">
      <c r="A620" s="137"/>
      <c r="B620" s="47"/>
      <c r="C620" s="47"/>
      <c r="D620" s="47"/>
      <c r="E620" s="7"/>
      <c r="F620" s="7"/>
      <c r="G620" s="7"/>
      <c r="H620" s="7"/>
      <c r="I620" s="7"/>
      <c r="J620" s="7">
        <f>+I620-'ROR-Model'!I620</f>
        <v>0</v>
      </c>
      <c r="K620" s="7"/>
      <c r="L620" s="7"/>
      <c r="M620" s="7"/>
      <c r="N620" s="7"/>
      <c r="O620" s="120"/>
      <c r="P620" s="192"/>
      <c r="Q620" s="7"/>
      <c r="R620" s="7"/>
      <c r="S620" s="126"/>
      <c r="T620" s="7"/>
      <c r="U620" s="7"/>
      <c r="V620" s="124"/>
      <c r="W620" s="7"/>
      <c r="X620" s="139"/>
      <c r="Y620" s="3">
        <f t="shared" si="36"/>
        <v>611</v>
      </c>
      <c r="AA620" s="7"/>
      <c r="AC620" s="7" t="str">
        <f t="shared" si="37"/>
        <v/>
      </c>
      <c r="AE620" s="42" t="str">
        <f t="shared" si="38"/>
        <v/>
      </c>
      <c r="AG620" s="162"/>
      <c r="AH620" s="10"/>
      <c r="AI620" s="10"/>
      <c r="AJ620" s="10"/>
    </row>
    <row r="621" spans="1:36">
      <c r="A621" s="137">
        <v>858</v>
      </c>
      <c r="B621" s="47" t="s">
        <v>653</v>
      </c>
      <c r="C621" s="47"/>
      <c r="D621" s="47"/>
      <c r="E621" s="7"/>
      <c r="F621" s="7"/>
      <c r="G621" s="7"/>
      <c r="H621" s="7"/>
      <c r="I621" s="7"/>
      <c r="J621" s="7">
        <f>+I621-'ROR-Model'!I621</f>
        <v>0</v>
      </c>
      <c r="K621" s="7"/>
      <c r="L621" s="7"/>
      <c r="M621" s="7"/>
      <c r="N621" s="7"/>
      <c r="O621" s="120"/>
      <c r="P621" s="192"/>
      <c r="Q621" s="7"/>
      <c r="R621" s="7"/>
      <c r="S621" s="126"/>
      <c r="T621" s="7"/>
      <c r="U621" s="7"/>
      <c r="V621" s="124"/>
      <c r="W621" s="7"/>
      <c r="X621" s="139"/>
      <c r="Y621" s="3">
        <f t="shared" si="36"/>
        <v>612</v>
      </c>
      <c r="AA621" s="7"/>
      <c r="AC621" s="7" t="str">
        <f t="shared" si="37"/>
        <v/>
      </c>
      <c r="AE621" s="42" t="str">
        <f t="shared" si="38"/>
        <v/>
      </c>
      <c r="AG621" s="162">
        <v>858</v>
      </c>
      <c r="AH621" s="10" t="s">
        <v>653</v>
      </c>
      <c r="AI621" s="10"/>
      <c r="AJ621" s="10"/>
    </row>
    <row r="622" spans="1:36">
      <c r="A622" s="136"/>
      <c r="B622" s="47"/>
      <c r="C622" s="47" t="s">
        <v>12</v>
      </c>
      <c r="D622" s="47"/>
      <c r="E622" s="7" t="s">
        <v>509</v>
      </c>
      <c r="F622" s="7">
        <f>EXPENSES!F118</f>
        <v>0</v>
      </c>
      <c r="G622" s="7">
        <f>+Adjustments!V621</f>
        <v>0</v>
      </c>
      <c r="H622" s="7"/>
      <c r="I622" s="7">
        <f>SUM($F$622:$H$622)</f>
        <v>0</v>
      </c>
      <c r="J622" s="7">
        <f>+I622-'ROR-Model'!I622</f>
        <v>0</v>
      </c>
      <c r="K622" s="7"/>
      <c r="L622" s="7" t="s">
        <v>12</v>
      </c>
      <c r="M622" s="7">
        <f>VLOOKUP($L622,$L$2:$N$7,2,FALSE)*I622</f>
        <v>0</v>
      </c>
      <c r="N622" s="7">
        <f>VLOOKUP($L622,$L$2:$N$7,3,FALSE)*I622</f>
        <v>0</v>
      </c>
      <c r="O622" s="120"/>
      <c r="P622" s="192" t="s">
        <v>509</v>
      </c>
      <c r="Q622" s="7">
        <f>IF(P622="G",M622,IF(P622="PT",0,ERR))</f>
        <v>0</v>
      </c>
      <c r="R622" s="7">
        <f>IF(P622="PT",M622,IF(P622="G",0,ERR))</f>
        <v>0</v>
      </c>
      <c r="S622" s="126" t="s">
        <v>509</v>
      </c>
      <c r="T622" s="7">
        <f>IF(S622="G",N622,IF(S622="PT",0,ERR))</f>
        <v>0</v>
      </c>
      <c r="U622" s="7">
        <f>IF(S622="PT",N622,IF(S622="G",0,ERR))</f>
        <v>0</v>
      </c>
      <c r="V622" s="124"/>
      <c r="W622" s="7">
        <f>HLOOKUP($W$9,'ROR-Model'!$Q$10:$U$1273,Y622)</f>
        <v>0</v>
      </c>
      <c r="X622" s="139"/>
      <c r="Y622" s="3">
        <f t="shared" si="36"/>
        <v>613</v>
      </c>
      <c r="AA622" s="7">
        <v>0</v>
      </c>
      <c r="AC622" s="7" t="str">
        <f t="shared" si="37"/>
        <v/>
      </c>
      <c r="AE622" s="42" t="str">
        <f t="shared" si="38"/>
        <v/>
      </c>
      <c r="AG622" s="162"/>
      <c r="AH622" s="10"/>
      <c r="AI622" s="10" t="s">
        <v>12</v>
      </c>
      <c r="AJ622" s="10"/>
    </row>
    <row r="623" spans="1:36">
      <c r="A623" s="136"/>
      <c r="B623" s="47"/>
      <c r="C623" s="47" t="s">
        <v>23</v>
      </c>
      <c r="D623" s="47"/>
      <c r="E623" s="7" t="s">
        <v>509</v>
      </c>
      <c r="F623" s="7">
        <f>EXPENSES!F119</f>
        <v>0</v>
      </c>
      <c r="G623" s="7">
        <f>+Adjustments!V622</f>
        <v>0</v>
      </c>
      <c r="H623" s="7"/>
      <c r="I623" s="7">
        <f>SUM($F$623:$H$623)</f>
        <v>0</v>
      </c>
      <c r="J623" s="7">
        <f>+I623-'ROR-Model'!I623</f>
        <v>0</v>
      </c>
      <c r="K623" s="7"/>
      <c r="L623" s="7" t="s">
        <v>23</v>
      </c>
      <c r="M623" s="7">
        <f>VLOOKUP($L623,$L$2:$N$7,2,FALSE)*I623</f>
        <v>0</v>
      </c>
      <c r="N623" s="7">
        <f>VLOOKUP($L623,$L$2:$N$7,3,FALSE)*I623</f>
        <v>0</v>
      </c>
      <c r="O623" s="120"/>
      <c r="P623" s="192" t="s">
        <v>509</v>
      </c>
      <c r="Q623" s="7">
        <f>IF(P623="G",M623,IF(P623="PT",0,ERR))</f>
        <v>0</v>
      </c>
      <c r="R623" s="7">
        <f>IF(P623="PT",M623,IF(P623="G",0,ERR))</f>
        <v>0</v>
      </c>
      <c r="S623" s="126" t="s">
        <v>509</v>
      </c>
      <c r="T623" s="7">
        <f>IF(S623="G",N623,IF(S623="PT",0,ERR))</f>
        <v>0</v>
      </c>
      <c r="U623" s="7">
        <f>IF(S623="PT",N623,IF(S623="G",0,ERR))</f>
        <v>0</v>
      </c>
      <c r="V623" s="124"/>
      <c r="W623" s="7">
        <f>HLOOKUP($W$9,'ROR-Model'!$Q$10:$U$1273,Y623)</f>
        <v>0</v>
      </c>
      <c r="X623" s="139"/>
      <c r="Y623" s="3">
        <f t="shared" si="36"/>
        <v>614</v>
      </c>
      <c r="AA623" s="7">
        <v>0</v>
      </c>
      <c r="AC623" s="7" t="str">
        <f t="shared" si="37"/>
        <v/>
      </c>
      <c r="AE623" s="42" t="str">
        <f t="shared" si="38"/>
        <v/>
      </c>
      <c r="AG623" s="162"/>
      <c r="AH623" s="10"/>
      <c r="AI623" s="10" t="s">
        <v>23</v>
      </c>
      <c r="AJ623" s="10"/>
    </row>
    <row r="624" spans="1:36">
      <c r="A624" s="136"/>
      <c r="B624" s="47"/>
      <c r="C624" s="47" t="s">
        <v>145</v>
      </c>
      <c r="D624" s="47"/>
      <c r="E624" s="140"/>
      <c r="F624" s="140">
        <f>SUM(F622:F623)</f>
        <v>0</v>
      </c>
      <c r="G624" s="140">
        <f>SUM(G622:G623)</f>
        <v>0</v>
      </c>
      <c r="H624" s="140">
        <f>SUM(H622:H623)</f>
        <v>0</v>
      </c>
      <c r="I624" s="140">
        <f>SUM(I622:I623)</f>
        <v>0</v>
      </c>
      <c r="J624" s="7">
        <f>+I624-'ROR-Model'!I624</f>
        <v>0</v>
      </c>
      <c r="K624" s="7"/>
      <c r="L624" s="140"/>
      <c r="M624" s="140">
        <f>SUM(M622:M623)</f>
        <v>0</v>
      </c>
      <c r="N624" s="140">
        <f>SUM(N622:N623)</f>
        <v>0</v>
      </c>
      <c r="O624" s="120"/>
      <c r="P624" s="201"/>
      <c r="Q624" s="140">
        <f>SUM(Q622:Q623)</f>
        <v>0</v>
      </c>
      <c r="R624" s="140">
        <f>SUM(R622:R623)</f>
        <v>0</v>
      </c>
      <c r="S624" s="201"/>
      <c r="T624" s="140">
        <f>SUM(T622:T623)</f>
        <v>0</v>
      </c>
      <c r="U624" s="140">
        <f>SUM(U622:U623)</f>
        <v>0</v>
      </c>
      <c r="V624" s="124"/>
      <c r="W624" s="140">
        <f>HLOOKUP($W$9,'ROR-Model'!$Q$10:$U$1273,Y624)</f>
        <v>0</v>
      </c>
      <c r="X624" s="139"/>
      <c r="Y624" s="3">
        <f t="shared" si="36"/>
        <v>615</v>
      </c>
      <c r="AA624" s="140">
        <v>0</v>
      </c>
      <c r="AC624" s="140" t="str">
        <f t="shared" si="37"/>
        <v/>
      </c>
      <c r="AE624" s="42" t="str">
        <f t="shared" si="38"/>
        <v/>
      </c>
      <c r="AG624" s="162"/>
      <c r="AH624" s="10"/>
      <c r="AI624" s="10" t="s">
        <v>145</v>
      </c>
      <c r="AJ624" s="10"/>
    </row>
    <row r="625" spans="1:36">
      <c r="A625" s="136"/>
      <c r="B625" s="47"/>
      <c r="C625" s="47"/>
      <c r="D625" s="47"/>
      <c r="E625" s="7"/>
      <c r="F625" s="7"/>
      <c r="G625" s="7"/>
      <c r="H625" s="7"/>
      <c r="I625" s="7"/>
      <c r="J625" s="7">
        <f>+I625-'ROR-Model'!I625</f>
        <v>0</v>
      </c>
      <c r="K625" s="7"/>
      <c r="L625" s="7"/>
      <c r="M625" s="7"/>
      <c r="N625" s="7"/>
      <c r="O625" s="120"/>
      <c r="P625" s="126"/>
      <c r="Q625" s="7"/>
      <c r="R625" s="7"/>
      <c r="S625" s="126"/>
      <c r="T625" s="7"/>
      <c r="U625" s="7"/>
      <c r="V625" s="124"/>
      <c r="W625" s="7"/>
      <c r="X625" s="139"/>
      <c r="Y625" s="3">
        <f t="shared" si="36"/>
        <v>616</v>
      </c>
      <c r="AA625" s="7"/>
      <c r="AC625" s="7" t="str">
        <f t="shared" si="37"/>
        <v/>
      </c>
      <c r="AE625" s="42" t="str">
        <f t="shared" si="38"/>
        <v/>
      </c>
      <c r="AG625" s="162"/>
      <c r="AH625" s="10"/>
      <c r="AI625" s="10"/>
      <c r="AJ625" s="10"/>
    </row>
    <row r="626" spans="1:36">
      <c r="A626" s="136"/>
      <c r="B626" s="152" t="s">
        <v>254</v>
      </c>
      <c r="C626" s="47"/>
      <c r="D626" s="47"/>
      <c r="E626" s="7"/>
      <c r="F626" s="7"/>
      <c r="G626" s="7"/>
      <c r="H626" s="7"/>
      <c r="I626" s="7"/>
      <c r="J626" s="7">
        <f>+I626-'ROR-Model'!I626</f>
        <v>0</v>
      </c>
      <c r="K626" s="7"/>
      <c r="L626" s="7"/>
      <c r="M626" s="7"/>
      <c r="N626" s="7"/>
      <c r="O626" s="120"/>
      <c r="P626" s="126"/>
      <c r="Q626" s="7"/>
      <c r="R626" s="7"/>
      <c r="S626" s="126"/>
      <c r="T626" s="7"/>
      <c r="U626" s="7"/>
      <c r="V626" s="124"/>
      <c r="W626" s="7"/>
      <c r="X626" s="139"/>
      <c r="Y626" s="3">
        <f t="shared" si="36"/>
        <v>617</v>
      </c>
      <c r="AA626" s="7"/>
      <c r="AC626" s="7" t="str">
        <f t="shared" si="37"/>
        <v/>
      </c>
      <c r="AE626" s="42" t="str">
        <f t="shared" si="38"/>
        <v/>
      </c>
      <c r="AG626" s="162"/>
      <c r="AH626" s="10" t="s">
        <v>254</v>
      </c>
      <c r="AI626" s="10"/>
      <c r="AJ626" s="10"/>
    </row>
    <row r="627" spans="1:36">
      <c r="A627" s="136"/>
      <c r="B627" s="47"/>
      <c r="C627" s="47" t="s">
        <v>252</v>
      </c>
      <c r="D627" s="47"/>
      <c r="E627" s="7" t="s">
        <v>510</v>
      </c>
      <c r="F627" s="7">
        <v>0</v>
      </c>
      <c r="G627" s="7">
        <f>+Adjustments!V626</f>
        <v>0</v>
      </c>
      <c r="H627" s="7"/>
      <c r="I627" s="7">
        <f>SUM($F$627:$H$627)</f>
        <v>0</v>
      </c>
      <c r="J627" s="7">
        <f>+I627-'ROR-Model'!I627</f>
        <v>0</v>
      </c>
      <c r="K627" s="7"/>
      <c r="L627" s="7" t="s">
        <v>12</v>
      </c>
      <c r="M627" s="7">
        <f>VLOOKUP($L627,$L$2:$N$7,2,FALSE)*I627</f>
        <v>0</v>
      </c>
      <c r="N627" s="7">
        <f>VLOOKUP($L627,$L$2:$N$7,3,FALSE)*I627</f>
        <v>0</v>
      </c>
      <c r="O627" s="120"/>
      <c r="P627" s="192" t="s">
        <v>510</v>
      </c>
      <c r="Q627" s="7">
        <f>IF(P627="G",M627,IF(P627="PT",0,ERR))</f>
        <v>0</v>
      </c>
      <c r="R627" s="7">
        <f>IF(P627="PT",M627,IF(P627="G",0,ERR))</f>
        <v>0</v>
      </c>
      <c r="S627" s="192" t="s">
        <v>510</v>
      </c>
      <c r="T627" s="7">
        <f>IF(S627="G",N627,IF(S627="PT",0,ERR))</f>
        <v>0</v>
      </c>
      <c r="U627" s="7">
        <f>IF(S627="PT",N627,IF(S627="G",0,ERR))</f>
        <v>0</v>
      </c>
      <c r="V627" s="124"/>
      <c r="W627" s="7">
        <f>HLOOKUP($W$9,'ROR-Model'!$Q$10:$U$1273,Y627)</f>
        <v>0</v>
      </c>
      <c r="X627" s="139"/>
      <c r="Y627" s="3">
        <f t="shared" si="36"/>
        <v>618</v>
      </c>
      <c r="AA627" s="7">
        <v>0</v>
      </c>
      <c r="AC627" s="7" t="str">
        <f t="shared" si="37"/>
        <v/>
      </c>
      <c r="AE627" s="42" t="str">
        <f t="shared" si="38"/>
        <v/>
      </c>
      <c r="AG627" s="162"/>
      <c r="AH627" s="10"/>
      <c r="AI627" s="10" t="s">
        <v>252</v>
      </c>
      <c r="AJ627" s="10"/>
    </row>
    <row r="628" spans="1:36">
      <c r="A628" s="136"/>
      <c r="B628" s="47"/>
      <c r="C628" s="47" t="s">
        <v>253</v>
      </c>
      <c r="D628" s="47"/>
      <c r="E628" s="7" t="s">
        <v>510</v>
      </c>
      <c r="F628" s="7">
        <v>0</v>
      </c>
      <c r="G628" s="7">
        <f>+Adjustments!V627</f>
        <v>0</v>
      </c>
      <c r="H628" s="7"/>
      <c r="I628" s="7">
        <f>SUM($F$628:$H$628)</f>
        <v>0</v>
      </c>
      <c r="J628" s="7">
        <f>+I628-'ROR-Model'!I628</f>
        <v>0</v>
      </c>
      <c r="K628" s="7"/>
      <c r="L628" s="7" t="s">
        <v>23</v>
      </c>
      <c r="M628" s="7">
        <f>VLOOKUP($L628,$L$2:$N$7,2,FALSE)*I628</f>
        <v>0</v>
      </c>
      <c r="N628" s="7">
        <f>VLOOKUP($L628,$L$2:$N$7,3,FALSE)*I628</f>
        <v>0</v>
      </c>
      <c r="O628" s="120"/>
      <c r="P628" s="192" t="s">
        <v>510</v>
      </c>
      <c r="Q628" s="7">
        <f>IF(P628="G",M628,IF(P628="PT",0,ERR))</f>
        <v>0</v>
      </c>
      <c r="R628" s="7">
        <f>IF(P628="PT",M628,IF(P628="G",0,ERR))</f>
        <v>0</v>
      </c>
      <c r="S628" s="192" t="s">
        <v>510</v>
      </c>
      <c r="T628" s="7">
        <f>IF(S628="G",N628,IF(S628="PT",0,ERR))</f>
        <v>0</v>
      </c>
      <c r="U628" s="7">
        <f>IF(S628="PT",N628,IF(S628="G",0,ERR))</f>
        <v>0</v>
      </c>
      <c r="V628" s="124"/>
      <c r="W628" s="7">
        <f>HLOOKUP($W$9,'ROR-Model'!$Q$10:$U$1273,Y628)</f>
        <v>0</v>
      </c>
      <c r="X628" s="139"/>
      <c r="Y628" s="3">
        <f t="shared" si="36"/>
        <v>619</v>
      </c>
      <c r="AA628" s="7">
        <v>0</v>
      </c>
      <c r="AC628" s="7" t="str">
        <f t="shared" si="37"/>
        <v/>
      </c>
      <c r="AE628" s="42" t="str">
        <f t="shared" si="38"/>
        <v/>
      </c>
      <c r="AG628" s="162"/>
      <c r="AH628" s="10"/>
      <c r="AI628" s="10" t="s">
        <v>253</v>
      </c>
      <c r="AJ628" s="10"/>
    </row>
    <row r="629" spans="1:36">
      <c r="A629" s="136"/>
      <c r="B629" s="47"/>
      <c r="C629" s="47" t="s">
        <v>145</v>
      </c>
      <c r="D629" s="47"/>
      <c r="E629" s="140"/>
      <c r="F629" s="140">
        <f>SUM(F627:F628)</f>
        <v>0</v>
      </c>
      <c r="G629" s="140">
        <f>SUM(G627:G628)</f>
        <v>0</v>
      </c>
      <c r="H629" s="140">
        <f>SUM(H627:H628)</f>
        <v>0</v>
      </c>
      <c r="I629" s="140">
        <f>SUM(I627:I628)</f>
        <v>0</v>
      </c>
      <c r="J629" s="7">
        <f>+I629-'ROR-Model'!I629</f>
        <v>0</v>
      </c>
      <c r="K629" s="7"/>
      <c r="L629" s="140"/>
      <c r="M629" s="140">
        <f>SUM(M627:M628)</f>
        <v>0</v>
      </c>
      <c r="N629" s="140">
        <f>SUM(N627:N628)</f>
        <v>0</v>
      </c>
      <c r="O629" s="120"/>
      <c r="P629" s="201"/>
      <c r="Q629" s="140">
        <f>SUM(Q627:Q628)</f>
        <v>0</v>
      </c>
      <c r="R629" s="140">
        <f>SUM(R627:R628)</f>
        <v>0</v>
      </c>
      <c r="S629" s="201"/>
      <c r="T629" s="140">
        <f>SUM(T627:T628)</f>
        <v>0</v>
      </c>
      <c r="U629" s="140">
        <f>SUM(U627:U628)</f>
        <v>0</v>
      </c>
      <c r="V629" s="124"/>
      <c r="W629" s="140">
        <f>HLOOKUP($W$9,'ROR-Model'!$Q$10:$U$1273,Y629)</f>
        <v>0</v>
      </c>
      <c r="X629" s="139"/>
      <c r="Y629" s="3">
        <f t="shared" si="36"/>
        <v>620</v>
      </c>
      <c r="AA629" s="140">
        <v>0</v>
      </c>
      <c r="AC629" s="140" t="str">
        <f t="shared" si="37"/>
        <v/>
      </c>
      <c r="AE629" s="42" t="str">
        <f t="shared" si="38"/>
        <v/>
      </c>
      <c r="AG629" s="162"/>
      <c r="AH629" s="10"/>
      <c r="AI629" s="10" t="s">
        <v>145</v>
      </c>
      <c r="AJ629" s="10"/>
    </row>
    <row r="630" spans="1:36" ht="13.5" thickBot="1">
      <c r="A630" s="136"/>
      <c r="B630" s="47"/>
      <c r="C630" s="47"/>
      <c r="D630" s="47"/>
      <c r="E630" s="24"/>
      <c r="F630" s="24"/>
      <c r="G630" s="24"/>
      <c r="H630" s="24"/>
      <c r="I630" s="24"/>
      <c r="J630" s="7">
        <f>+I630-'ROR-Model'!I630</f>
        <v>0</v>
      </c>
      <c r="K630" s="7"/>
      <c r="L630" s="24"/>
      <c r="M630" s="24"/>
      <c r="N630" s="24"/>
      <c r="O630" s="120"/>
      <c r="P630" s="202"/>
      <c r="Q630" s="24"/>
      <c r="R630" s="24"/>
      <c r="S630" s="202"/>
      <c r="T630" s="24"/>
      <c r="U630" s="24"/>
      <c r="V630" s="124"/>
      <c r="W630" s="24"/>
      <c r="X630" s="139"/>
      <c r="Y630" s="3">
        <f t="shared" si="36"/>
        <v>621</v>
      </c>
      <c r="AA630" s="24"/>
      <c r="AC630" s="24" t="str">
        <f t="shared" si="37"/>
        <v/>
      </c>
      <c r="AE630" s="42" t="str">
        <f t="shared" si="38"/>
        <v/>
      </c>
      <c r="AG630" s="162"/>
      <c r="AH630" s="10"/>
      <c r="AI630" s="10"/>
      <c r="AJ630" s="10"/>
    </row>
    <row r="631" spans="1:36" ht="13.5" thickTop="1">
      <c r="A631" s="167" t="s">
        <v>511</v>
      </c>
      <c r="B631" s="49"/>
      <c r="C631" s="49"/>
      <c r="D631" s="47"/>
      <c r="E631" s="7"/>
      <c r="F631" s="7"/>
      <c r="G631" s="7"/>
      <c r="H631" s="7"/>
      <c r="I631" s="7"/>
      <c r="J631" s="7">
        <f>+I631-'ROR-Model'!I631</f>
        <v>0</v>
      </c>
      <c r="K631" s="7"/>
      <c r="L631" s="7"/>
      <c r="M631" s="7"/>
      <c r="N631" s="7"/>
      <c r="O631" s="120"/>
      <c r="P631" s="126"/>
      <c r="Q631" s="7"/>
      <c r="R631" s="7"/>
      <c r="S631" s="126"/>
      <c r="T631" s="7"/>
      <c r="U631" s="7"/>
      <c r="V631" s="124"/>
      <c r="W631" s="7"/>
      <c r="X631" s="139"/>
      <c r="Y631" s="3">
        <f t="shared" si="36"/>
        <v>622</v>
      </c>
      <c r="AA631" s="7"/>
      <c r="AC631" s="7" t="str">
        <f t="shared" si="37"/>
        <v/>
      </c>
      <c r="AE631" s="42" t="str">
        <f t="shared" si="38"/>
        <v/>
      </c>
      <c r="AG631" s="162" t="s">
        <v>511</v>
      </c>
      <c r="AH631" s="10"/>
      <c r="AI631" s="10"/>
      <c r="AJ631" s="10"/>
    </row>
    <row r="632" spans="1:36">
      <c r="B632" s="49" t="s">
        <v>640</v>
      </c>
      <c r="C632" s="49"/>
      <c r="D632" s="47"/>
      <c r="E632" s="7"/>
      <c r="F632" s="7">
        <f>F537+F629</f>
        <v>0</v>
      </c>
      <c r="G632" s="7">
        <f>G537+G629</f>
        <v>0</v>
      </c>
      <c r="H632" s="7">
        <f>H537+H629</f>
        <v>0</v>
      </c>
      <c r="I632" s="7">
        <f>I537+I629</f>
        <v>0</v>
      </c>
      <c r="J632" s="7">
        <f>+I632-'ROR-Model'!I632</f>
        <v>0</v>
      </c>
      <c r="K632" s="7"/>
      <c r="L632" s="7"/>
      <c r="M632" s="7">
        <f>M537+M629</f>
        <v>0</v>
      </c>
      <c r="N632" s="7">
        <f>N537+N629</f>
        <v>0</v>
      </c>
      <c r="O632" s="120"/>
      <c r="P632" s="126"/>
      <c r="Q632" s="7">
        <f>Q537+Q629</f>
        <v>0</v>
      </c>
      <c r="R632" s="7">
        <f>R537+R629</f>
        <v>0</v>
      </c>
      <c r="S632" s="7"/>
      <c r="T632" s="7">
        <f>T537+T629</f>
        <v>0</v>
      </c>
      <c r="U632" s="7">
        <f>U537+U629</f>
        <v>0</v>
      </c>
      <c r="V632" s="124"/>
      <c r="W632" s="7">
        <f>HLOOKUP($W$9,'ROR-Model'!$Q$10:$U$1273,Y632)</f>
        <v>0</v>
      </c>
      <c r="X632" s="139"/>
      <c r="Y632" s="3">
        <f t="shared" si="36"/>
        <v>623</v>
      </c>
      <c r="AA632" s="7">
        <v>0</v>
      </c>
      <c r="AC632" s="7" t="str">
        <f t="shared" si="37"/>
        <v/>
      </c>
      <c r="AE632" s="42" t="str">
        <f t="shared" si="38"/>
        <v/>
      </c>
      <c r="AH632" s="10" t="s">
        <v>640</v>
      </c>
      <c r="AI632" s="10"/>
      <c r="AJ632" s="10"/>
    </row>
    <row r="633" spans="1:36">
      <c r="B633" s="49" t="s">
        <v>641</v>
      </c>
      <c r="C633" s="49"/>
      <c r="D633" s="47"/>
      <c r="E633" s="7"/>
      <c r="F633" s="7">
        <f>F522+F527+F532+F542+F547+F552+F557+F562+F567+F572+F577+F582+F587+F592+F597+F602+F607+F612+F617+F622</f>
        <v>1054290747.1650131</v>
      </c>
      <c r="G633" s="7">
        <f>G522+G527+G532+G542+G547+G552+G557+G562+G567+G572+G577+G582+G587+G592+G597+G602+G607+G612+G617+G622</f>
        <v>0</v>
      </c>
      <c r="H633" s="7">
        <f>H522+H527+H532+H542+H547+H552+H557+H562+H567+H572+H577+H582+H587+H592+H597+H602+H607+H612+H617+H622</f>
        <v>0</v>
      </c>
      <c r="I633" s="7">
        <f>I522+I527+I532+I542+I547+I552+I557+I562+I567+I572+I577+I582+I587+I592+I597+I602+I607+I612+I617+I622</f>
        <v>1054290747.1650131</v>
      </c>
      <c r="J633" s="7">
        <f>+I633-'ROR-Model'!I633</f>
        <v>0</v>
      </c>
      <c r="K633" s="7"/>
      <c r="L633" s="7"/>
      <c r="M633" s="7">
        <f>M522+M527+M532+M542+M547+M552+M557+M562+M567+M572+M577+M582+M587+M592+M597+M602+M607+M612+M617+M622</f>
        <v>1054290747.1650131</v>
      </c>
      <c r="N633" s="7">
        <f>N522+N527+N532+N542+N547+N552+N557+N562+N567+N572+N577+N582+N587+N592+N597+N602+N607+N612+N617+N622</f>
        <v>0</v>
      </c>
      <c r="O633" s="120"/>
      <c r="P633" s="126"/>
      <c r="Q633" s="7">
        <f>Q522+Q527+Q532+Q542+Q547+Q552+Q557+Q562+Q567+Q572+Q577+Q582+Q587+Q592+Q597+Q602+Q607+Q612+Q617+Q622</f>
        <v>0</v>
      </c>
      <c r="R633" s="7">
        <f>R522+R527+R532+R542+R547+R552+R557+R562+R567+R572+R577+R582+R587+R592+R597+R602+R607+R612+R617+R622</f>
        <v>1054290747.1650131</v>
      </c>
      <c r="S633" s="7"/>
      <c r="T633" s="7">
        <f>T522+T527+T532+T542+T547+T552+T557+T562+T567+T572+T577+T582+T587+T592+T597+T602+T607+T612+T617+T622</f>
        <v>0</v>
      </c>
      <c r="U633" s="7">
        <f>U522+U527+U532+U542+U547+U552+U557+U562+U567+U572+U577+U582+U587+U592+U597+U602+U607+U612+U617+U622</f>
        <v>0</v>
      </c>
      <c r="V633" s="124"/>
      <c r="W633" s="7">
        <f>HLOOKUP($W$9,'ROR-Model'!$Q$10:$U$1273,Y633)</f>
        <v>0</v>
      </c>
      <c r="X633" s="139"/>
      <c r="Y633" s="3">
        <f t="shared" si="36"/>
        <v>624</v>
      </c>
      <c r="AA633" s="7">
        <v>0</v>
      </c>
      <c r="AC633" s="7" t="str">
        <f t="shared" si="37"/>
        <v/>
      </c>
      <c r="AE633" s="42" t="str">
        <f t="shared" si="38"/>
        <v/>
      </c>
      <c r="AH633" s="10" t="s">
        <v>641</v>
      </c>
      <c r="AI633" s="10"/>
      <c r="AJ633" s="10"/>
    </row>
    <row r="634" spans="1:36">
      <c r="B634" s="49"/>
      <c r="C634" s="49"/>
      <c r="D634" s="47"/>
      <c r="E634" s="7"/>
      <c r="F634" s="7"/>
      <c r="G634" s="7"/>
      <c r="H634" s="7"/>
      <c r="I634" s="7"/>
      <c r="J634" s="7">
        <f>+I634-'ROR-Model'!I634</f>
        <v>0</v>
      </c>
      <c r="K634" s="7"/>
      <c r="L634" s="7"/>
      <c r="M634" s="7"/>
      <c r="N634" s="7"/>
      <c r="O634" s="120"/>
      <c r="P634" s="126"/>
      <c r="Q634" s="7"/>
      <c r="R634" s="7"/>
      <c r="S634" s="7"/>
      <c r="T634" s="7"/>
      <c r="U634" s="7"/>
      <c r="V634" s="124"/>
      <c r="W634" s="7"/>
      <c r="X634" s="139"/>
      <c r="Y634" s="3">
        <f t="shared" si="36"/>
        <v>625</v>
      </c>
      <c r="AA634" s="7"/>
      <c r="AC634" s="7" t="str">
        <f t="shared" si="37"/>
        <v/>
      </c>
      <c r="AE634" s="42" t="str">
        <f t="shared" si="38"/>
        <v/>
      </c>
      <c r="AH634" s="10"/>
      <c r="AI634" s="10"/>
      <c r="AJ634" s="10"/>
    </row>
    <row r="635" spans="1:36">
      <c r="B635" s="49" t="s">
        <v>645</v>
      </c>
      <c r="C635" s="49"/>
      <c r="D635" s="47"/>
      <c r="E635" s="7"/>
      <c r="F635" s="7">
        <f>F523+F528+F533+F538+F543+F548+F553+F558+F563+F568+F573+F578+F583+F588+F593+F598+F603+F608+F618+F623+F613</f>
        <v>35159710.494987026</v>
      </c>
      <c r="G635" s="7">
        <f>G523+G528+G533+G538+G543+G548+G553+G558+G563+G568+G573+G578+G583+G588+G593+G598+G603+G608+G618+G623+G613</f>
        <v>0</v>
      </c>
      <c r="H635" s="7">
        <f>H523+H528+H533+H538+H543+H548+H553+H558+H563+H568+H573+H578+H583+H588+H593+H598+H603+H608+H618+H623+H613</f>
        <v>0</v>
      </c>
      <c r="I635" s="7">
        <f>I523+I528+I533+I538+I543+I548+I553+I558+I563+I568+I573+I578+I583+I588+I593+I598+I603+I608+I618+I623+I613</f>
        <v>35159710.494987026</v>
      </c>
      <c r="J635" s="7">
        <f>+I635-'ROR-Model'!I635</f>
        <v>0</v>
      </c>
      <c r="K635" s="7"/>
      <c r="L635" s="7"/>
      <c r="M635" s="7">
        <f>M523+M528+M533+M538+M543+M548+M553+M558+M563+M568+M573+M578+M583+M588+M593+M598+M603+M608+M618+M623+M613</f>
        <v>0</v>
      </c>
      <c r="N635" s="7">
        <f>N523+N528+N533+N538+N543+N548+N553+N558+N563+N568+N573+N578+N583+N588+N593+N598+N603+N608+N618+N623+N613</f>
        <v>35159710.494987026</v>
      </c>
      <c r="O635" s="120"/>
      <c r="P635" s="126"/>
      <c r="Q635" s="7">
        <f>Q523+Q528+Q533+Q538+Q543+Q548+Q553+Q558+Q563+Q568+Q573+Q578+Q583+Q588+Q593+Q598+Q603+Q608+Q618+Q623+Q613</f>
        <v>0</v>
      </c>
      <c r="R635" s="7">
        <f>R523+R528+R533+R538+R543+R548+R553+R558+R563+R568+R573+R578+R583+R588+R593+R598+R603+R608+R618+R623+R613</f>
        <v>0</v>
      </c>
      <c r="S635" s="7"/>
      <c r="T635" s="7">
        <f>T523+T528+T533+T538+T543+T548+T553+T558+T563+T568+T573+T578+T583+T588+T593+T598+T603+T608+T618+T623+T613</f>
        <v>0</v>
      </c>
      <c r="U635" s="7">
        <f>U523+U528+U533+U538+U543+U548+U553+U558+U563+U568+U573+U578+U583+U588+U593+U598+U603+U608+U618+U623+U613</f>
        <v>35159710.494987026</v>
      </c>
      <c r="V635" s="124"/>
      <c r="W635" s="7">
        <f>HLOOKUP($W$9,'ROR-Model'!$Q$10:$U$1273,Y635)</f>
        <v>0</v>
      </c>
      <c r="X635" s="139"/>
      <c r="Y635" s="3">
        <f t="shared" si="36"/>
        <v>626</v>
      </c>
      <c r="AA635" s="7">
        <v>0</v>
      </c>
      <c r="AC635" s="7" t="str">
        <f t="shared" si="37"/>
        <v/>
      </c>
      <c r="AE635" s="42" t="str">
        <f t="shared" si="38"/>
        <v/>
      </c>
      <c r="AH635" s="10" t="s">
        <v>645</v>
      </c>
      <c r="AI635" s="10"/>
      <c r="AJ635" s="10"/>
    </row>
    <row r="636" spans="1:36">
      <c r="B636" s="49" t="s">
        <v>642</v>
      </c>
      <c r="C636" s="49"/>
      <c r="D636" s="47"/>
      <c r="E636" s="7"/>
      <c r="F636" s="7">
        <f>+(F201+F202+F230+F231+F501)-F633</f>
        <v>3890861.847587347</v>
      </c>
      <c r="G636" s="7">
        <f>+(G201+G202+G230+G231+G501)-G633</f>
        <v>0</v>
      </c>
      <c r="H636" s="7">
        <f>+(H201+H202+H230+H231+H501)-H633</f>
        <v>0</v>
      </c>
      <c r="I636" s="7">
        <f>+(I201+I202+I230+I231+I501)-I633</f>
        <v>3890861.847587347</v>
      </c>
      <c r="J636" s="7">
        <f>+I636-'ROR-Model'!I636</f>
        <v>0</v>
      </c>
      <c r="K636" s="7"/>
      <c r="L636" s="7"/>
      <c r="M636" s="7">
        <f>+(M201+M202+M230+M231+M501)-M633</f>
        <v>3890861.847587347</v>
      </c>
      <c r="N636" s="7">
        <f>+(N201+N202+N230+N231+N501)-N633</f>
        <v>0</v>
      </c>
      <c r="O636" s="120"/>
      <c r="P636" s="126"/>
      <c r="Q636" s="7">
        <f>+(Q201+Q202+Q230+Q231+Q501)-Q633</f>
        <v>0</v>
      </c>
      <c r="R636" s="7">
        <f>+(R201+R202+R230+R231+R501)-R633</f>
        <v>3890861.847587347</v>
      </c>
      <c r="S636" s="7"/>
      <c r="T636" s="7">
        <f>+(T201+T202+T230+T231+T501)-T633</f>
        <v>0</v>
      </c>
      <c r="U636" s="7">
        <f>+(U201+U202+U230+U231+U501)-U633</f>
        <v>0</v>
      </c>
      <c r="V636" s="124"/>
      <c r="W636" s="7">
        <f>HLOOKUP($W$9,'ROR-Model'!$Q$10:$U$1273,Y636)</f>
        <v>0</v>
      </c>
      <c r="X636" s="139"/>
      <c r="Y636" s="3">
        <f t="shared" si="36"/>
        <v>627</v>
      </c>
      <c r="AA636" s="7">
        <v>0</v>
      </c>
      <c r="AC636" s="7" t="str">
        <f t="shared" si="37"/>
        <v/>
      </c>
      <c r="AE636" s="42" t="str">
        <f t="shared" si="38"/>
        <v/>
      </c>
      <c r="AH636" s="10" t="s">
        <v>642</v>
      </c>
      <c r="AI636" s="10"/>
      <c r="AJ636" s="10"/>
    </row>
    <row r="637" spans="1:36">
      <c r="B637" s="49" t="s">
        <v>643</v>
      </c>
      <c r="C637" s="49"/>
      <c r="D637" s="47"/>
      <c r="E637" s="7"/>
      <c r="F637" s="7">
        <f>+(F324+F326+F354+F505)-F635</f>
        <v>-1230530.4220307246</v>
      </c>
      <c r="G637" s="7">
        <f>+(G324+G326+G354+G505)-G635</f>
        <v>0</v>
      </c>
      <c r="H637" s="7">
        <f>+(H324+H326+H354+H505)-H635</f>
        <v>0</v>
      </c>
      <c r="I637" s="7">
        <f>+(I324+I326+I354+I505)-I635</f>
        <v>-1230530.4220307246</v>
      </c>
      <c r="J637" s="7">
        <f>+I637-'ROR-Model'!I637</f>
        <v>0</v>
      </c>
      <c r="K637" s="7"/>
      <c r="L637" s="7"/>
      <c r="M637" s="7">
        <f>+(M324+M326+M354+M505)-M635</f>
        <v>0</v>
      </c>
      <c r="N637" s="7">
        <f>+(N324+N326+N354+N505)-N635</f>
        <v>-1230530.4220307246</v>
      </c>
      <c r="O637" s="120"/>
      <c r="P637" s="126"/>
      <c r="Q637" s="7">
        <f>+(Q324+Q326+Q354+Q505)-Q635</f>
        <v>0</v>
      </c>
      <c r="R637" s="7">
        <f>+(R324+R326+R354+R505)-R635</f>
        <v>0</v>
      </c>
      <c r="S637" s="7"/>
      <c r="T637" s="7">
        <f>+(T324+T326+T354+T505)-T635</f>
        <v>0</v>
      </c>
      <c r="U637" s="7">
        <f>+(U324+U326+U354+U505)-U635</f>
        <v>-1230530.4220307246</v>
      </c>
      <c r="V637" s="124"/>
      <c r="W637" s="7">
        <f>HLOOKUP($W$9,'ROR-Model'!$Q$10:$U$1273,Y637)</f>
        <v>0</v>
      </c>
      <c r="X637" s="139"/>
      <c r="Y637" s="3">
        <f t="shared" si="36"/>
        <v>628</v>
      </c>
      <c r="AA637" s="7">
        <v>0</v>
      </c>
      <c r="AC637" s="7" t="str">
        <f t="shared" si="37"/>
        <v/>
      </c>
      <c r="AE637" s="42" t="str">
        <f t="shared" si="38"/>
        <v/>
      </c>
      <c r="AH637" s="10" t="s">
        <v>643</v>
      </c>
      <c r="AI637" s="10"/>
      <c r="AJ637" s="10"/>
    </row>
    <row r="638" spans="1:36" ht="13.5" thickBot="1">
      <c r="A638" s="49"/>
      <c r="B638" s="49"/>
      <c r="C638" s="49"/>
      <c r="D638" s="47"/>
      <c r="E638" s="24"/>
      <c r="F638" s="24"/>
      <c r="G638" s="24"/>
      <c r="H638" s="24"/>
      <c r="I638" s="24"/>
      <c r="J638" s="7">
        <f>+I638-'ROR-Model'!I638</f>
        <v>0</v>
      </c>
      <c r="K638" s="7"/>
      <c r="L638" s="24"/>
      <c r="M638" s="24"/>
      <c r="N638" s="24"/>
      <c r="O638" s="120"/>
      <c r="P638" s="202"/>
      <c r="Q638" s="24"/>
      <c r="R638" s="24"/>
      <c r="S638" s="202"/>
      <c r="T638" s="24"/>
      <c r="U638" s="24"/>
      <c r="V638" s="124"/>
      <c r="W638" s="24"/>
      <c r="X638" s="139"/>
      <c r="Y638" s="3">
        <f t="shared" si="36"/>
        <v>629</v>
      </c>
      <c r="AA638" s="24"/>
      <c r="AC638" s="24" t="str">
        <f t="shared" si="37"/>
        <v/>
      </c>
      <c r="AE638" s="42" t="str">
        <f t="shared" si="38"/>
        <v/>
      </c>
      <c r="AG638" s="10"/>
      <c r="AH638" s="10"/>
      <c r="AI638" s="10"/>
      <c r="AJ638" s="10"/>
    </row>
    <row r="639" spans="1:36" ht="13.5" thickTop="1">
      <c r="A639" s="49"/>
      <c r="B639" s="49"/>
      <c r="C639" s="49"/>
      <c r="D639" s="47"/>
      <c r="E639" s="7"/>
      <c r="F639" s="7"/>
      <c r="G639" s="7"/>
      <c r="H639" s="7"/>
      <c r="I639" s="7"/>
      <c r="J639" s="7">
        <f>+I639-'ROR-Model'!I639</f>
        <v>0</v>
      </c>
      <c r="K639" s="7"/>
      <c r="L639" s="7"/>
      <c r="M639" s="7"/>
      <c r="N639" s="7"/>
      <c r="O639" s="120"/>
      <c r="P639" s="126"/>
      <c r="Q639" s="7"/>
      <c r="R639" s="7"/>
      <c r="S639" s="126"/>
      <c r="T639" s="7"/>
      <c r="U639" s="7"/>
      <c r="V639" s="124"/>
      <c r="W639" s="7"/>
      <c r="X639" s="139"/>
      <c r="Y639" s="3">
        <f t="shared" si="36"/>
        <v>630</v>
      </c>
      <c r="AA639" s="7"/>
      <c r="AC639" s="7" t="str">
        <f t="shared" si="37"/>
        <v/>
      </c>
      <c r="AE639" s="42" t="str">
        <f t="shared" si="38"/>
        <v/>
      </c>
      <c r="AG639" s="10"/>
      <c r="AH639" s="10"/>
      <c r="AI639" s="10"/>
      <c r="AJ639" s="10"/>
    </row>
    <row r="640" spans="1:36">
      <c r="A640" s="175" t="s">
        <v>511</v>
      </c>
      <c r="B640" s="49"/>
      <c r="C640" s="49"/>
      <c r="D640" s="47"/>
      <c r="E640" s="7"/>
      <c r="F640" s="7">
        <f>SUM(F632:F638)</f>
        <v>1092110789.0855567</v>
      </c>
      <c r="G640" s="7">
        <f>G524+G529+G534+G539+G544+G549+G554+G559+G564+G569+G574+G579+G584+G589+G594+G599+G604+G609+G614+G619+G624+G636+G637</f>
        <v>0</v>
      </c>
      <c r="H640" s="7">
        <f>H524+H529+H534+H539+H544+H549+H554+H559+H564+H569+H574+H579+H584+H589+H594+H599+H604+H609+H614+H619+H624+H636+H637</f>
        <v>0</v>
      </c>
      <c r="I640" s="7">
        <f>I524+I529+I534+I539+I544+I549+I554+I559+I564+I569+I574+I579+I584+I589+I594+I599+I604+I609+I614+I619+I624+I636+I637</f>
        <v>1092110789.0855567</v>
      </c>
      <c r="J640" s="7">
        <f>+I640-'ROR-Model'!I640</f>
        <v>0</v>
      </c>
      <c r="K640" s="7"/>
      <c r="L640" s="7"/>
      <c r="M640" s="7">
        <f>M524+M529+M534+M539+M544+M549+M554+M559+M564+M569+M574+M579+M584+M589+M594+M599+M604+M609+M614+M619+M624+M636+M637</f>
        <v>1058181609.0126004</v>
      </c>
      <c r="N640" s="7">
        <f>N524+N529+N534+N539+N544+N549+N554+N559+N564+N569+N574+N579+N584+N589+N594+N599+N604+N609+N614+N619+N624+N636+N637</f>
        <v>33929180.072956301</v>
      </c>
      <c r="O640" s="120"/>
      <c r="P640" s="126"/>
      <c r="Q640" s="7">
        <f>Q524+Q529+Q534+Q539+Q544+Q549+Q554+Q559+Q564+Q569+Q574+Q579+Q584+Q589+Q594+Q599+Q604+Q609+Q614+Q619+Q624+Q636+Q637</f>
        <v>0</v>
      </c>
      <c r="R640" s="7">
        <f>R524+R529+R534+R539+R544+R549+R554+R559+R564+R569+R574+R579+R584+R589+R594+R599+R604+R609+R614+R619+R624+R636+R637</f>
        <v>1058181609.0126004</v>
      </c>
      <c r="S640" s="126"/>
      <c r="T640" s="7">
        <f>T524+T529+T534+T539+T544+T549+T554+T559+T564+T569+T574+T579+T584+T589+T594+T599+T604+T609+T614+T619+T624+T636+T637</f>
        <v>0</v>
      </c>
      <c r="U640" s="7">
        <f>U524+U529+U534+U539+U544+U549+U554+U559+U564+U569+U574+U579+U584+U589+U594+U599+U604+U609+U614+U619+U624+U636+U637</f>
        <v>33929180.072956301</v>
      </c>
      <c r="V640" s="124"/>
      <c r="W640" s="7">
        <f>HLOOKUP($W$9,'ROR-Model'!$Q$10:$U$1273,Y640)</f>
        <v>0</v>
      </c>
      <c r="X640" s="139"/>
      <c r="Y640" s="3">
        <f t="shared" si="36"/>
        <v>631</v>
      </c>
      <c r="AA640" s="7">
        <v>0</v>
      </c>
      <c r="AC640" s="7" t="str">
        <f t="shared" si="37"/>
        <v/>
      </c>
      <c r="AE640" s="42" t="str">
        <f t="shared" si="38"/>
        <v/>
      </c>
      <c r="AG640" t="s">
        <v>511</v>
      </c>
      <c r="AH640" s="10"/>
      <c r="AI640" s="10"/>
      <c r="AJ640" s="10"/>
    </row>
    <row r="641" spans="1:36">
      <c r="A641" s="136"/>
      <c r="B641" s="47"/>
      <c r="C641" s="47"/>
      <c r="D641" s="47"/>
      <c r="E641" s="7"/>
      <c r="F641" s="7">
        <f>+F524+F529+F534+F539+F544+F549+F554+F559+F564+F569+F574+F579+F584+F589+F594+F599+F604+F609+F614+F619+F624+F629</f>
        <v>1089450457.6600001</v>
      </c>
      <c r="G641" s="7"/>
      <c r="H641" s="7"/>
      <c r="I641" s="7"/>
      <c r="J641" s="7">
        <f>+I641-'ROR-Model'!I641</f>
        <v>0</v>
      </c>
      <c r="K641" s="7"/>
      <c r="L641" s="7"/>
      <c r="M641" s="7"/>
      <c r="N641" s="7"/>
      <c r="O641" s="120"/>
      <c r="P641" s="126"/>
      <c r="Q641" s="7"/>
      <c r="R641" s="7"/>
      <c r="S641" s="126"/>
      <c r="T641" s="7"/>
      <c r="U641" s="7"/>
      <c r="V641" s="124"/>
      <c r="W641" s="7"/>
      <c r="X641" s="139"/>
      <c r="Y641" s="3">
        <f t="shared" si="36"/>
        <v>632</v>
      </c>
      <c r="AA641" s="7"/>
      <c r="AC641" s="7" t="str">
        <f t="shared" si="37"/>
        <v/>
      </c>
      <c r="AE641" s="42" t="str">
        <f t="shared" si="38"/>
        <v/>
      </c>
      <c r="AG641" s="162"/>
      <c r="AH641" s="10"/>
      <c r="AI641" s="10"/>
      <c r="AJ641" s="10"/>
    </row>
    <row r="642" spans="1:36">
      <c r="A642" s="136"/>
      <c r="B642" s="47"/>
      <c r="C642" s="47"/>
      <c r="D642" s="47"/>
      <c r="E642" s="7"/>
      <c r="F642" s="7"/>
      <c r="G642" s="7"/>
      <c r="H642" s="7"/>
      <c r="I642" s="7"/>
      <c r="J642" s="7">
        <f>+I642-'ROR-Model'!I642</f>
        <v>0</v>
      </c>
      <c r="K642" s="7"/>
      <c r="L642" s="7"/>
      <c r="M642" s="7"/>
      <c r="N642" s="7"/>
      <c r="O642" s="120"/>
      <c r="P642" s="126"/>
      <c r="Q642" s="7"/>
      <c r="R642" s="7"/>
      <c r="S642" s="126"/>
      <c r="T642" s="7"/>
      <c r="U642" s="7"/>
      <c r="V642" s="124"/>
      <c r="W642" s="7"/>
      <c r="X642" s="139"/>
      <c r="Y642" s="3">
        <f t="shared" si="36"/>
        <v>633</v>
      </c>
      <c r="AA642" s="7"/>
      <c r="AC642" s="7" t="str">
        <f t="shared" si="37"/>
        <v/>
      </c>
      <c r="AE642" s="42" t="str">
        <f t="shared" si="38"/>
        <v/>
      </c>
      <c r="AG642" s="162"/>
      <c r="AH642" s="10"/>
      <c r="AI642" s="10"/>
      <c r="AJ642" s="10"/>
    </row>
    <row r="643" spans="1:36">
      <c r="A643" s="116" t="s">
        <v>330</v>
      </c>
      <c r="B643" s="47"/>
      <c r="C643" s="47"/>
      <c r="D643" s="47"/>
      <c r="E643" s="7"/>
      <c r="F643" s="7"/>
      <c r="G643" s="7"/>
      <c r="H643" s="7"/>
      <c r="I643" s="7"/>
      <c r="J643" s="7">
        <f>+I643-'ROR-Model'!I643</f>
        <v>0</v>
      </c>
      <c r="K643" s="7"/>
      <c r="L643" s="7"/>
      <c r="M643" s="7"/>
      <c r="N643" s="7"/>
      <c r="O643" s="120"/>
      <c r="P643" s="126"/>
      <c r="Q643" s="7"/>
      <c r="R643" s="7"/>
      <c r="S643" s="126"/>
      <c r="T643" s="7"/>
      <c r="U643" s="7"/>
      <c r="V643" s="124"/>
      <c r="W643" s="7"/>
      <c r="X643" s="139"/>
      <c r="Y643" s="3">
        <f t="shared" si="36"/>
        <v>634</v>
      </c>
      <c r="AA643" s="7"/>
      <c r="AC643" s="7" t="str">
        <f t="shared" si="37"/>
        <v/>
      </c>
      <c r="AE643" s="42" t="str">
        <f t="shared" si="38"/>
        <v/>
      </c>
      <c r="AG643" s="162" t="s">
        <v>330</v>
      </c>
      <c r="AH643" s="10"/>
      <c r="AI643" s="10"/>
      <c r="AJ643" s="10"/>
    </row>
    <row r="644" spans="1:36">
      <c r="A644" s="136"/>
      <c r="B644" s="47"/>
      <c r="C644" s="47"/>
      <c r="D644" s="47"/>
      <c r="E644" s="7"/>
      <c r="F644" s="7"/>
      <c r="G644" s="7"/>
      <c r="H644" s="7"/>
      <c r="I644" s="7"/>
      <c r="J644" s="7">
        <f>+I644-'ROR-Model'!I644</f>
        <v>0</v>
      </c>
      <c r="K644" s="7"/>
      <c r="L644" s="7"/>
      <c r="M644" s="7"/>
      <c r="N644" s="7"/>
      <c r="O644" s="120"/>
      <c r="P644" s="126"/>
      <c r="Q644" s="7"/>
      <c r="R644" s="7"/>
      <c r="S644" s="126"/>
      <c r="T644" s="7"/>
      <c r="U644" s="7"/>
      <c r="V644" s="124"/>
      <c r="W644" s="7"/>
      <c r="X644" s="139"/>
      <c r="Y644" s="3">
        <f t="shared" si="36"/>
        <v>635</v>
      </c>
      <c r="AA644" s="7"/>
      <c r="AC644" s="7" t="str">
        <f t="shared" si="37"/>
        <v/>
      </c>
      <c r="AE644" s="42" t="str">
        <f t="shared" si="38"/>
        <v/>
      </c>
      <c r="AG644" s="162"/>
      <c r="AH644" s="10"/>
      <c r="AI644" s="10"/>
      <c r="AJ644" s="10"/>
    </row>
    <row r="645" spans="1:36">
      <c r="A645" s="116" t="s">
        <v>331</v>
      </c>
      <c r="B645" s="47"/>
      <c r="C645" s="47"/>
      <c r="D645" s="47"/>
      <c r="E645" s="7"/>
      <c r="F645" s="7"/>
      <c r="G645" s="7"/>
      <c r="H645" s="7"/>
      <c r="I645" s="7"/>
      <c r="J645" s="7">
        <f>+I645-'ROR-Model'!I645</f>
        <v>0</v>
      </c>
      <c r="K645" s="7"/>
      <c r="L645" s="7"/>
      <c r="M645" s="7"/>
      <c r="N645" s="7"/>
      <c r="O645" s="120"/>
      <c r="P645" s="126"/>
      <c r="Q645" s="7"/>
      <c r="R645" s="7"/>
      <c r="S645" s="126"/>
      <c r="T645" s="7"/>
      <c r="U645" s="7"/>
      <c r="V645" s="124"/>
      <c r="W645" s="7"/>
      <c r="X645" s="139"/>
      <c r="Y645" s="3">
        <f t="shared" si="36"/>
        <v>636</v>
      </c>
      <c r="AA645" s="7"/>
      <c r="AC645" s="7" t="str">
        <f t="shared" si="37"/>
        <v/>
      </c>
      <c r="AE645" s="42" t="str">
        <f t="shared" si="38"/>
        <v/>
      </c>
      <c r="AG645" s="162" t="s">
        <v>331</v>
      </c>
      <c r="AH645" s="10"/>
      <c r="AI645" s="10"/>
      <c r="AJ645" s="10"/>
    </row>
    <row r="646" spans="1:36">
      <c r="A646" s="136"/>
      <c r="B646" s="47"/>
      <c r="C646" s="47"/>
      <c r="D646" s="47"/>
      <c r="E646" s="7"/>
      <c r="F646" s="7"/>
      <c r="G646" s="7"/>
      <c r="H646" s="7"/>
      <c r="I646" s="7"/>
      <c r="J646" s="7">
        <f>+I646-'ROR-Model'!I646</f>
        <v>0</v>
      </c>
      <c r="K646" s="7"/>
      <c r="L646" s="7"/>
      <c r="M646" s="7"/>
      <c r="N646" s="7"/>
      <c r="O646" s="120"/>
      <c r="P646" s="126"/>
      <c r="Q646" s="7"/>
      <c r="R646" s="7"/>
      <c r="S646" s="126"/>
      <c r="T646" s="7"/>
      <c r="U646" s="7"/>
      <c r="V646" s="124"/>
      <c r="W646" s="7"/>
      <c r="X646" s="139"/>
      <c r="Y646" s="3">
        <f t="shared" si="36"/>
        <v>637</v>
      </c>
      <c r="AA646" s="7"/>
      <c r="AC646" s="7" t="str">
        <f t="shared" si="37"/>
        <v/>
      </c>
      <c r="AE646" s="42" t="str">
        <f t="shared" si="38"/>
        <v/>
      </c>
      <c r="AG646" s="162"/>
      <c r="AH646" s="10"/>
      <c r="AI646" s="10"/>
      <c r="AJ646" s="10"/>
    </row>
    <row r="647" spans="1:36">
      <c r="A647" s="137">
        <v>810</v>
      </c>
      <c r="B647" s="47" t="s">
        <v>332</v>
      </c>
      <c r="C647" s="47"/>
      <c r="D647" s="47"/>
      <c r="E647" s="7">
        <f>+G647-Adjustments!G647</f>
        <v>0</v>
      </c>
      <c r="F647" s="7">
        <f>EXPENSES!F138</f>
        <v>-16530.78</v>
      </c>
      <c r="G647" s="7">
        <f>+Adjustments!V646</f>
        <v>0</v>
      </c>
      <c r="H647" s="7"/>
      <c r="I647" s="7">
        <f>SUM($F$647:$H$647)</f>
        <v>-16530.78</v>
      </c>
      <c r="J647" s="7">
        <f>+I647-'ROR-Model'!I647</f>
        <v>0</v>
      </c>
      <c r="K647" s="7"/>
      <c r="L647" s="7" t="s">
        <v>637</v>
      </c>
      <c r="M647" s="7">
        <f>VLOOKUP($L647,$L$2:$N$7,2,FALSE)*I647</f>
        <v>-15999.597201188839</v>
      </c>
      <c r="N647" s="7">
        <f>VLOOKUP($L647,$L$2:$N$7,3,FALSE)*I647</f>
        <v>-531.18279881115859</v>
      </c>
      <c r="O647" s="120"/>
      <c r="P647" s="192" t="s">
        <v>510</v>
      </c>
      <c r="Q647" s="7">
        <f>IF(P647="G",M647,IF(P647="PT",0,ERR))</f>
        <v>-15999.597201188839</v>
      </c>
      <c r="R647" s="7">
        <f>IF(P647="PT",M647,IF(P647="G",0,ERR))</f>
        <v>0</v>
      </c>
      <c r="S647" s="126" t="s">
        <v>510</v>
      </c>
      <c r="T647" s="7">
        <f>IF(S647="G",N647,IF(S647="PT",0,ERR))</f>
        <v>-531.18279881115859</v>
      </c>
      <c r="U647" s="7">
        <f>IF(S647="PT",N647,IF(S647="G",0,ERR))</f>
        <v>0</v>
      </c>
      <c r="V647" s="124"/>
      <c r="W647" s="7">
        <f>HLOOKUP($W$9,'ROR-Model'!$Q$10:$U$1273,Y647)</f>
        <v>-15999.597201188839</v>
      </c>
      <c r="X647" s="139"/>
      <c r="Y647" s="3">
        <f t="shared" si="36"/>
        <v>638</v>
      </c>
      <c r="AA647" s="7">
        <v>-14784.689419944851</v>
      </c>
      <c r="AC647" s="7">
        <f t="shared" si="37"/>
        <v>-1214.9077812439882</v>
      </c>
      <c r="AE647" s="42">
        <f t="shared" si="38"/>
        <v>8.2173371839996359E-2</v>
      </c>
      <c r="AG647" s="162">
        <v>810</v>
      </c>
      <c r="AH647" s="10" t="s">
        <v>332</v>
      </c>
      <c r="AI647" s="10"/>
      <c r="AJ647" s="10"/>
    </row>
    <row r="648" spans="1:36">
      <c r="A648" s="137">
        <v>812</v>
      </c>
      <c r="B648" s="47" t="s">
        <v>333</v>
      </c>
      <c r="C648" s="47"/>
      <c r="D648" s="47"/>
      <c r="E648" s="7">
        <f>+G648-Adjustments!G648</f>
        <v>0</v>
      </c>
      <c r="F648" s="7">
        <f>EXPENSES!F139</f>
        <v>-422434.5</v>
      </c>
      <c r="G648" s="7">
        <f>+Adjustments!V647</f>
        <v>0</v>
      </c>
      <c r="H648" s="7"/>
      <c r="I648" s="7">
        <f>SUM($F$648:$H$648)</f>
        <v>-422434.5</v>
      </c>
      <c r="J648" s="7">
        <f>+I648-'ROR-Model'!I648</f>
        <v>0</v>
      </c>
      <c r="K648" s="7"/>
      <c r="L648" s="7" t="s">
        <v>637</v>
      </c>
      <c r="M648" s="7">
        <f>VLOOKUP($L648,$L$2:$N$7,2,FALSE)*I648</f>
        <v>-408860.43150326889</v>
      </c>
      <c r="N648" s="7">
        <f>VLOOKUP($L648,$L$2:$N$7,3,FALSE)*I648</f>
        <v>-13574.068496731092</v>
      </c>
      <c r="O648" s="120"/>
      <c r="P648" s="192" t="s">
        <v>510</v>
      </c>
      <c r="Q648" s="7">
        <f>IF(P648="G",M648,IF(P648="PT",0,ERR))</f>
        <v>-408860.43150326889</v>
      </c>
      <c r="R648" s="7">
        <f>IF(P648="PT",M648,IF(P648="G",0,ERR))</f>
        <v>0</v>
      </c>
      <c r="S648" s="126" t="s">
        <v>510</v>
      </c>
      <c r="T648" s="7">
        <f>IF(S648="G",N648,IF(S648="PT",0,ERR))</f>
        <v>-13574.068496731092</v>
      </c>
      <c r="U648" s="7">
        <f>IF(S648="PT",N648,IF(S648="G",0,ERR))</f>
        <v>0</v>
      </c>
      <c r="V648" s="124"/>
      <c r="W648" s="7">
        <f>HLOOKUP($W$9,'ROR-Model'!$Q$10:$U$1273,Y648)</f>
        <v>-408860.43150326889</v>
      </c>
      <c r="X648" s="139"/>
      <c r="Y648" s="3">
        <f t="shared" si="36"/>
        <v>639</v>
      </c>
      <c r="AA648" s="7">
        <v>-840945.09684675094</v>
      </c>
      <c r="AC648" s="7">
        <f t="shared" si="37"/>
        <v>432084.66534348205</v>
      </c>
      <c r="AE648" s="42">
        <f t="shared" si="38"/>
        <v>-0.51380841265814847</v>
      </c>
      <c r="AG648" s="162">
        <v>812</v>
      </c>
      <c r="AH648" s="10" t="s">
        <v>333</v>
      </c>
      <c r="AI648" s="10"/>
      <c r="AJ648" s="10"/>
    </row>
    <row r="649" spans="1:36">
      <c r="A649" s="136"/>
      <c r="B649" s="47"/>
      <c r="C649" s="47"/>
      <c r="D649" s="47"/>
      <c r="E649" s="7">
        <f>+G649-Adjustments!G649</f>
        <v>0</v>
      </c>
      <c r="F649" s="7"/>
      <c r="G649" s="7"/>
      <c r="H649" s="7"/>
      <c r="I649" s="7"/>
      <c r="J649" s="7">
        <f>+I649-'ROR-Model'!I649</f>
        <v>0</v>
      </c>
      <c r="K649" s="7"/>
      <c r="L649" s="7"/>
      <c r="M649" s="7"/>
      <c r="N649" s="7"/>
      <c r="O649" s="120"/>
      <c r="P649" s="126"/>
      <c r="Q649" s="7"/>
      <c r="R649" s="7"/>
      <c r="S649" s="126"/>
      <c r="T649" s="7"/>
      <c r="U649" s="7"/>
      <c r="V649" s="124"/>
      <c r="W649" s="7">
        <f>HLOOKUP($W$9,'ROR-Model'!$Q$10:$U$1273,Y649)</f>
        <v>0</v>
      </c>
      <c r="X649" s="192"/>
      <c r="Y649" s="3">
        <f t="shared" si="36"/>
        <v>640</v>
      </c>
      <c r="AA649" s="7">
        <v>0</v>
      </c>
      <c r="AC649" s="7" t="str">
        <f t="shared" si="37"/>
        <v/>
      </c>
      <c r="AE649" s="42" t="str">
        <f t="shared" si="38"/>
        <v/>
      </c>
      <c r="AG649" s="162"/>
      <c r="AH649" s="10"/>
      <c r="AI649" s="10"/>
      <c r="AJ649" s="10"/>
    </row>
    <row r="650" spans="1:36">
      <c r="A650" s="136"/>
      <c r="B650" s="141" t="s">
        <v>334</v>
      </c>
      <c r="C650" s="47"/>
      <c r="D650" s="47"/>
      <c r="E650" s="7">
        <f>+G650-Adjustments!G650</f>
        <v>0</v>
      </c>
      <c r="F650" s="7">
        <f>SUM(F647:F648)</f>
        <v>-438965.28</v>
      </c>
      <c r="G650" s="7">
        <f>SUM(G647:G648)</f>
        <v>0</v>
      </c>
      <c r="H650" s="7">
        <f>SUM(H647:H648)</f>
        <v>0</v>
      </c>
      <c r="I650" s="7">
        <f>SUM(I647:I648)</f>
        <v>-438965.28</v>
      </c>
      <c r="J650" s="7">
        <f>+I650-'ROR-Model'!I650</f>
        <v>0</v>
      </c>
      <c r="K650" s="7"/>
      <c r="L650" s="7"/>
      <c r="M650" s="7">
        <f>SUM(M647:M648)</f>
        <v>-424860.02870445774</v>
      </c>
      <c r="N650" s="7">
        <f>SUM(N647:N648)</f>
        <v>-14105.25129554225</v>
      </c>
      <c r="O650" s="120"/>
      <c r="P650" s="126"/>
      <c r="Q650" s="7">
        <f>SUM(Q647:Q648)</f>
        <v>-424860.02870445774</v>
      </c>
      <c r="R650" s="7">
        <f>SUM(R647:R648)</f>
        <v>0</v>
      </c>
      <c r="S650" s="126"/>
      <c r="T650" s="7">
        <f>SUM(T647:T648)</f>
        <v>-14105.25129554225</v>
      </c>
      <c r="U650" s="7">
        <f>SUM(U647:U648)</f>
        <v>0</v>
      </c>
      <c r="V650" s="124"/>
      <c r="W650" s="7">
        <f>HLOOKUP($W$9,'ROR-Model'!$Q$10:$U$1273,Y650)</f>
        <v>-424860.02870445774</v>
      </c>
      <c r="X650" s="139"/>
      <c r="Y650" s="3">
        <f t="shared" si="36"/>
        <v>641</v>
      </c>
      <c r="AA650" s="7">
        <v>-855729.78626669582</v>
      </c>
      <c r="AC650" s="7">
        <f t="shared" si="37"/>
        <v>430869.75756223808</v>
      </c>
      <c r="AE650" s="42">
        <f t="shared" si="38"/>
        <v>-0.50351146410597614</v>
      </c>
      <c r="AG650" s="162"/>
      <c r="AH650" t="s">
        <v>334</v>
      </c>
      <c r="AI650" s="10"/>
      <c r="AJ650" s="10"/>
    </row>
    <row r="651" spans="1:36">
      <c r="A651" s="136"/>
      <c r="B651" s="47"/>
      <c r="C651" s="47"/>
      <c r="D651" s="47"/>
      <c r="E651" s="7">
        <f>+G651-Adjustments!G651</f>
        <v>0</v>
      </c>
      <c r="F651" s="7"/>
      <c r="G651" s="7"/>
      <c r="H651" s="7"/>
      <c r="I651" s="7"/>
      <c r="J651" s="7">
        <f>+I651-'ROR-Model'!I651</f>
        <v>0</v>
      </c>
      <c r="K651" s="7"/>
      <c r="L651" s="7"/>
      <c r="M651" s="7"/>
      <c r="N651" s="7"/>
      <c r="O651" s="120"/>
      <c r="P651" s="126"/>
      <c r="Q651" s="7"/>
      <c r="R651" s="7"/>
      <c r="S651" s="126"/>
      <c r="T651" s="7"/>
      <c r="U651" s="7"/>
      <c r="V651" s="124"/>
      <c r="W651" s="7"/>
      <c r="X651" s="139"/>
      <c r="Y651" s="3">
        <f t="shared" si="36"/>
        <v>642</v>
      </c>
      <c r="AA651" s="7"/>
      <c r="AC651" s="7" t="str">
        <f t="shared" si="37"/>
        <v/>
      </c>
      <c r="AE651" s="42" t="str">
        <f t="shared" si="38"/>
        <v/>
      </c>
      <c r="AG651" s="162"/>
      <c r="AH651" s="10"/>
      <c r="AI651" s="10"/>
      <c r="AJ651" s="10"/>
    </row>
    <row r="652" spans="1:36">
      <c r="A652" s="116" t="s">
        <v>335</v>
      </c>
      <c r="B652" s="47"/>
      <c r="C652" s="47"/>
      <c r="D652" s="47"/>
      <c r="E652" s="7">
        <f>+G652-Adjustments!G652</f>
        <v>0</v>
      </c>
      <c r="F652" s="7"/>
      <c r="G652" s="7"/>
      <c r="H652" s="7"/>
      <c r="I652" s="7"/>
      <c r="J652" s="7">
        <f>+I652-'ROR-Model'!I652</f>
        <v>0</v>
      </c>
      <c r="K652" s="7"/>
      <c r="L652" s="7"/>
      <c r="M652" s="7"/>
      <c r="N652" s="7"/>
      <c r="O652" s="120"/>
      <c r="P652" s="126"/>
      <c r="Q652" s="7"/>
      <c r="R652" s="7"/>
      <c r="S652" s="126"/>
      <c r="T652" s="7"/>
      <c r="U652" s="7"/>
      <c r="V652" s="124"/>
      <c r="W652" s="7"/>
      <c r="X652" s="139"/>
      <c r="Y652" s="3">
        <f t="shared" si="36"/>
        <v>643</v>
      </c>
      <c r="AA652" s="7"/>
      <c r="AC652" s="7" t="str">
        <f t="shared" si="37"/>
        <v/>
      </c>
      <c r="AE652" s="42" t="str">
        <f t="shared" si="38"/>
        <v/>
      </c>
      <c r="AG652" s="162" t="s">
        <v>335</v>
      </c>
      <c r="AH652" s="10"/>
      <c r="AI652" s="10"/>
      <c r="AJ652" s="10"/>
    </row>
    <row r="653" spans="1:36">
      <c r="A653" s="136"/>
      <c r="B653" s="47" t="s">
        <v>772</v>
      </c>
      <c r="C653" s="47"/>
      <c r="D653" s="47"/>
      <c r="E653" s="7">
        <f>+G653-Adjustments!G653</f>
        <v>0</v>
      </c>
      <c r="F653" s="7"/>
      <c r="G653" s="7"/>
      <c r="H653" s="7"/>
      <c r="I653" s="7"/>
      <c r="J653" s="7">
        <f>+I653-'ROR-Model'!I653</f>
        <v>0</v>
      </c>
      <c r="K653" s="7"/>
      <c r="L653" s="7"/>
      <c r="M653" s="7"/>
      <c r="N653" s="7"/>
      <c r="O653" s="120"/>
      <c r="P653" s="126"/>
      <c r="Q653" s="7"/>
      <c r="R653" s="7"/>
      <c r="S653" s="126"/>
      <c r="T653" s="7"/>
      <c r="U653" s="7"/>
      <c r="V653" s="124"/>
      <c r="W653" s="7"/>
      <c r="X653" s="139"/>
      <c r="Y653" s="3">
        <f t="shared" si="36"/>
        <v>644</v>
      </c>
      <c r="AA653" s="7"/>
      <c r="AC653" s="7" t="str">
        <f t="shared" si="37"/>
        <v/>
      </c>
      <c r="AE653" s="42" t="str">
        <f t="shared" si="38"/>
        <v/>
      </c>
      <c r="AG653" s="162"/>
      <c r="AH653" s="10" t="s">
        <v>772</v>
      </c>
      <c r="AI653" s="10"/>
      <c r="AJ653" s="10"/>
    </row>
    <row r="654" spans="1:36">
      <c r="A654" s="137">
        <v>870</v>
      </c>
      <c r="B654" s="47" t="s">
        <v>336</v>
      </c>
      <c r="C654" s="47"/>
      <c r="D654" s="47"/>
      <c r="E654" s="7">
        <f>+G654-Adjustments!G654</f>
        <v>0</v>
      </c>
      <c r="F654" s="7"/>
      <c r="G654" s="7"/>
      <c r="H654" s="7"/>
      <c r="I654" s="7"/>
      <c r="J654" s="7">
        <f>+I654-'ROR-Model'!I654</f>
        <v>0</v>
      </c>
      <c r="K654" s="7"/>
      <c r="L654" s="7"/>
      <c r="M654" s="7"/>
      <c r="N654" s="7"/>
      <c r="O654" s="120"/>
      <c r="P654" s="126"/>
      <c r="Q654" s="7"/>
      <c r="R654" s="7"/>
      <c r="S654" s="126"/>
      <c r="T654" s="7"/>
      <c r="U654" s="7"/>
      <c r="V654" s="124"/>
      <c r="W654" s="7"/>
      <c r="X654" s="139"/>
      <c r="Y654" s="3">
        <f t="shared" ref="Y654:Y717" si="39">Y653+1</f>
        <v>645</v>
      </c>
      <c r="AA654" s="7"/>
      <c r="AC654" s="7" t="str">
        <f t="shared" si="37"/>
        <v/>
      </c>
      <c r="AE654" s="42" t="str">
        <f t="shared" si="38"/>
        <v/>
      </c>
      <c r="AG654" s="162">
        <v>870</v>
      </c>
      <c r="AH654" s="10" t="s">
        <v>336</v>
      </c>
      <c r="AI654" s="10"/>
      <c r="AJ654" s="10"/>
    </row>
    <row r="655" spans="1:36">
      <c r="A655" s="137"/>
      <c r="B655" s="47"/>
      <c r="C655" s="47" t="s">
        <v>12</v>
      </c>
      <c r="D655" s="47"/>
      <c r="E655" s="7">
        <f>+G655-Adjustments!G655</f>
        <v>0</v>
      </c>
      <c r="F655" s="7">
        <f>EXPENSES!F146</f>
        <v>8200337.5399999991</v>
      </c>
      <c r="G655" s="7">
        <f>+Adjustments!V654</f>
        <v>0</v>
      </c>
      <c r="H655" s="7"/>
      <c r="I655" s="7">
        <f>SUM($F$655:$H$655)</f>
        <v>8200337.5399999991</v>
      </c>
      <c r="J655" s="7">
        <f>+I655-'ROR-Model'!I655</f>
        <v>0</v>
      </c>
      <c r="K655" s="7"/>
      <c r="L655" s="7" t="s">
        <v>12</v>
      </c>
      <c r="M655" s="7">
        <f>VLOOKUP($L655,$L$2:$N$7,2,FALSE)*I655</f>
        <v>8200337.5399999991</v>
      </c>
      <c r="N655" s="7">
        <f>VLOOKUP($L655,$L$2:$N$7,3,FALSE)*I655</f>
        <v>0</v>
      </c>
      <c r="O655" s="120"/>
      <c r="P655" s="192" t="s">
        <v>510</v>
      </c>
      <c r="Q655" s="7">
        <f>IF(P655="G",M655,IF(P655="PT",0,ERR))</f>
        <v>8200337.5399999991</v>
      </c>
      <c r="R655" s="7">
        <f>IF(P655="PT",M655,IF(P655="G",0,ERR))</f>
        <v>0</v>
      </c>
      <c r="S655" s="126" t="s">
        <v>510</v>
      </c>
      <c r="T655" s="7">
        <f>IF(S655="G",N655,IF(S655="PT",0,ERR))</f>
        <v>0</v>
      </c>
      <c r="U655" s="7">
        <f>IF(S655="PT",N655,IF(S655="G",0,ERR))</f>
        <v>0</v>
      </c>
      <c r="V655" s="124"/>
      <c r="W655" s="7">
        <f>HLOOKUP($W$9,'ROR-Model'!$Q$10:$U$1273,Y655)</f>
        <v>8200337.5399999991</v>
      </c>
      <c r="X655" s="139"/>
      <c r="Y655" s="3">
        <f t="shared" si="39"/>
        <v>646</v>
      </c>
      <c r="AA655" s="7">
        <v>6305722.6899999985</v>
      </c>
      <c r="AC655" s="7">
        <f t="shared" si="37"/>
        <v>1894614.8500000006</v>
      </c>
      <c r="AE655" s="42">
        <f t="shared" si="38"/>
        <v>0.30045958935120898</v>
      </c>
      <c r="AG655" s="162"/>
      <c r="AH655" s="10"/>
      <c r="AI655" s="10" t="s">
        <v>12</v>
      </c>
      <c r="AJ655" s="10"/>
    </row>
    <row r="656" spans="1:36">
      <c r="A656" s="137"/>
      <c r="B656" s="47"/>
      <c r="C656" s="47" t="s">
        <v>23</v>
      </c>
      <c r="D656" s="47"/>
      <c r="E656" s="7">
        <f>+G656-Adjustments!G656</f>
        <v>0</v>
      </c>
      <c r="F656" s="7">
        <f>EXPENSES!F147</f>
        <v>643205.74</v>
      </c>
      <c r="G656" s="7">
        <f>+Adjustments!V655</f>
        <v>0</v>
      </c>
      <c r="H656" s="7"/>
      <c r="I656" s="7">
        <f>SUM($F$656:$H$656)</f>
        <v>643205.74</v>
      </c>
      <c r="J656" s="7">
        <f>+I656-'ROR-Model'!I656</f>
        <v>0</v>
      </c>
      <c r="K656" s="7"/>
      <c r="L656" s="7" t="s">
        <v>23</v>
      </c>
      <c r="M656" s="7">
        <f>VLOOKUP($L656,$L$2:$N$7,2,FALSE)*I656</f>
        <v>0</v>
      </c>
      <c r="N656" s="7">
        <f>VLOOKUP($L656,$L$2:$N$7,3,FALSE)*I656</f>
        <v>643205.74</v>
      </c>
      <c r="O656" s="120"/>
      <c r="P656" s="192" t="s">
        <v>510</v>
      </c>
      <c r="Q656" s="7">
        <f>IF(P656="G",M656,IF(P656="PT",0,ERR))</f>
        <v>0</v>
      </c>
      <c r="R656" s="7">
        <f>IF(P656="PT",M656,IF(P656="G",0,ERR))</f>
        <v>0</v>
      </c>
      <c r="S656" s="126" t="s">
        <v>510</v>
      </c>
      <c r="T656" s="7">
        <f>IF(S656="G",N656,IF(S656="PT",0,ERR))</f>
        <v>643205.74</v>
      </c>
      <c r="U656" s="7">
        <f>IF(S656="PT",N656,IF(S656="G",0,ERR))</f>
        <v>0</v>
      </c>
      <c r="V656" s="124"/>
      <c r="W656" s="7">
        <f>HLOOKUP($W$9,'ROR-Model'!$Q$10:$U$1273,Y656)</f>
        <v>0</v>
      </c>
      <c r="X656" s="139"/>
      <c r="Y656" s="3">
        <f t="shared" si="39"/>
        <v>647</v>
      </c>
      <c r="AA656" s="7">
        <v>0</v>
      </c>
      <c r="AC656" s="7" t="str">
        <f t="shared" si="37"/>
        <v/>
      </c>
      <c r="AE656" s="42" t="str">
        <f t="shared" si="38"/>
        <v/>
      </c>
      <c r="AG656" s="162"/>
      <c r="AH656" s="10"/>
      <c r="AI656" s="10" t="s">
        <v>23</v>
      </c>
      <c r="AJ656" s="10"/>
    </row>
    <row r="657" spans="1:36">
      <c r="A657" s="137"/>
      <c r="B657" s="47"/>
      <c r="C657" s="47" t="s">
        <v>145</v>
      </c>
      <c r="D657" s="47"/>
      <c r="E657" s="140">
        <f>+G657-Adjustments!G657</f>
        <v>0</v>
      </c>
      <c r="F657" s="140">
        <f>SUM(F655:F656)</f>
        <v>8843543.2799999993</v>
      </c>
      <c r="G657" s="140">
        <f>SUM(G655:G656)</f>
        <v>0</v>
      </c>
      <c r="H657" s="140">
        <f>SUM(H655:H656)</f>
        <v>0</v>
      </c>
      <c r="I657" s="140">
        <f>SUM(I655:I656)</f>
        <v>8843543.2799999993</v>
      </c>
      <c r="J657" s="7">
        <f>+I657-'ROR-Model'!I657</f>
        <v>0</v>
      </c>
      <c r="K657" s="7"/>
      <c r="L657" s="140"/>
      <c r="M657" s="140">
        <f>SUM(M655:M656)</f>
        <v>8200337.5399999991</v>
      </c>
      <c r="N657" s="140">
        <f>SUM(N655:N656)</f>
        <v>643205.74</v>
      </c>
      <c r="O657" s="120"/>
      <c r="P657" s="201"/>
      <c r="Q657" s="140">
        <f>SUM(Q655:Q656)</f>
        <v>8200337.5399999991</v>
      </c>
      <c r="R657" s="140">
        <f>SUM(R655:R656)</f>
        <v>0</v>
      </c>
      <c r="S657" s="201"/>
      <c r="T657" s="140">
        <f>SUM(T655:T656)</f>
        <v>643205.74</v>
      </c>
      <c r="U657" s="140">
        <f>SUM(U655:U656)</f>
        <v>0</v>
      </c>
      <c r="V657" s="124"/>
      <c r="W657" s="140">
        <f>HLOOKUP($W$9,'ROR-Model'!$Q$10:$U$1273,Y657)</f>
        <v>8200337.5399999991</v>
      </c>
      <c r="X657" s="139"/>
      <c r="Y657" s="3">
        <f t="shared" si="39"/>
        <v>648</v>
      </c>
      <c r="AA657" s="140">
        <v>6305722.6899999985</v>
      </c>
      <c r="AC657" s="140">
        <f t="shared" ref="AC657:AC720" si="40">IF(ABS(AA657)&gt;0,W657-AA657,"")</f>
        <v>1894614.8500000006</v>
      </c>
      <c r="AE657" s="42">
        <f t="shared" si="38"/>
        <v>0.30045958935120898</v>
      </c>
      <c r="AG657" s="162"/>
      <c r="AH657" s="10"/>
      <c r="AI657" s="10" t="s">
        <v>145</v>
      </c>
      <c r="AJ657" s="10"/>
    </row>
    <row r="658" spans="1:36">
      <c r="A658" s="137"/>
      <c r="B658" s="47"/>
      <c r="C658" s="47"/>
      <c r="D658" s="47"/>
      <c r="E658" s="7">
        <f>+G658-Adjustments!G658</f>
        <v>0</v>
      </c>
      <c r="F658" s="7"/>
      <c r="G658" s="7"/>
      <c r="H658" s="7"/>
      <c r="I658" s="7"/>
      <c r="J658" s="7">
        <f>+I658-'ROR-Model'!I658</f>
        <v>0</v>
      </c>
      <c r="K658" s="7"/>
      <c r="L658" s="7"/>
      <c r="M658" s="7"/>
      <c r="N658" s="7"/>
      <c r="O658" s="120"/>
      <c r="P658" s="126"/>
      <c r="Q658" s="7"/>
      <c r="R658" s="7"/>
      <c r="S658" s="126"/>
      <c r="T658" s="7"/>
      <c r="U658" s="7"/>
      <c r="V658" s="124"/>
      <c r="W658" s="7"/>
      <c r="X658" s="139"/>
      <c r="Y658" s="3">
        <f t="shared" si="39"/>
        <v>649</v>
      </c>
      <c r="AA658" s="7"/>
      <c r="AC658" s="7" t="str">
        <f t="shared" si="40"/>
        <v/>
      </c>
      <c r="AE658" s="42" t="str">
        <f t="shared" ref="AE658:AE721" si="41">IF(ABS(AA658)&gt;0,AC658/AA658,"")</f>
        <v/>
      </c>
      <c r="AG658" s="162"/>
      <c r="AH658" s="10"/>
      <c r="AI658" s="10"/>
      <c r="AJ658" s="10"/>
    </row>
    <row r="659" spans="1:36">
      <c r="A659" s="137">
        <v>871</v>
      </c>
      <c r="B659" s="47" t="s">
        <v>337</v>
      </c>
      <c r="C659" s="47"/>
      <c r="D659" s="47"/>
      <c r="E659" s="7">
        <f>+G659-Adjustments!G659</f>
        <v>0</v>
      </c>
      <c r="F659" s="7"/>
      <c r="G659" s="7"/>
      <c r="H659" s="7"/>
      <c r="I659" s="7"/>
      <c r="J659" s="7">
        <f>+I659-'ROR-Model'!I659</f>
        <v>0</v>
      </c>
      <c r="K659" s="7"/>
      <c r="L659" s="7"/>
      <c r="M659" s="7"/>
      <c r="N659" s="7"/>
      <c r="O659" s="120"/>
      <c r="P659" s="126"/>
      <c r="Q659" s="7"/>
      <c r="R659" s="7"/>
      <c r="S659" s="126"/>
      <c r="T659" s="7"/>
      <c r="U659" s="7"/>
      <c r="V659" s="124"/>
      <c r="W659" s="7"/>
      <c r="X659" s="139"/>
      <c r="Y659" s="3">
        <f t="shared" si="39"/>
        <v>650</v>
      </c>
      <c r="AA659" s="7"/>
      <c r="AC659" s="7" t="str">
        <f t="shared" si="40"/>
        <v/>
      </c>
      <c r="AE659" s="42" t="str">
        <f t="shared" si="41"/>
        <v/>
      </c>
      <c r="AG659" s="162">
        <v>871</v>
      </c>
      <c r="AH659" s="10" t="s">
        <v>337</v>
      </c>
      <c r="AI659" s="10"/>
      <c r="AJ659" s="10"/>
    </row>
    <row r="660" spans="1:36">
      <c r="A660" s="137"/>
      <c r="B660" s="47"/>
      <c r="C660" s="47" t="s">
        <v>12</v>
      </c>
      <c r="D660" s="47"/>
      <c r="E660" s="7">
        <f>+G660-Adjustments!G660</f>
        <v>0</v>
      </c>
      <c r="F660" s="7">
        <f>EXPENSES!F151</f>
        <v>1513481.8299999996</v>
      </c>
      <c r="G660" s="7">
        <f>+Adjustments!V659</f>
        <v>0</v>
      </c>
      <c r="H660" s="7"/>
      <c r="I660" s="7">
        <f>SUM($F$660:$H$660)</f>
        <v>1513481.8299999996</v>
      </c>
      <c r="J660" s="7">
        <f>+I660-'ROR-Model'!I660</f>
        <v>0</v>
      </c>
      <c r="K660" s="7"/>
      <c r="L660" s="7" t="s">
        <v>12</v>
      </c>
      <c r="M660" s="7">
        <f>VLOOKUP($L660,$L$2:$N$7,2,FALSE)*I660</f>
        <v>1513481.8299999996</v>
      </c>
      <c r="N660" s="7">
        <f>VLOOKUP($L660,$L$2:$N$7,3,FALSE)*I660</f>
        <v>0</v>
      </c>
      <c r="O660" s="120"/>
      <c r="P660" s="192" t="s">
        <v>510</v>
      </c>
      <c r="Q660" s="7">
        <f>IF(P660="G",M660,IF(P660="PT",0,ERR))</f>
        <v>1513481.8299999996</v>
      </c>
      <c r="R660" s="7">
        <f>IF(P660="PT",M660,IF(P660="G",0,ERR))</f>
        <v>0</v>
      </c>
      <c r="S660" s="126" t="s">
        <v>510</v>
      </c>
      <c r="T660" s="7">
        <f>IF(S660="G",N660,IF(S660="PT",0,ERR))</f>
        <v>0</v>
      </c>
      <c r="U660" s="7">
        <f>IF(S660="PT",N660,IF(S660="G",0,ERR))</f>
        <v>0</v>
      </c>
      <c r="V660" s="124"/>
      <c r="W660" s="7">
        <f>HLOOKUP($W$9,'ROR-Model'!$Q$10:$U$1273,Y660)</f>
        <v>1513481.8299999996</v>
      </c>
      <c r="X660" s="139"/>
      <c r="Y660" s="3">
        <f t="shared" si="39"/>
        <v>651</v>
      </c>
      <c r="AA660" s="7">
        <v>1535693.9200000002</v>
      </c>
      <c r="AC660" s="7">
        <f t="shared" si="40"/>
        <v>-22212.090000000549</v>
      </c>
      <c r="AE660" s="42">
        <f t="shared" si="41"/>
        <v>-1.4463878322836981E-2</v>
      </c>
      <c r="AG660" s="162"/>
      <c r="AH660" s="10"/>
      <c r="AI660" s="10" t="s">
        <v>12</v>
      </c>
      <c r="AJ660" s="10"/>
    </row>
    <row r="661" spans="1:36">
      <c r="A661" s="137"/>
      <c r="B661" s="47"/>
      <c r="C661" s="47" t="s">
        <v>23</v>
      </c>
      <c r="D661" s="47"/>
      <c r="E661" s="7">
        <f>+G661-Adjustments!G661</f>
        <v>0</v>
      </c>
      <c r="F661" s="7">
        <f>EXPENSES!F152</f>
        <v>25103.539999999997</v>
      </c>
      <c r="G661" s="7">
        <f>+Adjustments!V660</f>
        <v>0</v>
      </c>
      <c r="H661" s="7"/>
      <c r="I661" s="7">
        <f>SUM($F$661:$H$661)</f>
        <v>25103.539999999997</v>
      </c>
      <c r="J661" s="7">
        <f>+I661-'ROR-Model'!I661</f>
        <v>0</v>
      </c>
      <c r="K661" s="7"/>
      <c r="L661" s="7" t="s">
        <v>23</v>
      </c>
      <c r="M661" s="7">
        <f>VLOOKUP($L661,$L$2:$N$7,2,FALSE)*I661</f>
        <v>0</v>
      </c>
      <c r="N661" s="7">
        <f>VLOOKUP($L661,$L$2:$N$7,3,FALSE)*I661</f>
        <v>25103.539999999997</v>
      </c>
      <c r="O661" s="120"/>
      <c r="P661" s="192" t="s">
        <v>510</v>
      </c>
      <c r="Q661" s="7">
        <f>IF(P661="G",M661,IF(P661="PT",0,ERR))</f>
        <v>0</v>
      </c>
      <c r="R661" s="7">
        <f>IF(P661="PT",M661,IF(P661="G",0,ERR))</f>
        <v>0</v>
      </c>
      <c r="S661" s="126" t="s">
        <v>510</v>
      </c>
      <c r="T661" s="7">
        <f>IF(S661="G",N661,IF(S661="PT",0,ERR))</f>
        <v>25103.539999999997</v>
      </c>
      <c r="U661" s="7">
        <f>IF(S661="PT",N661,IF(S661="G",0,ERR))</f>
        <v>0</v>
      </c>
      <c r="V661" s="124"/>
      <c r="W661" s="7">
        <f>HLOOKUP($W$9,'ROR-Model'!$Q$10:$U$1273,Y661)</f>
        <v>0</v>
      </c>
      <c r="X661" s="139"/>
      <c r="Y661" s="3">
        <f t="shared" si="39"/>
        <v>652</v>
      </c>
      <c r="AA661" s="7">
        <v>0</v>
      </c>
      <c r="AC661" s="7" t="str">
        <f t="shared" si="40"/>
        <v/>
      </c>
      <c r="AE661" s="42" t="str">
        <f t="shared" si="41"/>
        <v/>
      </c>
      <c r="AG661" s="162"/>
      <c r="AH661" s="10"/>
      <c r="AI661" s="10" t="s">
        <v>23</v>
      </c>
      <c r="AJ661" s="10"/>
    </row>
    <row r="662" spans="1:36">
      <c r="A662" s="137"/>
      <c r="B662" s="47"/>
      <c r="C662" s="47" t="s">
        <v>145</v>
      </c>
      <c r="D662" s="47"/>
      <c r="E662" s="140">
        <f>+G662-Adjustments!G662</f>
        <v>0</v>
      </c>
      <c r="F662" s="140">
        <f>SUM(F660:F661)</f>
        <v>1538585.3699999996</v>
      </c>
      <c r="G662" s="140">
        <f>SUM(G660:G661)</f>
        <v>0</v>
      </c>
      <c r="H662" s="140">
        <f>SUM(H660:H661)</f>
        <v>0</v>
      </c>
      <c r="I662" s="140">
        <f>SUM(I660:I661)</f>
        <v>1538585.3699999996</v>
      </c>
      <c r="J662" s="7">
        <f>+I662-'ROR-Model'!I662</f>
        <v>0</v>
      </c>
      <c r="K662" s="7"/>
      <c r="L662" s="140"/>
      <c r="M662" s="140">
        <f>SUM(M660:M661)</f>
        <v>1513481.8299999996</v>
      </c>
      <c r="N662" s="140">
        <f>SUM(N660:N661)</f>
        <v>25103.539999999997</v>
      </c>
      <c r="O662" s="120"/>
      <c r="P662" s="201"/>
      <c r="Q662" s="140">
        <f>SUM(Q660:Q661)</f>
        <v>1513481.8299999996</v>
      </c>
      <c r="R662" s="140">
        <f>SUM(R660:R661)</f>
        <v>0</v>
      </c>
      <c r="S662" s="201"/>
      <c r="T662" s="140">
        <f>SUM(T660:T661)</f>
        <v>25103.539999999997</v>
      </c>
      <c r="U662" s="140">
        <f>SUM(U660:U661)</f>
        <v>0</v>
      </c>
      <c r="V662" s="124"/>
      <c r="W662" s="140">
        <f>HLOOKUP($W$9,'ROR-Model'!$Q$10:$U$1273,Y662)</f>
        <v>1513481.8299999996</v>
      </c>
      <c r="X662" s="139"/>
      <c r="Y662" s="3">
        <f t="shared" si="39"/>
        <v>653</v>
      </c>
      <c r="AA662" s="140">
        <v>1535693.9200000002</v>
      </c>
      <c r="AC662" s="140">
        <f t="shared" si="40"/>
        <v>-22212.090000000549</v>
      </c>
      <c r="AE662" s="42">
        <f t="shared" si="41"/>
        <v>-1.4463878322836981E-2</v>
      </c>
      <c r="AG662" s="162"/>
      <c r="AH662" s="10"/>
      <c r="AI662" s="10" t="s">
        <v>145</v>
      </c>
      <c r="AJ662" s="10"/>
    </row>
    <row r="663" spans="1:36">
      <c r="A663" s="137"/>
      <c r="B663" s="47"/>
      <c r="C663" s="47"/>
      <c r="D663" s="47"/>
      <c r="E663" s="7">
        <f>+G663-Adjustments!G663</f>
        <v>0</v>
      </c>
      <c r="F663" s="7"/>
      <c r="G663" s="7"/>
      <c r="H663" s="7"/>
      <c r="I663" s="7"/>
      <c r="J663" s="7">
        <f>+I663-'ROR-Model'!I663</f>
        <v>0</v>
      </c>
      <c r="K663" s="7"/>
      <c r="L663" s="7"/>
      <c r="M663" s="7"/>
      <c r="N663" s="7"/>
      <c r="O663" s="120"/>
      <c r="P663" s="126"/>
      <c r="Q663" s="7"/>
      <c r="R663" s="7"/>
      <c r="S663" s="126"/>
      <c r="T663" s="7"/>
      <c r="U663" s="7"/>
      <c r="V663" s="124"/>
      <c r="W663" s="7"/>
      <c r="X663" s="139"/>
      <c r="Y663" s="3">
        <f t="shared" si="39"/>
        <v>654</v>
      </c>
      <c r="AA663" s="7"/>
      <c r="AC663" s="7" t="str">
        <f t="shared" si="40"/>
        <v/>
      </c>
      <c r="AE663" s="42" t="str">
        <f t="shared" si="41"/>
        <v/>
      </c>
      <c r="AG663" s="162"/>
      <c r="AH663" s="10"/>
      <c r="AI663" s="10"/>
      <c r="AJ663" s="10"/>
    </row>
    <row r="664" spans="1:36">
      <c r="A664" s="137">
        <v>872</v>
      </c>
      <c r="B664" s="47" t="s">
        <v>339</v>
      </c>
      <c r="C664" s="47"/>
      <c r="D664" s="47"/>
      <c r="E664" s="7">
        <f>+G664-Adjustments!G664</f>
        <v>0</v>
      </c>
      <c r="F664" s="7"/>
      <c r="G664" s="7"/>
      <c r="H664" s="7"/>
      <c r="I664" s="7"/>
      <c r="J664" s="7">
        <f>+I664-'ROR-Model'!I664</f>
        <v>0</v>
      </c>
      <c r="K664" s="7"/>
      <c r="L664" s="7"/>
      <c r="M664" s="7"/>
      <c r="N664" s="7"/>
      <c r="O664" s="120"/>
      <c r="P664" s="126"/>
      <c r="Q664" s="7"/>
      <c r="R664" s="7"/>
      <c r="S664" s="126"/>
      <c r="T664" s="7"/>
      <c r="U664" s="7"/>
      <c r="V664" s="124"/>
      <c r="W664" s="7"/>
      <c r="X664" s="139"/>
      <c r="Y664" s="3">
        <f t="shared" si="39"/>
        <v>655</v>
      </c>
      <c r="AA664" s="7"/>
      <c r="AC664" s="7" t="str">
        <f t="shared" si="40"/>
        <v/>
      </c>
      <c r="AE664" s="42" t="str">
        <f t="shared" si="41"/>
        <v/>
      </c>
      <c r="AG664" s="162">
        <v>872</v>
      </c>
      <c r="AH664" s="10" t="s">
        <v>339</v>
      </c>
      <c r="AI664" s="10"/>
      <c r="AJ664" s="10"/>
    </row>
    <row r="665" spans="1:36">
      <c r="A665" s="137"/>
      <c r="B665" s="47"/>
      <c r="C665" s="47" t="s">
        <v>12</v>
      </c>
      <c r="D665" s="47"/>
      <c r="E665" s="7">
        <f>+G665-Adjustments!G665</f>
        <v>0</v>
      </c>
      <c r="F665" s="7">
        <f>EXPENSES!F156</f>
        <v>0</v>
      </c>
      <c r="G665" s="7">
        <f>+Adjustments!V664</f>
        <v>0</v>
      </c>
      <c r="H665" s="7"/>
      <c r="I665" s="7">
        <f>SUM($F$665:$H$665)</f>
        <v>0</v>
      </c>
      <c r="J665" s="7">
        <f>+I665-'ROR-Model'!I665</f>
        <v>0</v>
      </c>
      <c r="K665" s="7"/>
      <c r="L665" s="7" t="s">
        <v>12</v>
      </c>
      <c r="M665" s="7">
        <f>VLOOKUP($L665,$L$2:$N$7,2,FALSE)*I665</f>
        <v>0</v>
      </c>
      <c r="N665" s="7">
        <f>VLOOKUP($L665,$L$2:$N$7,3,FALSE)*I665</f>
        <v>0</v>
      </c>
      <c r="O665" s="120"/>
      <c r="P665" s="192" t="s">
        <v>510</v>
      </c>
      <c r="Q665" s="7">
        <f>IF(P665="G",M665,IF(P665="PT",0,ERR))</f>
        <v>0</v>
      </c>
      <c r="R665" s="7">
        <f>IF(P665="PT",M665,IF(P665="G",0,ERR))</f>
        <v>0</v>
      </c>
      <c r="S665" s="126" t="s">
        <v>510</v>
      </c>
      <c r="T665" s="7">
        <f>IF(S665="G",N665,IF(S665="PT",0,ERR))</f>
        <v>0</v>
      </c>
      <c r="U665" s="7">
        <f>IF(S665="PT",N665,IF(S665="G",0,ERR))</f>
        <v>0</v>
      </c>
      <c r="V665" s="124"/>
      <c r="W665" s="7">
        <f>HLOOKUP($W$9,'ROR-Model'!$Q$10:$U$1273,Y665)</f>
        <v>0</v>
      </c>
      <c r="X665" s="139"/>
      <c r="Y665" s="3">
        <f t="shared" si="39"/>
        <v>656</v>
      </c>
      <c r="AA665" s="7">
        <v>0</v>
      </c>
      <c r="AC665" s="7" t="str">
        <f t="shared" si="40"/>
        <v/>
      </c>
      <c r="AE665" s="42" t="str">
        <f t="shared" si="41"/>
        <v/>
      </c>
      <c r="AG665" s="162"/>
      <c r="AH665" s="10"/>
      <c r="AI665" s="10" t="s">
        <v>12</v>
      </c>
      <c r="AJ665" s="10"/>
    </row>
    <row r="666" spans="1:36">
      <c r="A666" s="137"/>
      <c r="B666" s="47"/>
      <c r="C666" s="47" t="s">
        <v>23</v>
      </c>
      <c r="D666" s="47"/>
      <c r="E666" s="7">
        <f>+G666-Adjustments!G666</f>
        <v>0</v>
      </c>
      <c r="F666" s="7">
        <f>EXPENSES!F157</f>
        <v>0</v>
      </c>
      <c r="G666" s="7">
        <f>+Adjustments!V665</f>
        <v>0</v>
      </c>
      <c r="H666" s="7"/>
      <c r="I666" s="7">
        <f>SUM($F$666:$H$666)</f>
        <v>0</v>
      </c>
      <c r="J666" s="7">
        <f>+I666-'ROR-Model'!I666</f>
        <v>0</v>
      </c>
      <c r="K666" s="7"/>
      <c r="L666" s="7" t="s">
        <v>23</v>
      </c>
      <c r="M666" s="7">
        <f>VLOOKUP($L666,$L$2:$N$7,2,FALSE)*I666</f>
        <v>0</v>
      </c>
      <c r="N666" s="7">
        <f>VLOOKUP($L666,$L$2:$N$7,3,FALSE)*I666</f>
        <v>0</v>
      </c>
      <c r="O666" s="120"/>
      <c r="P666" s="192" t="s">
        <v>510</v>
      </c>
      <c r="Q666" s="7">
        <f>IF(P666="G",M666,IF(P666="PT",0,ERR))</f>
        <v>0</v>
      </c>
      <c r="R666" s="7">
        <f>IF(P666="PT",M666,IF(P666="G",0,ERR))</f>
        <v>0</v>
      </c>
      <c r="S666" s="126" t="s">
        <v>510</v>
      </c>
      <c r="T666" s="7">
        <f>IF(S666="G",N666,IF(S666="PT",0,ERR))</f>
        <v>0</v>
      </c>
      <c r="U666" s="7">
        <f>IF(S666="PT",N666,IF(S666="G",0,ERR))</f>
        <v>0</v>
      </c>
      <c r="V666" s="124"/>
      <c r="W666" s="7">
        <f>HLOOKUP($W$9,'ROR-Model'!$Q$10:$U$1273,Y666)</f>
        <v>0</v>
      </c>
      <c r="X666" s="139"/>
      <c r="Y666" s="3">
        <f t="shared" si="39"/>
        <v>657</v>
      </c>
      <c r="AA666" s="7">
        <v>0</v>
      </c>
      <c r="AC666" s="7" t="str">
        <f t="shared" si="40"/>
        <v/>
      </c>
      <c r="AE666" s="42" t="str">
        <f t="shared" si="41"/>
        <v/>
      </c>
      <c r="AG666" s="162"/>
      <c r="AH666" s="10"/>
      <c r="AI666" s="10" t="s">
        <v>23</v>
      </c>
      <c r="AJ666" s="10"/>
    </row>
    <row r="667" spans="1:36">
      <c r="A667" s="137"/>
      <c r="B667" s="47"/>
      <c r="C667" s="47" t="s">
        <v>145</v>
      </c>
      <c r="D667" s="47"/>
      <c r="E667" s="140">
        <f>+G667-Adjustments!G667</f>
        <v>0</v>
      </c>
      <c r="F667" s="140">
        <f>SUM(F665:F666)</f>
        <v>0</v>
      </c>
      <c r="G667" s="140">
        <f>SUM(G665:G666)</f>
        <v>0</v>
      </c>
      <c r="H667" s="140">
        <f>SUM(H665:H666)</f>
        <v>0</v>
      </c>
      <c r="I667" s="140">
        <f>SUM(I665:I666)</f>
        <v>0</v>
      </c>
      <c r="J667" s="7">
        <f>+I667-'ROR-Model'!I667</f>
        <v>0</v>
      </c>
      <c r="K667" s="7"/>
      <c r="L667" s="140"/>
      <c r="M667" s="140">
        <f>SUM(M665:M666)</f>
        <v>0</v>
      </c>
      <c r="N667" s="140">
        <f>SUM(N665:N666)</f>
        <v>0</v>
      </c>
      <c r="O667" s="120"/>
      <c r="P667" s="201"/>
      <c r="Q667" s="140">
        <f>SUM(Q665:Q666)</f>
        <v>0</v>
      </c>
      <c r="R667" s="140">
        <f>SUM(R665:R666)</f>
        <v>0</v>
      </c>
      <c r="S667" s="201"/>
      <c r="T667" s="140">
        <f>SUM(T665:T666)</f>
        <v>0</v>
      </c>
      <c r="U667" s="140">
        <f>SUM(U665:U666)</f>
        <v>0</v>
      </c>
      <c r="V667" s="124"/>
      <c r="W667" s="140">
        <f>HLOOKUP($W$9,'ROR-Model'!$Q$10:$U$1273,Y667)</f>
        <v>0</v>
      </c>
      <c r="X667" s="139"/>
      <c r="Y667" s="3">
        <f t="shared" si="39"/>
        <v>658</v>
      </c>
      <c r="AA667" s="140">
        <v>0</v>
      </c>
      <c r="AC667" s="140" t="str">
        <f t="shared" si="40"/>
        <v/>
      </c>
      <c r="AE667" s="42" t="str">
        <f t="shared" si="41"/>
        <v/>
      </c>
      <c r="AG667" s="162"/>
      <c r="AH667" s="10"/>
      <c r="AI667" s="10" t="s">
        <v>145</v>
      </c>
      <c r="AJ667" s="10"/>
    </row>
    <row r="668" spans="1:36">
      <c r="A668" s="137"/>
      <c r="B668" s="47"/>
      <c r="C668" s="47"/>
      <c r="D668" s="47"/>
      <c r="E668" s="7">
        <f>+G668-Adjustments!G668</f>
        <v>0</v>
      </c>
      <c r="F668" s="7"/>
      <c r="G668" s="7"/>
      <c r="H668" s="7"/>
      <c r="I668" s="7"/>
      <c r="J668" s="7">
        <f>+I668-'ROR-Model'!I668</f>
        <v>0</v>
      </c>
      <c r="K668" s="7"/>
      <c r="L668" s="7"/>
      <c r="M668" s="7"/>
      <c r="N668" s="7"/>
      <c r="O668" s="120"/>
      <c r="P668" s="126"/>
      <c r="Q668" s="7"/>
      <c r="R668" s="7"/>
      <c r="S668" s="126"/>
      <c r="T668" s="7"/>
      <c r="U668" s="7"/>
      <c r="V668" s="124"/>
      <c r="W668" s="7"/>
      <c r="X668" s="139"/>
      <c r="Y668" s="3">
        <f t="shared" si="39"/>
        <v>659</v>
      </c>
      <c r="AA668" s="7"/>
      <c r="AC668" s="7" t="str">
        <f t="shared" si="40"/>
        <v/>
      </c>
      <c r="AE668" s="42" t="str">
        <f t="shared" si="41"/>
        <v/>
      </c>
      <c r="AG668" s="162"/>
      <c r="AH668" s="10"/>
      <c r="AI668" s="10"/>
      <c r="AJ668" s="10"/>
    </row>
    <row r="669" spans="1:36">
      <c r="A669" s="137">
        <v>873</v>
      </c>
      <c r="B669" s="47" t="s">
        <v>340</v>
      </c>
      <c r="C669" s="47"/>
      <c r="D669" s="47"/>
      <c r="E669" s="7">
        <f>+G669-Adjustments!G669</f>
        <v>0</v>
      </c>
      <c r="F669" s="7"/>
      <c r="G669" s="7"/>
      <c r="H669" s="7"/>
      <c r="I669" s="7"/>
      <c r="J669" s="7">
        <f>+I669-'ROR-Model'!I669</f>
        <v>0</v>
      </c>
      <c r="K669" s="7"/>
      <c r="L669" s="7"/>
      <c r="M669" s="7"/>
      <c r="N669" s="7"/>
      <c r="O669" s="120"/>
      <c r="P669" s="126"/>
      <c r="Q669" s="7"/>
      <c r="R669" s="7"/>
      <c r="S669" s="126"/>
      <c r="T669" s="7"/>
      <c r="U669" s="7"/>
      <c r="V669" s="124"/>
      <c r="W669" s="7"/>
      <c r="X669" s="139"/>
      <c r="Y669" s="3">
        <f t="shared" si="39"/>
        <v>660</v>
      </c>
      <c r="AA669" s="7"/>
      <c r="AC669" s="7" t="str">
        <f t="shared" si="40"/>
        <v/>
      </c>
      <c r="AE669" s="42" t="str">
        <f t="shared" si="41"/>
        <v/>
      </c>
      <c r="AG669" s="162">
        <v>873</v>
      </c>
      <c r="AH669" s="10" t="s">
        <v>340</v>
      </c>
      <c r="AI669" s="10"/>
      <c r="AJ669" s="10"/>
    </row>
    <row r="670" spans="1:36">
      <c r="A670" s="137"/>
      <c r="B670" s="47"/>
      <c r="C670" s="47" t="s">
        <v>12</v>
      </c>
      <c r="D670" s="47"/>
      <c r="E670" s="7">
        <f>+G670-Adjustments!G670</f>
        <v>0</v>
      </c>
      <c r="F670" s="7">
        <f>EXPENSES!F161</f>
        <v>-33.11</v>
      </c>
      <c r="G670" s="7">
        <f>+Adjustments!V669</f>
        <v>0</v>
      </c>
      <c r="H670" s="7"/>
      <c r="I670" s="7">
        <f>SUM($F$670:$H$670)</f>
        <v>-33.11</v>
      </c>
      <c r="J670" s="7">
        <f>+I670-'ROR-Model'!I670</f>
        <v>0</v>
      </c>
      <c r="K670" s="7"/>
      <c r="L670" s="7" t="s">
        <v>12</v>
      </c>
      <c r="M670" s="7">
        <f>VLOOKUP($L670,$L$2:$N$7,2,FALSE)*I670</f>
        <v>-33.11</v>
      </c>
      <c r="N670" s="7">
        <f>VLOOKUP($L670,$L$2:$N$7,3,FALSE)*I670</f>
        <v>0</v>
      </c>
      <c r="O670" s="120"/>
      <c r="P670" s="192" t="s">
        <v>510</v>
      </c>
      <c r="Q670" s="7">
        <f>IF(P670="G",M670,IF(P670="PT",0,ERR))</f>
        <v>-33.11</v>
      </c>
      <c r="R670" s="7">
        <f>IF(P670="PT",M670,IF(P670="G",0,ERR))</f>
        <v>0</v>
      </c>
      <c r="S670" s="126" t="s">
        <v>510</v>
      </c>
      <c r="T670" s="7">
        <f>IF(S670="G",N670,IF(S670="PT",0,ERR))</f>
        <v>0</v>
      </c>
      <c r="U670" s="7">
        <f>IF(S670="PT",N670,IF(S670="G",0,ERR))</f>
        <v>0</v>
      </c>
      <c r="V670" s="124"/>
      <c r="W670" s="7">
        <f>HLOOKUP($W$9,'ROR-Model'!$Q$10:$U$1273,Y670)</f>
        <v>-33.11</v>
      </c>
      <c r="X670" s="139"/>
      <c r="Y670" s="3">
        <f t="shared" si="39"/>
        <v>661</v>
      </c>
      <c r="AA670" s="7">
        <v>0</v>
      </c>
      <c r="AC670" s="7" t="str">
        <f t="shared" si="40"/>
        <v/>
      </c>
      <c r="AE670" s="42" t="str">
        <f t="shared" si="41"/>
        <v/>
      </c>
      <c r="AG670" s="162"/>
      <c r="AH670" s="10"/>
      <c r="AI670" s="10" t="s">
        <v>12</v>
      </c>
      <c r="AJ670" s="10"/>
    </row>
    <row r="671" spans="1:36">
      <c r="A671" s="137"/>
      <c r="B671" s="47"/>
      <c r="C671" s="47" t="s">
        <v>23</v>
      </c>
      <c r="D671" s="47"/>
      <c r="E671" s="7">
        <f>+G671-Adjustments!G671</f>
        <v>0</v>
      </c>
      <c r="F671" s="7">
        <f>EXPENSES!F162</f>
        <v>76.63</v>
      </c>
      <c r="G671" s="7">
        <f>+Adjustments!V670</f>
        <v>0</v>
      </c>
      <c r="H671" s="7"/>
      <c r="I671" s="7">
        <f>SUM($F$671:$H$671)</f>
        <v>76.63</v>
      </c>
      <c r="J671" s="7">
        <f>+I671-'ROR-Model'!I671</f>
        <v>0</v>
      </c>
      <c r="K671" s="7"/>
      <c r="L671" s="7" t="s">
        <v>23</v>
      </c>
      <c r="M671" s="7">
        <f>VLOOKUP($L671,$L$2:$N$7,2,FALSE)*I671</f>
        <v>0</v>
      </c>
      <c r="N671" s="7">
        <f>VLOOKUP($L671,$L$2:$N$7,3,FALSE)*I671</f>
        <v>76.63</v>
      </c>
      <c r="O671" s="120"/>
      <c r="P671" s="192" t="s">
        <v>510</v>
      </c>
      <c r="Q671" s="7">
        <f>IF(P671="G",M671,IF(P671="PT",0,ERR))</f>
        <v>0</v>
      </c>
      <c r="R671" s="7">
        <f>IF(P671="PT",M671,IF(P671="G",0,ERR))</f>
        <v>0</v>
      </c>
      <c r="S671" s="126" t="s">
        <v>510</v>
      </c>
      <c r="T671" s="7">
        <f>IF(S671="G",N671,IF(S671="PT",0,ERR))</f>
        <v>76.63</v>
      </c>
      <c r="U671" s="7">
        <f>IF(S671="PT",N671,IF(S671="G",0,ERR))</f>
        <v>0</v>
      </c>
      <c r="V671" s="124"/>
      <c r="W671" s="7">
        <f>HLOOKUP($W$9,'ROR-Model'!$Q$10:$U$1273,Y671)</f>
        <v>0</v>
      </c>
      <c r="X671" s="139"/>
      <c r="Y671" s="3">
        <f t="shared" si="39"/>
        <v>662</v>
      </c>
      <c r="AA671" s="7">
        <v>0</v>
      </c>
      <c r="AC671" s="7" t="str">
        <f t="shared" si="40"/>
        <v/>
      </c>
      <c r="AE671" s="42" t="str">
        <f t="shared" si="41"/>
        <v/>
      </c>
      <c r="AG671" s="162"/>
      <c r="AH671" s="10"/>
      <c r="AI671" s="10" t="s">
        <v>23</v>
      </c>
      <c r="AJ671" s="10"/>
    </row>
    <row r="672" spans="1:36">
      <c r="A672" s="137"/>
      <c r="B672" s="47"/>
      <c r="C672" s="47" t="s">
        <v>145</v>
      </c>
      <c r="D672" s="47"/>
      <c r="E672" s="140">
        <f>+G672-Adjustments!G672</f>
        <v>0</v>
      </c>
      <c r="F672" s="140">
        <f>SUM(F670:F671)</f>
        <v>43.519999999999996</v>
      </c>
      <c r="G672" s="140">
        <f>SUM(G670:G671)</f>
        <v>0</v>
      </c>
      <c r="H672" s="140">
        <f>SUM(H670:H671)</f>
        <v>0</v>
      </c>
      <c r="I672" s="140">
        <f>SUM(I670:I671)</f>
        <v>43.519999999999996</v>
      </c>
      <c r="J672" s="7">
        <f>+I672-'ROR-Model'!I672</f>
        <v>0</v>
      </c>
      <c r="K672" s="7"/>
      <c r="L672" s="140"/>
      <c r="M672" s="140">
        <f>SUM(M670:M671)</f>
        <v>-33.11</v>
      </c>
      <c r="N672" s="140">
        <f>SUM(N670:N671)</f>
        <v>76.63</v>
      </c>
      <c r="O672" s="120"/>
      <c r="P672" s="201"/>
      <c r="Q672" s="140">
        <f>SUM(Q670:Q671)</f>
        <v>-33.11</v>
      </c>
      <c r="R672" s="140">
        <f>SUM(R670:R671)</f>
        <v>0</v>
      </c>
      <c r="S672" s="201"/>
      <c r="T672" s="140">
        <f>SUM(T670:T671)</f>
        <v>76.63</v>
      </c>
      <c r="U672" s="140">
        <f>SUM(U670:U671)</f>
        <v>0</v>
      </c>
      <c r="V672" s="124"/>
      <c r="W672" s="140">
        <f>HLOOKUP($W$9,'ROR-Model'!$Q$10:$U$1273,Y672)</f>
        <v>-33.11</v>
      </c>
      <c r="X672" s="139"/>
      <c r="Y672" s="3">
        <f t="shared" si="39"/>
        <v>663</v>
      </c>
      <c r="AA672" s="140">
        <v>0</v>
      </c>
      <c r="AC672" s="140" t="str">
        <f t="shared" si="40"/>
        <v/>
      </c>
      <c r="AE672" s="42" t="str">
        <f t="shared" si="41"/>
        <v/>
      </c>
      <c r="AG672" s="162"/>
      <c r="AH672" s="10"/>
      <c r="AI672" s="10" t="s">
        <v>145</v>
      </c>
      <c r="AJ672" s="10"/>
    </row>
    <row r="673" spans="1:36">
      <c r="A673" s="137"/>
      <c r="B673" s="47"/>
      <c r="C673" s="47"/>
      <c r="D673" s="47"/>
      <c r="E673" s="7">
        <f>+G673-Adjustments!G673</f>
        <v>0</v>
      </c>
      <c r="F673" s="7"/>
      <c r="G673" s="7"/>
      <c r="H673" s="7"/>
      <c r="I673" s="7"/>
      <c r="J673" s="7">
        <f>+I673-'ROR-Model'!I673</f>
        <v>0</v>
      </c>
      <c r="K673" s="7"/>
      <c r="L673" s="7"/>
      <c r="M673" s="7"/>
      <c r="N673" s="7"/>
      <c r="O673" s="120"/>
      <c r="P673" s="126"/>
      <c r="Q673" s="7"/>
      <c r="R673" s="7"/>
      <c r="S673" s="126"/>
      <c r="T673" s="7"/>
      <c r="U673" s="7"/>
      <c r="V673" s="124"/>
      <c r="W673" s="7"/>
      <c r="X673" s="139"/>
      <c r="Y673" s="3">
        <f t="shared" si="39"/>
        <v>664</v>
      </c>
      <c r="AA673" s="7"/>
      <c r="AC673" s="7" t="str">
        <f t="shared" si="40"/>
        <v/>
      </c>
      <c r="AE673" s="42" t="str">
        <f t="shared" si="41"/>
        <v/>
      </c>
      <c r="AG673" s="162"/>
      <c r="AH673" s="10"/>
      <c r="AI673" s="10"/>
      <c r="AJ673" s="10"/>
    </row>
    <row r="674" spans="1:36">
      <c r="A674" s="137">
        <v>874</v>
      </c>
      <c r="B674" s="47" t="s">
        <v>341</v>
      </c>
      <c r="C674" s="47"/>
      <c r="D674" s="47"/>
      <c r="E674" s="7">
        <f>+G674-Adjustments!G674</f>
        <v>0</v>
      </c>
      <c r="F674" s="7"/>
      <c r="G674" s="7"/>
      <c r="H674" s="7"/>
      <c r="I674" s="7"/>
      <c r="J674" s="7">
        <f>+I674-'ROR-Model'!I674</f>
        <v>0</v>
      </c>
      <c r="K674" s="7"/>
      <c r="L674" s="7"/>
      <c r="M674" s="7"/>
      <c r="N674" s="7"/>
      <c r="O674" s="120"/>
      <c r="P674" s="126"/>
      <c r="Q674" s="7"/>
      <c r="R674" s="7"/>
      <c r="S674" s="126"/>
      <c r="T674" s="7"/>
      <c r="U674" s="7"/>
      <c r="V674" s="124"/>
      <c r="W674" s="7"/>
      <c r="X674" s="139"/>
      <c r="Y674" s="3">
        <f t="shared" si="39"/>
        <v>665</v>
      </c>
      <c r="AA674" s="7"/>
      <c r="AC674" s="7" t="str">
        <f t="shared" si="40"/>
        <v/>
      </c>
      <c r="AE674" s="42" t="str">
        <f t="shared" si="41"/>
        <v/>
      </c>
      <c r="AG674" s="162">
        <v>874</v>
      </c>
      <c r="AH674" s="10" t="s">
        <v>341</v>
      </c>
      <c r="AI674" s="10"/>
      <c r="AJ674" s="10"/>
    </row>
    <row r="675" spans="1:36">
      <c r="A675" s="137"/>
      <c r="B675" s="47"/>
      <c r="C675" s="47" t="s">
        <v>12</v>
      </c>
      <c r="D675" s="47"/>
      <c r="E675" s="7">
        <f>+G675-Adjustments!G675</f>
        <v>0</v>
      </c>
      <c r="F675" s="7">
        <f>EXPENSES!F166</f>
        <v>20299550.5</v>
      </c>
      <c r="G675" s="7">
        <f>+Adjustments!V674</f>
        <v>0</v>
      </c>
      <c r="H675" s="7"/>
      <c r="I675" s="7">
        <f>SUM($F$675:$H$675)</f>
        <v>20299550.5</v>
      </c>
      <c r="J675" s="7">
        <f>+I675-'ROR-Model'!I675</f>
        <v>0</v>
      </c>
      <c r="K675" s="7"/>
      <c r="L675" s="7" t="s">
        <v>12</v>
      </c>
      <c r="M675" s="7">
        <f>VLOOKUP($L675,$L$2:$N$7,2,FALSE)*I675</f>
        <v>20299550.5</v>
      </c>
      <c r="N675" s="7">
        <f>VLOOKUP($L675,$L$2:$N$7,3,FALSE)*I675</f>
        <v>0</v>
      </c>
      <c r="O675" s="120"/>
      <c r="P675" s="192" t="s">
        <v>510</v>
      </c>
      <c r="Q675" s="7">
        <f>IF(P675="G",M675,IF(P675="PT",0,ERR))</f>
        <v>20299550.5</v>
      </c>
      <c r="R675" s="7">
        <f>IF(P675="PT",M675,IF(P675="G",0,ERR))</f>
        <v>0</v>
      </c>
      <c r="S675" s="126" t="s">
        <v>510</v>
      </c>
      <c r="T675" s="7">
        <f>IF(S675="G",N675,IF(S675="PT",0,ERR))</f>
        <v>0</v>
      </c>
      <c r="U675" s="7">
        <f>IF(S675="PT",N675,IF(S675="G",0,ERR))</f>
        <v>0</v>
      </c>
      <c r="V675" s="124"/>
      <c r="W675" s="7">
        <f>HLOOKUP($W$9,'ROR-Model'!$Q$10:$U$1273,Y675)</f>
        <v>20299550.5</v>
      </c>
      <c r="X675" s="139"/>
      <c r="Y675" s="3">
        <f t="shared" si="39"/>
        <v>666</v>
      </c>
      <c r="AA675" s="7">
        <v>13209591.120000001</v>
      </c>
      <c r="AC675" s="7">
        <f t="shared" si="40"/>
        <v>7089959.379999999</v>
      </c>
      <c r="AE675" s="42">
        <f t="shared" si="41"/>
        <v>0.53672814817601999</v>
      </c>
      <c r="AG675" s="162"/>
      <c r="AH675" s="10"/>
      <c r="AI675" s="10" t="s">
        <v>12</v>
      </c>
      <c r="AJ675" s="10"/>
    </row>
    <row r="676" spans="1:36">
      <c r="A676" s="137"/>
      <c r="B676" s="47"/>
      <c r="C676" s="47" t="s">
        <v>23</v>
      </c>
      <c r="D676" s="47"/>
      <c r="E676" s="7">
        <f>+G676-Adjustments!G676</f>
        <v>0</v>
      </c>
      <c r="F676" s="7">
        <f>EXPENSES!F167</f>
        <v>533220.92000000004</v>
      </c>
      <c r="G676" s="7">
        <f>+Adjustments!V675</f>
        <v>0</v>
      </c>
      <c r="H676" s="7"/>
      <c r="I676" s="7">
        <f>SUM($F$676:$H$676)</f>
        <v>533220.92000000004</v>
      </c>
      <c r="J676" s="7">
        <f>+I676-'ROR-Model'!I676</f>
        <v>0</v>
      </c>
      <c r="K676" s="7"/>
      <c r="L676" s="7" t="s">
        <v>23</v>
      </c>
      <c r="M676" s="7">
        <f>VLOOKUP($L676,$L$2:$N$7,2,FALSE)*I676</f>
        <v>0</v>
      </c>
      <c r="N676" s="7">
        <f>VLOOKUP($L676,$L$2:$N$7,3,FALSE)*I676</f>
        <v>533220.92000000004</v>
      </c>
      <c r="O676" s="120"/>
      <c r="P676" s="192" t="s">
        <v>510</v>
      </c>
      <c r="Q676" s="7">
        <f>IF(P676="G",M676,IF(P676="PT",0,ERR))</f>
        <v>0</v>
      </c>
      <c r="R676" s="7">
        <f>IF(P676="PT",M676,IF(P676="G",0,ERR))</f>
        <v>0</v>
      </c>
      <c r="S676" s="126" t="s">
        <v>510</v>
      </c>
      <c r="T676" s="7">
        <f>IF(S676="G",N676,IF(S676="PT",0,ERR))</f>
        <v>533220.92000000004</v>
      </c>
      <c r="U676" s="7">
        <f>IF(S676="PT",N676,IF(S676="G",0,ERR))</f>
        <v>0</v>
      </c>
      <c r="V676" s="124"/>
      <c r="W676" s="7">
        <f>HLOOKUP($W$9,'ROR-Model'!$Q$10:$U$1273,Y676)</f>
        <v>0</v>
      </c>
      <c r="X676" s="139"/>
      <c r="Y676" s="3">
        <f t="shared" si="39"/>
        <v>667</v>
      </c>
      <c r="AA676" s="7">
        <v>0</v>
      </c>
      <c r="AC676" s="7" t="str">
        <f t="shared" si="40"/>
        <v/>
      </c>
      <c r="AE676" s="42" t="str">
        <f t="shared" si="41"/>
        <v/>
      </c>
      <c r="AG676" s="162"/>
      <c r="AH676" s="10"/>
      <c r="AI676" s="10" t="s">
        <v>23</v>
      </c>
      <c r="AJ676" s="10"/>
    </row>
    <row r="677" spans="1:36">
      <c r="A677" s="137"/>
      <c r="B677" s="47"/>
      <c r="C677" s="47" t="s">
        <v>145</v>
      </c>
      <c r="D677" s="47"/>
      <c r="E677" s="140">
        <f>+G677-Adjustments!G677</f>
        <v>0</v>
      </c>
      <c r="F677" s="140">
        <f>SUM(F675:F676)</f>
        <v>20832771.420000002</v>
      </c>
      <c r="G677" s="140">
        <f>SUM(G675:G676)</f>
        <v>0</v>
      </c>
      <c r="H677" s="140">
        <f>SUM(H675:H676)</f>
        <v>0</v>
      </c>
      <c r="I677" s="140">
        <f>SUM(I675:I676)</f>
        <v>20832771.420000002</v>
      </c>
      <c r="J677" s="7">
        <f>+I677-'ROR-Model'!I677</f>
        <v>0</v>
      </c>
      <c r="K677" s="7"/>
      <c r="L677" s="140"/>
      <c r="M677" s="140">
        <f>SUM(M675:M676)</f>
        <v>20299550.5</v>
      </c>
      <c r="N677" s="140">
        <f>SUM(N675:N676)</f>
        <v>533220.92000000004</v>
      </c>
      <c r="O677" s="120"/>
      <c r="P677" s="201"/>
      <c r="Q677" s="140">
        <f>SUM(Q675:Q676)</f>
        <v>20299550.5</v>
      </c>
      <c r="R677" s="140">
        <f>SUM(R675:R676)</f>
        <v>0</v>
      </c>
      <c r="S677" s="201"/>
      <c r="T677" s="140">
        <f>SUM(T675:T676)</f>
        <v>533220.92000000004</v>
      </c>
      <c r="U677" s="140">
        <f>SUM(U675:U676)</f>
        <v>0</v>
      </c>
      <c r="V677" s="124"/>
      <c r="W677" s="140">
        <f>HLOOKUP($W$9,'ROR-Model'!$Q$10:$U$1273,Y677)</f>
        <v>20299550.5</v>
      </c>
      <c r="X677" s="139"/>
      <c r="Y677" s="3">
        <f t="shared" si="39"/>
        <v>668</v>
      </c>
      <c r="AA677" s="140">
        <v>13209591.120000001</v>
      </c>
      <c r="AC677" s="140">
        <f t="shared" si="40"/>
        <v>7089959.379999999</v>
      </c>
      <c r="AE677" s="42">
        <f t="shared" si="41"/>
        <v>0.53672814817601999</v>
      </c>
      <c r="AG677" s="162"/>
      <c r="AH677" s="10"/>
      <c r="AI677" s="10" t="s">
        <v>145</v>
      </c>
      <c r="AJ677" s="10"/>
    </row>
    <row r="678" spans="1:36">
      <c r="A678" s="137"/>
      <c r="B678" s="47"/>
      <c r="C678" s="47"/>
      <c r="D678" s="47"/>
      <c r="E678" s="7">
        <f>+G678-Adjustments!G678</f>
        <v>0</v>
      </c>
      <c r="F678" s="7"/>
      <c r="G678" s="7"/>
      <c r="H678" s="7"/>
      <c r="I678" s="7"/>
      <c r="J678" s="7">
        <f>+I678-'ROR-Model'!I678</f>
        <v>0</v>
      </c>
      <c r="K678" s="7"/>
      <c r="L678" s="7"/>
      <c r="M678" s="7"/>
      <c r="N678" s="7"/>
      <c r="O678" s="120"/>
      <c r="P678" s="126"/>
      <c r="Q678" s="7"/>
      <c r="R678" s="7"/>
      <c r="S678" s="126"/>
      <c r="T678" s="7"/>
      <c r="U678" s="7"/>
      <c r="V678" s="124"/>
      <c r="W678" s="7"/>
      <c r="X678" s="139"/>
      <c r="Y678" s="3">
        <f t="shared" si="39"/>
        <v>669</v>
      </c>
      <c r="AA678" s="7"/>
      <c r="AC678" s="7" t="str">
        <f t="shared" si="40"/>
        <v/>
      </c>
      <c r="AE678" s="42" t="str">
        <f t="shared" si="41"/>
        <v/>
      </c>
      <c r="AG678" s="162"/>
      <c r="AH678" s="10"/>
      <c r="AI678" s="10"/>
      <c r="AJ678" s="10"/>
    </row>
    <row r="679" spans="1:36">
      <c r="A679" s="137">
        <v>875</v>
      </c>
      <c r="B679" s="47" t="s">
        <v>342</v>
      </c>
      <c r="C679" s="47"/>
      <c r="D679" s="47"/>
      <c r="E679" s="7">
        <f>+G679-Adjustments!G679</f>
        <v>0</v>
      </c>
      <c r="F679" s="7"/>
      <c r="G679" s="7"/>
      <c r="H679" s="7"/>
      <c r="I679" s="7"/>
      <c r="J679" s="7">
        <f>+I679-'ROR-Model'!I679</f>
        <v>0</v>
      </c>
      <c r="K679" s="7"/>
      <c r="L679" s="7"/>
      <c r="M679" s="7"/>
      <c r="N679" s="7"/>
      <c r="O679" s="120"/>
      <c r="P679" s="126"/>
      <c r="Q679" s="7"/>
      <c r="R679" s="7"/>
      <c r="S679" s="126"/>
      <c r="T679" s="7"/>
      <c r="U679" s="7"/>
      <c r="V679" s="124"/>
      <c r="W679" s="7"/>
      <c r="X679" s="139"/>
      <c r="Y679" s="3">
        <f t="shared" si="39"/>
        <v>670</v>
      </c>
      <c r="AA679" s="7"/>
      <c r="AC679" s="7" t="str">
        <f t="shared" si="40"/>
        <v/>
      </c>
      <c r="AE679" s="42" t="str">
        <f t="shared" si="41"/>
        <v/>
      </c>
      <c r="AG679" s="162">
        <v>875</v>
      </c>
      <c r="AH679" s="10" t="s">
        <v>342</v>
      </c>
      <c r="AI679" s="10"/>
      <c r="AJ679" s="10"/>
    </row>
    <row r="680" spans="1:36">
      <c r="A680" s="137"/>
      <c r="B680" s="47"/>
      <c r="C680" s="47" t="s">
        <v>12</v>
      </c>
      <c r="D680" s="47"/>
      <c r="E680" s="7">
        <f>+G680-Adjustments!G680</f>
        <v>0</v>
      </c>
      <c r="F680" s="7">
        <f>EXPENSES!F171</f>
        <v>3086355.13</v>
      </c>
      <c r="G680" s="7">
        <f>+Adjustments!V679</f>
        <v>0</v>
      </c>
      <c r="H680" s="7"/>
      <c r="I680" s="7">
        <f>SUM($F$680:$H$680)</f>
        <v>3086355.13</v>
      </c>
      <c r="J680" s="7">
        <f>+I680-'ROR-Model'!I680</f>
        <v>0</v>
      </c>
      <c r="K680" s="7"/>
      <c r="L680" s="7" t="s">
        <v>12</v>
      </c>
      <c r="M680" s="7">
        <f>VLOOKUP($L680,$L$2:$N$7,2,FALSE)*I680</f>
        <v>3086355.13</v>
      </c>
      <c r="N680" s="7">
        <f>VLOOKUP($L680,$L$2:$N$7,3,FALSE)*I680</f>
        <v>0</v>
      </c>
      <c r="O680" s="120"/>
      <c r="P680" s="192" t="s">
        <v>510</v>
      </c>
      <c r="Q680" s="7">
        <f>IF(P680="G",M680,IF(P680="PT",0,ERR))</f>
        <v>3086355.13</v>
      </c>
      <c r="R680" s="7">
        <f>IF(P680="PT",M680,IF(P680="G",0,ERR))</f>
        <v>0</v>
      </c>
      <c r="S680" s="126" t="s">
        <v>510</v>
      </c>
      <c r="T680" s="7">
        <f>IF(S680="G",N680,IF(S680="PT",0,ERR))</f>
        <v>0</v>
      </c>
      <c r="U680" s="7">
        <f>IF(S680="PT",N680,IF(S680="G",0,ERR))</f>
        <v>0</v>
      </c>
      <c r="V680" s="124"/>
      <c r="W680" s="7">
        <f>HLOOKUP($W$9,'ROR-Model'!$Q$10:$U$1273,Y680)</f>
        <v>3086355.13</v>
      </c>
      <c r="X680" s="139"/>
      <c r="Y680" s="3">
        <f t="shared" si="39"/>
        <v>671</v>
      </c>
      <c r="AA680" s="7">
        <v>2735772.6799999997</v>
      </c>
      <c r="AC680" s="7">
        <f t="shared" si="40"/>
        <v>350582.45000000019</v>
      </c>
      <c r="AE680" s="42">
        <f t="shared" si="41"/>
        <v>0.12814750748954779</v>
      </c>
      <c r="AG680" s="162"/>
      <c r="AH680" s="10"/>
      <c r="AI680" s="10" t="s">
        <v>12</v>
      </c>
      <c r="AJ680" s="10"/>
    </row>
    <row r="681" spans="1:36">
      <c r="A681" s="137"/>
      <c r="B681" s="47"/>
      <c r="C681" s="47" t="s">
        <v>23</v>
      </c>
      <c r="D681" s="47"/>
      <c r="E681" s="7">
        <f>+G681-Adjustments!G681</f>
        <v>0</v>
      </c>
      <c r="F681" s="7">
        <f>EXPENSES!F172</f>
        <v>90689.8</v>
      </c>
      <c r="G681" s="7">
        <f>+Adjustments!V680</f>
        <v>0</v>
      </c>
      <c r="H681" s="7"/>
      <c r="I681" s="7">
        <f>SUM($F$681:$H$681)</f>
        <v>90689.8</v>
      </c>
      <c r="J681" s="7">
        <f>+I681-'ROR-Model'!I681</f>
        <v>0</v>
      </c>
      <c r="K681" s="7"/>
      <c r="L681" s="7" t="s">
        <v>23</v>
      </c>
      <c r="M681" s="7">
        <f>VLOOKUP($L681,$L$2:$N$7,2,FALSE)*I681</f>
        <v>0</v>
      </c>
      <c r="N681" s="7">
        <f>VLOOKUP($L681,$L$2:$N$7,3,FALSE)*I681</f>
        <v>90689.8</v>
      </c>
      <c r="O681" s="120"/>
      <c r="P681" s="192" t="s">
        <v>510</v>
      </c>
      <c r="Q681" s="7">
        <f>IF(P681="G",M681,IF(P681="PT",0,ERR))</f>
        <v>0</v>
      </c>
      <c r="R681" s="7">
        <f>IF(P681="PT",M681,IF(P681="G",0,ERR))</f>
        <v>0</v>
      </c>
      <c r="S681" s="126" t="s">
        <v>510</v>
      </c>
      <c r="T681" s="7">
        <f>IF(S681="G",N681,IF(S681="PT",0,ERR))</f>
        <v>90689.8</v>
      </c>
      <c r="U681" s="7">
        <f>IF(S681="PT",N681,IF(S681="G",0,ERR))</f>
        <v>0</v>
      </c>
      <c r="V681" s="124"/>
      <c r="W681" s="7">
        <f>HLOOKUP($W$9,'ROR-Model'!$Q$10:$U$1273,Y681)</f>
        <v>0</v>
      </c>
      <c r="X681" s="139"/>
      <c r="Y681" s="3">
        <f t="shared" si="39"/>
        <v>672</v>
      </c>
      <c r="AA681" s="7">
        <v>0</v>
      </c>
      <c r="AC681" s="7" t="str">
        <f t="shared" si="40"/>
        <v/>
      </c>
      <c r="AE681" s="42" t="str">
        <f t="shared" si="41"/>
        <v/>
      </c>
      <c r="AG681" s="162"/>
      <c r="AH681" s="10"/>
      <c r="AI681" s="10" t="s">
        <v>23</v>
      </c>
      <c r="AJ681" s="10"/>
    </row>
    <row r="682" spans="1:36">
      <c r="A682" s="137"/>
      <c r="B682" s="47"/>
      <c r="C682" s="47" t="s">
        <v>145</v>
      </c>
      <c r="D682" s="47"/>
      <c r="E682" s="140">
        <f>+G682-Adjustments!G682</f>
        <v>0</v>
      </c>
      <c r="F682" s="140">
        <f>SUM(F680:F681)</f>
        <v>3177044.9299999997</v>
      </c>
      <c r="G682" s="140">
        <f>SUM(G680:G681)</f>
        <v>0</v>
      </c>
      <c r="H682" s="140">
        <f>SUM(H680:H681)</f>
        <v>0</v>
      </c>
      <c r="I682" s="140">
        <f>SUM(I680:I681)</f>
        <v>3177044.9299999997</v>
      </c>
      <c r="J682" s="7">
        <f>+I682-'ROR-Model'!I682</f>
        <v>0</v>
      </c>
      <c r="K682" s="7"/>
      <c r="L682" s="140"/>
      <c r="M682" s="140">
        <f>SUM(M680:M681)</f>
        <v>3086355.13</v>
      </c>
      <c r="N682" s="140">
        <f>SUM(N680:N681)</f>
        <v>90689.8</v>
      </c>
      <c r="O682" s="120"/>
      <c r="P682" s="201"/>
      <c r="Q682" s="140">
        <f>SUM(Q680:Q681)</f>
        <v>3086355.13</v>
      </c>
      <c r="R682" s="140">
        <f>SUM(R680:R681)</f>
        <v>0</v>
      </c>
      <c r="S682" s="201"/>
      <c r="T682" s="140">
        <f>SUM(T680:T681)</f>
        <v>90689.8</v>
      </c>
      <c r="U682" s="140">
        <f>SUM(U680:U681)</f>
        <v>0</v>
      </c>
      <c r="V682" s="124"/>
      <c r="W682" s="140">
        <f>HLOOKUP($W$9,'ROR-Model'!$Q$10:$U$1273,Y682)</f>
        <v>3086355.13</v>
      </c>
      <c r="X682" s="139"/>
      <c r="Y682" s="3">
        <f t="shared" si="39"/>
        <v>673</v>
      </c>
      <c r="AA682" s="140">
        <v>2735772.6799999997</v>
      </c>
      <c r="AC682" s="140">
        <f t="shared" si="40"/>
        <v>350582.45000000019</v>
      </c>
      <c r="AE682" s="42">
        <f t="shared" si="41"/>
        <v>0.12814750748954779</v>
      </c>
      <c r="AG682" s="162"/>
      <c r="AH682" s="10"/>
      <c r="AI682" s="10" t="s">
        <v>145</v>
      </c>
      <c r="AJ682" s="10"/>
    </row>
    <row r="683" spans="1:36">
      <c r="A683" s="137"/>
      <c r="B683" s="47"/>
      <c r="C683" s="47"/>
      <c r="D683" s="47"/>
      <c r="E683" s="7">
        <f>+G683-Adjustments!G683</f>
        <v>0</v>
      </c>
      <c r="F683" s="7"/>
      <c r="G683" s="7"/>
      <c r="H683" s="7"/>
      <c r="I683" s="7"/>
      <c r="J683" s="7">
        <f>+I683-'ROR-Model'!I683</f>
        <v>0</v>
      </c>
      <c r="K683" s="7"/>
      <c r="L683" s="7"/>
      <c r="M683" s="7"/>
      <c r="N683" s="7"/>
      <c r="O683" s="120"/>
      <c r="P683" s="126"/>
      <c r="Q683" s="7"/>
      <c r="R683" s="7"/>
      <c r="S683" s="126"/>
      <c r="T683" s="7"/>
      <c r="U683" s="7"/>
      <c r="V683" s="124"/>
      <c r="W683" s="7"/>
      <c r="X683" s="139"/>
      <c r="Y683" s="3">
        <f t="shared" si="39"/>
        <v>674</v>
      </c>
      <c r="AA683" s="7"/>
      <c r="AC683" s="7" t="str">
        <f t="shared" si="40"/>
        <v/>
      </c>
      <c r="AE683" s="42" t="str">
        <f t="shared" si="41"/>
        <v/>
      </c>
      <c r="AG683" s="162"/>
      <c r="AH683" s="10"/>
      <c r="AI683" s="10"/>
      <c r="AJ683" s="10"/>
    </row>
    <row r="684" spans="1:36">
      <c r="A684" s="137">
        <v>878</v>
      </c>
      <c r="B684" s="47" t="s">
        <v>343</v>
      </c>
      <c r="C684" s="47"/>
      <c r="D684" s="47"/>
      <c r="E684" s="7">
        <f>+G684-Adjustments!G684</f>
        <v>0</v>
      </c>
      <c r="F684" s="7"/>
      <c r="G684" s="7"/>
      <c r="H684" s="7"/>
      <c r="I684" s="7"/>
      <c r="J684" s="7">
        <f>+I684-'ROR-Model'!I684</f>
        <v>0</v>
      </c>
      <c r="K684" s="7"/>
      <c r="L684" s="7"/>
      <c r="M684" s="7"/>
      <c r="N684" s="7"/>
      <c r="O684" s="120"/>
      <c r="P684" s="126"/>
      <c r="Q684" s="7"/>
      <c r="R684" s="7"/>
      <c r="S684" s="126"/>
      <c r="T684" s="7"/>
      <c r="U684" s="7"/>
      <c r="V684" s="124"/>
      <c r="W684" s="7"/>
      <c r="X684" s="139"/>
      <c r="Y684" s="3">
        <f t="shared" si="39"/>
        <v>675</v>
      </c>
      <c r="AA684" s="7"/>
      <c r="AC684" s="7" t="str">
        <f t="shared" si="40"/>
        <v/>
      </c>
      <c r="AE684" s="42" t="str">
        <f t="shared" si="41"/>
        <v/>
      </c>
      <c r="AG684" s="162">
        <v>878</v>
      </c>
      <c r="AH684" s="10" t="s">
        <v>343</v>
      </c>
      <c r="AI684" s="10"/>
      <c r="AJ684" s="10"/>
    </row>
    <row r="685" spans="1:36">
      <c r="A685" s="137"/>
      <c r="B685" s="47"/>
      <c r="C685" s="47" t="s">
        <v>12</v>
      </c>
      <c r="D685" s="47"/>
      <c r="E685" s="7">
        <f>+G685-Adjustments!G685</f>
        <v>0</v>
      </c>
      <c r="F685" s="7">
        <f>EXPENSES!F176</f>
        <v>3193591.6100000003</v>
      </c>
      <c r="G685" s="7">
        <f>+Adjustments!V684</f>
        <v>0</v>
      </c>
      <c r="H685" s="7"/>
      <c r="I685" s="7">
        <f>SUM($F$685:$H$685)</f>
        <v>3193591.6100000003</v>
      </c>
      <c r="J685" s="7">
        <f>+I685-'ROR-Model'!I685</f>
        <v>0</v>
      </c>
      <c r="K685" s="7"/>
      <c r="L685" s="7" t="s">
        <v>12</v>
      </c>
      <c r="M685" s="7">
        <f>VLOOKUP($L685,$L$2:$N$7,2,FALSE)*I685</f>
        <v>3193591.6100000003</v>
      </c>
      <c r="N685" s="7">
        <f>VLOOKUP($L685,$L$2:$N$7,3,FALSE)*I685</f>
        <v>0</v>
      </c>
      <c r="O685" s="120"/>
      <c r="P685" s="192" t="s">
        <v>510</v>
      </c>
      <c r="Q685" s="7">
        <f>IF(P685="G",M685,IF(P685="PT",0,ERR))</f>
        <v>3193591.6100000003</v>
      </c>
      <c r="R685" s="7">
        <f>IF(P685="PT",M685,IF(P685="G",0,ERR))</f>
        <v>0</v>
      </c>
      <c r="S685" s="126" t="s">
        <v>510</v>
      </c>
      <c r="T685" s="7">
        <f>IF(S685="G",N685,IF(S685="PT",0,ERR))</f>
        <v>0</v>
      </c>
      <c r="U685" s="7">
        <f>IF(S685="PT",N685,IF(S685="G",0,ERR))</f>
        <v>0</v>
      </c>
      <c r="V685" s="124"/>
      <c r="W685" s="7">
        <f>HLOOKUP($W$9,'ROR-Model'!$Q$10:$U$1273,Y685)</f>
        <v>3193591.6100000003</v>
      </c>
      <c r="X685" s="139"/>
      <c r="Y685" s="3">
        <f t="shared" si="39"/>
        <v>676</v>
      </c>
      <c r="AA685" s="7">
        <v>2862576.65</v>
      </c>
      <c r="AC685" s="7">
        <f t="shared" si="40"/>
        <v>331014.96000000043</v>
      </c>
      <c r="AE685" s="42">
        <f t="shared" si="41"/>
        <v>0.11563531757306846</v>
      </c>
      <c r="AG685" s="162"/>
      <c r="AH685" s="10"/>
      <c r="AI685" s="10" t="s">
        <v>12</v>
      </c>
      <c r="AJ685" s="10"/>
    </row>
    <row r="686" spans="1:36">
      <c r="A686" s="137"/>
      <c r="B686" s="47"/>
      <c r="C686" s="47" t="s">
        <v>23</v>
      </c>
      <c r="D686" s="47"/>
      <c r="E686" s="7">
        <f>+G686-Adjustments!G686</f>
        <v>0</v>
      </c>
      <c r="F686" s="7">
        <f>EXPENSES!F177</f>
        <v>220730.87</v>
      </c>
      <c r="G686" s="7">
        <f>+Adjustments!V685</f>
        <v>0</v>
      </c>
      <c r="H686" s="7"/>
      <c r="I686" s="7">
        <f>SUM($F$686:$H$686)</f>
        <v>220730.87</v>
      </c>
      <c r="J686" s="7">
        <f>+I686-'ROR-Model'!I686</f>
        <v>0</v>
      </c>
      <c r="K686" s="7"/>
      <c r="L686" s="7" t="s">
        <v>23</v>
      </c>
      <c r="M686" s="7">
        <f>VLOOKUP($L686,$L$2:$N$7,2,FALSE)*I686</f>
        <v>0</v>
      </c>
      <c r="N686" s="7">
        <f>VLOOKUP($L686,$L$2:$N$7,3,FALSE)*I686</f>
        <v>220730.87</v>
      </c>
      <c r="O686" s="120"/>
      <c r="P686" s="192" t="s">
        <v>510</v>
      </c>
      <c r="Q686" s="7">
        <f>IF(P686="G",M686,IF(P686="PT",0,ERR))</f>
        <v>0</v>
      </c>
      <c r="R686" s="7">
        <f>IF(P686="PT",M686,IF(P686="G",0,ERR))</f>
        <v>0</v>
      </c>
      <c r="S686" s="126" t="s">
        <v>510</v>
      </c>
      <c r="T686" s="7">
        <f>IF(S686="G",N686,IF(S686="PT",0,ERR))</f>
        <v>220730.87</v>
      </c>
      <c r="U686" s="7">
        <f>IF(S686="PT",N686,IF(S686="G",0,ERR))</f>
        <v>0</v>
      </c>
      <c r="V686" s="124"/>
      <c r="W686" s="7">
        <f>HLOOKUP($W$9,'ROR-Model'!$Q$10:$U$1273,Y686)</f>
        <v>0</v>
      </c>
      <c r="X686" s="139"/>
      <c r="Y686" s="3">
        <f t="shared" si="39"/>
        <v>677</v>
      </c>
      <c r="AA686" s="7">
        <v>0</v>
      </c>
      <c r="AC686" s="7" t="str">
        <f t="shared" si="40"/>
        <v/>
      </c>
      <c r="AE686" s="42" t="str">
        <f t="shared" si="41"/>
        <v/>
      </c>
      <c r="AG686" s="162"/>
      <c r="AH686" s="10"/>
      <c r="AI686" s="10" t="s">
        <v>23</v>
      </c>
      <c r="AJ686" s="10"/>
    </row>
    <row r="687" spans="1:36">
      <c r="A687" s="137"/>
      <c r="B687" s="47"/>
      <c r="C687" s="47" t="s">
        <v>145</v>
      </c>
      <c r="D687" s="47"/>
      <c r="E687" s="140">
        <f>+G687-Adjustments!G687</f>
        <v>0</v>
      </c>
      <c r="F687" s="140">
        <f>SUM(F685:F686)</f>
        <v>3414322.4800000004</v>
      </c>
      <c r="G687" s="140">
        <f>SUM(G685:G686)</f>
        <v>0</v>
      </c>
      <c r="H687" s="140">
        <f>SUM(H685:H686)</f>
        <v>0</v>
      </c>
      <c r="I687" s="140">
        <f>SUM(I685:I686)</f>
        <v>3414322.4800000004</v>
      </c>
      <c r="J687" s="7">
        <f>+I687-'ROR-Model'!I687</f>
        <v>0</v>
      </c>
      <c r="K687" s="7"/>
      <c r="L687" s="140"/>
      <c r="M687" s="140">
        <f>SUM(M685:M686)</f>
        <v>3193591.6100000003</v>
      </c>
      <c r="N687" s="140">
        <f>SUM(N685:N686)</f>
        <v>220730.87</v>
      </c>
      <c r="O687" s="120"/>
      <c r="P687" s="201"/>
      <c r="Q687" s="140">
        <f>SUM(Q685:Q686)</f>
        <v>3193591.6100000003</v>
      </c>
      <c r="R687" s="140">
        <f>SUM(R685:R686)</f>
        <v>0</v>
      </c>
      <c r="S687" s="201"/>
      <c r="T687" s="140">
        <f>SUM(T685:T686)</f>
        <v>220730.87</v>
      </c>
      <c r="U687" s="140">
        <f>SUM(U685:U686)</f>
        <v>0</v>
      </c>
      <c r="V687" s="124"/>
      <c r="W687" s="140">
        <f>HLOOKUP($W$9,'ROR-Model'!$Q$10:$U$1273,Y687)</f>
        <v>3193591.6100000003</v>
      </c>
      <c r="X687" s="139"/>
      <c r="Y687" s="3">
        <f t="shared" si="39"/>
        <v>678</v>
      </c>
      <c r="AA687" s="140">
        <v>2862576.65</v>
      </c>
      <c r="AC687" s="140">
        <f t="shared" si="40"/>
        <v>331014.96000000043</v>
      </c>
      <c r="AE687" s="42">
        <f t="shared" si="41"/>
        <v>0.11563531757306846</v>
      </c>
      <c r="AG687" s="162"/>
      <c r="AH687" s="10"/>
      <c r="AI687" s="10" t="s">
        <v>145</v>
      </c>
      <c r="AJ687" s="10"/>
    </row>
    <row r="688" spans="1:36">
      <c r="A688" s="137"/>
      <c r="B688" s="47"/>
      <c r="C688" s="47"/>
      <c r="D688" s="47"/>
      <c r="E688" s="7">
        <f>+G688-Adjustments!G688</f>
        <v>0</v>
      </c>
      <c r="F688" s="7"/>
      <c r="G688" s="7"/>
      <c r="H688" s="7"/>
      <c r="I688" s="7"/>
      <c r="J688" s="7">
        <f>+I688-'ROR-Model'!I688</f>
        <v>0</v>
      </c>
      <c r="K688" s="7"/>
      <c r="L688" s="7"/>
      <c r="M688" s="7"/>
      <c r="N688" s="7"/>
      <c r="O688" s="120"/>
      <c r="P688" s="126"/>
      <c r="Q688" s="7"/>
      <c r="R688" s="7"/>
      <c r="S688" s="126"/>
      <c r="T688" s="7"/>
      <c r="U688" s="7"/>
      <c r="V688" s="124"/>
      <c r="W688" s="7"/>
      <c r="X688" s="139"/>
      <c r="Y688" s="3">
        <f t="shared" si="39"/>
        <v>679</v>
      </c>
      <c r="AA688" s="7"/>
      <c r="AC688" s="7" t="str">
        <f t="shared" si="40"/>
        <v/>
      </c>
      <c r="AE688" s="42" t="str">
        <f t="shared" si="41"/>
        <v/>
      </c>
      <c r="AG688" s="162"/>
      <c r="AH688" s="10"/>
      <c r="AI688" s="10"/>
      <c r="AJ688" s="10"/>
    </row>
    <row r="689" spans="1:36">
      <c r="A689" s="137">
        <v>879</v>
      </c>
      <c r="B689" s="47" t="s">
        <v>344</v>
      </c>
      <c r="C689" s="47"/>
      <c r="D689" s="47"/>
      <c r="E689" s="7">
        <f>+G689-Adjustments!G689</f>
        <v>0</v>
      </c>
      <c r="F689" s="7"/>
      <c r="G689" s="7"/>
      <c r="H689" s="7"/>
      <c r="I689" s="7"/>
      <c r="J689" s="7">
        <f>+I689-'ROR-Model'!I689</f>
        <v>0</v>
      </c>
      <c r="K689" s="7"/>
      <c r="L689" s="7"/>
      <c r="M689" s="7"/>
      <c r="N689" s="7"/>
      <c r="O689" s="120"/>
      <c r="P689" s="126"/>
      <c r="Q689" s="7"/>
      <c r="R689" s="7"/>
      <c r="S689" s="126"/>
      <c r="T689" s="7"/>
      <c r="U689" s="7"/>
      <c r="V689" s="124"/>
      <c r="W689" s="7"/>
      <c r="X689" s="139"/>
      <c r="Y689" s="3">
        <f t="shared" si="39"/>
        <v>680</v>
      </c>
      <c r="AA689" s="7"/>
      <c r="AC689" s="7" t="str">
        <f t="shared" si="40"/>
        <v/>
      </c>
      <c r="AE689" s="42" t="str">
        <f t="shared" si="41"/>
        <v/>
      </c>
      <c r="AG689" s="162">
        <v>879</v>
      </c>
      <c r="AH689" s="10" t="s">
        <v>344</v>
      </c>
      <c r="AI689" s="10"/>
      <c r="AJ689" s="10"/>
    </row>
    <row r="690" spans="1:36">
      <c r="A690" s="137"/>
      <c r="B690" s="47"/>
      <c r="C690" s="47" t="s">
        <v>12</v>
      </c>
      <c r="D690" s="47"/>
      <c r="E690" s="7">
        <f>+G690-Adjustments!G690</f>
        <v>0</v>
      </c>
      <c r="F690" s="7">
        <f>EXPENSES!F181</f>
        <v>2123301.7700000005</v>
      </c>
      <c r="G690" s="7">
        <f>+Adjustments!V689</f>
        <v>0</v>
      </c>
      <c r="H690" s="7"/>
      <c r="I690" s="7">
        <f>SUM($F$690:$H$690)</f>
        <v>2123301.7700000005</v>
      </c>
      <c r="J690" s="7">
        <f>+I690-'ROR-Model'!I690</f>
        <v>0</v>
      </c>
      <c r="K690" s="7"/>
      <c r="L690" s="7" t="s">
        <v>12</v>
      </c>
      <c r="M690" s="7">
        <f>VLOOKUP($L690,$L$2:$N$7,2,FALSE)*I690</f>
        <v>2123301.7700000005</v>
      </c>
      <c r="N690" s="7">
        <f>VLOOKUP($L690,$L$2:$N$7,3,FALSE)*I690</f>
        <v>0</v>
      </c>
      <c r="O690" s="120"/>
      <c r="P690" s="192" t="s">
        <v>510</v>
      </c>
      <c r="Q690" s="7">
        <f>IF(P690="G",M690,IF(P690="PT",0,ERR))</f>
        <v>2123301.7700000005</v>
      </c>
      <c r="R690" s="7">
        <f>IF(P690="PT",M690,IF(P690="G",0,ERR))</f>
        <v>0</v>
      </c>
      <c r="S690" s="126" t="s">
        <v>510</v>
      </c>
      <c r="T690" s="7">
        <f>IF(S690="G",N690,IF(S690="PT",0,ERR))</f>
        <v>0</v>
      </c>
      <c r="U690" s="7">
        <f>IF(S690="PT",N690,IF(S690="G",0,ERR))</f>
        <v>0</v>
      </c>
      <c r="V690" s="124"/>
      <c r="W690" s="7">
        <f>HLOOKUP($W$9,'ROR-Model'!$Q$10:$U$1273,Y690)</f>
        <v>2123301.7700000005</v>
      </c>
      <c r="X690" s="139"/>
      <c r="Y690" s="3">
        <f t="shared" si="39"/>
        <v>681</v>
      </c>
      <c r="AA690" s="7">
        <v>2390883.58</v>
      </c>
      <c r="AC690" s="7">
        <f t="shared" si="40"/>
        <v>-267581.80999999959</v>
      </c>
      <c r="AE690" s="42">
        <f t="shared" si="41"/>
        <v>-0.11191754054373471</v>
      </c>
      <c r="AG690" s="162"/>
      <c r="AH690" s="10"/>
      <c r="AI690" s="10" t="s">
        <v>12</v>
      </c>
      <c r="AJ690" s="10"/>
    </row>
    <row r="691" spans="1:36">
      <c r="A691" s="137"/>
      <c r="B691" s="47"/>
      <c r="C691" s="47" t="s">
        <v>23</v>
      </c>
      <c r="D691" s="47"/>
      <c r="E691" s="7">
        <f>+G691-Adjustments!G691</f>
        <v>0</v>
      </c>
      <c r="F691" s="7">
        <f>EXPENSES!F182</f>
        <v>65178.409999999996</v>
      </c>
      <c r="G691" s="7">
        <f>+Adjustments!V690</f>
        <v>0</v>
      </c>
      <c r="H691" s="7"/>
      <c r="I691" s="7">
        <f>SUM($F$691:$H$691)</f>
        <v>65178.409999999996</v>
      </c>
      <c r="J691" s="7">
        <f>+I691-'ROR-Model'!I691</f>
        <v>0</v>
      </c>
      <c r="K691" s="7"/>
      <c r="L691" s="7" t="s">
        <v>23</v>
      </c>
      <c r="M691" s="7">
        <f>VLOOKUP($L691,$L$2:$N$7,2,FALSE)*I691</f>
        <v>0</v>
      </c>
      <c r="N691" s="7">
        <f>VLOOKUP($L691,$L$2:$N$7,3,FALSE)*I691</f>
        <v>65178.409999999996</v>
      </c>
      <c r="O691" s="120"/>
      <c r="P691" s="192" t="s">
        <v>510</v>
      </c>
      <c r="Q691" s="7">
        <f>IF(P691="G",M691,IF(P691="PT",0,ERR))</f>
        <v>0</v>
      </c>
      <c r="R691" s="7">
        <f>IF(P691="PT",M691,IF(P691="G",0,ERR))</f>
        <v>0</v>
      </c>
      <c r="S691" s="126" t="s">
        <v>510</v>
      </c>
      <c r="T691" s="7">
        <f>IF(S691="G",N691,IF(S691="PT",0,ERR))</f>
        <v>65178.409999999996</v>
      </c>
      <c r="U691" s="7">
        <f>IF(S691="PT",N691,IF(S691="G",0,ERR))</f>
        <v>0</v>
      </c>
      <c r="V691" s="124"/>
      <c r="W691" s="7">
        <f>HLOOKUP($W$9,'ROR-Model'!$Q$10:$U$1273,Y691)</f>
        <v>0</v>
      </c>
      <c r="X691" s="139"/>
      <c r="Y691" s="3">
        <f t="shared" si="39"/>
        <v>682</v>
      </c>
      <c r="AA691" s="7">
        <v>0</v>
      </c>
      <c r="AC691" s="7" t="str">
        <f t="shared" si="40"/>
        <v/>
      </c>
      <c r="AE691" s="42" t="str">
        <f t="shared" si="41"/>
        <v/>
      </c>
      <c r="AG691" s="162"/>
      <c r="AH691" s="10"/>
      <c r="AI691" s="10" t="s">
        <v>23</v>
      </c>
      <c r="AJ691" s="10"/>
    </row>
    <row r="692" spans="1:36">
      <c r="A692" s="137"/>
      <c r="B692" s="47"/>
      <c r="C692" s="47" t="s">
        <v>145</v>
      </c>
      <c r="D692" s="47"/>
      <c r="E692" s="140">
        <f>+G692-Adjustments!G692</f>
        <v>0</v>
      </c>
      <c r="F692" s="140">
        <f>SUM(F690:F691)</f>
        <v>2188480.1800000006</v>
      </c>
      <c r="G692" s="140">
        <f>SUM(G690:G691)</f>
        <v>0</v>
      </c>
      <c r="H692" s="140">
        <f>SUM(H690:H691)</f>
        <v>0</v>
      </c>
      <c r="I692" s="140">
        <f>SUM(I690:I691)</f>
        <v>2188480.1800000006</v>
      </c>
      <c r="J692" s="7">
        <f>+I692-'ROR-Model'!I692</f>
        <v>0</v>
      </c>
      <c r="K692" s="7"/>
      <c r="L692" s="140"/>
      <c r="M692" s="140">
        <f>SUM(M690:M691)</f>
        <v>2123301.7700000005</v>
      </c>
      <c r="N692" s="140">
        <f>SUM(N690:N691)</f>
        <v>65178.409999999996</v>
      </c>
      <c r="O692" s="120"/>
      <c r="P692" s="201"/>
      <c r="Q692" s="140">
        <f>SUM(Q690:Q691)</f>
        <v>2123301.7700000005</v>
      </c>
      <c r="R692" s="140">
        <f>SUM(R690:R691)</f>
        <v>0</v>
      </c>
      <c r="S692" s="201"/>
      <c r="T692" s="140">
        <f>SUM(T690:T691)</f>
        <v>65178.409999999996</v>
      </c>
      <c r="U692" s="140">
        <f>SUM(U690:U691)</f>
        <v>0</v>
      </c>
      <c r="V692" s="124"/>
      <c r="W692" s="140">
        <f>HLOOKUP($W$9,'ROR-Model'!$Q$10:$U$1273,Y692)</f>
        <v>2123301.7700000005</v>
      </c>
      <c r="X692" s="139"/>
      <c r="Y692" s="3">
        <f t="shared" si="39"/>
        <v>683</v>
      </c>
      <c r="AA692" s="140">
        <v>2390883.58</v>
      </c>
      <c r="AC692" s="140">
        <f t="shared" si="40"/>
        <v>-267581.80999999959</v>
      </c>
      <c r="AE692" s="42">
        <f t="shared" si="41"/>
        <v>-0.11191754054373471</v>
      </c>
      <c r="AG692" s="162"/>
      <c r="AH692" s="10"/>
      <c r="AI692" s="10" t="s">
        <v>145</v>
      </c>
      <c r="AJ692" s="10"/>
    </row>
    <row r="693" spans="1:36">
      <c r="A693" s="137"/>
      <c r="B693" s="47"/>
      <c r="C693" s="47"/>
      <c r="D693" s="47"/>
      <c r="E693" s="7">
        <f>+G693-Adjustments!G693</f>
        <v>0</v>
      </c>
      <c r="F693" s="7"/>
      <c r="G693" s="7"/>
      <c r="H693" s="7"/>
      <c r="I693" s="7"/>
      <c r="J693" s="7">
        <f>+I693-'ROR-Model'!I693</f>
        <v>0</v>
      </c>
      <c r="K693" s="7"/>
      <c r="L693" s="7"/>
      <c r="M693" s="7"/>
      <c r="N693" s="7"/>
      <c r="O693" s="120"/>
      <c r="P693" s="126"/>
      <c r="Q693" s="7"/>
      <c r="R693" s="7"/>
      <c r="S693" s="126"/>
      <c r="T693" s="7"/>
      <c r="U693" s="7"/>
      <c r="V693" s="124"/>
      <c r="W693" s="7"/>
      <c r="X693" s="139"/>
      <c r="Y693" s="3">
        <f t="shared" si="39"/>
        <v>684</v>
      </c>
      <c r="AA693" s="7"/>
      <c r="AC693" s="7" t="str">
        <f t="shared" si="40"/>
        <v/>
      </c>
      <c r="AE693" s="42" t="str">
        <f t="shared" si="41"/>
        <v/>
      </c>
      <c r="AG693" s="162"/>
      <c r="AH693" s="10"/>
      <c r="AI693" s="10"/>
      <c r="AJ693" s="10"/>
    </row>
    <row r="694" spans="1:36">
      <c r="A694" s="137">
        <v>880</v>
      </c>
      <c r="B694" s="47" t="s">
        <v>345</v>
      </c>
      <c r="C694" s="47"/>
      <c r="D694" s="47"/>
      <c r="E694" s="7">
        <f>+G694-Adjustments!G694</f>
        <v>0</v>
      </c>
      <c r="F694" s="7"/>
      <c r="G694" s="7"/>
      <c r="H694" s="7"/>
      <c r="I694" s="7"/>
      <c r="J694" s="7">
        <f>+I694-'ROR-Model'!I694</f>
        <v>0</v>
      </c>
      <c r="K694" s="7"/>
      <c r="L694" s="7"/>
      <c r="M694" s="7"/>
      <c r="N694" s="7"/>
      <c r="O694" s="120"/>
      <c r="P694" s="126"/>
      <c r="Q694" s="7"/>
      <c r="R694" s="7"/>
      <c r="S694" s="126"/>
      <c r="T694" s="7"/>
      <c r="U694" s="7"/>
      <c r="V694" s="124"/>
      <c r="W694" s="7"/>
      <c r="X694" s="139"/>
      <c r="Y694" s="3">
        <f t="shared" si="39"/>
        <v>685</v>
      </c>
      <c r="AA694" s="7"/>
      <c r="AC694" s="7" t="str">
        <f t="shared" si="40"/>
        <v/>
      </c>
      <c r="AE694" s="42" t="str">
        <f t="shared" si="41"/>
        <v/>
      </c>
      <c r="AG694" s="162">
        <v>880</v>
      </c>
      <c r="AH694" s="10" t="s">
        <v>345</v>
      </c>
      <c r="AI694" s="10"/>
      <c r="AJ694" s="10"/>
    </row>
    <row r="695" spans="1:36">
      <c r="A695" s="137"/>
      <c r="B695" s="47"/>
      <c r="C695" s="47" t="s">
        <v>12</v>
      </c>
      <c r="D695" s="47"/>
      <c r="E695" s="7">
        <f>+G695-Adjustments!G695</f>
        <v>0</v>
      </c>
      <c r="F695" s="7">
        <f>EXPENSES!F186</f>
        <v>22373020.600000001</v>
      </c>
      <c r="G695" s="7">
        <f>+Adjustments!V694</f>
        <v>0</v>
      </c>
      <c r="H695" s="7"/>
      <c r="I695" s="7">
        <f>SUM($F$695:$H$695)</f>
        <v>22373020.600000001</v>
      </c>
      <c r="J695" s="7">
        <f>+I695-'ROR-Model'!I695</f>
        <v>0</v>
      </c>
      <c r="K695" s="7"/>
      <c r="L695" s="7" t="s">
        <v>12</v>
      </c>
      <c r="M695" s="7">
        <f>VLOOKUP($L695,$L$2:$N$7,2,FALSE)*I695</f>
        <v>22373020.600000001</v>
      </c>
      <c r="N695" s="7">
        <f>VLOOKUP($L695,$L$2:$N$7,3,FALSE)*I695</f>
        <v>0</v>
      </c>
      <c r="O695" s="120"/>
      <c r="P695" s="192" t="s">
        <v>510</v>
      </c>
      <c r="Q695" s="7">
        <f>IF(P695="G",M695,IF(P695="PT",0,ERR))</f>
        <v>22373020.600000001</v>
      </c>
      <c r="R695" s="7">
        <f>IF(P695="PT",M695,IF(P695="G",0,ERR))</f>
        <v>0</v>
      </c>
      <c r="S695" s="126" t="s">
        <v>510</v>
      </c>
      <c r="T695" s="7">
        <f>IF(S695="G",N695,IF(S695="PT",0,ERR))</f>
        <v>0</v>
      </c>
      <c r="U695" s="7">
        <f>IF(S695="PT",N695,IF(S695="G",0,ERR))</f>
        <v>0</v>
      </c>
      <c r="V695" s="124"/>
      <c r="W695" s="7">
        <f>HLOOKUP($W$9,'ROR-Model'!$Q$10:$U$1273,Y695)</f>
        <v>22373020.600000001</v>
      </c>
      <c r="X695" s="139"/>
      <c r="Y695" s="3">
        <f t="shared" si="39"/>
        <v>686</v>
      </c>
      <c r="AA695" s="7">
        <v>13799506.059999999</v>
      </c>
      <c r="AC695" s="7">
        <f t="shared" si="40"/>
        <v>8573514.5400000028</v>
      </c>
      <c r="AE695" s="42">
        <f t="shared" si="41"/>
        <v>0.62129140729548715</v>
      </c>
      <c r="AG695" s="162"/>
      <c r="AH695" s="10"/>
      <c r="AI695" s="10" t="s">
        <v>12</v>
      </c>
      <c r="AJ695" s="10"/>
    </row>
    <row r="696" spans="1:36">
      <c r="A696" s="137"/>
      <c r="B696" s="47"/>
      <c r="C696" s="47" t="s">
        <v>23</v>
      </c>
      <c r="D696" s="47"/>
      <c r="E696" s="7">
        <f>+G696-Adjustments!G696</f>
        <v>0</v>
      </c>
      <c r="F696" s="7">
        <f>EXPENSES!F187</f>
        <v>1360478.2200000002</v>
      </c>
      <c r="G696" s="7">
        <f>+Adjustments!V695</f>
        <v>0</v>
      </c>
      <c r="H696" s="7"/>
      <c r="I696" s="7">
        <f>SUM($F$696:$H$696)</f>
        <v>1360478.2200000002</v>
      </c>
      <c r="J696" s="7">
        <f>+I696-'ROR-Model'!I696</f>
        <v>0</v>
      </c>
      <c r="K696" s="7"/>
      <c r="L696" s="7" t="s">
        <v>23</v>
      </c>
      <c r="M696" s="7">
        <f>VLOOKUP($L696,$L$2:$N$7,2,FALSE)*I696</f>
        <v>0</v>
      </c>
      <c r="N696" s="7">
        <f>VLOOKUP($L696,$L$2:$N$7,3,FALSE)*I696</f>
        <v>1360478.2200000002</v>
      </c>
      <c r="O696" s="120"/>
      <c r="P696" s="192" t="s">
        <v>510</v>
      </c>
      <c r="Q696" s="7">
        <f>IF(P696="G",M696,IF(P696="PT",0,ERR))</f>
        <v>0</v>
      </c>
      <c r="R696" s="7">
        <f>IF(P696="PT",M696,IF(P696="G",0,ERR))</f>
        <v>0</v>
      </c>
      <c r="S696" s="126" t="s">
        <v>510</v>
      </c>
      <c r="T696" s="7">
        <f>IF(S696="G",N696,IF(S696="PT",0,ERR))</f>
        <v>1360478.2200000002</v>
      </c>
      <c r="U696" s="7">
        <f>IF(S696="PT",N696,IF(S696="G",0,ERR))</f>
        <v>0</v>
      </c>
      <c r="V696" s="124"/>
      <c r="W696" s="7">
        <f>HLOOKUP($W$9,'ROR-Model'!$Q$10:$U$1273,Y696)</f>
        <v>0</v>
      </c>
      <c r="X696" s="139"/>
      <c r="Y696" s="3">
        <f t="shared" si="39"/>
        <v>687</v>
      </c>
      <c r="AA696" s="7">
        <v>0</v>
      </c>
      <c r="AC696" s="7" t="str">
        <f t="shared" si="40"/>
        <v/>
      </c>
      <c r="AE696" s="42" t="str">
        <f t="shared" si="41"/>
        <v/>
      </c>
      <c r="AG696" s="162"/>
      <c r="AH696" s="10"/>
      <c r="AI696" s="10" t="s">
        <v>23</v>
      </c>
      <c r="AJ696" s="10"/>
    </row>
    <row r="697" spans="1:36">
      <c r="A697" s="137"/>
      <c r="B697" s="47"/>
      <c r="C697" s="47" t="s">
        <v>145</v>
      </c>
      <c r="D697" s="47"/>
      <c r="E697" s="140">
        <f>+G697-Adjustments!G697</f>
        <v>0</v>
      </c>
      <c r="F697" s="140">
        <f>SUM(F695:F696)</f>
        <v>23733498.82</v>
      </c>
      <c r="G697" s="140">
        <f>SUM(G695:G696)</f>
        <v>0</v>
      </c>
      <c r="H697" s="140">
        <f>SUM(H695:H696)</f>
        <v>0</v>
      </c>
      <c r="I697" s="140">
        <f>SUM(I695:I696)</f>
        <v>23733498.82</v>
      </c>
      <c r="J697" s="7">
        <f>+I697-'ROR-Model'!I697</f>
        <v>0</v>
      </c>
      <c r="K697" s="7"/>
      <c r="L697" s="140"/>
      <c r="M697" s="140">
        <f>SUM(M695:M696)</f>
        <v>22373020.600000001</v>
      </c>
      <c r="N697" s="140">
        <f>SUM(N695:N696)</f>
        <v>1360478.2200000002</v>
      </c>
      <c r="O697" s="120"/>
      <c r="P697" s="201"/>
      <c r="Q697" s="140">
        <f>SUM(Q695:Q696)</f>
        <v>22373020.600000001</v>
      </c>
      <c r="R697" s="140">
        <f>SUM(R695:R696)</f>
        <v>0</v>
      </c>
      <c r="S697" s="201"/>
      <c r="T697" s="140">
        <f>SUM(T695:T696)</f>
        <v>1360478.2200000002</v>
      </c>
      <c r="U697" s="140">
        <f>SUM(U695:U696)</f>
        <v>0</v>
      </c>
      <c r="V697" s="124"/>
      <c r="W697" s="140">
        <f>HLOOKUP($W$9,'ROR-Model'!$Q$10:$U$1273,Y697)</f>
        <v>22373020.600000001</v>
      </c>
      <c r="X697" s="139"/>
      <c r="Y697" s="3">
        <f t="shared" si="39"/>
        <v>688</v>
      </c>
      <c r="AA697" s="140">
        <v>13799506.059999999</v>
      </c>
      <c r="AC697" s="140">
        <f t="shared" si="40"/>
        <v>8573514.5400000028</v>
      </c>
      <c r="AE697" s="42">
        <f t="shared" si="41"/>
        <v>0.62129140729548715</v>
      </c>
      <c r="AG697" s="162"/>
      <c r="AH697" s="10"/>
      <c r="AI697" s="10" t="s">
        <v>145</v>
      </c>
      <c r="AJ697" s="10"/>
    </row>
    <row r="698" spans="1:36">
      <c r="A698" s="137"/>
      <c r="B698" s="47"/>
      <c r="C698" s="47"/>
      <c r="D698" s="47"/>
      <c r="E698" s="7">
        <f>+G698-Adjustments!G698</f>
        <v>0</v>
      </c>
      <c r="F698" s="7"/>
      <c r="G698" s="7"/>
      <c r="H698" s="7"/>
      <c r="I698" s="7"/>
      <c r="J698" s="7">
        <f>+I698-'ROR-Model'!I698</f>
        <v>0</v>
      </c>
      <c r="K698" s="7"/>
      <c r="L698" s="7"/>
      <c r="M698" s="7"/>
      <c r="N698" s="7"/>
      <c r="O698" s="120"/>
      <c r="P698" s="126"/>
      <c r="Q698" s="7"/>
      <c r="R698" s="7"/>
      <c r="S698" s="126"/>
      <c r="T698" s="7"/>
      <c r="U698" s="7"/>
      <c r="V698" s="124"/>
      <c r="W698" s="7"/>
      <c r="X698" s="139"/>
      <c r="Y698" s="3">
        <f t="shared" si="39"/>
        <v>689</v>
      </c>
      <c r="AA698" s="7"/>
      <c r="AC698" s="7" t="str">
        <f t="shared" si="40"/>
        <v/>
      </c>
      <c r="AE698" s="42" t="str">
        <f t="shared" si="41"/>
        <v/>
      </c>
      <c r="AG698" s="162"/>
      <c r="AH698" s="10"/>
      <c r="AI698" s="10"/>
      <c r="AJ698" s="10"/>
    </row>
    <row r="699" spans="1:36">
      <c r="A699" s="137">
        <v>881</v>
      </c>
      <c r="B699" s="47" t="s">
        <v>346</v>
      </c>
      <c r="C699" s="47"/>
      <c r="D699" s="47"/>
      <c r="E699" s="7">
        <f>+G699-Adjustments!G699</f>
        <v>0</v>
      </c>
      <c r="F699" s="7"/>
      <c r="G699" s="7"/>
      <c r="H699" s="7"/>
      <c r="I699" s="7"/>
      <c r="J699" s="7">
        <f>+I699-'ROR-Model'!I699</f>
        <v>0</v>
      </c>
      <c r="K699" s="7"/>
      <c r="L699" s="7"/>
      <c r="M699" s="7"/>
      <c r="N699" s="7"/>
      <c r="O699" s="120"/>
      <c r="P699" s="126"/>
      <c r="Q699" s="7"/>
      <c r="R699" s="7"/>
      <c r="S699" s="126"/>
      <c r="T699" s="7"/>
      <c r="U699" s="7"/>
      <c r="V699" s="124"/>
      <c r="W699" s="7"/>
      <c r="X699" s="139"/>
      <c r="Y699" s="3">
        <f t="shared" si="39"/>
        <v>690</v>
      </c>
      <c r="AA699" s="7"/>
      <c r="AC699" s="7" t="str">
        <f t="shared" si="40"/>
        <v/>
      </c>
      <c r="AE699" s="42" t="str">
        <f t="shared" si="41"/>
        <v/>
      </c>
      <c r="AG699" s="162">
        <v>881</v>
      </c>
      <c r="AH699" s="10" t="s">
        <v>346</v>
      </c>
      <c r="AI699" s="10"/>
      <c r="AJ699" s="10"/>
    </row>
    <row r="700" spans="1:36">
      <c r="A700" s="137"/>
      <c r="B700" s="47"/>
      <c r="C700" s="47" t="s">
        <v>12</v>
      </c>
      <c r="D700" s="47"/>
      <c r="E700" s="7">
        <f>+G700-Adjustments!G700</f>
        <v>0</v>
      </c>
      <c r="F700" s="7">
        <f>EXPENSES!F191</f>
        <v>182104.36000000002</v>
      </c>
      <c r="G700" s="7">
        <f>+Adjustments!V699</f>
        <v>0</v>
      </c>
      <c r="H700" s="7"/>
      <c r="I700" s="7">
        <f>SUM($F$700:$H$700)</f>
        <v>182104.36000000002</v>
      </c>
      <c r="J700" s="7">
        <f>+I700-'ROR-Model'!I700</f>
        <v>0</v>
      </c>
      <c r="K700" s="7"/>
      <c r="L700" s="7" t="s">
        <v>12</v>
      </c>
      <c r="M700" s="7">
        <f>VLOOKUP($L700,$L$2:$N$7,2,FALSE)*I700</f>
        <v>182104.36000000002</v>
      </c>
      <c r="N700" s="7">
        <f>VLOOKUP($L700,$L$2:$N$7,3,FALSE)*I700</f>
        <v>0</v>
      </c>
      <c r="O700" s="120"/>
      <c r="P700" s="192" t="s">
        <v>510</v>
      </c>
      <c r="Q700" s="7">
        <f>IF(P700="G",M700,IF(P700="PT",0,ERR))</f>
        <v>182104.36000000002</v>
      </c>
      <c r="R700" s="7">
        <f>IF(P700="PT",M700,IF(P700="G",0,ERR))</f>
        <v>0</v>
      </c>
      <c r="S700" s="126" t="s">
        <v>510</v>
      </c>
      <c r="T700" s="7">
        <f>IF(S700="G",N700,IF(S700="PT",0,ERR))</f>
        <v>0</v>
      </c>
      <c r="U700" s="7">
        <f>IF(S700="PT",N700,IF(S700="G",0,ERR))</f>
        <v>0</v>
      </c>
      <c r="V700" s="124"/>
      <c r="W700" s="7">
        <f>HLOOKUP($W$9,'ROR-Model'!$Q$10:$U$1273,Y700)</f>
        <v>182104.36000000002</v>
      </c>
      <c r="X700" s="139"/>
      <c r="Y700" s="3">
        <f t="shared" si="39"/>
        <v>691</v>
      </c>
      <c r="AA700" s="7">
        <v>18124.170000000002</v>
      </c>
      <c r="AC700" s="7">
        <f t="shared" si="40"/>
        <v>163980.19</v>
      </c>
      <c r="AE700" s="42">
        <f t="shared" si="41"/>
        <v>9.0475972141069079</v>
      </c>
      <c r="AG700" s="162"/>
      <c r="AH700" s="10"/>
      <c r="AI700" s="10" t="s">
        <v>12</v>
      </c>
      <c r="AJ700" s="10"/>
    </row>
    <row r="701" spans="1:36">
      <c r="A701" s="137"/>
      <c r="B701" s="47"/>
      <c r="C701" s="47" t="s">
        <v>23</v>
      </c>
      <c r="D701" s="47"/>
      <c r="E701" s="7">
        <f>+G701-Adjustments!G701</f>
        <v>0</v>
      </c>
      <c r="F701" s="7">
        <f>EXPENSES!F192</f>
        <v>933.69</v>
      </c>
      <c r="G701" s="7">
        <f>+Adjustments!V700</f>
        <v>0</v>
      </c>
      <c r="H701" s="7"/>
      <c r="I701" s="7">
        <f>SUM($F$701:$H$701)</f>
        <v>933.69</v>
      </c>
      <c r="J701" s="7">
        <f>+I701-'ROR-Model'!I701</f>
        <v>0</v>
      </c>
      <c r="K701" s="7"/>
      <c r="L701" s="7" t="s">
        <v>23</v>
      </c>
      <c r="M701" s="7">
        <f>VLOOKUP($L701,$L$2:$N$7,2,FALSE)*I701</f>
        <v>0</v>
      </c>
      <c r="N701" s="7">
        <f>VLOOKUP($L701,$L$2:$N$7,3,FALSE)*I701</f>
        <v>933.69</v>
      </c>
      <c r="O701" s="120"/>
      <c r="P701" s="192" t="s">
        <v>510</v>
      </c>
      <c r="Q701" s="7">
        <f>IF(P701="G",M701,IF(P701="PT",0,ERR))</f>
        <v>0</v>
      </c>
      <c r="R701" s="7">
        <f>IF(P701="PT",M701,IF(P701="G",0,ERR))</f>
        <v>0</v>
      </c>
      <c r="S701" s="126" t="s">
        <v>510</v>
      </c>
      <c r="T701" s="7">
        <f>IF(S701="G",N701,IF(S701="PT",0,ERR))</f>
        <v>933.69</v>
      </c>
      <c r="U701" s="7">
        <f>IF(S701="PT",N701,IF(S701="G",0,ERR))</f>
        <v>0</v>
      </c>
      <c r="V701" s="124"/>
      <c r="W701" s="7">
        <f>HLOOKUP($W$9,'ROR-Model'!$Q$10:$U$1273,Y701)</f>
        <v>0</v>
      </c>
      <c r="X701" s="139"/>
      <c r="Y701" s="3">
        <f t="shared" si="39"/>
        <v>692</v>
      </c>
      <c r="AA701" s="7">
        <v>0</v>
      </c>
      <c r="AC701" s="7" t="str">
        <f t="shared" si="40"/>
        <v/>
      </c>
      <c r="AE701" s="42" t="str">
        <f t="shared" si="41"/>
        <v/>
      </c>
      <c r="AG701" s="162"/>
      <c r="AH701" s="10"/>
      <c r="AI701" s="10" t="s">
        <v>23</v>
      </c>
      <c r="AJ701" s="10"/>
    </row>
    <row r="702" spans="1:36">
      <c r="A702" s="137"/>
      <c r="B702" s="47"/>
      <c r="C702" s="47" t="s">
        <v>145</v>
      </c>
      <c r="D702" s="47"/>
      <c r="E702" s="140">
        <f>+G702-Adjustments!G702</f>
        <v>0</v>
      </c>
      <c r="F702" s="140">
        <f>SUM(F700:F701)</f>
        <v>183038.05000000002</v>
      </c>
      <c r="G702" s="140">
        <f>SUM(G700:G701)</f>
        <v>0</v>
      </c>
      <c r="H702" s="140">
        <f>SUM(H700:H701)</f>
        <v>0</v>
      </c>
      <c r="I702" s="140">
        <f>SUM(I700:I701)</f>
        <v>183038.05000000002</v>
      </c>
      <c r="J702" s="7">
        <f>+I702-'ROR-Model'!I702</f>
        <v>0</v>
      </c>
      <c r="K702" s="7"/>
      <c r="L702" s="140"/>
      <c r="M702" s="140">
        <f>SUM(M700:M701)</f>
        <v>182104.36000000002</v>
      </c>
      <c r="N702" s="140">
        <f>SUM(N700:N701)</f>
        <v>933.69</v>
      </c>
      <c r="O702" s="120"/>
      <c r="P702" s="201"/>
      <c r="Q702" s="140">
        <f>SUM(Q700:Q701)</f>
        <v>182104.36000000002</v>
      </c>
      <c r="R702" s="140">
        <f>SUM(R700:R701)</f>
        <v>0</v>
      </c>
      <c r="S702" s="201"/>
      <c r="T702" s="140">
        <f>SUM(T700:T701)</f>
        <v>933.69</v>
      </c>
      <c r="U702" s="140">
        <f>SUM(U700:U701)</f>
        <v>0</v>
      </c>
      <c r="V702" s="124"/>
      <c r="W702" s="140">
        <f>HLOOKUP($W$9,'ROR-Model'!$Q$10:$U$1273,Y702)</f>
        <v>182104.36000000002</v>
      </c>
      <c r="X702" s="139"/>
      <c r="Y702" s="3">
        <f t="shared" si="39"/>
        <v>693</v>
      </c>
      <c r="AA702" s="140">
        <v>18124.170000000002</v>
      </c>
      <c r="AC702" s="140">
        <f t="shared" si="40"/>
        <v>163980.19</v>
      </c>
      <c r="AE702" s="42">
        <f t="shared" si="41"/>
        <v>9.0475972141069079</v>
      </c>
      <c r="AG702" s="162"/>
      <c r="AH702" s="10"/>
      <c r="AI702" s="10" t="s">
        <v>145</v>
      </c>
      <c r="AJ702" s="10"/>
    </row>
    <row r="703" spans="1:36">
      <c r="A703" s="137"/>
      <c r="B703" s="47"/>
      <c r="C703" s="47"/>
      <c r="D703" s="47"/>
      <c r="E703" s="7">
        <f>+G703-Adjustments!G703</f>
        <v>0</v>
      </c>
      <c r="F703" s="7"/>
      <c r="G703" s="7"/>
      <c r="H703" s="7"/>
      <c r="I703" s="7"/>
      <c r="J703" s="7">
        <f>+I703-'ROR-Model'!I703</f>
        <v>0</v>
      </c>
      <c r="K703" s="7"/>
      <c r="L703" s="7"/>
      <c r="M703" s="7"/>
      <c r="N703" s="7"/>
      <c r="O703" s="120"/>
      <c r="P703" s="126"/>
      <c r="Q703" s="7"/>
      <c r="R703" s="7"/>
      <c r="S703" s="126"/>
      <c r="T703" s="7"/>
      <c r="U703" s="7"/>
      <c r="V703" s="124"/>
      <c r="W703" s="7"/>
      <c r="X703" s="139"/>
      <c r="Y703" s="3">
        <f t="shared" si="39"/>
        <v>694</v>
      </c>
      <c r="AA703" s="7"/>
      <c r="AC703" s="7" t="str">
        <f t="shared" si="40"/>
        <v/>
      </c>
      <c r="AE703" s="42" t="str">
        <f t="shared" si="41"/>
        <v/>
      </c>
      <c r="AG703" s="162"/>
      <c r="AH703" s="10"/>
      <c r="AI703" s="10"/>
      <c r="AJ703" s="10"/>
    </row>
    <row r="704" spans="1:36">
      <c r="A704" s="137">
        <v>885</v>
      </c>
      <c r="B704" s="47" t="s">
        <v>347</v>
      </c>
      <c r="C704" s="47"/>
      <c r="D704" s="47"/>
      <c r="E704" s="7">
        <f>+G704-Adjustments!G704</f>
        <v>0</v>
      </c>
      <c r="F704" s="7"/>
      <c r="G704" s="7"/>
      <c r="H704" s="7"/>
      <c r="I704" s="7"/>
      <c r="J704" s="7">
        <f>+I704-'ROR-Model'!I704</f>
        <v>0</v>
      </c>
      <c r="K704" s="7"/>
      <c r="L704" s="7"/>
      <c r="M704" s="7"/>
      <c r="N704" s="7"/>
      <c r="O704" s="120"/>
      <c r="P704" s="126"/>
      <c r="Q704" s="7"/>
      <c r="R704" s="7"/>
      <c r="S704" s="126"/>
      <c r="T704" s="7"/>
      <c r="U704" s="7"/>
      <c r="V704" s="124"/>
      <c r="W704" s="7"/>
      <c r="X704" s="139"/>
      <c r="Y704" s="3">
        <f t="shared" si="39"/>
        <v>695</v>
      </c>
      <c r="AA704" s="7"/>
      <c r="AC704" s="7" t="str">
        <f t="shared" si="40"/>
        <v/>
      </c>
      <c r="AE704" s="42" t="str">
        <f t="shared" si="41"/>
        <v/>
      </c>
      <c r="AG704" s="162">
        <v>885</v>
      </c>
      <c r="AH704" s="10" t="s">
        <v>347</v>
      </c>
      <c r="AI704" s="10"/>
      <c r="AJ704" s="10"/>
    </row>
    <row r="705" spans="1:36">
      <c r="A705" s="137"/>
      <c r="B705" s="47"/>
      <c r="C705" s="47" t="s">
        <v>12</v>
      </c>
      <c r="D705" s="47"/>
      <c r="E705" s="7">
        <f>+G705-Adjustments!G705</f>
        <v>0</v>
      </c>
      <c r="F705" s="7">
        <f>EXPENSES!F196</f>
        <v>0</v>
      </c>
      <c r="G705" s="7">
        <f>+Adjustments!V704</f>
        <v>0</v>
      </c>
      <c r="H705" s="7"/>
      <c r="I705" s="7">
        <f>SUM($F$705:$H$705)</f>
        <v>0</v>
      </c>
      <c r="J705" s="7">
        <f>+I705-'ROR-Model'!I705</f>
        <v>0</v>
      </c>
      <c r="K705" s="7"/>
      <c r="L705" s="7" t="s">
        <v>12</v>
      </c>
      <c r="M705" s="7">
        <f>VLOOKUP($L705,$L$2:$N$7,2,FALSE)*I705</f>
        <v>0</v>
      </c>
      <c r="N705" s="7">
        <f>VLOOKUP($L705,$L$2:$N$7,3,FALSE)*I705</f>
        <v>0</v>
      </c>
      <c r="O705" s="120"/>
      <c r="P705" s="192" t="s">
        <v>510</v>
      </c>
      <c r="Q705" s="7">
        <f>IF(P705="G",M705,IF(P705="PT",0,ERR))</f>
        <v>0</v>
      </c>
      <c r="R705" s="7">
        <f>IF(P705="PT",M705,IF(P705="G",0,ERR))</f>
        <v>0</v>
      </c>
      <c r="S705" s="126" t="s">
        <v>510</v>
      </c>
      <c r="T705" s="7">
        <f>IF(S705="G",N705,IF(S705="PT",0,ERR))</f>
        <v>0</v>
      </c>
      <c r="U705" s="7">
        <f>IF(S705="PT",N705,IF(S705="G",0,ERR))</f>
        <v>0</v>
      </c>
      <c r="V705" s="124"/>
      <c r="W705" s="7">
        <f>HLOOKUP($W$9,'ROR-Model'!$Q$10:$U$1273,Y705)</f>
        <v>0</v>
      </c>
      <c r="X705" s="139"/>
      <c r="Y705" s="3">
        <f t="shared" si="39"/>
        <v>696</v>
      </c>
      <c r="AA705" s="7">
        <v>0</v>
      </c>
      <c r="AC705" s="7" t="str">
        <f t="shared" si="40"/>
        <v/>
      </c>
      <c r="AE705" s="42" t="str">
        <f t="shared" si="41"/>
        <v/>
      </c>
      <c r="AG705" s="162"/>
      <c r="AH705" s="10"/>
      <c r="AI705" s="10" t="s">
        <v>12</v>
      </c>
      <c r="AJ705" s="10"/>
    </row>
    <row r="706" spans="1:36">
      <c r="A706" s="137"/>
      <c r="B706" s="47"/>
      <c r="C706" s="47" t="s">
        <v>23</v>
      </c>
      <c r="D706" s="47"/>
      <c r="E706" s="7">
        <f>+G706-Adjustments!G706</f>
        <v>0</v>
      </c>
      <c r="F706" s="7">
        <f>EXPENSES!F197</f>
        <v>0</v>
      </c>
      <c r="G706" s="7">
        <f>+Adjustments!V705</f>
        <v>0</v>
      </c>
      <c r="H706" s="7"/>
      <c r="I706" s="7">
        <f>SUM($F$706:$H$706)</f>
        <v>0</v>
      </c>
      <c r="J706" s="7">
        <f>+I706-'ROR-Model'!I706</f>
        <v>0</v>
      </c>
      <c r="K706" s="7"/>
      <c r="L706" s="7" t="s">
        <v>23</v>
      </c>
      <c r="M706" s="7">
        <f>VLOOKUP($L706,$L$2:$N$7,2,FALSE)*I706</f>
        <v>0</v>
      </c>
      <c r="N706" s="7">
        <f>VLOOKUP($L706,$L$2:$N$7,3,FALSE)*I706</f>
        <v>0</v>
      </c>
      <c r="O706" s="120"/>
      <c r="P706" s="192" t="s">
        <v>510</v>
      </c>
      <c r="Q706" s="7">
        <f>IF(P706="G",M706,IF(P706="PT",0,ERR))</f>
        <v>0</v>
      </c>
      <c r="R706" s="7">
        <f>IF(P706="PT",M706,IF(P706="G",0,ERR))</f>
        <v>0</v>
      </c>
      <c r="S706" s="126" t="s">
        <v>510</v>
      </c>
      <c r="T706" s="7">
        <f>IF(S706="G",N706,IF(S706="PT",0,ERR))</f>
        <v>0</v>
      </c>
      <c r="U706" s="7">
        <f>IF(S706="PT",N706,IF(S706="G",0,ERR))</f>
        <v>0</v>
      </c>
      <c r="V706" s="124"/>
      <c r="W706" s="7">
        <f>HLOOKUP($W$9,'ROR-Model'!$Q$10:$U$1273,Y706)</f>
        <v>0</v>
      </c>
      <c r="X706" s="139"/>
      <c r="Y706" s="3">
        <f t="shared" si="39"/>
        <v>697</v>
      </c>
      <c r="AA706" s="7">
        <v>0</v>
      </c>
      <c r="AC706" s="7" t="str">
        <f t="shared" si="40"/>
        <v/>
      </c>
      <c r="AE706" s="42" t="str">
        <f t="shared" si="41"/>
        <v/>
      </c>
      <c r="AG706" s="162"/>
      <c r="AH706" s="10"/>
      <c r="AI706" s="10" t="s">
        <v>23</v>
      </c>
      <c r="AJ706" s="10"/>
    </row>
    <row r="707" spans="1:36">
      <c r="A707" s="137"/>
      <c r="B707" s="47"/>
      <c r="C707" s="47" t="s">
        <v>145</v>
      </c>
      <c r="D707" s="47"/>
      <c r="E707" s="140">
        <f>+G707-Adjustments!G707</f>
        <v>0</v>
      </c>
      <c r="F707" s="140">
        <f>SUM(F705:F706)</f>
        <v>0</v>
      </c>
      <c r="G707" s="140">
        <f>SUM(G705:G706)</f>
        <v>0</v>
      </c>
      <c r="H707" s="140">
        <f>SUM(H705:H706)</f>
        <v>0</v>
      </c>
      <c r="I707" s="140">
        <f>SUM(I705:I706)</f>
        <v>0</v>
      </c>
      <c r="J707" s="7">
        <f>+I707-'ROR-Model'!I707</f>
        <v>0</v>
      </c>
      <c r="K707" s="7"/>
      <c r="L707" s="140"/>
      <c r="M707" s="140">
        <f>SUM(M705:M706)</f>
        <v>0</v>
      </c>
      <c r="N707" s="140">
        <f>SUM(N705:N706)</f>
        <v>0</v>
      </c>
      <c r="O707" s="120"/>
      <c r="P707" s="201"/>
      <c r="Q707" s="140">
        <f>SUM(Q705:Q706)</f>
        <v>0</v>
      </c>
      <c r="R707" s="140">
        <f>SUM(R705:R706)</f>
        <v>0</v>
      </c>
      <c r="S707" s="201"/>
      <c r="T707" s="140">
        <f>SUM(T705:T706)</f>
        <v>0</v>
      </c>
      <c r="U707" s="140">
        <f>SUM(U705:U706)</f>
        <v>0</v>
      </c>
      <c r="V707" s="124"/>
      <c r="W707" s="140">
        <f>HLOOKUP($W$9,'ROR-Model'!$Q$10:$U$1273,Y707)</f>
        <v>0</v>
      </c>
      <c r="X707" s="139"/>
      <c r="Y707" s="3">
        <f t="shared" si="39"/>
        <v>698</v>
      </c>
      <c r="AA707" s="140">
        <v>0</v>
      </c>
      <c r="AC707" s="140" t="str">
        <f t="shared" si="40"/>
        <v/>
      </c>
      <c r="AE707" s="42" t="str">
        <f t="shared" si="41"/>
        <v/>
      </c>
      <c r="AG707" s="162"/>
      <c r="AH707" s="10"/>
      <c r="AI707" s="10" t="s">
        <v>145</v>
      </c>
      <c r="AJ707" s="10"/>
    </row>
    <row r="708" spans="1:36">
      <c r="A708" s="137"/>
      <c r="B708" s="47"/>
      <c r="C708" s="47"/>
      <c r="D708" s="47"/>
      <c r="E708" s="7">
        <f>+G708-Adjustments!G708</f>
        <v>0</v>
      </c>
      <c r="F708" s="7"/>
      <c r="G708" s="7"/>
      <c r="H708" s="7"/>
      <c r="I708" s="7"/>
      <c r="J708" s="7">
        <f>+I708-'ROR-Model'!I708</f>
        <v>0</v>
      </c>
      <c r="K708" s="7"/>
      <c r="L708" s="7"/>
      <c r="M708" s="7"/>
      <c r="N708" s="7"/>
      <c r="O708" s="120"/>
      <c r="P708" s="126"/>
      <c r="Q708" s="7"/>
      <c r="R708" s="7"/>
      <c r="S708" s="126"/>
      <c r="T708" s="7"/>
      <c r="U708" s="7"/>
      <c r="V708" s="124"/>
      <c r="W708" s="7"/>
      <c r="X708" s="139"/>
      <c r="Y708" s="3">
        <f t="shared" si="39"/>
        <v>699</v>
      </c>
      <c r="AA708" s="7"/>
      <c r="AC708" s="7" t="str">
        <f t="shared" si="40"/>
        <v/>
      </c>
      <c r="AE708" s="42" t="str">
        <f t="shared" si="41"/>
        <v/>
      </c>
      <c r="AG708" s="162"/>
      <c r="AH708" s="10"/>
      <c r="AI708" s="10"/>
      <c r="AJ708" s="10"/>
    </row>
    <row r="709" spans="1:36">
      <c r="A709" s="137">
        <v>886</v>
      </c>
      <c r="B709" s="47" t="s">
        <v>348</v>
      </c>
      <c r="C709" s="47"/>
      <c r="D709" s="47"/>
      <c r="E709" s="7">
        <f>+G709-Adjustments!G709</f>
        <v>0</v>
      </c>
      <c r="F709" s="7"/>
      <c r="G709" s="7"/>
      <c r="H709" s="7"/>
      <c r="I709" s="7"/>
      <c r="J709" s="7">
        <f>+I709-'ROR-Model'!I709</f>
        <v>0</v>
      </c>
      <c r="K709" s="7"/>
      <c r="L709" s="7"/>
      <c r="M709" s="7"/>
      <c r="N709" s="7"/>
      <c r="O709" s="120"/>
      <c r="P709" s="126"/>
      <c r="Q709" s="7"/>
      <c r="R709" s="7"/>
      <c r="S709" s="126"/>
      <c r="T709" s="7"/>
      <c r="U709" s="7"/>
      <c r="V709" s="124"/>
      <c r="W709" s="7"/>
      <c r="X709" s="139"/>
      <c r="Y709" s="3">
        <f t="shared" si="39"/>
        <v>700</v>
      </c>
      <c r="AA709" s="7"/>
      <c r="AC709" s="7" t="str">
        <f t="shared" si="40"/>
        <v/>
      </c>
      <c r="AE709" s="42" t="str">
        <f t="shared" si="41"/>
        <v/>
      </c>
      <c r="AG709" s="162">
        <v>886</v>
      </c>
      <c r="AH709" s="10" t="s">
        <v>348</v>
      </c>
      <c r="AI709" s="10"/>
      <c r="AJ709" s="10"/>
    </row>
    <row r="710" spans="1:36">
      <c r="A710" s="137"/>
      <c r="B710" s="47"/>
      <c r="C710" s="101" t="s">
        <v>12</v>
      </c>
      <c r="D710" s="47"/>
      <c r="E710" s="7">
        <f>+G710-Adjustments!G710</f>
        <v>0</v>
      </c>
      <c r="F710" s="7">
        <f>EXPENSES!F201</f>
        <v>0</v>
      </c>
      <c r="G710" s="7">
        <f>+Adjustments!V709</f>
        <v>0</v>
      </c>
      <c r="H710" s="7"/>
      <c r="I710" s="7">
        <f>SUM($F$710:$H$710)</f>
        <v>0</v>
      </c>
      <c r="J710" s="7">
        <f>+I710-'ROR-Model'!I710</f>
        <v>0</v>
      </c>
      <c r="K710" s="7"/>
      <c r="L710" s="7" t="s">
        <v>12</v>
      </c>
      <c r="M710" s="7">
        <f>VLOOKUP($L710,$L$2:$N$7,2,FALSE)*I710</f>
        <v>0</v>
      </c>
      <c r="N710" s="7">
        <f>VLOOKUP($L710,$L$2:$N$7,3,FALSE)*I710</f>
        <v>0</v>
      </c>
      <c r="O710" s="120"/>
      <c r="P710" s="192" t="s">
        <v>510</v>
      </c>
      <c r="Q710" s="7">
        <f>IF(P710="G",M710,IF(P710="PT",0,ERR))</f>
        <v>0</v>
      </c>
      <c r="R710" s="7">
        <f>IF(P710="PT",M710,IF(P710="G",0,ERR))</f>
        <v>0</v>
      </c>
      <c r="S710" s="126" t="s">
        <v>510</v>
      </c>
      <c r="T710" s="7">
        <f>IF(S710="G",N710,IF(S710="PT",0,ERR))</f>
        <v>0</v>
      </c>
      <c r="U710" s="7">
        <f>IF(S710="PT",N710,IF(S710="G",0,ERR))</f>
        <v>0</v>
      </c>
      <c r="V710" s="124"/>
      <c r="W710" s="7">
        <f>HLOOKUP($W$9,'ROR-Model'!$Q$10:$U$1273,Y710)</f>
        <v>0</v>
      </c>
      <c r="X710" s="139"/>
      <c r="Y710" s="3">
        <f t="shared" si="39"/>
        <v>701</v>
      </c>
      <c r="AA710" s="7">
        <v>0</v>
      </c>
      <c r="AC710" s="7" t="str">
        <f t="shared" si="40"/>
        <v/>
      </c>
      <c r="AE710" s="42" t="str">
        <f t="shared" si="41"/>
        <v/>
      </c>
      <c r="AG710" s="162"/>
      <c r="AH710" s="10"/>
      <c r="AI710" s="10" t="s">
        <v>12</v>
      </c>
      <c r="AJ710" s="10"/>
    </row>
    <row r="711" spans="1:36">
      <c r="A711" s="137"/>
      <c r="B711" s="47"/>
      <c r="C711" s="47" t="s">
        <v>23</v>
      </c>
      <c r="D711" s="47"/>
      <c r="E711" s="7">
        <f>+G711-Adjustments!G711</f>
        <v>0</v>
      </c>
      <c r="F711" s="7">
        <f>EXPENSES!F202</f>
        <v>0</v>
      </c>
      <c r="G711" s="7">
        <f>+Adjustments!V710</f>
        <v>0</v>
      </c>
      <c r="H711" s="7"/>
      <c r="I711" s="7">
        <f>SUM($F$711:$H$711)</f>
        <v>0</v>
      </c>
      <c r="J711" s="7">
        <f>+I711-'ROR-Model'!I711</f>
        <v>0</v>
      </c>
      <c r="K711" s="7"/>
      <c r="L711" s="7" t="s">
        <v>23</v>
      </c>
      <c r="M711" s="7">
        <f>VLOOKUP($L711,$L$2:$N$7,2,FALSE)*I711</f>
        <v>0</v>
      </c>
      <c r="N711" s="7">
        <f>VLOOKUP($L711,$L$2:$N$7,3,FALSE)*I711</f>
        <v>0</v>
      </c>
      <c r="O711" s="120"/>
      <c r="P711" s="192" t="s">
        <v>510</v>
      </c>
      <c r="Q711" s="7">
        <f>IF(P711="G",M711,IF(P711="PT",0,ERR))</f>
        <v>0</v>
      </c>
      <c r="R711" s="7">
        <f>IF(P711="PT",M711,IF(P711="G",0,ERR))</f>
        <v>0</v>
      </c>
      <c r="S711" s="126" t="s">
        <v>510</v>
      </c>
      <c r="T711" s="7">
        <f>IF(S711="G",N711,IF(S711="PT",0,ERR))</f>
        <v>0</v>
      </c>
      <c r="U711" s="7">
        <f>IF(S711="PT",N711,IF(S711="G",0,ERR))</f>
        <v>0</v>
      </c>
      <c r="V711" s="124"/>
      <c r="W711" s="7">
        <f>HLOOKUP($W$9,'ROR-Model'!$Q$10:$U$1273,Y711)</f>
        <v>0</v>
      </c>
      <c r="X711" s="139"/>
      <c r="Y711" s="3">
        <f t="shared" si="39"/>
        <v>702</v>
      </c>
      <c r="AA711" s="7">
        <v>0</v>
      </c>
      <c r="AC711" s="7" t="str">
        <f t="shared" si="40"/>
        <v/>
      </c>
      <c r="AE711" s="42" t="str">
        <f t="shared" si="41"/>
        <v/>
      </c>
      <c r="AG711" s="162"/>
      <c r="AH711" s="10"/>
      <c r="AI711" s="10" t="s">
        <v>23</v>
      </c>
      <c r="AJ711" s="10"/>
    </row>
    <row r="712" spans="1:36">
      <c r="A712" s="137"/>
      <c r="B712" s="47"/>
      <c r="C712" s="47" t="s">
        <v>145</v>
      </c>
      <c r="D712" s="47"/>
      <c r="E712" s="140">
        <f>+G712-Adjustments!G712</f>
        <v>0</v>
      </c>
      <c r="F712" s="140">
        <f>SUM(F710:F711)</f>
        <v>0</v>
      </c>
      <c r="G712" s="140">
        <f>SUM(G710:G711)</f>
        <v>0</v>
      </c>
      <c r="H712" s="140">
        <f>SUM(H710:H711)</f>
        <v>0</v>
      </c>
      <c r="I712" s="140">
        <f>SUM(I710:I711)</f>
        <v>0</v>
      </c>
      <c r="J712" s="7">
        <f>+I712-'ROR-Model'!I712</f>
        <v>0</v>
      </c>
      <c r="K712" s="7"/>
      <c r="L712" s="140"/>
      <c r="M712" s="140">
        <f>SUM(M710:M711)</f>
        <v>0</v>
      </c>
      <c r="N712" s="140">
        <f>SUM(N710:N711)</f>
        <v>0</v>
      </c>
      <c r="O712" s="120"/>
      <c r="P712" s="201"/>
      <c r="Q712" s="140">
        <f>SUM(Q710:Q711)</f>
        <v>0</v>
      </c>
      <c r="R712" s="140">
        <f>SUM(R710:R711)</f>
        <v>0</v>
      </c>
      <c r="S712" s="201"/>
      <c r="T712" s="140">
        <f>SUM(T710:T711)</f>
        <v>0</v>
      </c>
      <c r="U712" s="140">
        <f>SUM(U710:U711)</f>
        <v>0</v>
      </c>
      <c r="V712" s="124"/>
      <c r="W712" s="140">
        <f>HLOOKUP($W$9,'ROR-Model'!$Q$10:$U$1273,Y712)</f>
        <v>0</v>
      </c>
      <c r="X712" s="139"/>
      <c r="Y712" s="3">
        <f t="shared" si="39"/>
        <v>703</v>
      </c>
      <c r="AA712" s="140">
        <v>0</v>
      </c>
      <c r="AC712" s="140" t="str">
        <f t="shared" si="40"/>
        <v/>
      </c>
      <c r="AE712" s="42" t="str">
        <f t="shared" si="41"/>
        <v/>
      </c>
      <c r="AG712" s="162"/>
      <c r="AH712" s="10"/>
      <c r="AI712" s="10" t="s">
        <v>145</v>
      </c>
      <c r="AJ712" s="10"/>
    </row>
    <row r="713" spans="1:36">
      <c r="A713" s="137"/>
      <c r="B713" s="47"/>
      <c r="C713" s="47"/>
      <c r="D713" s="47"/>
      <c r="E713" s="7">
        <f>+G713-Adjustments!G713</f>
        <v>0</v>
      </c>
      <c r="F713" s="7"/>
      <c r="G713" s="7"/>
      <c r="H713" s="7"/>
      <c r="I713" s="7"/>
      <c r="J713" s="7">
        <f>+I713-'ROR-Model'!I713</f>
        <v>0</v>
      </c>
      <c r="K713" s="7"/>
      <c r="L713" s="7"/>
      <c r="M713" s="7"/>
      <c r="N713" s="7"/>
      <c r="O713" s="120"/>
      <c r="P713" s="126"/>
      <c r="Q713" s="7"/>
      <c r="R713" s="7"/>
      <c r="S713" s="126"/>
      <c r="T713" s="7"/>
      <c r="U713" s="7"/>
      <c r="V713" s="124"/>
      <c r="W713" s="7"/>
      <c r="X713" s="139"/>
      <c r="Y713" s="3">
        <f t="shared" si="39"/>
        <v>704</v>
      </c>
      <c r="AA713" s="7"/>
      <c r="AC713" s="7" t="str">
        <f t="shared" si="40"/>
        <v/>
      </c>
      <c r="AE713" s="42" t="str">
        <f t="shared" si="41"/>
        <v/>
      </c>
      <c r="AG713" s="162"/>
      <c r="AH713" s="10"/>
      <c r="AI713" s="10"/>
      <c r="AJ713" s="10"/>
    </row>
    <row r="714" spans="1:36">
      <c r="A714" s="137">
        <v>887</v>
      </c>
      <c r="B714" s="47" t="s">
        <v>349</v>
      </c>
      <c r="C714" s="47"/>
      <c r="D714" s="47"/>
      <c r="E714" s="7">
        <f>+G714-Adjustments!G714</f>
        <v>0</v>
      </c>
      <c r="F714" s="7"/>
      <c r="G714" s="7"/>
      <c r="H714" s="7"/>
      <c r="I714" s="7"/>
      <c r="J714" s="7">
        <f>+I714-'ROR-Model'!I714</f>
        <v>0</v>
      </c>
      <c r="K714" s="7"/>
      <c r="L714" s="7"/>
      <c r="M714" s="7"/>
      <c r="N714" s="7"/>
      <c r="O714" s="120"/>
      <c r="P714" s="126"/>
      <c r="Q714" s="7"/>
      <c r="R714" s="7"/>
      <c r="S714" s="126"/>
      <c r="T714" s="7"/>
      <c r="U714" s="7"/>
      <c r="V714" s="124"/>
      <c r="W714" s="7"/>
      <c r="X714" s="139"/>
      <c r="Y714" s="3">
        <f t="shared" si="39"/>
        <v>705</v>
      </c>
      <c r="AA714" s="7"/>
      <c r="AC714" s="7" t="str">
        <f t="shared" si="40"/>
        <v/>
      </c>
      <c r="AE714" s="42" t="str">
        <f t="shared" si="41"/>
        <v/>
      </c>
      <c r="AG714" s="162">
        <v>887</v>
      </c>
      <c r="AH714" s="10" t="s">
        <v>349</v>
      </c>
      <c r="AI714" s="10"/>
      <c r="AJ714" s="10"/>
    </row>
    <row r="715" spans="1:36">
      <c r="A715" s="137"/>
      <c r="B715" s="47"/>
      <c r="C715" s="47" t="s">
        <v>12</v>
      </c>
      <c r="D715" s="47"/>
      <c r="E715" s="7">
        <f>+G715-Adjustments!G715</f>
        <v>0</v>
      </c>
      <c r="F715" s="7">
        <f>EXPENSES!F206</f>
        <v>11276815.949999999</v>
      </c>
      <c r="G715" s="7">
        <f>+Adjustments!V714</f>
        <v>0</v>
      </c>
      <c r="H715" s="7"/>
      <c r="I715" s="7">
        <f>SUM($F$715:$H$715)</f>
        <v>11276815.949999999</v>
      </c>
      <c r="J715" s="7">
        <f>+I715-'ROR-Model'!I715</f>
        <v>0</v>
      </c>
      <c r="K715" s="7"/>
      <c r="L715" s="7" t="s">
        <v>12</v>
      </c>
      <c r="M715" s="7">
        <f>VLOOKUP($L715,$L$2:$N$7,2,FALSE)*I715</f>
        <v>11276815.949999999</v>
      </c>
      <c r="N715" s="7">
        <f>VLOOKUP($L715,$L$2:$N$7,3,FALSE)*I715</f>
        <v>0</v>
      </c>
      <c r="O715" s="120"/>
      <c r="P715" s="192" t="s">
        <v>510</v>
      </c>
      <c r="Q715" s="7">
        <f>IF(P715="G",M715,IF(P715="PT",0,ERR))</f>
        <v>11276815.949999999</v>
      </c>
      <c r="R715" s="7">
        <f>IF(P715="PT",M715,IF(P715="G",0,ERR))</f>
        <v>0</v>
      </c>
      <c r="S715" s="126" t="s">
        <v>510</v>
      </c>
      <c r="T715" s="7">
        <f>IF(S715="G",N715,IF(S715="PT",0,ERR))</f>
        <v>0</v>
      </c>
      <c r="U715" s="7">
        <f>IF(S715="PT",N715,IF(S715="G",0,ERR))</f>
        <v>0</v>
      </c>
      <c r="V715" s="124"/>
      <c r="W715" s="7">
        <f>HLOOKUP($W$9,'ROR-Model'!$Q$10:$U$1273,Y715)</f>
        <v>11276815.949999999</v>
      </c>
      <c r="X715" s="139"/>
      <c r="Y715" s="3">
        <f t="shared" si="39"/>
        <v>706</v>
      </c>
      <c r="AA715" s="7">
        <v>8284448.9800000004</v>
      </c>
      <c r="AC715" s="7">
        <f t="shared" si="40"/>
        <v>2992366.9699999988</v>
      </c>
      <c r="AE715" s="42">
        <f t="shared" si="41"/>
        <v>0.36120289680388601</v>
      </c>
      <c r="AG715" s="162"/>
      <c r="AH715" s="10"/>
      <c r="AI715" s="10" t="s">
        <v>12</v>
      </c>
      <c r="AJ715" s="10"/>
    </row>
    <row r="716" spans="1:36">
      <c r="A716" s="137"/>
      <c r="B716" s="47"/>
      <c r="C716" s="47" t="s">
        <v>23</v>
      </c>
      <c r="D716" s="47"/>
      <c r="E716" s="7">
        <f>+G716-Adjustments!G716</f>
        <v>0</v>
      </c>
      <c r="F716" s="7">
        <f>EXPENSES!F207</f>
        <v>35265.090000000004</v>
      </c>
      <c r="G716" s="7">
        <f>+Adjustments!V715</f>
        <v>0</v>
      </c>
      <c r="H716" s="7"/>
      <c r="I716" s="7">
        <f>SUM($F$716:$H$716)</f>
        <v>35265.090000000004</v>
      </c>
      <c r="J716" s="7">
        <f>+I716-'ROR-Model'!I716</f>
        <v>0</v>
      </c>
      <c r="K716" s="7"/>
      <c r="L716" s="7" t="s">
        <v>23</v>
      </c>
      <c r="M716" s="7">
        <f>VLOOKUP($L716,$L$2:$N$7,2,FALSE)*I716</f>
        <v>0</v>
      </c>
      <c r="N716" s="7">
        <f>VLOOKUP($L716,$L$2:$N$7,3,FALSE)*I716</f>
        <v>35265.090000000004</v>
      </c>
      <c r="O716" s="120"/>
      <c r="P716" s="192" t="s">
        <v>510</v>
      </c>
      <c r="Q716" s="7">
        <f>IF(P716="G",M716,IF(P716="PT",0,ERR))</f>
        <v>0</v>
      </c>
      <c r="R716" s="7">
        <f>IF(P716="PT",M716,IF(P716="G",0,ERR))</f>
        <v>0</v>
      </c>
      <c r="S716" s="126" t="s">
        <v>510</v>
      </c>
      <c r="T716" s="7">
        <f>IF(S716="G",N716,IF(S716="PT",0,ERR))</f>
        <v>35265.090000000004</v>
      </c>
      <c r="U716" s="7">
        <f>IF(S716="PT",N716,IF(S716="G",0,ERR))</f>
        <v>0</v>
      </c>
      <c r="V716" s="124"/>
      <c r="W716" s="7">
        <f>HLOOKUP($W$9,'ROR-Model'!$Q$10:$U$1273,Y716)</f>
        <v>0</v>
      </c>
      <c r="X716" s="139"/>
      <c r="Y716" s="3">
        <f t="shared" si="39"/>
        <v>707</v>
      </c>
      <c r="AA716" s="7">
        <v>0</v>
      </c>
      <c r="AC716" s="7" t="str">
        <f t="shared" si="40"/>
        <v/>
      </c>
      <c r="AE716" s="42" t="str">
        <f t="shared" si="41"/>
        <v/>
      </c>
      <c r="AG716" s="162"/>
      <c r="AH716" s="10"/>
      <c r="AI716" s="10" t="s">
        <v>23</v>
      </c>
      <c r="AJ716" s="10"/>
    </row>
    <row r="717" spans="1:36">
      <c r="A717" s="137"/>
      <c r="B717" s="47"/>
      <c r="C717" s="47" t="s">
        <v>145</v>
      </c>
      <c r="D717" s="47"/>
      <c r="E717" s="140">
        <f>+G717-Adjustments!G717</f>
        <v>0</v>
      </c>
      <c r="F717" s="140">
        <f>SUM(F715:F716)</f>
        <v>11312081.039999999</v>
      </c>
      <c r="G717" s="140">
        <f>SUM(G715:G716)</f>
        <v>0</v>
      </c>
      <c r="H717" s="140">
        <f>SUM(H715:H716)</f>
        <v>0</v>
      </c>
      <c r="I717" s="140">
        <f>SUM(I715:I716)</f>
        <v>11312081.039999999</v>
      </c>
      <c r="J717" s="7">
        <f>+I717-'ROR-Model'!I717</f>
        <v>0</v>
      </c>
      <c r="K717" s="7"/>
      <c r="L717" s="140"/>
      <c r="M717" s="140">
        <f>SUM(M715:M716)</f>
        <v>11276815.949999999</v>
      </c>
      <c r="N717" s="140">
        <f>SUM(N715:N716)</f>
        <v>35265.090000000004</v>
      </c>
      <c r="O717" s="120"/>
      <c r="P717" s="201"/>
      <c r="Q717" s="140">
        <f>SUM(Q715:Q716)</f>
        <v>11276815.949999999</v>
      </c>
      <c r="R717" s="140">
        <f>SUM(R715:R716)</f>
        <v>0</v>
      </c>
      <c r="S717" s="201"/>
      <c r="T717" s="140">
        <f>SUM(T715:T716)</f>
        <v>35265.090000000004</v>
      </c>
      <c r="U717" s="140">
        <f>SUM(U715:U716)</f>
        <v>0</v>
      </c>
      <c r="V717" s="124"/>
      <c r="W717" s="140">
        <f>HLOOKUP($W$9,'ROR-Model'!$Q$10:$U$1273,Y717)</f>
        <v>11276815.949999999</v>
      </c>
      <c r="X717" s="139"/>
      <c r="Y717" s="3">
        <f t="shared" si="39"/>
        <v>708</v>
      </c>
      <c r="AA717" s="140">
        <v>8284448.9800000004</v>
      </c>
      <c r="AC717" s="140">
        <f t="shared" si="40"/>
        <v>2992366.9699999988</v>
      </c>
      <c r="AE717" s="42">
        <f t="shared" si="41"/>
        <v>0.36120289680388601</v>
      </c>
      <c r="AG717" s="162"/>
      <c r="AH717" s="10"/>
      <c r="AI717" s="10" t="s">
        <v>145</v>
      </c>
      <c r="AJ717" s="10"/>
    </row>
    <row r="718" spans="1:36">
      <c r="A718" s="137"/>
      <c r="B718" s="47"/>
      <c r="C718" s="47"/>
      <c r="D718" s="47"/>
      <c r="E718" s="7">
        <f>+G718-Adjustments!G718</f>
        <v>0</v>
      </c>
      <c r="F718" s="7"/>
      <c r="G718" s="7"/>
      <c r="H718" s="7"/>
      <c r="I718" s="7"/>
      <c r="J718" s="7">
        <f>+I718-'ROR-Model'!I718</f>
        <v>0</v>
      </c>
      <c r="K718" s="7"/>
      <c r="L718" s="7"/>
      <c r="M718" s="7"/>
      <c r="N718" s="7"/>
      <c r="O718" s="120"/>
      <c r="P718" s="126"/>
      <c r="Q718" s="7"/>
      <c r="R718" s="7"/>
      <c r="S718" s="126"/>
      <c r="T718" s="7"/>
      <c r="U718" s="7"/>
      <c r="V718" s="124"/>
      <c r="W718" s="7"/>
      <c r="X718" s="139"/>
      <c r="Y718" s="3">
        <f t="shared" ref="Y718:Y781" si="42">Y717+1</f>
        <v>709</v>
      </c>
      <c r="AA718" s="7"/>
      <c r="AC718" s="7" t="str">
        <f t="shared" si="40"/>
        <v/>
      </c>
      <c r="AE718" s="42" t="str">
        <f t="shared" si="41"/>
        <v/>
      </c>
      <c r="AG718" s="162"/>
      <c r="AH718" s="10"/>
      <c r="AI718" s="10"/>
      <c r="AJ718" s="10"/>
    </row>
    <row r="719" spans="1:36">
      <c r="A719" s="137">
        <v>888</v>
      </c>
      <c r="B719" s="47" t="s">
        <v>350</v>
      </c>
      <c r="C719" s="47"/>
      <c r="D719" s="47"/>
      <c r="E719" s="7">
        <f>+G719-Adjustments!G719</f>
        <v>0</v>
      </c>
      <c r="F719" s="7"/>
      <c r="G719" s="7"/>
      <c r="H719" s="7"/>
      <c r="I719" s="7"/>
      <c r="J719" s="7">
        <f>+I719-'ROR-Model'!I719</f>
        <v>0</v>
      </c>
      <c r="K719" s="7"/>
      <c r="L719" s="7"/>
      <c r="M719" s="7"/>
      <c r="N719" s="7"/>
      <c r="O719" s="120"/>
      <c r="P719" s="126"/>
      <c r="Q719" s="7"/>
      <c r="R719" s="7"/>
      <c r="S719" s="126"/>
      <c r="T719" s="7"/>
      <c r="U719" s="7"/>
      <c r="V719" s="124"/>
      <c r="W719" s="7"/>
      <c r="X719" s="139"/>
      <c r="Y719" s="3">
        <f t="shared" si="42"/>
        <v>710</v>
      </c>
      <c r="AA719" s="7"/>
      <c r="AC719" s="7" t="str">
        <f t="shared" si="40"/>
        <v/>
      </c>
      <c r="AE719" s="42" t="str">
        <f t="shared" si="41"/>
        <v/>
      </c>
      <c r="AG719" s="162">
        <v>888</v>
      </c>
      <c r="AH719" s="10" t="s">
        <v>350</v>
      </c>
      <c r="AI719" s="10"/>
      <c r="AJ719" s="10"/>
    </row>
    <row r="720" spans="1:36">
      <c r="A720" s="137"/>
      <c r="B720" s="47"/>
      <c r="C720" s="47" t="s">
        <v>12</v>
      </c>
      <c r="D720" s="47"/>
      <c r="E720" s="7">
        <f>+G720-Adjustments!G720</f>
        <v>0</v>
      </c>
      <c r="F720" s="7">
        <f>EXPENSES!F211</f>
        <v>3762430.0999999996</v>
      </c>
      <c r="G720" s="7">
        <f>+Adjustments!V719</f>
        <v>0</v>
      </c>
      <c r="H720" s="7"/>
      <c r="I720" s="7">
        <f>SUM($F$720:$H$720)</f>
        <v>3762430.0999999996</v>
      </c>
      <c r="J720" s="7">
        <f>+I720-'ROR-Model'!I720</f>
        <v>0</v>
      </c>
      <c r="K720" s="7"/>
      <c r="L720" s="7" t="s">
        <v>12</v>
      </c>
      <c r="M720" s="7">
        <f>VLOOKUP($L720,$L$2:$N$7,2,FALSE)*I720</f>
        <v>3762430.0999999996</v>
      </c>
      <c r="N720" s="7">
        <f>VLOOKUP($L720,$L$2:$N$7,3,FALSE)*I720</f>
        <v>0</v>
      </c>
      <c r="O720" s="120"/>
      <c r="P720" s="192" t="s">
        <v>510</v>
      </c>
      <c r="Q720" s="7">
        <f>IF(P720="G",M720,IF(P720="PT",0,ERR))</f>
        <v>3762430.0999999996</v>
      </c>
      <c r="R720" s="7">
        <f>IF(P720="PT",M720,IF(P720="G",0,ERR))</f>
        <v>0</v>
      </c>
      <c r="S720" s="126" t="s">
        <v>510</v>
      </c>
      <c r="T720" s="7">
        <f>IF(S720="G",N720,IF(S720="PT",0,ERR))</f>
        <v>0</v>
      </c>
      <c r="U720" s="7">
        <f>IF(S720="PT",N720,IF(S720="G",0,ERR))</f>
        <v>0</v>
      </c>
      <c r="V720" s="124"/>
      <c r="W720" s="7">
        <f>HLOOKUP($W$9,'ROR-Model'!$Q$10:$U$1273,Y720)</f>
        <v>3762430.0999999996</v>
      </c>
      <c r="X720" s="139"/>
      <c r="Y720" s="3">
        <f t="shared" si="42"/>
        <v>711</v>
      </c>
      <c r="AA720" s="7">
        <v>1111180.1000000001</v>
      </c>
      <c r="AC720" s="7">
        <f t="shared" si="40"/>
        <v>2651249.9999999995</v>
      </c>
      <c r="AE720" s="42">
        <f t="shared" si="41"/>
        <v>2.3859768546970912</v>
      </c>
      <c r="AG720" s="162"/>
      <c r="AH720" s="10"/>
      <c r="AI720" s="10" t="s">
        <v>12</v>
      </c>
      <c r="AJ720" s="10"/>
    </row>
    <row r="721" spans="1:36">
      <c r="A721" s="137"/>
      <c r="B721" s="47"/>
      <c r="C721" s="47" t="s">
        <v>23</v>
      </c>
      <c r="D721" s="47"/>
      <c r="E721" s="7">
        <f>+G721-Adjustments!G721</f>
        <v>0</v>
      </c>
      <c r="F721" s="7">
        <f>EXPENSES!F212</f>
        <v>44958.710000000006</v>
      </c>
      <c r="G721" s="7">
        <f>+Adjustments!V720</f>
        <v>0</v>
      </c>
      <c r="H721" s="7"/>
      <c r="I721" s="7">
        <f>SUM($F$721:$H$721)</f>
        <v>44958.710000000006</v>
      </c>
      <c r="J721" s="7">
        <f>+I721-'ROR-Model'!I721</f>
        <v>0</v>
      </c>
      <c r="K721" s="7"/>
      <c r="L721" s="7" t="s">
        <v>23</v>
      </c>
      <c r="M721" s="7">
        <f>VLOOKUP($L721,$L$2:$N$7,2,FALSE)*I721</f>
        <v>0</v>
      </c>
      <c r="N721" s="7">
        <f>VLOOKUP($L721,$L$2:$N$7,3,FALSE)*I721</f>
        <v>44958.710000000006</v>
      </c>
      <c r="O721" s="120"/>
      <c r="P721" s="192" t="s">
        <v>510</v>
      </c>
      <c r="Q721" s="7">
        <f>IF(P721="G",M721,IF(P721="PT",0,ERR))</f>
        <v>0</v>
      </c>
      <c r="R721" s="7">
        <f>IF(P721="PT",M721,IF(P721="G",0,ERR))</f>
        <v>0</v>
      </c>
      <c r="S721" s="126" t="s">
        <v>510</v>
      </c>
      <c r="T721" s="7">
        <f>IF(S721="G",N721,IF(S721="PT",0,ERR))</f>
        <v>44958.710000000006</v>
      </c>
      <c r="U721" s="7">
        <f>IF(S721="PT",N721,IF(S721="G",0,ERR))</f>
        <v>0</v>
      </c>
      <c r="V721" s="124"/>
      <c r="W721" s="7">
        <f>HLOOKUP($W$9,'ROR-Model'!$Q$10:$U$1273,Y721)</f>
        <v>0</v>
      </c>
      <c r="X721" s="139"/>
      <c r="Y721" s="3">
        <f t="shared" si="42"/>
        <v>712</v>
      </c>
      <c r="AA721" s="7">
        <v>0</v>
      </c>
      <c r="AC721" s="7" t="str">
        <f t="shared" ref="AC721:AC784" si="43">IF(ABS(AA721)&gt;0,W721-AA721,"")</f>
        <v/>
      </c>
      <c r="AE721" s="42" t="str">
        <f t="shared" si="41"/>
        <v/>
      </c>
      <c r="AG721" s="162"/>
      <c r="AH721" s="10"/>
      <c r="AI721" s="10" t="s">
        <v>23</v>
      </c>
      <c r="AJ721" s="10"/>
    </row>
    <row r="722" spans="1:36">
      <c r="A722" s="137"/>
      <c r="B722" s="47"/>
      <c r="C722" s="47" t="s">
        <v>145</v>
      </c>
      <c r="D722" s="47"/>
      <c r="E722" s="140">
        <f>+G722-Adjustments!G722</f>
        <v>0</v>
      </c>
      <c r="F722" s="140">
        <f>SUM(F720:F721)</f>
        <v>3807388.8099999996</v>
      </c>
      <c r="G722" s="140">
        <f>SUM(G720:G721)</f>
        <v>0</v>
      </c>
      <c r="H722" s="140">
        <f>SUM(H720:H721)</f>
        <v>0</v>
      </c>
      <c r="I722" s="140">
        <f>SUM(I720:I721)</f>
        <v>3807388.8099999996</v>
      </c>
      <c r="J722" s="7">
        <f>+I722-'ROR-Model'!I722</f>
        <v>0</v>
      </c>
      <c r="K722" s="7"/>
      <c r="L722" s="140"/>
      <c r="M722" s="140">
        <f>SUM(M720:M721)</f>
        <v>3762430.0999999996</v>
      </c>
      <c r="N722" s="140">
        <f>SUM(N720:N721)</f>
        <v>44958.710000000006</v>
      </c>
      <c r="O722" s="120"/>
      <c r="P722" s="201"/>
      <c r="Q722" s="140">
        <f>SUM(Q720:Q721)</f>
        <v>3762430.0999999996</v>
      </c>
      <c r="R722" s="140">
        <f>SUM(R720:R721)</f>
        <v>0</v>
      </c>
      <c r="S722" s="201"/>
      <c r="T722" s="140">
        <f>SUM(T720:T721)</f>
        <v>44958.710000000006</v>
      </c>
      <c r="U722" s="140">
        <f>SUM(U720:U721)</f>
        <v>0</v>
      </c>
      <c r="V722" s="124"/>
      <c r="W722" s="140">
        <f>HLOOKUP($W$9,'ROR-Model'!$Q$10:$U$1273,Y722)</f>
        <v>3762430.0999999996</v>
      </c>
      <c r="X722" s="139"/>
      <c r="Y722" s="3">
        <f t="shared" si="42"/>
        <v>713</v>
      </c>
      <c r="AA722" s="140">
        <v>1111180.1000000001</v>
      </c>
      <c r="AC722" s="140">
        <f t="shared" si="43"/>
        <v>2651249.9999999995</v>
      </c>
      <c r="AE722" s="42">
        <f t="shared" ref="AE722:AE785" si="44">IF(ABS(AA722)&gt;0,AC722/AA722,"")</f>
        <v>2.3859768546970912</v>
      </c>
      <c r="AG722" s="162"/>
      <c r="AH722" s="10"/>
      <c r="AI722" s="10" t="s">
        <v>145</v>
      </c>
      <c r="AJ722" s="10"/>
    </row>
    <row r="723" spans="1:36">
      <c r="A723" s="137"/>
      <c r="B723" s="47"/>
      <c r="C723" s="47"/>
      <c r="D723" s="47"/>
      <c r="E723" s="7">
        <f>+G723-Adjustments!G723</f>
        <v>0</v>
      </c>
      <c r="F723" s="7"/>
      <c r="G723" s="7"/>
      <c r="H723" s="7"/>
      <c r="I723" s="7"/>
      <c r="J723" s="7">
        <f>+I723-'ROR-Model'!I723</f>
        <v>0</v>
      </c>
      <c r="K723" s="7"/>
      <c r="L723" s="7"/>
      <c r="M723" s="7"/>
      <c r="N723" s="7"/>
      <c r="O723" s="120"/>
      <c r="P723" s="126"/>
      <c r="Q723" s="7"/>
      <c r="R723" s="7"/>
      <c r="S723" s="126"/>
      <c r="T723" s="7"/>
      <c r="U723" s="7"/>
      <c r="V723" s="124"/>
      <c r="W723" s="7"/>
      <c r="X723" s="139"/>
      <c r="Y723" s="3">
        <f t="shared" si="42"/>
        <v>714</v>
      </c>
      <c r="AA723" s="7"/>
      <c r="AC723" s="7" t="str">
        <f t="shared" si="43"/>
        <v/>
      </c>
      <c r="AE723" s="42" t="str">
        <f t="shared" si="44"/>
        <v/>
      </c>
      <c r="AG723" s="162"/>
      <c r="AH723" s="10"/>
      <c r="AI723" s="10"/>
      <c r="AJ723" s="10"/>
    </row>
    <row r="724" spans="1:36">
      <c r="A724" s="137">
        <v>889</v>
      </c>
      <c r="B724" s="47" t="s">
        <v>351</v>
      </c>
      <c r="C724" s="47"/>
      <c r="D724" s="47"/>
      <c r="E724" s="7">
        <f>+G724-Adjustments!G724</f>
        <v>0</v>
      </c>
      <c r="F724" s="7"/>
      <c r="G724" s="7"/>
      <c r="H724" s="7"/>
      <c r="I724" s="7"/>
      <c r="J724" s="7">
        <f>+I724-'ROR-Model'!I724</f>
        <v>0</v>
      </c>
      <c r="K724" s="7"/>
      <c r="L724" s="7"/>
      <c r="M724" s="7"/>
      <c r="N724" s="7"/>
      <c r="O724" s="120"/>
      <c r="P724" s="126"/>
      <c r="Q724" s="7"/>
      <c r="R724" s="7"/>
      <c r="S724" s="126"/>
      <c r="T724" s="7"/>
      <c r="U724" s="7"/>
      <c r="V724" s="124"/>
      <c r="W724" s="7"/>
      <c r="X724" s="139"/>
      <c r="Y724" s="3">
        <f t="shared" si="42"/>
        <v>715</v>
      </c>
      <c r="AA724" s="7"/>
      <c r="AC724" s="7" t="str">
        <f t="shared" si="43"/>
        <v/>
      </c>
      <c r="AE724" s="42" t="str">
        <f t="shared" si="44"/>
        <v/>
      </c>
      <c r="AG724" s="162">
        <v>889</v>
      </c>
      <c r="AH724" s="10" t="s">
        <v>351</v>
      </c>
      <c r="AI724" s="10"/>
      <c r="AJ724" s="10"/>
    </row>
    <row r="725" spans="1:36">
      <c r="A725" s="137"/>
      <c r="B725" s="47"/>
      <c r="C725" s="47" t="s">
        <v>12</v>
      </c>
      <c r="D725" s="47"/>
      <c r="E725" s="7">
        <f>+G725-Adjustments!G725</f>
        <v>0</v>
      </c>
      <c r="F725" s="7">
        <f>EXPENSES!F216</f>
        <v>453506.27999999997</v>
      </c>
      <c r="G725" s="7">
        <f>+Adjustments!V724</f>
        <v>0</v>
      </c>
      <c r="H725" s="7"/>
      <c r="I725" s="7">
        <f>SUM($F$725:$H$725)</f>
        <v>453506.27999999997</v>
      </c>
      <c r="J725" s="7">
        <f>+I725-'ROR-Model'!I725</f>
        <v>0</v>
      </c>
      <c r="K725" s="7"/>
      <c r="L725" s="7" t="s">
        <v>12</v>
      </c>
      <c r="M725" s="7">
        <f>VLOOKUP($L725,$L$2:$N$7,2,FALSE)*I725</f>
        <v>453506.27999999997</v>
      </c>
      <c r="N725" s="7">
        <f>VLOOKUP($L725,$L$2:$N$7,3,FALSE)*I725</f>
        <v>0</v>
      </c>
      <c r="O725" s="120"/>
      <c r="P725" s="192" t="s">
        <v>510</v>
      </c>
      <c r="Q725" s="7">
        <f>IF(P725="G",M725,IF(P725="PT",0,ERR))</f>
        <v>453506.27999999997</v>
      </c>
      <c r="R725" s="7">
        <f>IF(P725="PT",M725,IF(P725="G",0,ERR))</f>
        <v>0</v>
      </c>
      <c r="S725" s="126" t="s">
        <v>510</v>
      </c>
      <c r="T725" s="7">
        <f>IF(S725="G",N725,IF(S725="PT",0,ERR))</f>
        <v>0</v>
      </c>
      <c r="U725" s="7">
        <f>IF(S725="PT",N725,IF(S725="G",0,ERR))</f>
        <v>0</v>
      </c>
      <c r="V725" s="124"/>
      <c r="W725" s="7">
        <f>HLOOKUP($W$9,'ROR-Model'!$Q$10:$U$1273,Y725)</f>
        <v>453506.27999999997</v>
      </c>
      <c r="X725" s="139"/>
      <c r="Y725" s="3">
        <f t="shared" si="42"/>
        <v>716</v>
      </c>
      <c r="AA725" s="7">
        <v>22001.440000000002</v>
      </c>
      <c r="AC725" s="7">
        <f t="shared" si="43"/>
        <v>431504.83999999997</v>
      </c>
      <c r="AE725" s="42">
        <f t="shared" si="44"/>
        <v>19.612572631609563</v>
      </c>
      <c r="AG725" s="162"/>
      <c r="AH725" s="10"/>
      <c r="AI725" s="10" t="s">
        <v>12</v>
      </c>
      <c r="AJ725" s="10"/>
    </row>
    <row r="726" spans="1:36">
      <c r="A726" s="137"/>
      <c r="B726" s="47"/>
      <c r="C726" s="47" t="s">
        <v>23</v>
      </c>
      <c r="D726" s="47"/>
      <c r="E726" s="7">
        <f>+G726-Adjustments!G726</f>
        <v>0</v>
      </c>
      <c r="F726" s="7">
        <f>EXPENSES!F217</f>
        <v>14065.490000000002</v>
      </c>
      <c r="G726" s="7">
        <f>+Adjustments!V725</f>
        <v>0</v>
      </c>
      <c r="H726" s="7"/>
      <c r="I726" s="7">
        <f>SUM($F$726:$H$726)</f>
        <v>14065.490000000002</v>
      </c>
      <c r="J726" s="7">
        <f>+I726-'ROR-Model'!I726</f>
        <v>0</v>
      </c>
      <c r="K726" s="7"/>
      <c r="L726" s="7" t="s">
        <v>23</v>
      </c>
      <c r="M726" s="7">
        <f>VLOOKUP($L726,$L$2:$N$7,2,FALSE)*I726</f>
        <v>0</v>
      </c>
      <c r="N726" s="7">
        <f>VLOOKUP($L726,$L$2:$N$7,3,FALSE)*I726</f>
        <v>14065.490000000002</v>
      </c>
      <c r="O726" s="120"/>
      <c r="P726" s="192" t="s">
        <v>510</v>
      </c>
      <c r="Q726" s="7">
        <f>IF(P726="G",M726,IF(P726="PT",0,ERR))</f>
        <v>0</v>
      </c>
      <c r="R726" s="7">
        <f>IF(P726="PT",M726,IF(P726="G",0,ERR))</f>
        <v>0</v>
      </c>
      <c r="S726" s="126" t="s">
        <v>510</v>
      </c>
      <c r="T726" s="7">
        <f>IF(S726="G",N726,IF(S726="PT",0,ERR))</f>
        <v>14065.490000000002</v>
      </c>
      <c r="U726" s="7">
        <f>IF(S726="PT",N726,IF(S726="G",0,ERR))</f>
        <v>0</v>
      </c>
      <c r="V726" s="124"/>
      <c r="W726" s="7">
        <f>HLOOKUP($W$9,'ROR-Model'!$Q$10:$U$1273,Y726)</f>
        <v>0</v>
      </c>
      <c r="X726" s="139"/>
      <c r="Y726" s="3">
        <f t="shared" si="42"/>
        <v>717</v>
      </c>
      <c r="AA726" s="7">
        <v>0</v>
      </c>
      <c r="AC726" s="7" t="str">
        <f t="shared" si="43"/>
        <v/>
      </c>
      <c r="AE726" s="42" t="str">
        <f t="shared" si="44"/>
        <v/>
      </c>
      <c r="AG726" s="162"/>
      <c r="AH726" s="10"/>
      <c r="AI726" s="10" t="s">
        <v>23</v>
      </c>
      <c r="AJ726" s="10"/>
    </row>
    <row r="727" spans="1:36">
      <c r="A727" s="137"/>
      <c r="B727" s="47"/>
      <c r="C727" s="47" t="s">
        <v>145</v>
      </c>
      <c r="D727" s="47"/>
      <c r="E727" s="140">
        <f>+G727-Adjustments!G727</f>
        <v>0</v>
      </c>
      <c r="F727" s="140">
        <f>SUM(F725:F726)</f>
        <v>467571.76999999996</v>
      </c>
      <c r="G727" s="140">
        <f>SUM(G725:G726)</f>
        <v>0</v>
      </c>
      <c r="H727" s="140">
        <f>SUM(H725:H726)</f>
        <v>0</v>
      </c>
      <c r="I727" s="140">
        <f>SUM(I725:I726)</f>
        <v>467571.76999999996</v>
      </c>
      <c r="J727" s="7">
        <f>+I727-'ROR-Model'!I727</f>
        <v>0</v>
      </c>
      <c r="K727" s="7"/>
      <c r="L727" s="140"/>
      <c r="M727" s="140">
        <f>SUM(M725:M726)</f>
        <v>453506.27999999997</v>
      </c>
      <c r="N727" s="140">
        <f>SUM(N725:N726)</f>
        <v>14065.490000000002</v>
      </c>
      <c r="O727" s="120"/>
      <c r="P727" s="201"/>
      <c r="Q727" s="140">
        <f>SUM(Q725:Q726)</f>
        <v>453506.27999999997</v>
      </c>
      <c r="R727" s="140">
        <f>SUM(R725:R726)</f>
        <v>0</v>
      </c>
      <c r="S727" s="201"/>
      <c r="T727" s="140">
        <f>SUM(T725:T726)</f>
        <v>14065.490000000002</v>
      </c>
      <c r="U727" s="140">
        <f>SUM(U725:U726)</f>
        <v>0</v>
      </c>
      <c r="V727" s="124"/>
      <c r="W727" s="140">
        <f>HLOOKUP($W$9,'ROR-Model'!$Q$10:$U$1273,Y727)</f>
        <v>453506.27999999997</v>
      </c>
      <c r="X727" s="139"/>
      <c r="Y727" s="3">
        <f t="shared" si="42"/>
        <v>718</v>
      </c>
      <c r="AA727" s="140">
        <v>22001.440000000002</v>
      </c>
      <c r="AC727" s="140">
        <f t="shared" si="43"/>
        <v>431504.83999999997</v>
      </c>
      <c r="AE727" s="42">
        <f t="shared" si="44"/>
        <v>19.612572631609563</v>
      </c>
      <c r="AG727" s="162"/>
      <c r="AH727" s="10"/>
      <c r="AI727" s="10" t="s">
        <v>145</v>
      </c>
      <c r="AJ727" s="10"/>
    </row>
    <row r="728" spans="1:36">
      <c r="A728" s="137"/>
      <c r="B728" s="47"/>
      <c r="C728" s="47"/>
      <c r="D728" s="47"/>
      <c r="E728" s="7">
        <f>+G728-Adjustments!G728</f>
        <v>0</v>
      </c>
      <c r="F728" s="7"/>
      <c r="G728" s="7"/>
      <c r="H728" s="7"/>
      <c r="I728" s="7"/>
      <c r="J728" s="7">
        <f>+I728-'ROR-Model'!I728</f>
        <v>0</v>
      </c>
      <c r="K728" s="7"/>
      <c r="L728" s="7"/>
      <c r="M728" s="7"/>
      <c r="N728" s="7"/>
      <c r="O728" s="120"/>
      <c r="P728" s="126"/>
      <c r="Q728" s="7"/>
      <c r="R728" s="7"/>
      <c r="S728" s="126"/>
      <c r="T728" s="7"/>
      <c r="U728" s="7"/>
      <c r="V728" s="124"/>
      <c r="W728" s="7"/>
      <c r="X728" s="139"/>
      <c r="Y728" s="3">
        <f t="shared" si="42"/>
        <v>719</v>
      </c>
      <c r="AA728" s="7"/>
      <c r="AC728" s="7" t="str">
        <f t="shared" si="43"/>
        <v/>
      </c>
      <c r="AE728" s="42" t="str">
        <f t="shared" si="44"/>
        <v/>
      </c>
      <c r="AG728" s="162"/>
      <c r="AH728" s="10"/>
      <c r="AI728" s="10"/>
      <c r="AJ728" s="10"/>
    </row>
    <row r="729" spans="1:36">
      <c r="A729" s="137">
        <v>892</v>
      </c>
      <c r="B729" s="47" t="s">
        <v>352</v>
      </c>
      <c r="C729" s="47"/>
      <c r="D729" s="47"/>
      <c r="E729" s="7">
        <f>+G729-Adjustments!G729</f>
        <v>0</v>
      </c>
      <c r="F729" s="7"/>
      <c r="G729" s="7"/>
      <c r="H729" s="7"/>
      <c r="I729" s="7"/>
      <c r="J729" s="7">
        <f>+I729-'ROR-Model'!I729</f>
        <v>0</v>
      </c>
      <c r="K729" s="7"/>
      <c r="L729" s="7"/>
      <c r="M729" s="7"/>
      <c r="N729" s="7"/>
      <c r="O729" s="120"/>
      <c r="P729" s="126"/>
      <c r="Q729" s="7"/>
      <c r="R729" s="7"/>
      <c r="S729" s="126"/>
      <c r="T729" s="7"/>
      <c r="U729" s="7"/>
      <c r="V729" s="124"/>
      <c r="W729" s="7"/>
      <c r="X729" s="139"/>
      <c r="Y729" s="3">
        <f t="shared" si="42"/>
        <v>720</v>
      </c>
      <c r="AA729" s="7"/>
      <c r="AC729" s="7" t="str">
        <f t="shared" si="43"/>
        <v/>
      </c>
      <c r="AE729" s="42" t="str">
        <f t="shared" si="44"/>
        <v/>
      </c>
      <c r="AG729" s="162">
        <v>892</v>
      </c>
      <c r="AH729" s="10" t="s">
        <v>352</v>
      </c>
      <c r="AI729" s="10"/>
      <c r="AJ729" s="10"/>
    </row>
    <row r="730" spans="1:36">
      <c r="A730" s="137"/>
      <c r="B730" s="47"/>
      <c r="C730" s="47" t="s">
        <v>12</v>
      </c>
      <c r="D730" s="47"/>
      <c r="E730" s="7">
        <f>+G730-Adjustments!G730</f>
        <v>0</v>
      </c>
      <c r="F730" s="7">
        <f>EXPENSES!F221</f>
        <v>1079269.8900000001</v>
      </c>
      <c r="G730" s="7">
        <f>+Adjustments!V729</f>
        <v>0</v>
      </c>
      <c r="H730" s="7"/>
      <c r="I730" s="7">
        <f>SUM($F$730:$H$730)</f>
        <v>1079269.8900000001</v>
      </c>
      <c r="J730" s="7">
        <f>+I730-'ROR-Model'!I730</f>
        <v>0</v>
      </c>
      <c r="K730" s="7"/>
      <c r="L730" s="7" t="s">
        <v>12</v>
      </c>
      <c r="M730" s="7">
        <f>VLOOKUP($L730,$L$2:$N$7,2,FALSE)*I730</f>
        <v>1079269.8900000001</v>
      </c>
      <c r="N730" s="7">
        <f>VLOOKUP($L730,$L$2:$N$7,3,FALSE)*I730</f>
        <v>0</v>
      </c>
      <c r="O730" s="120"/>
      <c r="P730" s="192" t="s">
        <v>510</v>
      </c>
      <c r="Q730" s="7">
        <f>IF(P730="G",M730,IF(P730="PT",0,ERR))</f>
        <v>1079269.8900000001</v>
      </c>
      <c r="R730" s="7">
        <f>IF(P730="PT",M730,IF(P730="G",0,ERR))</f>
        <v>0</v>
      </c>
      <c r="S730" s="126" t="s">
        <v>510</v>
      </c>
      <c r="T730" s="7">
        <f>IF(S730="G",N730,IF(S730="PT",0,ERR))</f>
        <v>0</v>
      </c>
      <c r="U730" s="7">
        <f>IF(S730="PT",N730,IF(S730="G",0,ERR))</f>
        <v>0</v>
      </c>
      <c r="V730" s="124"/>
      <c r="W730" s="7">
        <f>HLOOKUP($W$9,'ROR-Model'!$Q$10:$U$1273,Y730)</f>
        <v>1079269.8900000001</v>
      </c>
      <c r="X730" s="139"/>
      <c r="Y730" s="3">
        <f t="shared" si="42"/>
        <v>721</v>
      </c>
      <c r="AA730" s="7">
        <v>1212218</v>
      </c>
      <c r="AC730" s="7">
        <f t="shared" si="43"/>
        <v>-132948.10999999987</v>
      </c>
      <c r="AE730" s="42">
        <f t="shared" si="44"/>
        <v>-0.10967343332634878</v>
      </c>
      <c r="AG730" s="162"/>
      <c r="AH730" s="10"/>
      <c r="AI730" s="10" t="s">
        <v>12</v>
      </c>
      <c r="AJ730" s="10"/>
    </row>
    <row r="731" spans="1:36">
      <c r="A731" s="137"/>
      <c r="B731" s="47"/>
      <c r="C731" s="47" t="s">
        <v>23</v>
      </c>
      <c r="D731" s="47"/>
      <c r="E731" s="7">
        <f>+G731-Adjustments!G731</f>
        <v>0</v>
      </c>
      <c r="F731" s="7">
        <f>EXPENSES!F222</f>
        <v>46593.689999999995</v>
      </c>
      <c r="G731" s="7">
        <f>+Adjustments!V730</f>
        <v>0</v>
      </c>
      <c r="H731" s="7"/>
      <c r="I731" s="7">
        <f>SUM($F$731:$H$731)</f>
        <v>46593.689999999995</v>
      </c>
      <c r="J731" s="7">
        <f>+I731-'ROR-Model'!I731</f>
        <v>0</v>
      </c>
      <c r="K731" s="7"/>
      <c r="L731" s="7" t="s">
        <v>23</v>
      </c>
      <c r="M731" s="7">
        <f>VLOOKUP($L731,$L$2:$N$7,2,FALSE)*I731</f>
        <v>0</v>
      </c>
      <c r="N731" s="7">
        <f>VLOOKUP($L731,$L$2:$N$7,3,FALSE)*I731</f>
        <v>46593.689999999995</v>
      </c>
      <c r="O731" s="120"/>
      <c r="P731" s="192" t="s">
        <v>510</v>
      </c>
      <c r="Q731" s="7">
        <f>IF(P731="G",M731,IF(P731="PT",0,ERR))</f>
        <v>0</v>
      </c>
      <c r="R731" s="7">
        <f>IF(P731="PT",M731,IF(P731="G",0,ERR))</f>
        <v>0</v>
      </c>
      <c r="S731" s="126" t="s">
        <v>510</v>
      </c>
      <c r="T731" s="7">
        <f>IF(S731="G",N731,IF(S731="PT",0,ERR))</f>
        <v>46593.689999999995</v>
      </c>
      <c r="U731" s="7">
        <f>IF(S731="PT",N731,IF(S731="G",0,ERR))</f>
        <v>0</v>
      </c>
      <c r="V731" s="124"/>
      <c r="W731" s="7">
        <f>HLOOKUP($W$9,'ROR-Model'!$Q$10:$U$1273,Y731)</f>
        <v>0</v>
      </c>
      <c r="X731" s="139"/>
      <c r="Y731" s="3">
        <f t="shared" si="42"/>
        <v>722</v>
      </c>
      <c r="AA731" s="7">
        <v>0</v>
      </c>
      <c r="AC731" s="7" t="str">
        <f t="shared" si="43"/>
        <v/>
      </c>
      <c r="AE731" s="42" t="str">
        <f t="shared" si="44"/>
        <v/>
      </c>
      <c r="AG731" s="162"/>
      <c r="AH731" s="10"/>
      <c r="AI731" s="10" t="s">
        <v>23</v>
      </c>
      <c r="AJ731" s="10"/>
    </row>
    <row r="732" spans="1:36">
      <c r="A732" s="137"/>
      <c r="B732" s="47"/>
      <c r="C732" s="47" t="s">
        <v>145</v>
      </c>
      <c r="D732" s="47"/>
      <c r="E732" s="140">
        <f>+G732-Adjustments!G732</f>
        <v>0</v>
      </c>
      <c r="F732" s="140">
        <f>SUM(F730:F731)</f>
        <v>1125863.58</v>
      </c>
      <c r="G732" s="140">
        <f>SUM(G730:G731)</f>
        <v>0</v>
      </c>
      <c r="H732" s="140">
        <f>SUM(H730:H731)</f>
        <v>0</v>
      </c>
      <c r="I732" s="140">
        <f>SUM(I730:I731)</f>
        <v>1125863.58</v>
      </c>
      <c r="J732" s="7">
        <f>+I732-'ROR-Model'!I732</f>
        <v>0</v>
      </c>
      <c r="K732" s="7"/>
      <c r="L732" s="140"/>
      <c r="M732" s="140">
        <f>SUM(M730:M731)</f>
        <v>1079269.8900000001</v>
      </c>
      <c r="N732" s="140">
        <f>SUM(N730:N731)</f>
        <v>46593.689999999995</v>
      </c>
      <c r="O732" s="120"/>
      <c r="P732" s="201"/>
      <c r="Q732" s="140">
        <f>SUM(Q730:Q731)</f>
        <v>1079269.8900000001</v>
      </c>
      <c r="R732" s="140">
        <f>SUM(R730:R731)</f>
        <v>0</v>
      </c>
      <c r="S732" s="201"/>
      <c r="T732" s="140">
        <f>SUM(T730:T731)</f>
        <v>46593.689999999995</v>
      </c>
      <c r="U732" s="140">
        <f>SUM(U730:U731)</f>
        <v>0</v>
      </c>
      <c r="V732" s="124"/>
      <c r="W732" s="140">
        <f>HLOOKUP($W$9,'ROR-Model'!$Q$10:$U$1273,Y732)</f>
        <v>1079269.8900000001</v>
      </c>
      <c r="X732" s="139"/>
      <c r="Y732" s="3">
        <f t="shared" si="42"/>
        <v>723</v>
      </c>
      <c r="AA732" s="140">
        <v>1212218</v>
      </c>
      <c r="AC732" s="140">
        <f t="shared" si="43"/>
        <v>-132948.10999999987</v>
      </c>
      <c r="AE732" s="42">
        <f t="shared" si="44"/>
        <v>-0.10967343332634878</v>
      </c>
      <c r="AG732" s="162"/>
      <c r="AH732" s="10"/>
      <c r="AI732" s="10" t="s">
        <v>145</v>
      </c>
      <c r="AJ732" s="10"/>
    </row>
    <row r="733" spans="1:36">
      <c r="A733" s="137"/>
      <c r="B733" s="47"/>
      <c r="C733" s="47"/>
      <c r="D733" s="47"/>
      <c r="E733" s="7">
        <f>+G733-Adjustments!G733</f>
        <v>0</v>
      </c>
      <c r="F733" s="7"/>
      <c r="G733" s="7"/>
      <c r="H733" s="7"/>
      <c r="I733" s="7"/>
      <c r="J733" s="7">
        <f>+I733-'ROR-Model'!I733</f>
        <v>0</v>
      </c>
      <c r="K733" s="7"/>
      <c r="L733" s="7"/>
      <c r="M733" s="7"/>
      <c r="N733" s="7"/>
      <c r="O733" s="120"/>
      <c r="P733" s="126"/>
      <c r="Q733" s="7"/>
      <c r="R733" s="7"/>
      <c r="S733" s="126"/>
      <c r="T733" s="7"/>
      <c r="U733" s="7"/>
      <c r="V733" s="124"/>
      <c r="W733" s="7"/>
      <c r="X733" s="139"/>
      <c r="Y733" s="3">
        <f t="shared" si="42"/>
        <v>724</v>
      </c>
      <c r="AA733" s="7"/>
      <c r="AC733" s="7" t="str">
        <f t="shared" si="43"/>
        <v/>
      </c>
      <c r="AE733" s="42" t="str">
        <f t="shared" si="44"/>
        <v/>
      </c>
      <c r="AG733" s="162"/>
      <c r="AH733" s="10"/>
      <c r="AI733" s="10"/>
      <c r="AJ733" s="10"/>
    </row>
    <row r="734" spans="1:36">
      <c r="A734" s="137">
        <v>893</v>
      </c>
      <c r="B734" s="47" t="s">
        <v>353</v>
      </c>
      <c r="C734" s="47"/>
      <c r="D734" s="47"/>
      <c r="E734" s="7">
        <f>+G734-Adjustments!G734</f>
        <v>0</v>
      </c>
      <c r="F734" s="7"/>
      <c r="G734" s="7"/>
      <c r="H734" s="7"/>
      <c r="I734" s="7"/>
      <c r="J734" s="7">
        <f>+I734-'ROR-Model'!I734</f>
        <v>0</v>
      </c>
      <c r="K734" s="7"/>
      <c r="L734" s="7"/>
      <c r="M734" s="7"/>
      <c r="N734" s="7"/>
      <c r="O734" s="120"/>
      <c r="P734" s="126"/>
      <c r="Q734" s="7"/>
      <c r="R734" s="7"/>
      <c r="S734" s="126"/>
      <c r="T734" s="7"/>
      <c r="U734" s="7"/>
      <c r="V734" s="124"/>
      <c r="W734" s="7"/>
      <c r="X734" s="139"/>
      <c r="Y734" s="3">
        <f t="shared" si="42"/>
        <v>725</v>
      </c>
      <c r="AA734" s="7"/>
      <c r="AC734" s="7" t="str">
        <f t="shared" si="43"/>
        <v/>
      </c>
      <c r="AE734" s="42" t="str">
        <f t="shared" si="44"/>
        <v/>
      </c>
      <c r="AG734" s="162">
        <v>893</v>
      </c>
      <c r="AH734" s="10" t="s">
        <v>353</v>
      </c>
      <c r="AI734" s="10"/>
      <c r="AJ734" s="10"/>
    </row>
    <row r="735" spans="1:36">
      <c r="A735" s="137"/>
      <c r="B735" s="47"/>
      <c r="C735" s="47" t="s">
        <v>12</v>
      </c>
      <c r="D735" s="47"/>
      <c r="E735" s="7">
        <f>+G735-Adjustments!G735</f>
        <v>0</v>
      </c>
      <c r="F735" s="7">
        <f>EXPENSES!F226</f>
        <v>1039382.45</v>
      </c>
      <c r="G735" s="7">
        <f>+Adjustments!V734</f>
        <v>0</v>
      </c>
      <c r="H735" s="7"/>
      <c r="I735" s="7">
        <f>SUM($F$735:$H$735)</f>
        <v>1039382.45</v>
      </c>
      <c r="J735" s="7">
        <f>+I735-'ROR-Model'!I735</f>
        <v>0</v>
      </c>
      <c r="K735" s="7"/>
      <c r="L735" s="7" t="s">
        <v>12</v>
      </c>
      <c r="M735" s="7">
        <f>VLOOKUP($L735,$L$2:$N$7,2,FALSE)*I735</f>
        <v>1039382.45</v>
      </c>
      <c r="N735" s="7">
        <f>VLOOKUP($L735,$L$2:$N$7,3,FALSE)*I735</f>
        <v>0</v>
      </c>
      <c r="O735" s="120"/>
      <c r="P735" s="192" t="s">
        <v>510</v>
      </c>
      <c r="Q735" s="7">
        <f>IF(P735="G",M735,IF(P735="PT",0,ERR))</f>
        <v>1039382.45</v>
      </c>
      <c r="R735" s="7">
        <f>IF(P735="PT",M735,IF(P735="G",0,ERR))</f>
        <v>0</v>
      </c>
      <c r="S735" s="126" t="s">
        <v>510</v>
      </c>
      <c r="T735" s="7">
        <f>IF(S735="G",N735,IF(S735="PT",0,ERR))</f>
        <v>0</v>
      </c>
      <c r="U735" s="7">
        <f>IF(S735="PT",N735,IF(S735="G",0,ERR))</f>
        <v>0</v>
      </c>
      <c r="V735" s="124"/>
      <c r="W735" s="7">
        <f>HLOOKUP($W$9,'ROR-Model'!$Q$10:$U$1273,Y735)</f>
        <v>1039382.45</v>
      </c>
      <c r="X735" s="139"/>
      <c r="Y735" s="3">
        <f t="shared" si="42"/>
        <v>726</v>
      </c>
      <c r="AA735" s="7">
        <v>723207.35</v>
      </c>
      <c r="AC735" s="7">
        <f t="shared" si="43"/>
        <v>316175.09999999998</v>
      </c>
      <c r="AE735" s="42">
        <f t="shared" si="44"/>
        <v>0.43718457783926007</v>
      </c>
      <c r="AG735" s="162"/>
      <c r="AH735" s="10"/>
      <c r="AI735" s="10" t="s">
        <v>12</v>
      </c>
      <c r="AJ735" s="10"/>
    </row>
    <row r="736" spans="1:36">
      <c r="A736" s="137"/>
      <c r="B736" s="47"/>
      <c r="C736" s="47" t="s">
        <v>23</v>
      </c>
      <c r="D736" s="47"/>
      <c r="E736" s="7">
        <f>+G736-Adjustments!G736</f>
        <v>0</v>
      </c>
      <c r="F736" s="7">
        <f>EXPENSES!F227</f>
        <v>151712.27000000002</v>
      </c>
      <c r="G736" s="7">
        <f>+Adjustments!V735</f>
        <v>0</v>
      </c>
      <c r="H736" s="7"/>
      <c r="I736" s="7">
        <f>SUM($F$736:$H$736)</f>
        <v>151712.27000000002</v>
      </c>
      <c r="J736" s="7">
        <f>+I736-'ROR-Model'!I736</f>
        <v>0</v>
      </c>
      <c r="K736" s="7"/>
      <c r="L736" s="7" t="s">
        <v>23</v>
      </c>
      <c r="M736" s="7">
        <f>VLOOKUP($L736,$L$2:$N$7,2,FALSE)*I736</f>
        <v>0</v>
      </c>
      <c r="N736" s="7">
        <f>VLOOKUP($L736,$L$2:$N$7,3,FALSE)*I736</f>
        <v>151712.27000000002</v>
      </c>
      <c r="O736" s="120"/>
      <c r="P736" s="192" t="s">
        <v>510</v>
      </c>
      <c r="Q736" s="7">
        <f>IF(P736="G",M736,IF(P736="PT",0,ERR))</f>
        <v>0</v>
      </c>
      <c r="R736" s="7">
        <f>IF(P736="PT",M736,IF(P736="G",0,ERR))</f>
        <v>0</v>
      </c>
      <c r="S736" s="126" t="s">
        <v>510</v>
      </c>
      <c r="T736" s="7">
        <f>IF(S736="G",N736,IF(S736="PT",0,ERR))</f>
        <v>151712.27000000002</v>
      </c>
      <c r="U736" s="7">
        <f>IF(S736="PT",N736,IF(S736="G",0,ERR))</f>
        <v>0</v>
      </c>
      <c r="V736" s="124"/>
      <c r="W736" s="7">
        <f>HLOOKUP($W$9,'ROR-Model'!$Q$10:$U$1273,Y736)</f>
        <v>0</v>
      </c>
      <c r="X736" s="139"/>
      <c r="Y736" s="3">
        <f t="shared" si="42"/>
        <v>727</v>
      </c>
      <c r="AA736" s="7">
        <v>0</v>
      </c>
      <c r="AC736" s="7" t="str">
        <f t="shared" si="43"/>
        <v/>
      </c>
      <c r="AE736" s="42" t="str">
        <f t="shared" si="44"/>
        <v/>
      </c>
      <c r="AG736" s="162"/>
      <c r="AH736" s="10"/>
      <c r="AI736" s="10" t="s">
        <v>23</v>
      </c>
      <c r="AJ736" s="10"/>
    </row>
    <row r="737" spans="1:36">
      <c r="A737" s="137"/>
      <c r="B737" s="47"/>
      <c r="C737" s="47" t="s">
        <v>145</v>
      </c>
      <c r="D737" s="47"/>
      <c r="E737" s="140">
        <f>+G737-Adjustments!G737</f>
        <v>0</v>
      </c>
      <c r="F737" s="140">
        <f>SUM(F735:F736)</f>
        <v>1191094.72</v>
      </c>
      <c r="G737" s="140">
        <f>SUM(G735:G736)</f>
        <v>0</v>
      </c>
      <c r="H737" s="140">
        <f>SUM(H735:H736)</f>
        <v>0</v>
      </c>
      <c r="I737" s="140">
        <f>SUM(I735:I736)</f>
        <v>1191094.72</v>
      </c>
      <c r="J737" s="7">
        <f>+I737-'ROR-Model'!I737</f>
        <v>0</v>
      </c>
      <c r="K737" s="7"/>
      <c r="L737" s="140"/>
      <c r="M737" s="140">
        <f>SUM(M735:M736)</f>
        <v>1039382.45</v>
      </c>
      <c r="N737" s="140">
        <f>SUM(N735:N736)</f>
        <v>151712.27000000002</v>
      </c>
      <c r="O737" s="120"/>
      <c r="P737" s="201"/>
      <c r="Q737" s="140">
        <f>SUM(Q735:Q736)</f>
        <v>1039382.45</v>
      </c>
      <c r="R737" s="140">
        <f>SUM(R735:R736)</f>
        <v>0</v>
      </c>
      <c r="S737" s="201"/>
      <c r="T737" s="140">
        <f>SUM(T735:T736)</f>
        <v>151712.27000000002</v>
      </c>
      <c r="U737" s="140">
        <f>SUM(U735:U736)</f>
        <v>0</v>
      </c>
      <c r="V737" s="124"/>
      <c r="W737" s="140">
        <f>HLOOKUP($W$9,'ROR-Model'!$Q$10:$U$1273,Y737)</f>
        <v>1039382.45</v>
      </c>
      <c r="X737" s="139"/>
      <c r="Y737" s="3">
        <f t="shared" si="42"/>
        <v>728</v>
      </c>
      <c r="AA737" s="140">
        <v>723207.35</v>
      </c>
      <c r="AC737" s="140">
        <f t="shared" si="43"/>
        <v>316175.09999999998</v>
      </c>
      <c r="AE737" s="42">
        <f t="shared" si="44"/>
        <v>0.43718457783926007</v>
      </c>
      <c r="AG737" s="162"/>
      <c r="AH737" s="10"/>
      <c r="AI737" s="10" t="s">
        <v>145</v>
      </c>
      <c r="AJ737" s="10"/>
    </row>
    <row r="738" spans="1:36">
      <c r="A738" s="137"/>
      <c r="B738" s="47"/>
      <c r="C738" s="47"/>
      <c r="D738" s="47"/>
      <c r="E738" s="7">
        <f>+G738-Adjustments!G738</f>
        <v>0</v>
      </c>
      <c r="F738" s="7"/>
      <c r="G738" s="7"/>
      <c r="H738" s="7"/>
      <c r="I738" s="7"/>
      <c r="J738" s="7">
        <f>+I738-'ROR-Model'!I738</f>
        <v>0</v>
      </c>
      <c r="K738" s="7"/>
      <c r="L738" s="7"/>
      <c r="M738" s="7"/>
      <c r="N738" s="7"/>
      <c r="O738" s="120"/>
      <c r="P738" s="126"/>
      <c r="Q738" s="7"/>
      <c r="R738" s="7"/>
      <c r="S738" s="126"/>
      <c r="T738" s="7"/>
      <c r="U738" s="7"/>
      <c r="V738" s="124"/>
      <c r="W738" s="7"/>
      <c r="X738" s="139"/>
      <c r="Y738" s="3">
        <f t="shared" si="42"/>
        <v>729</v>
      </c>
      <c r="AA738" s="7"/>
      <c r="AC738" s="7" t="str">
        <f t="shared" si="43"/>
        <v/>
      </c>
      <c r="AE738" s="42" t="str">
        <f t="shared" si="44"/>
        <v/>
      </c>
      <c r="AG738" s="162"/>
      <c r="AH738" s="10"/>
      <c r="AI738" s="10"/>
      <c r="AJ738" s="10"/>
    </row>
    <row r="739" spans="1:36">
      <c r="A739" s="137">
        <v>8941</v>
      </c>
      <c r="B739" s="47" t="s">
        <v>355</v>
      </c>
      <c r="C739" s="47"/>
      <c r="D739" s="47"/>
      <c r="E739" s="7">
        <f>+G739-Adjustments!G739</f>
        <v>0</v>
      </c>
      <c r="F739" s="7"/>
      <c r="G739" s="7"/>
      <c r="H739" s="7"/>
      <c r="I739" s="7"/>
      <c r="J739" s="7">
        <f>+I739-'ROR-Model'!I739</f>
        <v>0</v>
      </c>
      <c r="K739" s="7"/>
      <c r="L739" s="7"/>
      <c r="M739" s="7"/>
      <c r="N739" s="7"/>
      <c r="O739" s="120"/>
      <c r="P739" s="126"/>
      <c r="Q739" s="7"/>
      <c r="R739" s="7"/>
      <c r="S739" s="126"/>
      <c r="T739" s="7"/>
      <c r="U739" s="7"/>
      <c r="V739" s="124"/>
      <c r="W739" s="7"/>
      <c r="X739" s="139"/>
      <c r="Y739" s="3">
        <f t="shared" si="42"/>
        <v>730</v>
      </c>
      <c r="AA739" s="7"/>
      <c r="AC739" s="7" t="str">
        <f t="shared" si="43"/>
        <v/>
      </c>
      <c r="AE739" s="42" t="str">
        <f t="shared" si="44"/>
        <v/>
      </c>
      <c r="AG739" s="162">
        <v>8941</v>
      </c>
      <c r="AH739" s="10" t="s">
        <v>355</v>
      </c>
      <c r="AI739" s="10"/>
      <c r="AJ739" s="10"/>
    </row>
    <row r="740" spans="1:36">
      <c r="A740" s="137"/>
      <c r="B740" s="47"/>
      <c r="C740" s="47" t="s">
        <v>12</v>
      </c>
      <c r="D740" s="47"/>
      <c r="E740" s="7">
        <f>+G740-Adjustments!G740</f>
        <v>0</v>
      </c>
      <c r="F740" s="7">
        <f>EXPENSES!F231</f>
        <v>0</v>
      </c>
      <c r="G740" s="7">
        <f>+Adjustments!V739</f>
        <v>0</v>
      </c>
      <c r="H740" s="7"/>
      <c r="I740" s="7">
        <f>SUM($F$740:$H$740)</f>
        <v>0</v>
      </c>
      <c r="J740" s="7">
        <f>+I740-'ROR-Model'!I740</f>
        <v>0</v>
      </c>
      <c r="K740" s="7"/>
      <c r="L740" s="7" t="s">
        <v>12</v>
      </c>
      <c r="M740" s="7">
        <f>VLOOKUP($L740,$L$2:$N$7,2,FALSE)*I740</f>
        <v>0</v>
      </c>
      <c r="N740" s="7">
        <f>VLOOKUP($L740,$L$2:$N$7,3,FALSE)*I740</f>
        <v>0</v>
      </c>
      <c r="O740" s="120"/>
      <c r="P740" s="192" t="s">
        <v>510</v>
      </c>
      <c r="Q740" s="7">
        <f>IF(P740="G",M740,IF(P740="PT",0,ERR))</f>
        <v>0</v>
      </c>
      <c r="R740" s="7">
        <f>IF(P740="PT",M740,IF(P740="G",0,ERR))</f>
        <v>0</v>
      </c>
      <c r="S740" s="126" t="s">
        <v>510</v>
      </c>
      <c r="T740" s="7">
        <f>IF(S740="G",N740,IF(S740="PT",0,ERR))</f>
        <v>0</v>
      </c>
      <c r="U740" s="7">
        <f>IF(S740="PT",N740,IF(S740="G",0,ERR))</f>
        <v>0</v>
      </c>
      <c r="V740" s="124"/>
      <c r="W740" s="7">
        <f>HLOOKUP($W$9,'ROR-Model'!$Q$10:$U$1273,Y740)</f>
        <v>0</v>
      </c>
      <c r="X740" s="139"/>
      <c r="Y740" s="3">
        <f t="shared" si="42"/>
        <v>731</v>
      </c>
      <c r="AA740" s="7">
        <v>0</v>
      </c>
      <c r="AC740" s="7" t="str">
        <f t="shared" si="43"/>
        <v/>
      </c>
      <c r="AE740" s="42" t="str">
        <f t="shared" si="44"/>
        <v/>
      </c>
      <c r="AG740" s="162"/>
      <c r="AH740" s="10"/>
      <c r="AI740" s="10" t="s">
        <v>12</v>
      </c>
      <c r="AJ740" s="10"/>
    </row>
    <row r="741" spans="1:36">
      <c r="A741" s="137"/>
      <c r="B741" s="47"/>
      <c r="C741" s="47" t="s">
        <v>23</v>
      </c>
      <c r="D741" s="47"/>
      <c r="E741" s="7">
        <f>+G741-Adjustments!G741</f>
        <v>0</v>
      </c>
      <c r="F741" s="7">
        <f>EXPENSES!F232</f>
        <v>0</v>
      </c>
      <c r="G741" s="7">
        <f>+Adjustments!V740</f>
        <v>0</v>
      </c>
      <c r="H741" s="7"/>
      <c r="I741" s="7">
        <f>SUM($F$741:$H$741)</f>
        <v>0</v>
      </c>
      <c r="J741" s="7">
        <f>+I741-'ROR-Model'!I741</f>
        <v>0</v>
      </c>
      <c r="K741" s="7"/>
      <c r="L741" s="7" t="s">
        <v>23</v>
      </c>
      <c r="M741" s="7">
        <f>VLOOKUP($L741,$L$2:$N$7,2,FALSE)*I741</f>
        <v>0</v>
      </c>
      <c r="N741" s="7">
        <f>VLOOKUP($L741,$L$2:$N$7,3,FALSE)*I741</f>
        <v>0</v>
      </c>
      <c r="O741" s="120"/>
      <c r="P741" s="192" t="s">
        <v>510</v>
      </c>
      <c r="Q741" s="7">
        <f>IF(P741="G",M741,IF(P741="PT",0,ERR))</f>
        <v>0</v>
      </c>
      <c r="R741" s="7">
        <f>IF(P741="PT",M741,IF(P741="G",0,ERR))</f>
        <v>0</v>
      </c>
      <c r="S741" s="126" t="s">
        <v>510</v>
      </c>
      <c r="T741" s="7">
        <f>IF(S741="G",N741,IF(S741="PT",0,ERR))</f>
        <v>0</v>
      </c>
      <c r="U741" s="7">
        <f>IF(S741="PT",N741,IF(S741="G",0,ERR))</f>
        <v>0</v>
      </c>
      <c r="V741" s="124"/>
      <c r="W741" s="7">
        <f>HLOOKUP($W$9,'ROR-Model'!$Q$10:$U$1273,Y741)</f>
        <v>0</v>
      </c>
      <c r="X741" s="139"/>
      <c r="Y741" s="3">
        <f t="shared" si="42"/>
        <v>732</v>
      </c>
      <c r="AA741" s="7">
        <v>0</v>
      </c>
      <c r="AC741" s="7" t="str">
        <f t="shared" si="43"/>
        <v/>
      </c>
      <c r="AE741" s="42" t="str">
        <f t="shared" si="44"/>
        <v/>
      </c>
      <c r="AG741" s="162"/>
      <c r="AH741" s="10"/>
      <c r="AI741" s="10" t="s">
        <v>23</v>
      </c>
      <c r="AJ741" s="10"/>
    </row>
    <row r="742" spans="1:36">
      <c r="A742" s="137"/>
      <c r="B742" s="47"/>
      <c r="C742" s="47" t="s">
        <v>145</v>
      </c>
      <c r="D742" s="47"/>
      <c r="E742" s="140">
        <f>+G742-Adjustments!G742</f>
        <v>0</v>
      </c>
      <c r="F742" s="140">
        <f>SUM(F740:F741)</f>
        <v>0</v>
      </c>
      <c r="G742" s="140">
        <f>SUM(G740:G741)</f>
        <v>0</v>
      </c>
      <c r="H742" s="140">
        <f>SUM(H740:H741)</f>
        <v>0</v>
      </c>
      <c r="I742" s="140">
        <f>SUM(I740:I741)</f>
        <v>0</v>
      </c>
      <c r="J742" s="7">
        <f>+I742-'ROR-Model'!I742</f>
        <v>0</v>
      </c>
      <c r="K742" s="7"/>
      <c r="L742" s="140"/>
      <c r="M742" s="140">
        <f>SUM(M740:M741)</f>
        <v>0</v>
      </c>
      <c r="N742" s="140">
        <f>SUM(N740:N741)</f>
        <v>0</v>
      </c>
      <c r="O742" s="120"/>
      <c r="P742" s="201"/>
      <c r="Q742" s="140">
        <f>SUM(Q740:Q741)</f>
        <v>0</v>
      </c>
      <c r="R742" s="140">
        <f>SUM(R740:R741)</f>
        <v>0</v>
      </c>
      <c r="S742" s="201"/>
      <c r="T742" s="140">
        <f>SUM(T740:T741)</f>
        <v>0</v>
      </c>
      <c r="U742" s="140">
        <f>SUM(U740:U741)</f>
        <v>0</v>
      </c>
      <c r="V742" s="124"/>
      <c r="W742" s="140">
        <f>HLOOKUP($W$9,'ROR-Model'!$Q$10:$U$1273,Y742)</f>
        <v>0</v>
      </c>
      <c r="X742" s="139"/>
      <c r="Y742" s="3">
        <f t="shared" si="42"/>
        <v>733</v>
      </c>
      <c r="AA742" s="140">
        <v>0</v>
      </c>
      <c r="AC742" s="140" t="str">
        <f t="shared" si="43"/>
        <v/>
      </c>
      <c r="AE742" s="42" t="str">
        <f t="shared" si="44"/>
        <v/>
      </c>
      <c r="AG742" s="162"/>
      <c r="AH742" s="10"/>
      <c r="AI742" s="10" t="s">
        <v>145</v>
      </c>
      <c r="AJ742" s="10"/>
    </row>
    <row r="743" spans="1:36">
      <c r="A743" s="137"/>
      <c r="B743" s="47"/>
      <c r="C743" s="47"/>
      <c r="D743" s="47"/>
      <c r="E743" s="7">
        <f>+G743-Adjustments!G743</f>
        <v>0</v>
      </c>
      <c r="F743" s="7"/>
      <c r="G743" s="7"/>
      <c r="H743" s="7"/>
      <c r="I743" s="7"/>
      <c r="J743" s="7">
        <f>+I743-'ROR-Model'!I743</f>
        <v>0</v>
      </c>
      <c r="K743" s="7"/>
      <c r="L743" s="7"/>
      <c r="M743" s="7"/>
      <c r="N743" s="7"/>
      <c r="O743" s="120"/>
      <c r="P743" s="126"/>
      <c r="Q743" s="7"/>
      <c r="R743" s="7"/>
      <c r="S743" s="126"/>
      <c r="T743" s="7"/>
      <c r="U743" s="7"/>
      <c r="V743" s="124"/>
      <c r="W743" s="7"/>
      <c r="X743" s="139"/>
      <c r="Y743" s="3">
        <f t="shared" si="42"/>
        <v>734</v>
      </c>
      <c r="AA743" s="7"/>
      <c r="AC743" s="7" t="str">
        <f t="shared" si="43"/>
        <v/>
      </c>
      <c r="AE743" s="42" t="str">
        <f t="shared" si="44"/>
        <v/>
      </c>
      <c r="AG743" s="162"/>
      <c r="AH743" s="10"/>
      <c r="AI743" s="10"/>
      <c r="AJ743" s="10"/>
    </row>
    <row r="744" spans="1:36">
      <c r="A744" s="137">
        <v>8942</v>
      </c>
      <c r="B744" s="47" t="s">
        <v>357</v>
      </c>
      <c r="C744" s="47"/>
      <c r="D744" s="47"/>
      <c r="E744" s="7">
        <f>+G744-Adjustments!G744</f>
        <v>0</v>
      </c>
      <c r="F744" s="7"/>
      <c r="G744" s="7"/>
      <c r="H744" s="7"/>
      <c r="I744" s="7"/>
      <c r="J744" s="7">
        <f>+I744-'ROR-Model'!I744</f>
        <v>0</v>
      </c>
      <c r="K744" s="7"/>
      <c r="L744" s="7"/>
      <c r="M744" s="7"/>
      <c r="N744" s="7"/>
      <c r="O744" s="120"/>
      <c r="P744" s="126"/>
      <c r="Q744" s="7"/>
      <c r="R744" s="7"/>
      <c r="S744" s="126"/>
      <c r="T744" s="7"/>
      <c r="U744" s="7"/>
      <c r="V744" s="124"/>
      <c r="W744" s="7"/>
      <c r="X744" s="139"/>
      <c r="Y744" s="3">
        <f t="shared" si="42"/>
        <v>735</v>
      </c>
      <c r="AA744" s="7"/>
      <c r="AC744" s="7" t="str">
        <f t="shared" si="43"/>
        <v/>
      </c>
      <c r="AE744" s="42" t="str">
        <f t="shared" si="44"/>
        <v/>
      </c>
      <c r="AG744" s="162">
        <v>8942</v>
      </c>
      <c r="AH744" s="10" t="s">
        <v>357</v>
      </c>
      <c r="AI744" s="10"/>
      <c r="AJ744" s="10"/>
    </row>
    <row r="745" spans="1:36">
      <c r="A745" s="136"/>
      <c r="B745" s="47"/>
      <c r="C745" s="47" t="s">
        <v>12</v>
      </c>
      <c r="D745" s="47"/>
      <c r="E745" s="7">
        <f>+G745-Adjustments!G745</f>
        <v>0</v>
      </c>
      <c r="F745" s="7">
        <f>EXPENSES!F236</f>
        <v>0</v>
      </c>
      <c r="G745" s="7">
        <f>+Adjustments!V744</f>
        <v>0</v>
      </c>
      <c r="H745" s="7"/>
      <c r="I745" s="7">
        <f>SUM($F$745:$H$745)</f>
        <v>0</v>
      </c>
      <c r="J745" s="7">
        <f>+I745-'ROR-Model'!I745</f>
        <v>0</v>
      </c>
      <c r="K745" s="7"/>
      <c r="L745" s="7" t="s">
        <v>12</v>
      </c>
      <c r="M745" s="7">
        <f>VLOOKUP($L745,$L$2:$N$7,2,FALSE)*I745</f>
        <v>0</v>
      </c>
      <c r="N745" s="7">
        <f>VLOOKUP($L745,$L$2:$N$7,3,FALSE)*I745</f>
        <v>0</v>
      </c>
      <c r="O745" s="120"/>
      <c r="P745" s="192" t="s">
        <v>510</v>
      </c>
      <c r="Q745" s="7">
        <f>IF(P745="G",M745,IF(P745="PT",0,ERR))</f>
        <v>0</v>
      </c>
      <c r="R745" s="7">
        <f>IF(P745="PT",M745,IF(P745="G",0,ERR))</f>
        <v>0</v>
      </c>
      <c r="S745" s="126" t="s">
        <v>510</v>
      </c>
      <c r="T745" s="7">
        <f>IF(S745="G",N745,IF(S745="PT",0,ERR))</f>
        <v>0</v>
      </c>
      <c r="U745" s="7">
        <f>IF(S745="PT",N745,IF(S745="G",0,ERR))</f>
        <v>0</v>
      </c>
      <c r="V745" s="124"/>
      <c r="W745" s="7">
        <f>HLOOKUP($W$9,'ROR-Model'!$Q$10:$U$1273,Y745)</f>
        <v>0</v>
      </c>
      <c r="X745" s="139"/>
      <c r="Y745" s="3">
        <f t="shared" si="42"/>
        <v>736</v>
      </c>
      <c r="AA745" s="7">
        <v>0</v>
      </c>
      <c r="AC745" s="7" t="str">
        <f t="shared" si="43"/>
        <v/>
      </c>
      <c r="AE745" s="42" t="str">
        <f t="shared" si="44"/>
        <v/>
      </c>
      <c r="AG745" s="162"/>
      <c r="AH745" s="10"/>
      <c r="AI745" s="10" t="s">
        <v>12</v>
      </c>
      <c r="AJ745" s="10"/>
    </row>
    <row r="746" spans="1:36">
      <c r="A746" s="136"/>
      <c r="B746" s="47"/>
      <c r="C746" s="47" t="s">
        <v>23</v>
      </c>
      <c r="D746" s="47"/>
      <c r="E746" s="7">
        <f>+G746-Adjustments!G746</f>
        <v>0</v>
      </c>
      <c r="F746" s="7">
        <f>EXPENSES!F237</f>
        <v>0</v>
      </c>
      <c r="G746" s="7">
        <f>+Adjustments!V745</f>
        <v>0</v>
      </c>
      <c r="H746" s="7"/>
      <c r="I746" s="7">
        <f>SUM($F$746:$H$746)</f>
        <v>0</v>
      </c>
      <c r="J746" s="7">
        <f>+I746-'ROR-Model'!I746</f>
        <v>0</v>
      </c>
      <c r="K746" s="7"/>
      <c r="L746" s="7" t="s">
        <v>23</v>
      </c>
      <c r="M746" s="7">
        <f>VLOOKUP($L746,$L$2:$N$7,2,FALSE)*I746</f>
        <v>0</v>
      </c>
      <c r="N746" s="7">
        <f>VLOOKUP($L746,$L$2:$N$7,3,FALSE)*I746</f>
        <v>0</v>
      </c>
      <c r="O746" s="120"/>
      <c r="P746" s="192" t="s">
        <v>510</v>
      </c>
      <c r="Q746" s="7">
        <f>IF(P746="G",M746,IF(P746="PT",0,ERR))</f>
        <v>0</v>
      </c>
      <c r="R746" s="7">
        <f>IF(P746="PT",M746,IF(P746="G",0,ERR))</f>
        <v>0</v>
      </c>
      <c r="S746" s="126" t="s">
        <v>510</v>
      </c>
      <c r="T746" s="7">
        <f>IF(S746="G",N746,IF(S746="PT",0,ERR))</f>
        <v>0</v>
      </c>
      <c r="U746" s="7">
        <f>IF(S746="PT",N746,IF(S746="G",0,ERR))</f>
        <v>0</v>
      </c>
      <c r="V746" s="124"/>
      <c r="W746" s="7">
        <f>HLOOKUP($W$9,'ROR-Model'!$Q$10:$U$1273,Y746)</f>
        <v>0</v>
      </c>
      <c r="X746" s="139"/>
      <c r="Y746" s="3">
        <f t="shared" si="42"/>
        <v>737</v>
      </c>
      <c r="AA746" s="7">
        <v>0</v>
      </c>
      <c r="AC746" s="7" t="str">
        <f t="shared" si="43"/>
        <v/>
      </c>
      <c r="AE746" s="42" t="str">
        <f t="shared" si="44"/>
        <v/>
      </c>
      <c r="AG746" s="162"/>
      <c r="AH746" s="10"/>
      <c r="AI746" s="10" t="s">
        <v>23</v>
      </c>
      <c r="AJ746" s="10"/>
    </row>
    <row r="747" spans="1:36">
      <c r="A747" s="136"/>
      <c r="B747" s="47"/>
      <c r="C747" s="47" t="s">
        <v>145</v>
      </c>
      <c r="D747" s="47"/>
      <c r="E747" s="140">
        <f>+G747-Adjustments!G747</f>
        <v>0</v>
      </c>
      <c r="F747" s="140">
        <f>SUM(F745:F746)</f>
        <v>0</v>
      </c>
      <c r="G747" s="140">
        <f>SUM(G745:G746)</f>
        <v>0</v>
      </c>
      <c r="H747" s="140">
        <f>SUM(H745:H746)</f>
        <v>0</v>
      </c>
      <c r="I747" s="140">
        <f>SUM(I745:I746)</f>
        <v>0</v>
      </c>
      <c r="J747" s="7">
        <f>+I747-'ROR-Model'!I747</f>
        <v>0</v>
      </c>
      <c r="K747" s="7"/>
      <c r="L747" s="140"/>
      <c r="M747" s="140">
        <f>SUM(M745:M746)</f>
        <v>0</v>
      </c>
      <c r="N747" s="140">
        <f>SUM(N745:N746)</f>
        <v>0</v>
      </c>
      <c r="O747" s="120"/>
      <c r="P747" s="201"/>
      <c r="Q747" s="140">
        <f>SUM(Q745:Q746)</f>
        <v>0</v>
      </c>
      <c r="R747" s="140">
        <f>SUM(R745:R746)</f>
        <v>0</v>
      </c>
      <c r="S747" s="201"/>
      <c r="T747" s="140">
        <f>SUM(T745:T746)</f>
        <v>0</v>
      </c>
      <c r="U747" s="140">
        <f>SUM(U745:U746)</f>
        <v>0</v>
      </c>
      <c r="V747" s="124"/>
      <c r="W747" s="140">
        <f>HLOOKUP($W$9,'ROR-Model'!$Q$10:$U$1273,Y747)</f>
        <v>0</v>
      </c>
      <c r="X747" s="139"/>
      <c r="Y747" s="3">
        <f t="shared" si="42"/>
        <v>738</v>
      </c>
      <c r="AA747" s="140">
        <v>0</v>
      </c>
      <c r="AC747" s="140" t="str">
        <f t="shared" si="43"/>
        <v/>
      </c>
      <c r="AE747" s="42" t="str">
        <f t="shared" si="44"/>
        <v/>
      </c>
      <c r="AG747" s="162"/>
      <c r="AH747" s="10"/>
      <c r="AI747" s="10" t="s">
        <v>145</v>
      </c>
      <c r="AJ747" s="10"/>
    </row>
    <row r="748" spans="1:36" ht="13.5" thickBot="1">
      <c r="A748" s="136"/>
      <c r="B748" s="47"/>
      <c r="C748" s="47"/>
      <c r="D748" s="47"/>
      <c r="E748" s="24">
        <f>+G748-Adjustments!G748</f>
        <v>0</v>
      </c>
      <c r="F748" s="24"/>
      <c r="G748" s="24"/>
      <c r="H748" s="24"/>
      <c r="I748" s="24"/>
      <c r="J748" s="7">
        <f>+I748-'ROR-Model'!I748</f>
        <v>0</v>
      </c>
      <c r="K748" s="7"/>
      <c r="L748" s="24"/>
      <c r="M748" s="24"/>
      <c r="N748" s="24"/>
      <c r="O748" s="120"/>
      <c r="P748" s="202"/>
      <c r="Q748" s="24"/>
      <c r="R748" s="24"/>
      <c r="S748" s="202"/>
      <c r="T748" s="24"/>
      <c r="U748" s="24"/>
      <c r="V748" s="124"/>
      <c r="W748" s="24"/>
      <c r="X748" s="139"/>
      <c r="Y748" s="3">
        <f t="shared" si="42"/>
        <v>739</v>
      </c>
      <c r="AA748" s="24"/>
      <c r="AC748" s="24" t="str">
        <f t="shared" si="43"/>
        <v/>
      </c>
      <c r="AE748" s="42" t="str">
        <f t="shared" si="44"/>
        <v/>
      </c>
      <c r="AG748" s="162"/>
      <c r="AH748" s="10"/>
      <c r="AI748" s="10"/>
      <c r="AJ748" s="10"/>
    </row>
    <row r="749" spans="1:36" ht="13.5" thickTop="1">
      <c r="A749" s="116" t="s">
        <v>514</v>
      </c>
      <c r="B749" s="47"/>
      <c r="C749" s="47"/>
      <c r="D749" s="47"/>
      <c r="E749" s="7">
        <f>+G749-Adjustments!G749</f>
        <v>0</v>
      </c>
      <c r="F749" s="7"/>
      <c r="G749" s="7"/>
      <c r="H749" s="7"/>
      <c r="I749" s="7"/>
      <c r="J749" s="7">
        <f>+I749-'ROR-Model'!I749</f>
        <v>0</v>
      </c>
      <c r="K749" s="7"/>
      <c r="L749" s="7"/>
      <c r="M749" s="7"/>
      <c r="N749" s="7"/>
      <c r="O749" s="120"/>
      <c r="P749" s="126"/>
      <c r="Q749" s="7"/>
      <c r="R749" s="7"/>
      <c r="S749" s="126"/>
      <c r="T749" s="7"/>
      <c r="U749" s="7"/>
      <c r="V749" s="124"/>
      <c r="W749" s="7"/>
      <c r="X749" s="139"/>
      <c r="Y749" s="3">
        <f t="shared" si="42"/>
        <v>740</v>
      </c>
      <c r="AA749" s="7"/>
      <c r="AC749" s="7" t="str">
        <f t="shared" si="43"/>
        <v/>
      </c>
      <c r="AE749" s="42" t="str">
        <f t="shared" si="44"/>
        <v/>
      </c>
      <c r="AG749" s="162" t="s">
        <v>514</v>
      </c>
      <c r="AH749" s="10"/>
      <c r="AI749" s="10"/>
      <c r="AJ749" s="10"/>
    </row>
    <row r="750" spans="1:36">
      <c r="A750" s="136"/>
      <c r="B750" s="47" t="s">
        <v>512</v>
      </c>
      <c r="C750" s="47"/>
      <c r="D750" s="47"/>
      <c r="E750" s="7">
        <f>+G750-Adjustments!G750</f>
        <v>0</v>
      </c>
      <c r="F750" s="7">
        <f>F655+F660+F665+F670+F675+F680+F685+F690+F695+F700+F705+F710+F715+F720+F725+F730+F735+F740+F745</f>
        <v>78583114.900000006</v>
      </c>
      <c r="G750" s="7">
        <f t="shared" ref="G750:I751" si="45">G655+G660+G665+G670+G675+G680+G685+G690+G695+G700+G705+G710+G715+G720+G725+G730+G735+G740+G745</f>
        <v>0</v>
      </c>
      <c r="H750" s="7">
        <f t="shared" si="45"/>
        <v>0</v>
      </c>
      <c r="I750" s="7">
        <f t="shared" si="45"/>
        <v>78583114.900000006</v>
      </c>
      <c r="J750" s="7">
        <f>+I750-'ROR-Model'!I750</f>
        <v>0</v>
      </c>
      <c r="K750" s="7"/>
      <c r="L750" s="7"/>
      <c r="M750" s="7">
        <f>M655+M660+M665+M670+M675+M680+M685+M690+M695+M700+M705+M710+M715+M720+M725+M730+M735+M740+M745</f>
        <v>78583114.900000006</v>
      </c>
      <c r="N750" s="7">
        <f>N655+N660+N665+N670+N675+N680+N685+N690+N695+N700+N705+N710+N715+N720+N725+N730+N735+N740+N745</f>
        <v>0</v>
      </c>
      <c r="O750" s="120"/>
      <c r="P750" s="126"/>
      <c r="Q750" s="7">
        <f>Q655+Q660+Q665+Q670+Q675+Q680+Q685+Q690+Q695+Q700+Q705+Q710+Q715+Q720+Q725+Q730+Q735+Q740+Q745</f>
        <v>78583114.900000006</v>
      </c>
      <c r="R750" s="7">
        <f>R655+R660+R665+R670+R675+R680+R685+R690+R695+R700+R705+R710+R715+R720+R725+R730+R735+R740+R745</f>
        <v>0</v>
      </c>
      <c r="S750" s="126"/>
      <c r="T750" s="7">
        <f>T655+T660+T665+T670+T675+T680+T685+T690+T695+T700+T705+T710+T715+T720+T725+T730+T735+T740+T745</f>
        <v>0</v>
      </c>
      <c r="U750" s="7">
        <f>U655+U660+U665+U670+U675+U680+U685+U690+U695+U700+U705+U710+U715+U720+U725+U730+U735+U740+U745</f>
        <v>0</v>
      </c>
      <c r="V750" s="124"/>
      <c r="W750" s="7">
        <f>HLOOKUP($W$9,'ROR-Model'!$Q$10:$U$1273,Y750)</f>
        <v>78583114.900000006</v>
      </c>
      <c r="X750" s="139"/>
      <c r="Y750" s="3">
        <f t="shared" si="42"/>
        <v>741</v>
      </c>
      <c r="AA750" s="7">
        <v>54210926.74000001</v>
      </c>
      <c r="AC750" s="7">
        <f t="shared" si="43"/>
        <v>24372188.159999996</v>
      </c>
      <c r="AE750" s="42">
        <f t="shared" si="44"/>
        <v>0.44958073262408854</v>
      </c>
      <c r="AG750" s="162"/>
      <c r="AH750" s="10" t="s">
        <v>512</v>
      </c>
      <c r="AI750" s="10"/>
      <c r="AJ750" s="10"/>
    </row>
    <row r="751" spans="1:36">
      <c r="A751" s="136"/>
      <c r="B751" s="47" t="s">
        <v>513</v>
      </c>
      <c r="C751" s="47"/>
      <c r="D751" s="47"/>
      <c r="E751" s="7">
        <f>+G751-Adjustments!G751</f>
        <v>0</v>
      </c>
      <c r="F751" s="7">
        <f>F656+F661+F666+F671+F676+F681+F686+F691+F696+F701+F706+F711+F716+F721+F726+F731+F736+F741+F746</f>
        <v>3232213.07</v>
      </c>
      <c r="G751" s="7">
        <f t="shared" si="45"/>
        <v>0</v>
      </c>
      <c r="H751" s="7">
        <f t="shared" si="45"/>
        <v>0</v>
      </c>
      <c r="I751" s="7">
        <f t="shared" si="45"/>
        <v>3232213.07</v>
      </c>
      <c r="J751" s="7">
        <f>+I751-'ROR-Model'!I751</f>
        <v>0</v>
      </c>
      <c r="K751" s="7"/>
      <c r="L751" s="7"/>
      <c r="M751" s="7">
        <f>M656+M661+M666+M671+M676+M681+M686+M691+M696+M701+M706+M711+M716+M721+M726+M731+M736+M741+M746</f>
        <v>0</v>
      </c>
      <c r="N751" s="7">
        <f>N656+N661+N666+N671+N676+N681+N686+N691+N696+N701+N706+N711+N716+N721+N726+N731+N736+N741+N746</f>
        <v>3232213.07</v>
      </c>
      <c r="O751" s="120"/>
      <c r="P751" s="126"/>
      <c r="Q751" s="7">
        <f>Q656+Q661+Q666+Q671+Q676+Q681+Q686+Q691+Q696+Q701+Q706+Q711+Q716+Q721+Q726+Q731+Q736+Q741+Q746</f>
        <v>0</v>
      </c>
      <c r="R751" s="7">
        <f>R656+R661+R666+R671+R676+R681+R686+R691+R696+R701+R706+R711+R716+R721+R726+R731+R736+R741+R746</f>
        <v>0</v>
      </c>
      <c r="S751" s="126"/>
      <c r="T751" s="7">
        <f>T656+T661+T666+T671+T676+T681+T686+T691+T696+T701+T706+T711+T716+T721+T726+T731+T736+T741+T746</f>
        <v>3232213.07</v>
      </c>
      <c r="U751" s="7">
        <f>U656+U661+U666+U671+U676+U681+U686+U691+U696+U701+U706+U711+U716+U721+U726+U731+U736+U741+U746</f>
        <v>0</v>
      </c>
      <c r="V751" s="124"/>
      <c r="W751" s="7">
        <f>HLOOKUP($W$9,'ROR-Model'!$Q$10:$U$1273,Y751)</f>
        <v>0</v>
      </c>
      <c r="X751" s="139"/>
      <c r="Y751" s="3">
        <f t="shared" si="42"/>
        <v>742</v>
      </c>
      <c r="AA751" s="7">
        <v>0</v>
      </c>
      <c r="AC751" s="7" t="str">
        <f t="shared" si="43"/>
        <v/>
      </c>
      <c r="AE751" s="42" t="str">
        <f t="shared" si="44"/>
        <v/>
      </c>
      <c r="AG751" s="162"/>
      <c r="AH751" s="10" t="s">
        <v>513</v>
      </c>
      <c r="AI751" s="10"/>
      <c r="AJ751" s="10"/>
    </row>
    <row r="752" spans="1:36" ht="13.5" thickBot="1">
      <c r="A752" s="136"/>
      <c r="B752" s="47"/>
      <c r="C752" s="47"/>
      <c r="D752" s="47"/>
      <c r="E752" s="154">
        <f>+G752-Adjustments!G752</f>
        <v>0</v>
      </c>
      <c r="F752" s="154"/>
      <c r="G752" s="154"/>
      <c r="H752" s="154"/>
      <c r="I752" s="154"/>
      <c r="J752" s="7">
        <f>+I752-'ROR-Model'!I752</f>
        <v>0</v>
      </c>
      <c r="K752" s="7"/>
      <c r="L752" s="154"/>
      <c r="M752" s="154"/>
      <c r="N752" s="154"/>
      <c r="O752" s="120"/>
      <c r="P752" s="204"/>
      <c r="Q752" s="154"/>
      <c r="R752" s="154"/>
      <c r="S752" s="204"/>
      <c r="T752" s="154"/>
      <c r="U752" s="154"/>
      <c r="V752" s="124"/>
      <c r="W752" s="154">
        <f>HLOOKUP($W$9,'ROR-Model'!$Q$10:$U$1273,Y752)</f>
        <v>0</v>
      </c>
      <c r="X752" s="139"/>
      <c r="Y752" s="3">
        <f t="shared" si="42"/>
        <v>743</v>
      </c>
      <c r="AA752" s="154">
        <v>0</v>
      </c>
      <c r="AC752" s="154" t="str">
        <f t="shared" si="43"/>
        <v/>
      </c>
      <c r="AE752" s="42" t="str">
        <f t="shared" si="44"/>
        <v/>
      </c>
      <c r="AG752" s="162"/>
      <c r="AH752" s="10"/>
      <c r="AI752" s="10"/>
      <c r="AJ752" s="10"/>
    </row>
    <row r="753" spans="1:36">
      <c r="A753" s="136"/>
      <c r="B753" s="141" t="s">
        <v>514</v>
      </c>
      <c r="C753" s="47"/>
      <c r="D753" s="47"/>
      <c r="E753" s="7">
        <f>+G753-Adjustments!G753</f>
        <v>0</v>
      </c>
      <c r="F753" s="7">
        <f>F657+F662+F667+F672+F677+F682+F687+F692+F697+F702+F707+F712+F717+F722+F727+F732+F737+F742+F747</f>
        <v>81815327.969999999</v>
      </c>
      <c r="G753" s="7">
        <f>G657+G662+G667+G672+G677+G682+G687+G692+G697+G702+G707+G712+G717+G722+G727+G732+G737+G742+G747</f>
        <v>0</v>
      </c>
      <c r="H753" s="7">
        <f>H657+H662+H667+H672+H677+H682+H687+H692+H697+H702+H707+H712+H717+H722+H727+H732+H737+H742+H747</f>
        <v>0</v>
      </c>
      <c r="I753" s="7">
        <f>I657+I662+I667+I672+I677+I682+I687+I692+I697+I702+I707+I712+I717+I722+I727+I732+I737+I742+I747</f>
        <v>81815327.969999999</v>
      </c>
      <c r="J753" s="7">
        <f>+I753-'ROR-Model'!I753</f>
        <v>0</v>
      </c>
      <c r="K753" s="7"/>
      <c r="L753" s="7"/>
      <c r="M753" s="7">
        <f>M657+M662+M667+M672+M677+M682+M687+M692+M697+M702+M707+M712+M717+M722+M727+M732+M737+M742+M747</f>
        <v>78583114.900000006</v>
      </c>
      <c r="N753" s="7">
        <f>N657+N662+N667+N672+N677+N682+N687+N692+N697+N702+N707+N712+N717+N722+N727+N732+N737+N742+N747</f>
        <v>3232213.07</v>
      </c>
      <c r="O753" s="120"/>
      <c r="P753" s="126"/>
      <c r="Q753" s="7">
        <f>Q657+Q662+Q667+Q672+Q677+Q682+Q687+Q692+Q697+Q702+Q707+Q712+Q717+Q722+Q727+Q732+Q737+Q742+Q747</f>
        <v>78583114.900000006</v>
      </c>
      <c r="R753" s="7">
        <f>R657+R662+R667+R672+R677+R682+R687+R692+R697+R702+R707+R712+R717+R722+R727+R732+R737+R742+R747</f>
        <v>0</v>
      </c>
      <c r="S753" s="126"/>
      <c r="T753" s="7">
        <f>T657+T662+T667+T672+T677+T682+T687+T692+T697+T702+T707+T712+T717+T722+T727+T732+T737+T742+T747</f>
        <v>3232213.07</v>
      </c>
      <c r="U753" s="7">
        <f>U657+U662+U667+U672+U677+U682+U687+U692+U697+U702+U707+U712+U717+U722+U727+U732+U737+U742+U747</f>
        <v>0</v>
      </c>
      <c r="V753" s="124"/>
      <c r="W753" s="7">
        <f>HLOOKUP($W$9,'ROR-Model'!$Q$10:$U$1273,Y753)</f>
        <v>78583114.900000006</v>
      </c>
      <c r="X753" s="139"/>
      <c r="Y753" s="3">
        <f t="shared" si="42"/>
        <v>744</v>
      </c>
      <c r="AA753" s="7">
        <v>54210926.74000001</v>
      </c>
      <c r="AC753" s="7">
        <f t="shared" si="43"/>
        <v>24372188.159999996</v>
      </c>
      <c r="AE753" s="42">
        <f t="shared" si="44"/>
        <v>0.44958073262408854</v>
      </c>
      <c r="AG753" s="162"/>
      <c r="AH753" t="s">
        <v>514</v>
      </c>
      <c r="AI753" s="10"/>
      <c r="AJ753" s="10"/>
    </row>
    <row r="754" spans="1:36">
      <c r="A754" s="136"/>
      <c r="B754" s="47"/>
      <c r="C754" s="47"/>
      <c r="D754" s="47"/>
      <c r="E754" s="7">
        <f>+G754-Adjustments!G754</f>
        <v>0</v>
      </c>
      <c r="F754" s="7"/>
      <c r="G754" s="7"/>
      <c r="H754" s="7"/>
      <c r="I754" s="7"/>
      <c r="J754" s="7">
        <f>+I754-'ROR-Model'!I754</f>
        <v>0</v>
      </c>
      <c r="K754" s="7"/>
      <c r="L754" s="7"/>
      <c r="M754" s="7"/>
      <c r="N754" s="7"/>
      <c r="O754" s="120"/>
      <c r="P754" s="126"/>
      <c r="Q754" s="7"/>
      <c r="R754" s="7"/>
      <c r="S754" s="126"/>
      <c r="T754" s="7"/>
      <c r="U754" s="7"/>
      <c r="V754" s="124"/>
      <c r="W754" s="7"/>
      <c r="X754" s="139"/>
      <c r="Y754" s="3">
        <f t="shared" si="42"/>
        <v>745</v>
      </c>
      <c r="AA754" s="7"/>
      <c r="AC754" s="7" t="str">
        <f t="shared" si="43"/>
        <v/>
      </c>
      <c r="AE754" s="42" t="str">
        <f t="shared" si="44"/>
        <v/>
      </c>
      <c r="AG754" s="162"/>
      <c r="AH754" s="10"/>
      <c r="AI754" s="10"/>
      <c r="AJ754" s="10"/>
    </row>
    <row r="755" spans="1:36">
      <c r="A755" s="116" t="s">
        <v>358</v>
      </c>
      <c r="B755" s="47"/>
      <c r="C755" s="47"/>
      <c r="D755" s="47"/>
      <c r="E755" s="7">
        <f>+G755-Adjustments!G755</f>
        <v>0</v>
      </c>
      <c r="F755" s="7"/>
      <c r="G755" s="7"/>
      <c r="H755" s="7"/>
      <c r="I755" s="7"/>
      <c r="J755" s="7">
        <f>+I755-'ROR-Model'!I755</f>
        <v>0</v>
      </c>
      <c r="K755" s="7"/>
      <c r="L755" s="7"/>
      <c r="M755" s="7"/>
      <c r="N755" s="7"/>
      <c r="O755" s="120"/>
      <c r="P755" s="126"/>
      <c r="Q755" s="7"/>
      <c r="R755" s="7"/>
      <c r="S755" s="126"/>
      <c r="T755" s="7"/>
      <c r="U755" s="7"/>
      <c r="V755" s="124"/>
      <c r="W755" s="7"/>
      <c r="X755" s="139"/>
      <c r="Y755" s="3">
        <f t="shared" si="42"/>
        <v>746</v>
      </c>
      <c r="AA755" s="7"/>
      <c r="AC755" s="7" t="str">
        <f t="shared" si="43"/>
        <v/>
      </c>
      <c r="AE755" s="42" t="str">
        <f t="shared" si="44"/>
        <v/>
      </c>
      <c r="AG755" s="162" t="s">
        <v>358</v>
      </c>
      <c r="AH755" s="10"/>
      <c r="AI755" s="10"/>
      <c r="AJ755" s="10"/>
    </row>
    <row r="756" spans="1:36">
      <c r="A756" s="136"/>
      <c r="B756" s="47"/>
      <c r="C756" s="47"/>
      <c r="D756" s="47"/>
      <c r="E756" s="7">
        <f>+G756-Adjustments!G756</f>
        <v>0</v>
      </c>
      <c r="F756" s="7"/>
      <c r="G756" s="7"/>
      <c r="H756" s="7"/>
      <c r="I756" s="7"/>
      <c r="J756" s="7">
        <f>+I756-'ROR-Model'!I756</f>
        <v>0</v>
      </c>
      <c r="K756" s="7"/>
      <c r="L756" s="7"/>
      <c r="M756" s="7"/>
      <c r="N756" s="7"/>
      <c r="O756" s="120"/>
      <c r="P756" s="126"/>
      <c r="Q756" s="7"/>
      <c r="R756" s="7"/>
      <c r="S756" s="126"/>
      <c r="T756" s="7"/>
      <c r="U756" s="7"/>
      <c r="V756" s="124"/>
      <c r="W756" s="7"/>
      <c r="X756" s="139"/>
      <c r="Y756" s="3">
        <f t="shared" si="42"/>
        <v>747</v>
      </c>
      <c r="AA756" s="7"/>
      <c r="AC756" s="7" t="str">
        <f t="shared" si="43"/>
        <v/>
      </c>
      <c r="AE756" s="42" t="str">
        <f t="shared" si="44"/>
        <v/>
      </c>
      <c r="AG756" s="162"/>
      <c r="AH756" s="10"/>
      <c r="AI756" s="10"/>
      <c r="AJ756" s="10"/>
    </row>
    <row r="757" spans="1:36">
      <c r="A757" s="137">
        <v>901</v>
      </c>
      <c r="B757" s="47" t="s">
        <v>359</v>
      </c>
      <c r="C757" s="47"/>
      <c r="D757" s="47"/>
      <c r="E757" s="7">
        <f>+G757-Adjustments!G757</f>
        <v>0</v>
      </c>
      <c r="F757" s="7"/>
      <c r="G757" s="7"/>
      <c r="H757" s="7"/>
      <c r="I757" s="7"/>
      <c r="J757" s="7">
        <f>+I757-'ROR-Model'!I757</f>
        <v>0</v>
      </c>
      <c r="K757" s="7"/>
      <c r="L757" s="7"/>
      <c r="M757" s="7"/>
      <c r="N757" s="7"/>
      <c r="O757" s="120"/>
      <c r="P757" s="126"/>
      <c r="Q757" s="7"/>
      <c r="R757" s="7"/>
      <c r="S757" s="126"/>
      <c r="T757" s="7"/>
      <c r="U757" s="7"/>
      <c r="V757" s="124"/>
      <c r="W757" s="7"/>
      <c r="X757" s="139"/>
      <c r="Y757" s="3">
        <f t="shared" si="42"/>
        <v>748</v>
      </c>
      <c r="AA757" s="7"/>
      <c r="AC757" s="7" t="str">
        <f t="shared" si="43"/>
        <v/>
      </c>
      <c r="AE757" s="42" t="str">
        <f t="shared" si="44"/>
        <v/>
      </c>
      <c r="AG757" s="162">
        <v>901</v>
      </c>
      <c r="AH757" s="10" t="s">
        <v>359</v>
      </c>
      <c r="AI757" s="10"/>
      <c r="AJ757" s="10"/>
    </row>
    <row r="758" spans="1:36">
      <c r="A758" s="137"/>
      <c r="B758" s="47"/>
      <c r="C758" s="47" t="s">
        <v>12</v>
      </c>
      <c r="D758" s="47"/>
      <c r="E758" s="7">
        <f>+G758-Adjustments!G758</f>
        <v>0</v>
      </c>
      <c r="F758" s="7">
        <f>EXPENSES!F249</f>
        <v>729427.38</v>
      </c>
      <c r="G758" s="7">
        <f>+Adjustments!V757</f>
        <v>0</v>
      </c>
      <c r="H758" s="7"/>
      <c r="I758" s="7">
        <f>SUM($F$758:$H$758)</f>
        <v>729427.38</v>
      </c>
      <c r="J758" s="7">
        <f>+I758-'ROR-Model'!I758</f>
        <v>0</v>
      </c>
      <c r="K758" s="7"/>
      <c r="L758" s="7" t="s">
        <v>12</v>
      </c>
      <c r="M758" s="7">
        <f>VLOOKUP($L758,$L$2:$N$7,2,FALSE)*I758</f>
        <v>729427.38</v>
      </c>
      <c r="N758" s="7">
        <f>VLOOKUP($L758,$L$2:$N$7,3,FALSE)*I758</f>
        <v>0</v>
      </c>
      <c r="O758" s="120"/>
      <c r="P758" s="192" t="s">
        <v>510</v>
      </c>
      <c r="Q758" s="7">
        <f>IF(P758="G",M758,IF(P758="PT",0,ERR))</f>
        <v>729427.38</v>
      </c>
      <c r="R758" s="7">
        <f>IF(P758="PT",M758,IF(P758="G",0,ERR))</f>
        <v>0</v>
      </c>
      <c r="S758" s="126" t="s">
        <v>510</v>
      </c>
      <c r="T758" s="7">
        <f>IF(S758="G",N758,IF(S758="PT",0,ERR))</f>
        <v>0</v>
      </c>
      <c r="U758" s="7">
        <f>IF(S758="PT",N758,IF(S758="G",0,ERR))</f>
        <v>0</v>
      </c>
      <c r="V758" s="124"/>
      <c r="W758" s="7">
        <f>HLOOKUP($W$9,'ROR-Model'!$Q$10:$U$1273,Y758)</f>
        <v>729427.38</v>
      </c>
      <c r="X758" s="139"/>
      <c r="Y758" s="3">
        <f t="shared" si="42"/>
        <v>749</v>
      </c>
      <c r="AA758" s="7">
        <v>538057.92000000004</v>
      </c>
      <c r="AC758" s="7">
        <f t="shared" si="43"/>
        <v>191369.45999999996</v>
      </c>
      <c r="AE758" s="42">
        <f t="shared" si="44"/>
        <v>0.3556670255871337</v>
      </c>
      <c r="AG758" s="162"/>
      <c r="AH758" s="10"/>
      <c r="AI758" s="10" t="s">
        <v>12</v>
      </c>
      <c r="AJ758" s="10"/>
    </row>
    <row r="759" spans="1:36">
      <c r="A759" s="137"/>
      <c r="B759" s="47"/>
      <c r="C759" s="47" t="s">
        <v>23</v>
      </c>
      <c r="D759" s="47"/>
      <c r="E759" s="7">
        <f>+G759-Adjustments!G759</f>
        <v>0</v>
      </c>
      <c r="F759" s="7">
        <f>EXPENSES!F250</f>
        <v>20445.199999999997</v>
      </c>
      <c r="G759" s="7">
        <f>+Adjustments!V758</f>
        <v>0</v>
      </c>
      <c r="H759" s="7"/>
      <c r="I759" s="7">
        <f>SUM($F$759:$H$759)</f>
        <v>20445.199999999997</v>
      </c>
      <c r="J759" s="7">
        <f>+I759-'ROR-Model'!I759</f>
        <v>0</v>
      </c>
      <c r="K759" s="7"/>
      <c r="L759" s="7" t="s">
        <v>23</v>
      </c>
      <c r="M759" s="7">
        <f>VLOOKUP($L759,$L$2:$N$7,2,FALSE)*I759</f>
        <v>0</v>
      </c>
      <c r="N759" s="7">
        <f>VLOOKUP($L759,$L$2:$N$7,3,FALSE)*I759</f>
        <v>20445.199999999997</v>
      </c>
      <c r="O759" s="120"/>
      <c r="P759" s="192" t="s">
        <v>510</v>
      </c>
      <c r="Q759" s="7">
        <f>IF(P759="G",M759,IF(P759="PT",0,ERR))</f>
        <v>0</v>
      </c>
      <c r="R759" s="7">
        <f>IF(P759="PT",M759,IF(P759="G",0,ERR))</f>
        <v>0</v>
      </c>
      <c r="S759" s="126" t="s">
        <v>510</v>
      </c>
      <c r="T759" s="7">
        <f>IF(S759="G",N759,IF(S759="PT",0,ERR))</f>
        <v>20445.199999999997</v>
      </c>
      <c r="U759" s="7">
        <f>IF(S759="PT",N759,IF(S759="G",0,ERR))</f>
        <v>0</v>
      </c>
      <c r="V759" s="124"/>
      <c r="W759" s="7">
        <f>HLOOKUP($W$9,'ROR-Model'!$Q$10:$U$1273,Y759)</f>
        <v>0</v>
      </c>
      <c r="X759" s="139"/>
      <c r="Y759" s="3">
        <f t="shared" si="42"/>
        <v>750</v>
      </c>
      <c r="AA759" s="7">
        <v>0</v>
      </c>
      <c r="AC759" s="7" t="str">
        <f t="shared" si="43"/>
        <v/>
      </c>
      <c r="AE759" s="42" t="str">
        <f t="shared" si="44"/>
        <v/>
      </c>
      <c r="AG759" s="162"/>
      <c r="AH759" s="10"/>
      <c r="AI759" s="10" t="s">
        <v>23</v>
      </c>
      <c r="AJ759" s="10"/>
    </row>
    <row r="760" spans="1:36">
      <c r="A760" s="137"/>
      <c r="B760" s="47"/>
      <c r="C760" s="47" t="s">
        <v>145</v>
      </c>
      <c r="D760" s="47"/>
      <c r="E760" s="140">
        <f>+G760-Adjustments!G760</f>
        <v>0</v>
      </c>
      <c r="F760" s="140">
        <f>SUM(F758:F759)</f>
        <v>749872.58</v>
      </c>
      <c r="G760" s="140">
        <f>SUM(G758:G759)</f>
        <v>0</v>
      </c>
      <c r="H760" s="140">
        <f>SUM(H758:H759)</f>
        <v>0</v>
      </c>
      <c r="I760" s="140">
        <f>SUM(I758:I759)</f>
        <v>749872.58</v>
      </c>
      <c r="J760" s="7">
        <f>+I760-'ROR-Model'!I760</f>
        <v>0</v>
      </c>
      <c r="K760" s="7"/>
      <c r="L760" s="140"/>
      <c r="M760" s="140">
        <f>SUM(M758:M759)</f>
        <v>729427.38</v>
      </c>
      <c r="N760" s="140">
        <f>SUM(N758:N759)</f>
        <v>20445.199999999997</v>
      </c>
      <c r="O760" s="120"/>
      <c r="P760" s="201"/>
      <c r="Q760" s="140">
        <f>SUM(Q758:Q759)</f>
        <v>729427.38</v>
      </c>
      <c r="R760" s="140">
        <f>SUM(R758:R759)</f>
        <v>0</v>
      </c>
      <c r="S760" s="201"/>
      <c r="T760" s="140">
        <f>SUM(T758:T759)</f>
        <v>20445.199999999997</v>
      </c>
      <c r="U760" s="140">
        <f>SUM(U758:U759)</f>
        <v>0</v>
      </c>
      <c r="V760" s="124"/>
      <c r="W760" s="140">
        <f>HLOOKUP($W$9,'ROR-Model'!$Q$10:$U$1273,Y760)</f>
        <v>729427.38</v>
      </c>
      <c r="X760" s="139"/>
      <c r="Y760" s="3">
        <f t="shared" si="42"/>
        <v>751</v>
      </c>
      <c r="AA760" s="140">
        <v>538057.92000000004</v>
      </c>
      <c r="AC760" s="140">
        <f t="shared" si="43"/>
        <v>191369.45999999996</v>
      </c>
      <c r="AE760" s="42">
        <f t="shared" si="44"/>
        <v>0.3556670255871337</v>
      </c>
      <c r="AG760" s="162"/>
      <c r="AH760" s="10"/>
      <c r="AI760" s="10" t="s">
        <v>145</v>
      </c>
      <c r="AJ760" s="10"/>
    </row>
    <row r="761" spans="1:36">
      <c r="A761" s="137"/>
      <c r="B761" s="47"/>
      <c r="C761" s="47"/>
      <c r="D761" s="47"/>
      <c r="E761" s="7">
        <f>+G761-Adjustments!G761</f>
        <v>0</v>
      </c>
      <c r="F761" s="7"/>
      <c r="G761" s="7"/>
      <c r="H761" s="7"/>
      <c r="I761" s="7"/>
      <c r="J761" s="7">
        <f>+I761-'ROR-Model'!I761</f>
        <v>0</v>
      </c>
      <c r="K761" s="7"/>
      <c r="L761" s="7"/>
      <c r="M761" s="7"/>
      <c r="N761" s="7"/>
      <c r="O761" s="120"/>
      <c r="P761" s="126"/>
      <c r="Q761" s="7"/>
      <c r="R761" s="7"/>
      <c r="S761" s="126"/>
      <c r="T761" s="7"/>
      <c r="U761" s="7"/>
      <c r="V761" s="124"/>
      <c r="W761" s="7"/>
      <c r="X761" s="139"/>
      <c r="Y761" s="3">
        <f t="shared" si="42"/>
        <v>752</v>
      </c>
      <c r="AA761" s="7"/>
      <c r="AC761" s="7" t="str">
        <f t="shared" si="43"/>
        <v/>
      </c>
      <c r="AE761" s="42" t="str">
        <f t="shared" si="44"/>
        <v/>
      </c>
      <c r="AG761" s="162"/>
      <c r="AH761" s="10"/>
      <c r="AI761" s="10"/>
      <c r="AJ761" s="10"/>
    </row>
    <row r="762" spans="1:36">
      <c r="A762" s="137">
        <v>902</v>
      </c>
      <c r="B762" s="47" t="s">
        <v>360</v>
      </c>
      <c r="C762" s="47"/>
      <c r="D762" s="47"/>
      <c r="E762" s="7">
        <f>+G762-Adjustments!G762</f>
        <v>0</v>
      </c>
      <c r="F762" s="7"/>
      <c r="G762" s="7"/>
      <c r="H762" s="7"/>
      <c r="I762" s="7"/>
      <c r="J762" s="7">
        <f>+I762-'ROR-Model'!I762</f>
        <v>0</v>
      </c>
      <c r="K762" s="7"/>
      <c r="L762" s="7"/>
      <c r="M762" s="7"/>
      <c r="N762" s="7"/>
      <c r="O762" s="120"/>
      <c r="P762" s="126"/>
      <c r="Q762" s="7"/>
      <c r="R762" s="7"/>
      <c r="S762" s="126"/>
      <c r="T762" s="7"/>
      <c r="U762" s="7"/>
      <c r="V762" s="124"/>
      <c r="W762" s="7"/>
      <c r="X762" s="139"/>
      <c r="Y762" s="3">
        <f t="shared" si="42"/>
        <v>753</v>
      </c>
      <c r="AA762" s="7"/>
      <c r="AC762" s="7" t="str">
        <f t="shared" si="43"/>
        <v/>
      </c>
      <c r="AE762" s="42" t="str">
        <f t="shared" si="44"/>
        <v/>
      </c>
      <c r="AG762" s="162">
        <v>902</v>
      </c>
      <c r="AH762" s="10" t="s">
        <v>360</v>
      </c>
      <c r="AI762" s="10"/>
      <c r="AJ762" s="10"/>
    </row>
    <row r="763" spans="1:36">
      <c r="A763" s="137"/>
      <c r="B763" s="47"/>
      <c r="C763" s="47" t="s">
        <v>12</v>
      </c>
      <c r="D763" s="47"/>
      <c r="E763" s="7">
        <f>+G763-Adjustments!G763</f>
        <v>0</v>
      </c>
      <c r="F763" s="7">
        <f>EXPENSES!F254</f>
        <v>1399332.5599999998</v>
      </c>
      <c r="G763" s="7">
        <f>+Adjustments!V762</f>
        <v>0</v>
      </c>
      <c r="H763" s="7"/>
      <c r="I763" s="7">
        <f>SUM($F$763:$H$763)</f>
        <v>1399332.5599999998</v>
      </c>
      <c r="J763" s="7">
        <f>+I763-'ROR-Model'!I763</f>
        <v>0</v>
      </c>
      <c r="K763" s="7"/>
      <c r="L763" s="7" t="s">
        <v>12</v>
      </c>
      <c r="M763" s="7">
        <f>VLOOKUP($L763,$L$2:$N$7,2,FALSE)*I763</f>
        <v>1399332.5599999998</v>
      </c>
      <c r="N763" s="7">
        <f>VLOOKUP($L763,$L$2:$N$7,3,FALSE)*I763</f>
        <v>0</v>
      </c>
      <c r="O763" s="120"/>
      <c r="P763" s="192" t="s">
        <v>510</v>
      </c>
      <c r="Q763" s="7">
        <f>IF(P763="G",M763,IF(P763="PT",0,ERR))</f>
        <v>1399332.5599999998</v>
      </c>
      <c r="R763" s="7">
        <f>IF(P763="PT",M763,IF(P763="G",0,ERR))</f>
        <v>0</v>
      </c>
      <c r="S763" s="126" t="s">
        <v>510</v>
      </c>
      <c r="T763" s="7">
        <f>IF(S763="G",N763,IF(S763="PT",0,ERR))</f>
        <v>0</v>
      </c>
      <c r="U763" s="7">
        <f>IF(S763="PT",N763,IF(S763="G",0,ERR))</f>
        <v>0</v>
      </c>
      <c r="V763" s="124"/>
      <c r="W763" s="7">
        <f>HLOOKUP($W$9,'ROR-Model'!$Q$10:$U$1273,Y763)</f>
        <v>1399332.5599999998</v>
      </c>
      <c r="X763" s="139"/>
      <c r="Y763" s="3">
        <f t="shared" si="42"/>
        <v>754</v>
      </c>
      <c r="AA763" s="7">
        <v>1329946.08</v>
      </c>
      <c r="AC763" s="7">
        <f t="shared" si="43"/>
        <v>69386.479999999749</v>
      </c>
      <c r="AE763" s="42">
        <f t="shared" si="44"/>
        <v>5.2172400854025407E-2</v>
      </c>
      <c r="AG763" s="162"/>
      <c r="AH763" s="10"/>
      <c r="AI763" s="10" t="s">
        <v>12</v>
      </c>
      <c r="AJ763" s="10"/>
    </row>
    <row r="764" spans="1:36">
      <c r="A764" s="137"/>
      <c r="B764" s="47"/>
      <c r="C764" s="47" t="s">
        <v>23</v>
      </c>
      <c r="D764" s="47"/>
      <c r="E764" s="7">
        <f>+G764-Adjustments!G764</f>
        <v>0</v>
      </c>
      <c r="F764" s="7">
        <f>EXPENSES!F255</f>
        <v>42978.89</v>
      </c>
      <c r="G764" s="7">
        <f>+Adjustments!V763</f>
        <v>0</v>
      </c>
      <c r="H764" s="7"/>
      <c r="I764" s="7">
        <f>SUM($F$764:$H$764)</f>
        <v>42978.89</v>
      </c>
      <c r="J764" s="7">
        <f>+I764-'ROR-Model'!I764</f>
        <v>0</v>
      </c>
      <c r="K764" s="7"/>
      <c r="L764" s="7" t="s">
        <v>23</v>
      </c>
      <c r="M764" s="7">
        <f>VLOOKUP($L764,$L$2:$N$7,2,FALSE)*I764</f>
        <v>0</v>
      </c>
      <c r="N764" s="7">
        <f>VLOOKUP($L764,$L$2:$N$7,3,FALSE)*I764</f>
        <v>42978.89</v>
      </c>
      <c r="O764" s="120"/>
      <c r="P764" s="192" t="s">
        <v>510</v>
      </c>
      <c r="Q764" s="7">
        <f>IF(P764="G",M764,IF(P764="PT",0,ERR))</f>
        <v>0</v>
      </c>
      <c r="R764" s="7">
        <f>IF(P764="PT",M764,IF(P764="G",0,ERR))</f>
        <v>0</v>
      </c>
      <c r="S764" s="126" t="s">
        <v>510</v>
      </c>
      <c r="T764" s="7">
        <f>IF(S764="G",N764,IF(S764="PT",0,ERR))</f>
        <v>42978.89</v>
      </c>
      <c r="U764" s="7">
        <f>IF(S764="PT",N764,IF(S764="G",0,ERR))</f>
        <v>0</v>
      </c>
      <c r="V764" s="124"/>
      <c r="W764" s="7">
        <f>HLOOKUP($W$9,'ROR-Model'!$Q$10:$U$1273,Y764)</f>
        <v>0</v>
      </c>
      <c r="X764" s="139"/>
      <c r="Y764" s="3">
        <f t="shared" si="42"/>
        <v>755</v>
      </c>
      <c r="AA764" s="7">
        <v>0</v>
      </c>
      <c r="AC764" s="7" t="str">
        <f t="shared" si="43"/>
        <v/>
      </c>
      <c r="AE764" s="42" t="str">
        <f t="shared" si="44"/>
        <v/>
      </c>
      <c r="AG764" s="162"/>
      <c r="AH764" s="10"/>
      <c r="AI764" s="10" t="s">
        <v>23</v>
      </c>
      <c r="AJ764" s="10"/>
    </row>
    <row r="765" spans="1:36">
      <c r="A765" s="137"/>
      <c r="B765" s="47"/>
      <c r="C765" s="47" t="s">
        <v>145</v>
      </c>
      <c r="D765" s="47"/>
      <c r="E765" s="140">
        <f>+G765-Adjustments!G765</f>
        <v>0</v>
      </c>
      <c r="F765" s="140">
        <f>SUM(F763:F764)</f>
        <v>1442311.4499999997</v>
      </c>
      <c r="G765" s="140">
        <f>SUM(G763:G764)</f>
        <v>0</v>
      </c>
      <c r="H765" s="140">
        <f>SUM(H763:H764)</f>
        <v>0</v>
      </c>
      <c r="I765" s="140">
        <f>SUM(I763:I764)</f>
        <v>1442311.4499999997</v>
      </c>
      <c r="J765" s="7">
        <f>+I765-'ROR-Model'!I765</f>
        <v>0</v>
      </c>
      <c r="K765" s="7"/>
      <c r="L765" s="140"/>
      <c r="M765" s="140">
        <f>SUM(M763:M764)</f>
        <v>1399332.5599999998</v>
      </c>
      <c r="N765" s="140">
        <f>SUM(N763:N764)</f>
        <v>42978.89</v>
      </c>
      <c r="O765" s="120"/>
      <c r="P765" s="201"/>
      <c r="Q765" s="140">
        <f>SUM(Q763:Q764)</f>
        <v>1399332.5599999998</v>
      </c>
      <c r="R765" s="140">
        <f>SUM(R763:R764)</f>
        <v>0</v>
      </c>
      <c r="S765" s="201"/>
      <c r="T765" s="140">
        <f>SUM(T763:T764)</f>
        <v>42978.89</v>
      </c>
      <c r="U765" s="140">
        <f>SUM(U763:U764)</f>
        <v>0</v>
      </c>
      <c r="V765" s="124"/>
      <c r="W765" s="140">
        <f>HLOOKUP($W$9,'ROR-Model'!$Q$10:$U$1273,Y765)</f>
        <v>1399332.5599999998</v>
      </c>
      <c r="X765" s="139"/>
      <c r="Y765" s="3">
        <f t="shared" si="42"/>
        <v>756</v>
      </c>
      <c r="AA765" s="140">
        <v>1329946.08</v>
      </c>
      <c r="AC765" s="140">
        <f t="shared" si="43"/>
        <v>69386.479999999749</v>
      </c>
      <c r="AE765" s="42">
        <f t="shared" si="44"/>
        <v>5.2172400854025407E-2</v>
      </c>
      <c r="AG765" s="162"/>
      <c r="AH765" s="10"/>
      <c r="AI765" s="10" t="s">
        <v>145</v>
      </c>
      <c r="AJ765" s="10"/>
    </row>
    <row r="766" spans="1:36">
      <c r="A766" s="137"/>
      <c r="B766" s="47"/>
      <c r="C766" s="47"/>
      <c r="D766" s="47"/>
      <c r="E766" s="7">
        <f>+G766-Adjustments!G766</f>
        <v>0</v>
      </c>
      <c r="F766" s="7"/>
      <c r="G766" s="7"/>
      <c r="H766" s="7"/>
      <c r="I766" s="7"/>
      <c r="J766" s="7">
        <f>+I766-'ROR-Model'!I766</f>
        <v>0</v>
      </c>
      <c r="K766" s="7"/>
      <c r="L766" s="7"/>
      <c r="M766" s="7"/>
      <c r="N766" s="7"/>
      <c r="O766" s="120"/>
      <c r="P766" s="126"/>
      <c r="Q766" s="7"/>
      <c r="R766" s="7"/>
      <c r="S766" s="126"/>
      <c r="T766" s="7"/>
      <c r="U766" s="7"/>
      <c r="V766" s="124"/>
      <c r="W766" s="7"/>
      <c r="X766" s="139"/>
      <c r="Y766" s="3">
        <f t="shared" si="42"/>
        <v>757</v>
      </c>
      <c r="AA766" s="7"/>
      <c r="AC766" s="7" t="str">
        <f t="shared" si="43"/>
        <v/>
      </c>
      <c r="AE766" s="42" t="str">
        <f t="shared" si="44"/>
        <v/>
      </c>
      <c r="AG766" s="162"/>
      <c r="AH766" s="10"/>
      <c r="AI766" s="10"/>
      <c r="AJ766" s="10"/>
    </row>
    <row r="767" spans="1:36">
      <c r="A767" s="137">
        <v>9031</v>
      </c>
      <c r="B767" s="47" t="s">
        <v>361</v>
      </c>
      <c r="C767" s="47"/>
      <c r="D767" s="47"/>
      <c r="E767" s="7">
        <f>+G767-Adjustments!G767</f>
        <v>0</v>
      </c>
      <c r="F767" s="7"/>
      <c r="G767" s="7"/>
      <c r="H767" s="7"/>
      <c r="I767" s="7"/>
      <c r="J767" s="7">
        <f>+I767-'ROR-Model'!I767</f>
        <v>0</v>
      </c>
      <c r="K767" s="7"/>
      <c r="L767" s="7"/>
      <c r="M767" s="7"/>
      <c r="N767" s="7"/>
      <c r="O767" s="120"/>
      <c r="P767" s="126"/>
      <c r="Q767" s="7"/>
      <c r="R767" s="7"/>
      <c r="S767" s="126"/>
      <c r="T767" s="7"/>
      <c r="U767" s="7"/>
      <c r="V767" s="124"/>
      <c r="W767" s="7"/>
      <c r="X767" s="139"/>
      <c r="Y767" s="3">
        <f t="shared" si="42"/>
        <v>758</v>
      </c>
      <c r="AA767" s="7"/>
      <c r="AC767" s="7" t="str">
        <f t="shared" si="43"/>
        <v/>
      </c>
      <c r="AE767" s="42" t="str">
        <f t="shared" si="44"/>
        <v/>
      </c>
      <c r="AG767" s="162">
        <v>9031</v>
      </c>
      <c r="AH767" s="10" t="s">
        <v>361</v>
      </c>
      <c r="AI767" s="10"/>
      <c r="AJ767" s="10"/>
    </row>
    <row r="768" spans="1:36">
      <c r="A768" s="137"/>
      <c r="B768" s="47"/>
      <c r="C768" s="47" t="s">
        <v>12</v>
      </c>
      <c r="D768" s="47"/>
      <c r="E768" s="7">
        <f>+G768-Adjustments!G768</f>
        <v>0</v>
      </c>
      <c r="F768" s="7">
        <f>EXPENSES!F259</f>
        <v>8332028.21</v>
      </c>
      <c r="G768" s="7">
        <f>+Adjustments!V767</f>
        <v>0</v>
      </c>
      <c r="H768" s="7"/>
      <c r="I768" s="7">
        <f>SUM($F$768:$H$768)</f>
        <v>8332028.21</v>
      </c>
      <c r="J768" s="7">
        <f>+I768-'ROR-Model'!I768</f>
        <v>0</v>
      </c>
      <c r="K768" s="7"/>
      <c r="L768" s="7" t="s">
        <v>12</v>
      </c>
      <c r="M768" s="7">
        <f>VLOOKUP($L768,$L$2:$N$7,2,FALSE)*I768</f>
        <v>8332028.21</v>
      </c>
      <c r="N768" s="7">
        <f>VLOOKUP($L768,$L$2:$N$7,3,FALSE)*I768</f>
        <v>0</v>
      </c>
      <c r="O768" s="120"/>
      <c r="P768" s="192" t="s">
        <v>510</v>
      </c>
      <c r="Q768" s="7">
        <f>IF(P768="G",M768,IF(P768="PT",0,ERR))</f>
        <v>8332028.21</v>
      </c>
      <c r="R768" s="7">
        <f>IF(P768="PT",M768,IF(P768="G",0,ERR))</f>
        <v>0</v>
      </c>
      <c r="S768" s="126" t="s">
        <v>510</v>
      </c>
      <c r="T768" s="7">
        <f>IF(S768="G",N768,IF(S768="PT",0,ERR))</f>
        <v>0</v>
      </c>
      <c r="U768" s="7">
        <f>IF(S768="PT",N768,IF(S768="G",0,ERR))</f>
        <v>0</v>
      </c>
      <c r="V768" s="124"/>
      <c r="W768" s="7">
        <f>HLOOKUP($W$9,'ROR-Model'!$Q$10:$U$1273,Y768)</f>
        <v>8332028.21</v>
      </c>
      <c r="X768" s="139"/>
      <c r="Y768" s="3">
        <f t="shared" si="42"/>
        <v>759</v>
      </c>
      <c r="AA768" s="7">
        <v>7462502.1699999999</v>
      </c>
      <c r="AC768" s="7">
        <f t="shared" si="43"/>
        <v>869526.04</v>
      </c>
      <c r="AE768" s="42">
        <f t="shared" si="44"/>
        <v>0.11651936846270962</v>
      </c>
      <c r="AG768" s="162"/>
      <c r="AH768" s="10"/>
      <c r="AI768" s="10" t="s">
        <v>12</v>
      </c>
      <c r="AJ768" s="10"/>
    </row>
    <row r="769" spans="1:36">
      <c r="A769" s="137"/>
      <c r="B769" s="47"/>
      <c r="C769" s="47" t="s">
        <v>23</v>
      </c>
      <c r="D769" s="47"/>
      <c r="E769" s="7">
        <f>+G769-Adjustments!G769</f>
        <v>0</v>
      </c>
      <c r="F769" s="7">
        <f>EXPENSES!F260</f>
        <v>233583.46</v>
      </c>
      <c r="G769" s="7">
        <f>+Adjustments!V768</f>
        <v>0</v>
      </c>
      <c r="H769" s="7"/>
      <c r="I769" s="7">
        <f>SUM($F$769:$H$769)</f>
        <v>233583.46</v>
      </c>
      <c r="J769" s="7">
        <f>+I769-'ROR-Model'!I769</f>
        <v>0</v>
      </c>
      <c r="K769" s="7"/>
      <c r="L769" s="7" t="s">
        <v>23</v>
      </c>
      <c r="M769" s="7">
        <f>VLOOKUP($L769,$L$2:$N$7,2,FALSE)*I769</f>
        <v>0</v>
      </c>
      <c r="N769" s="7">
        <f>VLOOKUP($L769,$L$2:$N$7,3,FALSE)*I769</f>
        <v>233583.46</v>
      </c>
      <c r="O769" s="120"/>
      <c r="P769" s="192" t="s">
        <v>510</v>
      </c>
      <c r="Q769" s="7">
        <f>IF(P769="G",M769,IF(P769="PT",0,ERR))</f>
        <v>0</v>
      </c>
      <c r="R769" s="7">
        <f>IF(P769="PT",M769,IF(P769="G",0,ERR))</f>
        <v>0</v>
      </c>
      <c r="S769" s="126" t="s">
        <v>510</v>
      </c>
      <c r="T769" s="7">
        <f>IF(S769="G",N769,IF(S769="PT",0,ERR))</f>
        <v>233583.46</v>
      </c>
      <c r="U769" s="7">
        <f>IF(S769="PT",N769,IF(S769="G",0,ERR))</f>
        <v>0</v>
      </c>
      <c r="V769" s="124"/>
      <c r="W769" s="7">
        <f>HLOOKUP($W$9,'ROR-Model'!$Q$10:$U$1273,Y769)</f>
        <v>0</v>
      </c>
      <c r="X769" s="139"/>
      <c r="Y769" s="3">
        <f t="shared" si="42"/>
        <v>760</v>
      </c>
      <c r="AA769" s="7">
        <v>0</v>
      </c>
      <c r="AC769" s="7" t="str">
        <f t="shared" si="43"/>
        <v/>
      </c>
      <c r="AE769" s="42" t="str">
        <f t="shared" si="44"/>
        <v/>
      </c>
      <c r="AG769" s="162"/>
      <c r="AH769" s="10"/>
      <c r="AI769" s="10" t="s">
        <v>23</v>
      </c>
      <c r="AJ769" s="10"/>
    </row>
    <row r="770" spans="1:36">
      <c r="A770" s="137"/>
      <c r="B770" s="47"/>
      <c r="C770" s="47" t="s">
        <v>145</v>
      </c>
      <c r="D770" s="47"/>
      <c r="E770" s="140">
        <f>+G770-Adjustments!G770</f>
        <v>0</v>
      </c>
      <c r="F770" s="140">
        <f>SUM(F768:F769)</f>
        <v>8565611.6699999999</v>
      </c>
      <c r="G770" s="140">
        <f>SUM(G768:G769)</f>
        <v>0</v>
      </c>
      <c r="H770" s="140">
        <f>SUM(H768:H769)</f>
        <v>0</v>
      </c>
      <c r="I770" s="140">
        <f>SUM(I768:I769)</f>
        <v>8565611.6699999999</v>
      </c>
      <c r="J770" s="7">
        <f>+I770-'ROR-Model'!I770</f>
        <v>0</v>
      </c>
      <c r="K770" s="7"/>
      <c r="L770" s="140"/>
      <c r="M770" s="140">
        <f>SUM(M768:M769)</f>
        <v>8332028.21</v>
      </c>
      <c r="N770" s="140">
        <f>SUM(N768:N769)</f>
        <v>233583.46</v>
      </c>
      <c r="O770" s="120"/>
      <c r="P770" s="201"/>
      <c r="Q770" s="140">
        <f>SUM(Q768:Q769)</f>
        <v>8332028.21</v>
      </c>
      <c r="R770" s="140">
        <f>SUM(R768:R769)</f>
        <v>0</v>
      </c>
      <c r="S770" s="201"/>
      <c r="T770" s="140">
        <f>SUM(T768:T769)</f>
        <v>233583.46</v>
      </c>
      <c r="U770" s="140">
        <f>SUM(U768:U769)</f>
        <v>0</v>
      </c>
      <c r="V770" s="124"/>
      <c r="W770" s="140">
        <f>HLOOKUP($W$9,'ROR-Model'!$Q$10:$U$1273,Y770)</f>
        <v>8332028.21</v>
      </c>
      <c r="X770" s="139"/>
      <c r="Y770" s="3">
        <f t="shared" si="42"/>
        <v>761</v>
      </c>
      <c r="AA770" s="140">
        <v>7462502.1699999999</v>
      </c>
      <c r="AC770" s="140">
        <f t="shared" si="43"/>
        <v>869526.04</v>
      </c>
      <c r="AE770" s="42">
        <f t="shared" si="44"/>
        <v>0.11651936846270962</v>
      </c>
      <c r="AG770" s="162"/>
      <c r="AH770" s="10"/>
      <c r="AI770" s="10" t="s">
        <v>145</v>
      </c>
      <c r="AJ770" s="10"/>
    </row>
    <row r="771" spans="1:36">
      <c r="A771" s="137"/>
      <c r="B771" s="47"/>
      <c r="C771" s="47"/>
      <c r="D771" s="47"/>
      <c r="E771" s="7">
        <f>+G771-Adjustments!G771</f>
        <v>0</v>
      </c>
      <c r="F771" s="7"/>
      <c r="G771" s="7"/>
      <c r="H771" s="7"/>
      <c r="I771" s="7"/>
      <c r="J771" s="7">
        <f>+I771-'ROR-Model'!I771</f>
        <v>0</v>
      </c>
      <c r="K771" s="7"/>
      <c r="L771" s="7"/>
      <c r="M771" s="7"/>
      <c r="N771" s="7"/>
      <c r="O771" s="120"/>
      <c r="P771" s="126"/>
      <c r="Q771" s="7"/>
      <c r="R771" s="7"/>
      <c r="S771" s="126"/>
      <c r="T771" s="7"/>
      <c r="U771" s="7"/>
      <c r="V771" s="124"/>
      <c r="W771" s="7"/>
      <c r="X771" s="139"/>
      <c r="Y771" s="3">
        <f t="shared" si="42"/>
        <v>762</v>
      </c>
      <c r="AA771" s="7"/>
      <c r="AC771" s="7" t="str">
        <f t="shared" si="43"/>
        <v/>
      </c>
      <c r="AE771" s="42" t="str">
        <f t="shared" si="44"/>
        <v/>
      </c>
      <c r="AG771" s="162"/>
      <c r="AH771" s="10"/>
      <c r="AI771" s="10"/>
      <c r="AJ771" s="10"/>
    </row>
    <row r="772" spans="1:36">
      <c r="A772" s="137">
        <v>9032</v>
      </c>
      <c r="B772" s="47" t="s">
        <v>362</v>
      </c>
      <c r="C772" s="47"/>
      <c r="D772" s="47"/>
      <c r="E772" s="7">
        <f>+G772-Adjustments!G772</f>
        <v>0</v>
      </c>
      <c r="F772" s="7"/>
      <c r="G772" s="7"/>
      <c r="H772" s="7"/>
      <c r="I772" s="7"/>
      <c r="J772" s="7">
        <f>+I772-'ROR-Model'!I772</f>
        <v>0</v>
      </c>
      <c r="K772" s="7"/>
      <c r="L772" s="7"/>
      <c r="M772" s="7"/>
      <c r="N772" s="7"/>
      <c r="O772" s="120"/>
      <c r="P772" s="126"/>
      <c r="Q772" s="7"/>
      <c r="R772" s="7"/>
      <c r="S772" s="126"/>
      <c r="T772" s="7"/>
      <c r="U772" s="7"/>
      <c r="V772" s="124"/>
      <c r="W772" s="7"/>
      <c r="X772" s="139"/>
      <c r="Y772" s="3">
        <f t="shared" si="42"/>
        <v>763</v>
      </c>
      <c r="AA772" s="7"/>
      <c r="AC772" s="7" t="str">
        <f t="shared" si="43"/>
        <v/>
      </c>
      <c r="AE772" s="42" t="str">
        <f t="shared" si="44"/>
        <v/>
      </c>
      <c r="AG772" s="162">
        <v>9032</v>
      </c>
      <c r="AH772" s="10" t="s">
        <v>362</v>
      </c>
      <c r="AI772" s="10"/>
      <c r="AJ772" s="10"/>
    </row>
    <row r="773" spans="1:36">
      <c r="A773" s="137"/>
      <c r="B773" s="47"/>
      <c r="C773" s="47" t="s">
        <v>12</v>
      </c>
      <c r="D773" s="47"/>
      <c r="E773" s="7">
        <f>+G773-Adjustments!G773</f>
        <v>0</v>
      </c>
      <c r="F773" s="7">
        <f>EXPENSES!F264</f>
        <v>1027489.8400000001</v>
      </c>
      <c r="G773" s="7">
        <f>+Adjustments!V772</f>
        <v>0</v>
      </c>
      <c r="H773" s="7"/>
      <c r="I773" s="7">
        <f>SUM($F$773:$H$773)</f>
        <v>1027489.8400000001</v>
      </c>
      <c r="J773" s="7">
        <f>+I773-'ROR-Model'!I773</f>
        <v>0</v>
      </c>
      <c r="K773" s="7"/>
      <c r="L773" s="7" t="s">
        <v>12</v>
      </c>
      <c r="M773" s="7">
        <f>VLOOKUP($L773,$L$2:$N$7,2,FALSE)*I773</f>
        <v>1027489.8400000001</v>
      </c>
      <c r="N773" s="7">
        <f>VLOOKUP($L773,$L$2:$N$7,3,FALSE)*I773</f>
        <v>0</v>
      </c>
      <c r="O773" s="120"/>
      <c r="P773" s="192" t="s">
        <v>510</v>
      </c>
      <c r="Q773" s="7">
        <f>IF(P773="G",M773,IF(P773="PT",0,ERR))</f>
        <v>1027489.8400000001</v>
      </c>
      <c r="R773" s="7">
        <f>IF(P773="PT",M773,IF(P773="G",0,ERR))</f>
        <v>0</v>
      </c>
      <c r="S773" s="126" t="s">
        <v>510</v>
      </c>
      <c r="T773" s="7">
        <f>IF(S773="G",N773,IF(S773="PT",0,ERR))</f>
        <v>0</v>
      </c>
      <c r="U773" s="7">
        <f>IF(S773="PT",N773,IF(S773="G",0,ERR))</f>
        <v>0</v>
      </c>
      <c r="V773" s="124"/>
      <c r="W773" s="7">
        <f>HLOOKUP($W$9,'ROR-Model'!$Q$10:$U$1273,Y773)</f>
        <v>1027489.8400000001</v>
      </c>
      <c r="X773" s="139"/>
      <c r="Y773" s="3">
        <f t="shared" si="42"/>
        <v>764</v>
      </c>
      <c r="AA773" s="7">
        <v>2461177.54</v>
      </c>
      <c r="AC773" s="7">
        <f t="shared" si="43"/>
        <v>-1433687.7</v>
      </c>
      <c r="AE773" s="42">
        <f t="shared" si="44"/>
        <v>-0.58252103990840087</v>
      </c>
      <c r="AG773" s="162"/>
      <c r="AH773" s="10"/>
      <c r="AI773" s="10" t="s">
        <v>12</v>
      </c>
      <c r="AJ773" s="10"/>
    </row>
    <row r="774" spans="1:36">
      <c r="A774" s="137"/>
      <c r="B774" s="47"/>
      <c r="C774" s="47" t="s">
        <v>23</v>
      </c>
      <c r="D774" s="47"/>
      <c r="E774" s="7">
        <f>+G774-Adjustments!G774</f>
        <v>0</v>
      </c>
      <c r="F774" s="7">
        <f>EXPENSES!F265</f>
        <v>36093.729999999996</v>
      </c>
      <c r="G774" s="7">
        <f>+Adjustments!V773</f>
        <v>0</v>
      </c>
      <c r="H774" s="7"/>
      <c r="I774" s="7">
        <f>SUM($F$774:$H$774)</f>
        <v>36093.729999999996</v>
      </c>
      <c r="J774" s="7">
        <f>+I774-'ROR-Model'!I774</f>
        <v>0</v>
      </c>
      <c r="K774" s="7"/>
      <c r="L774" s="7" t="s">
        <v>23</v>
      </c>
      <c r="M774" s="7">
        <f>VLOOKUP($L774,$L$2:$N$7,2,FALSE)*I774</f>
        <v>0</v>
      </c>
      <c r="N774" s="7">
        <f>VLOOKUP($L774,$L$2:$N$7,3,FALSE)*I774</f>
        <v>36093.729999999996</v>
      </c>
      <c r="O774" s="120"/>
      <c r="P774" s="192" t="s">
        <v>510</v>
      </c>
      <c r="Q774" s="7">
        <f>IF(P774="G",M774,IF(P774="PT",0,ERR))</f>
        <v>0</v>
      </c>
      <c r="R774" s="7">
        <f>IF(P774="PT",M774,IF(P774="G",0,ERR))</f>
        <v>0</v>
      </c>
      <c r="S774" s="126" t="s">
        <v>510</v>
      </c>
      <c r="T774" s="7">
        <f>IF(S774="G",N774,IF(S774="PT",0,ERR))</f>
        <v>36093.729999999996</v>
      </c>
      <c r="U774" s="7">
        <f>IF(S774="PT",N774,IF(S774="G",0,ERR))</f>
        <v>0</v>
      </c>
      <c r="V774" s="124"/>
      <c r="W774" s="7">
        <f>HLOOKUP($W$9,'ROR-Model'!$Q$10:$U$1273,Y774)</f>
        <v>0</v>
      </c>
      <c r="X774" s="139"/>
      <c r="Y774" s="3">
        <f t="shared" si="42"/>
        <v>765</v>
      </c>
      <c r="AA774" s="7">
        <v>0</v>
      </c>
      <c r="AC774" s="7" t="str">
        <f t="shared" si="43"/>
        <v/>
      </c>
      <c r="AE774" s="42" t="str">
        <f t="shared" si="44"/>
        <v/>
      </c>
      <c r="AG774" s="162"/>
      <c r="AH774" s="10"/>
      <c r="AI774" s="10" t="s">
        <v>23</v>
      </c>
      <c r="AJ774" s="10"/>
    </row>
    <row r="775" spans="1:36">
      <c r="A775" s="137"/>
      <c r="B775" s="47"/>
      <c r="C775" s="47" t="s">
        <v>145</v>
      </c>
      <c r="D775" s="47"/>
      <c r="E775" s="140">
        <f>+G775-Adjustments!G775</f>
        <v>0</v>
      </c>
      <c r="F775" s="140">
        <f>SUM(F773:F774)</f>
        <v>1063583.57</v>
      </c>
      <c r="G775" s="140">
        <f>SUM(G773:G774)</f>
        <v>0</v>
      </c>
      <c r="H775" s="140">
        <f>SUM(H773:H774)</f>
        <v>0</v>
      </c>
      <c r="I775" s="140">
        <f>SUM(I773:I774)</f>
        <v>1063583.57</v>
      </c>
      <c r="J775" s="7">
        <f>+I775-'ROR-Model'!I775</f>
        <v>0</v>
      </c>
      <c r="K775" s="7"/>
      <c r="L775" s="140"/>
      <c r="M775" s="140">
        <f>SUM(M773:M774)</f>
        <v>1027489.8400000001</v>
      </c>
      <c r="N775" s="140">
        <f>SUM(N773:N774)</f>
        <v>36093.729999999996</v>
      </c>
      <c r="O775" s="120"/>
      <c r="P775" s="201"/>
      <c r="Q775" s="140">
        <f>SUM(Q773:Q774)</f>
        <v>1027489.8400000001</v>
      </c>
      <c r="R775" s="140">
        <f>SUM(R773:R774)</f>
        <v>0</v>
      </c>
      <c r="S775" s="201"/>
      <c r="T775" s="140">
        <f>SUM(T773:T774)</f>
        <v>36093.729999999996</v>
      </c>
      <c r="U775" s="140">
        <f>SUM(U773:U774)</f>
        <v>0</v>
      </c>
      <c r="V775" s="124"/>
      <c r="W775" s="140">
        <f>HLOOKUP($W$9,'ROR-Model'!$Q$10:$U$1273,Y775)</f>
        <v>1027489.8400000001</v>
      </c>
      <c r="X775" s="139"/>
      <c r="Y775" s="3">
        <f t="shared" si="42"/>
        <v>766</v>
      </c>
      <c r="AA775" s="140">
        <v>2461177.54</v>
      </c>
      <c r="AC775" s="140">
        <f t="shared" si="43"/>
        <v>-1433687.7</v>
      </c>
      <c r="AE775" s="42">
        <f t="shared" si="44"/>
        <v>-0.58252103990840087</v>
      </c>
      <c r="AG775" s="162"/>
      <c r="AH775" s="10"/>
      <c r="AI775" s="10" t="s">
        <v>145</v>
      </c>
      <c r="AJ775" s="10"/>
    </row>
    <row r="776" spans="1:36">
      <c r="A776" s="137"/>
      <c r="B776" s="47"/>
      <c r="C776" s="47"/>
      <c r="D776" s="47"/>
      <c r="E776" s="7">
        <f>+G776-Adjustments!G776</f>
        <v>0</v>
      </c>
      <c r="F776" s="7"/>
      <c r="G776" s="7"/>
      <c r="H776" s="7"/>
      <c r="I776" s="7"/>
      <c r="J776" s="7">
        <f>+I776-'ROR-Model'!I776</f>
        <v>0</v>
      </c>
      <c r="K776" s="7"/>
      <c r="L776" s="7"/>
      <c r="M776" s="7"/>
      <c r="N776" s="7"/>
      <c r="O776" s="120"/>
      <c r="P776" s="126"/>
      <c r="Q776" s="7"/>
      <c r="R776" s="7"/>
      <c r="S776" s="126"/>
      <c r="T776" s="7"/>
      <c r="U776" s="7"/>
      <c r="V776" s="124"/>
      <c r="W776" s="7"/>
      <c r="X776" s="139"/>
      <c r="Y776" s="3">
        <f t="shared" si="42"/>
        <v>767</v>
      </c>
      <c r="AA776" s="7"/>
      <c r="AC776" s="7" t="str">
        <f t="shared" si="43"/>
        <v/>
      </c>
      <c r="AE776" s="42" t="str">
        <f t="shared" si="44"/>
        <v/>
      </c>
      <c r="AG776" s="162"/>
      <c r="AH776" s="10"/>
      <c r="AI776" s="10"/>
      <c r="AJ776" s="10"/>
    </row>
    <row r="777" spans="1:36">
      <c r="A777" s="137">
        <v>9033</v>
      </c>
      <c r="B777" s="47" t="s">
        <v>363</v>
      </c>
      <c r="C777" s="47"/>
      <c r="D777" s="47"/>
      <c r="E777" s="7">
        <f>+G777-Adjustments!G777</f>
        <v>0</v>
      </c>
      <c r="F777" s="7"/>
      <c r="G777" s="7"/>
      <c r="H777" s="7"/>
      <c r="I777" s="7"/>
      <c r="J777" s="7">
        <f>+I777-'ROR-Model'!I777</f>
        <v>0</v>
      </c>
      <c r="K777" s="7"/>
      <c r="L777" s="7"/>
      <c r="M777" s="7"/>
      <c r="N777" s="7"/>
      <c r="O777" s="120"/>
      <c r="P777" s="126"/>
      <c r="Q777" s="7"/>
      <c r="R777" s="7"/>
      <c r="S777" s="126"/>
      <c r="T777" s="7"/>
      <c r="U777" s="7"/>
      <c r="V777" s="124"/>
      <c r="W777" s="7"/>
      <c r="X777" s="139"/>
      <c r="Y777" s="3">
        <f t="shared" si="42"/>
        <v>768</v>
      </c>
      <c r="AA777" s="7"/>
      <c r="AC777" s="7" t="str">
        <f t="shared" si="43"/>
        <v/>
      </c>
      <c r="AE777" s="42" t="str">
        <f t="shared" si="44"/>
        <v/>
      </c>
      <c r="AG777" s="162">
        <v>9033</v>
      </c>
      <c r="AH777" s="10" t="s">
        <v>363</v>
      </c>
      <c r="AI777" s="10"/>
      <c r="AJ777" s="10"/>
    </row>
    <row r="778" spans="1:36">
      <c r="A778" s="137"/>
      <c r="B778" s="47"/>
      <c r="C778" s="47" t="s">
        <v>12</v>
      </c>
      <c r="D778" s="47"/>
      <c r="E778" s="7">
        <f>+G778-Adjustments!G778</f>
        <v>0</v>
      </c>
      <c r="F778" s="7">
        <f>EXPENSES!F269</f>
        <v>0</v>
      </c>
      <c r="G778" s="7">
        <f>+Adjustments!V777</f>
        <v>0</v>
      </c>
      <c r="H778" s="7"/>
      <c r="I778" s="7">
        <f>SUM($F$778:$H$778)</f>
        <v>0</v>
      </c>
      <c r="J778" s="7">
        <f>+I778-'ROR-Model'!I778</f>
        <v>0</v>
      </c>
      <c r="K778" s="7"/>
      <c r="L778" s="7" t="s">
        <v>12</v>
      </c>
      <c r="M778" s="7">
        <f>VLOOKUP($L778,$L$2:$N$7,2,FALSE)*I778</f>
        <v>0</v>
      </c>
      <c r="N778" s="7">
        <f>VLOOKUP($L778,$L$2:$N$7,3,FALSE)*I778</f>
        <v>0</v>
      </c>
      <c r="O778" s="120"/>
      <c r="P778" s="192" t="s">
        <v>510</v>
      </c>
      <c r="Q778" s="7">
        <f>IF(P778="G",M778,IF(P778="PT",0,ERR))</f>
        <v>0</v>
      </c>
      <c r="R778" s="7">
        <f>IF(P778="PT",M778,IF(P778="G",0,ERR))</f>
        <v>0</v>
      </c>
      <c r="S778" s="126" t="s">
        <v>510</v>
      </c>
      <c r="T778" s="7">
        <f>IF(S778="G",N778,IF(S778="PT",0,ERR))</f>
        <v>0</v>
      </c>
      <c r="U778" s="7">
        <f>IF(S778="PT",N778,IF(S778="G",0,ERR))</f>
        <v>0</v>
      </c>
      <c r="V778" s="124"/>
      <c r="W778" s="7">
        <f>HLOOKUP($W$9,'ROR-Model'!$Q$10:$U$1273,Y778)</f>
        <v>0</v>
      </c>
      <c r="X778" s="139"/>
      <c r="Y778" s="3">
        <f t="shared" si="42"/>
        <v>769</v>
      </c>
      <c r="AA778" s="7">
        <v>0</v>
      </c>
      <c r="AC778" s="7" t="str">
        <f t="shared" si="43"/>
        <v/>
      </c>
      <c r="AE778" s="42" t="str">
        <f t="shared" si="44"/>
        <v/>
      </c>
      <c r="AG778" s="162"/>
      <c r="AH778" s="10"/>
      <c r="AI778" s="10" t="s">
        <v>12</v>
      </c>
      <c r="AJ778" s="10"/>
    </row>
    <row r="779" spans="1:36">
      <c r="A779" s="137"/>
      <c r="B779" s="47"/>
      <c r="C779" s="47" t="s">
        <v>23</v>
      </c>
      <c r="D779" s="47"/>
      <c r="E779" s="7">
        <f>+G779-Adjustments!G779</f>
        <v>0</v>
      </c>
      <c r="F779" s="7">
        <f>EXPENSES!F270</f>
        <v>0</v>
      </c>
      <c r="G779" s="7">
        <f>+Adjustments!V778</f>
        <v>0</v>
      </c>
      <c r="H779" s="7"/>
      <c r="I779" s="7">
        <f>SUM($F$779:$H$779)</f>
        <v>0</v>
      </c>
      <c r="J779" s="7">
        <f>+I779-'ROR-Model'!I779</f>
        <v>0</v>
      </c>
      <c r="K779" s="7"/>
      <c r="L779" s="7" t="s">
        <v>23</v>
      </c>
      <c r="M779" s="7">
        <f>VLOOKUP($L779,$L$2:$N$7,2,FALSE)*I779</f>
        <v>0</v>
      </c>
      <c r="N779" s="7">
        <f>VLOOKUP($L779,$L$2:$N$7,3,FALSE)*I779</f>
        <v>0</v>
      </c>
      <c r="O779" s="120"/>
      <c r="P779" s="192" t="s">
        <v>510</v>
      </c>
      <c r="Q779" s="7">
        <f>IF(P779="G",M779,IF(P779="PT",0,ERR))</f>
        <v>0</v>
      </c>
      <c r="R779" s="7">
        <f>IF(P779="PT",M779,IF(P779="G",0,ERR))</f>
        <v>0</v>
      </c>
      <c r="S779" s="126" t="s">
        <v>510</v>
      </c>
      <c r="T779" s="7">
        <f>IF(S779="G",N779,IF(S779="PT",0,ERR))</f>
        <v>0</v>
      </c>
      <c r="U779" s="7">
        <f>IF(S779="PT",N779,IF(S779="G",0,ERR))</f>
        <v>0</v>
      </c>
      <c r="V779" s="124"/>
      <c r="W779" s="7">
        <f>HLOOKUP($W$9,'ROR-Model'!$Q$10:$U$1273,Y779)</f>
        <v>0</v>
      </c>
      <c r="X779" s="139"/>
      <c r="Y779" s="3">
        <f t="shared" si="42"/>
        <v>770</v>
      </c>
      <c r="AA779" s="7">
        <v>0</v>
      </c>
      <c r="AC779" s="7" t="str">
        <f t="shared" si="43"/>
        <v/>
      </c>
      <c r="AE779" s="42" t="str">
        <f t="shared" si="44"/>
        <v/>
      </c>
      <c r="AG779" s="162"/>
      <c r="AH779" s="10"/>
      <c r="AI779" s="10" t="s">
        <v>23</v>
      </c>
      <c r="AJ779" s="10"/>
    </row>
    <row r="780" spans="1:36">
      <c r="A780" s="137"/>
      <c r="B780" s="47"/>
      <c r="C780" s="47" t="s">
        <v>145</v>
      </c>
      <c r="D780" s="47"/>
      <c r="E780" s="140">
        <f>+G780-Adjustments!G780</f>
        <v>0</v>
      </c>
      <c r="F780" s="140">
        <f>SUM(F778:F779)</f>
        <v>0</v>
      </c>
      <c r="G780" s="140">
        <f>SUM(G778:G779)</f>
        <v>0</v>
      </c>
      <c r="H780" s="140">
        <f>SUM(H778:H779)</f>
        <v>0</v>
      </c>
      <c r="I780" s="140">
        <f>SUM(I778:I779)</f>
        <v>0</v>
      </c>
      <c r="J780" s="7">
        <f>+I780-'ROR-Model'!I780</f>
        <v>0</v>
      </c>
      <c r="K780" s="7"/>
      <c r="L780" s="140"/>
      <c r="M780" s="140">
        <f>SUM(M778:M779)</f>
        <v>0</v>
      </c>
      <c r="N780" s="140">
        <f>SUM(N778:N779)</f>
        <v>0</v>
      </c>
      <c r="O780" s="120"/>
      <c r="P780" s="201"/>
      <c r="Q780" s="140">
        <f>SUM(Q778:Q779)</f>
        <v>0</v>
      </c>
      <c r="R780" s="140">
        <f>SUM(R778:R779)</f>
        <v>0</v>
      </c>
      <c r="S780" s="201"/>
      <c r="T780" s="140">
        <f>SUM(T778:T779)</f>
        <v>0</v>
      </c>
      <c r="U780" s="140">
        <f>SUM(U778:U779)</f>
        <v>0</v>
      </c>
      <c r="V780" s="124"/>
      <c r="W780" s="140">
        <f>HLOOKUP($W$9,'ROR-Model'!$Q$10:$U$1273,Y780)</f>
        <v>0</v>
      </c>
      <c r="X780" s="139"/>
      <c r="Y780" s="3">
        <f t="shared" si="42"/>
        <v>771</v>
      </c>
      <c r="AA780" s="140">
        <v>0</v>
      </c>
      <c r="AC780" s="140" t="str">
        <f t="shared" si="43"/>
        <v/>
      </c>
      <c r="AE780" s="42" t="str">
        <f t="shared" si="44"/>
        <v/>
      </c>
      <c r="AG780" s="162"/>
      <c r="AH780" s="10"/>
      <c r="AI780" s="10" t="s">
        <v>145</v>
      </c>
      <c r="AJ780" s="10"/>
    </row>
    <row r="781" spans="1:36">
      <c r="A781" s="137"/>
      <c r="B781" s="47"/>
      <c r="C781" s="47"/>
      <c r="D781" s="47"/>
      <c r="E781" s="7">
        <f>+G781-Adjustments!G781</f>
        <v>0</v>
      </c>
      <c r="F781" s="7"/>
      <c r="G781" s="7"/>
      <c r="H781" s="7"/>
      <c r="I781" s="7"/>
      <c r="J781" s="7">
        <f>+I781-'ROR-Model'!I781</f>
        <v>0</v>
      </c>
      <c r="K781" s="7"/>
      <c r="L781" s="7"/>
      <c r="M781" s="7"/>
      <c r="N781" s="7"/>
      <c r="O781" s="120"/>
      <c r="P781" s="126"/>
      <c r="Q781" s="7"/>
      <c r="R781" s="7"/>
      <c r="S781" s="126"/>
      <c r="T781" s="7"/>
      <c r="U781" s="7"/>
      <c r="V781" s="124"/>
      <c r="W781" s="7"/>
      <c r="X781" s="139"/>
      <c r="Y781" s="3">
        <f t="shared" si="42"/>
        <v>772</v>
      </c>
      <c r="AA781" s="7"/>
      <c r="AC781" s="7" t="str">
        <f t="shared" si="43"/>
        <v/>
      </c>
      <c r="AE781" s="42" t="str">
        <f t="shared" si="44"/>
        <v/>
      </c>
      <c r="AG781" s="162"/>
      <c r="AH781" s="10"/>
      <c r="AI781" s="10"/>
      <c r="AJ781" s="10"/>
    </row>
    <row r="782" spans="1:36">
      <c r="A782" s="137" t="s">
        <v>0</v>
      </c>
      <c r="B782" s="47" t="s">
        <v>20</v>
      </c>
      <c r="C782" s="47"/>
      <c r="D782" s="47"/>
      <c r="E782" s="7">
        <f>+G782-Adjustments!G782</f>
        <v>0</v>
      </c>
      <c r="F782" s="7"/>
      <c r="G782" s="7"/>
      <c r="H782" s="7"/>
      <c r="I782" s="7"/>
      <c r="J782" s="7">
        <f>+I782-'ROR-Model'!I782</f>
        <v>0</v>
      </c>
      <c r="K782" s="7"/>
      <c r="L782" s="7"/>
      <c r="M782" s="7"/>
      <c r="N782" s="7"/>
      <c r="O782" s="120"/>
      <c r="P782" s="126"/>
      <c r="Q782" s="7"/>
      <c r="R782" s="7"/>
      <c r="S782" s="126"/>
      <c r="T782" s="7"/>
      <c r="U782" s="7"/>
      <c r="V782" s="124"/>
      <c r="W782" s="7"/>
      <c r="X782" s="139"/>
      <c r="Y782" s="3">
        <f t="shared" ref="Y782:Y845" si="46">Y781+1</f>
        <v>773</v>
      </c>
      <c r="AA782" s="7"/>
      <c r="AC782" s="7" t="str">
        <f t="shared" si="43"/>
        <v/>
      </c>
      <c r="AE782" s="42" t="str">
        <f t="shared" si="44"/>
        <v/>
      </c>
      <c r="AG782" s="162" t="s">
        <v>0</v>
      </c>
      <c r="AH782" s="10" t="s">
        <v>20</v>
      </c>
      <c r="AI782" s="10"/>
      <c r="AJ782" s="10"/>
    </row>
    <row r="783" spans="1:36">
      <c r="A783" s="137"/>
      <c r="B783" s="47"/>
      <c r="C783" s="47" t="s">
        <v>12</v>
      </c>
      <c r="D783" s="47"/>
      <c r="E783" s="7">
        <f>+G783-Adjustments!G783</f>
        <v>197298.66307491087</v>
      </c>
      <c r="F783" s="7">
        <f>EXPENSES!F274</f>
        <v>827138.16999999993</v>
      </c>
      <c r="G783" s="7">
        <f>+Adjustments!V782</f>
        <v>197298.66307491087</v>
      </c>
      <c r="H783" s="7"/>
      <c r="I783" s="7">
        <f>SUM($F$783:$H$783)</f>
        <v>1024436.8330749108</v>
      </c>
      <c r="J783" s="7">
        <f>+I783-'ROR-Model'!I783</f>
        <v>0</v>
      </c>
      <c r="K783" s="7"/>
      <c r="L783" s="7" t="s">
        <v>12</v>
      </c>
      <c r="M783" s="7">
        <f>VLOOKUP($L783,$L$2:$N$7,2,FALSE)*I783</f>
        <v>1024436.8330749108</v>
      </c>
      <c r="N783" s="7">
        <f>VLOOKUP($L783,$L$2:$N$7,3,FALSE)*I783</f>
        <v>0</v>
      </c>
      <c r="O783" s="120"/>
      <c r="P783" s="192" t="s">
        <v>510</v>
      </c>
      <c r="Q783" s="7">
        <f>IF(P783="G",M783,IF(P783="PT",0,ERR))</f>
        <v>1024436.8330749108</v>
      </c>
      <c r="R783" s="7">
        <f>IF(P783="PT",M783,IF(P783="G",0,ERR))</f>
        <v>0</v>
      </c>
      <c r="S783" s="126" t="s">
        <v>510</v>
      </c>
      <c r="T783" s="7">
        <f>IF(S783="G",N783,IF(S783="PT",0,ERR))</f>
        <v>0</v>
      </c>
      <c r="U783" s="7">
        <f>IF(S783="PT",N783,IF(S783="G",0,ERR))</f>
        <v>0</v>
      </c>
      <c r="V783" s="124"/>
      <c r="W783" s="7">
        <f>HLOOKUP($W$9,'ROR-Model'!$Q$10:$U$1273,Y783)</f>
        <v>1024436.8330749108</v>
      </c>
      <c r="X783" s="139"/>
      <c r="Y783" s="3">
        <f t="shared" si="46"/>
        <v>774</v>
      </c>
      <c r="AA783" s="7">
        <v>888153.95381286286</v>
      </c>
      <c r="AC783" s="7">
        <f t="shared" si="43"/>
        <v>136282.87926204794</v>
      </c>
      <c r="AE783" s="42">
        <f t="shared" si="44"/>
        <v>0.15344510788583757</v>
      </c>
      <c r="AG783" s="162"/>
      <c r="AH783" s="10"/>
      <c r="AI783" s="10" t="s">
        <v>12</v>
      </c>
      <c r="AJ783" s="10"/>
    </row>
    <row r="784" spans="1:36">
      <c r="A784" s="137"/>
      <c r="B784" s="47"/>
      <c r="C784" s="47" t="s">
        <v>23</v>
      </c>
      <c r="D784" s="47"/>
      <c r="E784" s="7">
        <f>+G784-Adjustments!G784</f>
        <v>-65820.193299322476</v>
      </c>
      <c r="F784" s="7">
        <f>EXPENSES!F275</f>
        <v>94438.35</v>
      </c>
      <c r="G784" s="7">
        <f>+Adjustments!V783</f>
        <v>-65820.193299322476</v>
      </c>
      <c r="H784" s="7"/>
      <c r="I784" s="7">
        <f>SUM($F$784:$H$784)</f>
        <v>28618.156700677529</v>
      </c>
      <c r="J784" s="7">
        <f>+I784-'ROR-Model'!I784</f>
        <v>0</v>
      </c>
      <c r="K784" s="7"/>
      <c r="L784" s="7" t="s">
        <v>23</v>
      </c>
      <c r="M784" s="7">
        <f>VLOOKUP($L784,$L$2:$N$7,2,FALSE)*I784</f>
        <v>0</v>
      </c>
      <c r="N784" s="7">
        <f>VLOOKUP($L784,$L$2:$N$7,3,FALSE)*I784</f>
        <v>28618.156700677529</v>
      </c>
      <c r="O784" s="120"/>
      <c r="P784" s="192" t="s">
        <v>510</v>
      </c>
      <c r="Q784" s="7">
        <f>IF(P784="G",M784,IF(P784="PT",0,ERR))</f>
        <v>0</v>
      </c>
      <c r="R784" s="7">
        <f>IF(P784="PT",M784,IF(P784="G",0,ERR))</f>
        <v>0</v>
      </c>
      <c r="S784" s="126" t="s">
        <v>510</v>
      </c>
      <c r="T784" s="7">
        <f>IF(S784="G",N784,IF(S784="PT",0,ERR))</f>
        <v>28618.156700677529</v>
      </c>
      <c r="U784" s="7">
        <f>IF(S784="PT",N784,IF(S784="G",0,ERR))</f>
        <v>0</v>
      </c>
      <c r="V784" s="124"/>
      <c r="W784" s="7">
        <f>HLOOKUP($W$9,'ROR-Model'!$Q$10:$U$1273,Y784)</f>
        <v>0</v>
      </c>
      <c r="X784" s="139"/>
      <c r="Y784" s="3">
        <f t="shared" si="46"/>
        <v>775</v>
      </c>
      <c r="AA784" s="7">
        <v>0</v>
      </c>
      <c r="AC784" s="7" t="str">
        <f t="shared" si="43"/>
        <v/>
      </c>
      <c r="AE784" s="42" t="str">
        <f t="shared" si="44"/>
        <v/>
      </c>
      <c r="AG784" s="162"/>
      <c r="AH784" s="10"/>
      <c r="AI784" s="10" t="s">
        <v>23</v>
      </c>
      <c r="AJ784" s="10"/>
    </row>
    <row r="785" spans="1:36">
      <c r="A785" s="137"/>
      <c r="B785" s="47"/>
      <c r="C785" s="47" t="s">
        <v>145</v>
      </c>
      <c r="D785" s="47"/>
      <c r="E785" s="140">
        <f>+G785-Adjustments!G785</f>
        <v>131478.4697755884</v>
      </c>
      <c r="F785" s="140">
        <f>SUM(F783:F784)</f>
        <v>921576.5199999999</v>
      </c>
      <c r="G785" s="140">
        <f>SUM(G783:G784)</f>
        <v>131478.4697755884</v>
      </c>
      <c r="H785" s="140">
        <f>SUM(H783:H784)</f>
        <v>0</v>
      </c>
      <c r="I785" s="140">
        <f>SUM(I783:I784)</f>
        <v>1053054.9897755883</v>
      </c>
      <c r="J785" s="7">
        <f>+I785-'ROR-Model'!I785</f>
        <v>0</v>
      </c>
      <c r="K785" s="7"/>
      <c r="L785" s="140"/>
      <c r="M785" s="140">
        <f>SUM(M783:M784)</f>
        <v>1024436.8330749108</v>
      </c>
      <c r="N785" s="140">
        <f>SUM(N783:N784)</f>
        <v>28618.156700677529</v>
      </c>
      <c r="O785" s="120"/>
      <c r="P785" s="201"/>
      <c r="Q785" s="140">
        <f>SUM(Q783:Q784)</f>
        <v>1024436.8330749108</v>
      </c>
      <c r="R785" s="140">
        <f>SUM(R783:R784)</f>
        <v>0</v>
      </c>
      <c r="S785" s="201"/>
      <c r="T785" s="140">
        <f>SUM(T783:T784)</f>
        <v>28618.156700677529</v>
      </c>
      <c r="U785" s="140">
        <f>SUM(U783:U784)</f>
        <v>0</v>
      </c>
      <c r="V785" s="124"/>
      <c r="W785" s="140">
        <f>HLOOKUP($W$9,'ROR-Model'!$Q$10:$U$1273,Y785)</f>
        <v>1024436.8330749108</v>
      </c>
      <c r="X785" s="139"/>
      <c r="Y785" s="3">
        <f t="shared" si="46"/>
        <v>776</v>
      </c>
      <c r="AA785" s="140">
        <v>888153.95381286286</v>
      </c>
      <c r="AC785" s="140">
        <f t="shared" ref="AC785:AC848" si="47">IF(ABS(AA785)&gt;0,W785-AA785,"")</f>
        <v>136282.87926204794</v>
      </c>
      <c r="AE785" s="42">
        <f t="shared" si="44"/>
        <v>0.15344510788583757</v>
      </c>
      <c r="AG785" s="162"/>
      <c r="AH785" s="10"/>
      <c r="AI785" s="10" t="s">
        <v>145</v>
      </c>
      <c r="AJ785" s="10"/>
    </row>
    <row r="786" spans="1:36">
      <c r="A786" s="137"/>
      <c r="B786" s="47"/>
      <c r="C786" s="47"/>
      <c r="D786" s="47"/>
      <c r="E786" s="7">
        <f>+G786-Adjustments!G786</f>
        <v>0</v>
      </c>
      <c r="F786" s="7"/>
      <c r="G786" s="7"/>
      <c r="H786" s="7"/>
      <c r="I786" s="7"/>
      <c r="J786" s="7">
        <f>+I786-'ROR-Model'!I786</f>
        <v>0</v>
      </c>
      <c r="K786" s="7"/>
      <c r="L786" s="7"/>
      <c r="M786" s="7"/>
      <c r="N786" s="7"/>
      <c r="O786" s="120"/>
      <c r="P786" s="126"/>
      <c r="Q786" s="7"/>
      <c r="R786" s="7"/>
      <c r="S786" s="126"/>
      <c r="T786" s="7"/>
      <c r="U786" s="7"/>
      <c r="V786" s="124"/>
      <c r="W786" s="7"/>
      <c r="X786" s="139"/>
      <c r="Y786" s="3">
        <f t="shared" si="46"/>
        <v>777</v>
      </c>
      <c r="AA786" s="7"/>
      <c r="AC786" s="7" t="str">
        <f t="shared" si="47"/>
        <v/>
      </c>
      <c r="AE786" s="42" t="str">
        <f t="shared" ref="AE786:AE849" si="48">IF(ABS(AA786)&gt;0,AC786/AA786,"")</f>
        <v/>
      </c>
      <c r="AG786" s="162"/>
      <c r="AH786" s="10"/>
      <c r="AI786" s="10"/>
      <c r="AJ786" s="10"/>
    </row>
    <row r="787" spans="1:36">
      <c r="A787" s="137" t="s">
        <v>1</v>
      </c>
      <c r="B787" s="47" t="s">
        <v>21</v>
      </c>
      <c r="C787" s="47"/>
      <c r="D787" s="47"/>
      <c r="E787" s="7">
        <f>+G787-Adjustments!G787</f>
        <v>0</v>
      </c>
      <c r="F787" s="7"/>
      <c r="G787" s="7"/>
      <c r="H787" s="7"/>
      <c r="I787" s="7"/>
      <c r="J787" s="7">
        <f>+I787-'ROR-Model'!I787</f>
        <v>0</v>
      </c>
      <c r="K787" s="7"/>
      <c r="L787" s="7"/>
      <c r="M787" s="7"/>
      <c r="N787" s="7"/>
      <c r="O787" s="120"/>
      <c r="P787" s="126"/>
      <c r="Q787" s="7"/>
      <c r="R787" s="7"/>
      <c r="S787" s="126"/>
      <c r="T787" s="7"/>
      <c r="U787" s="7"/>
      <c r="V787" s="124"/>
      <c r="W787" s="7"/>
      <c r="X787" s="139"/>
      <c r="Y787" s="3">
        <f t="shared" si="46"/>
        <v>778</v>
      </c>
      <c r="AA787" s="7"/>
      <c r="AC787" s="7" t="str">
        <f t="shared" si="47"/>
        <v/>
      </c>
      <c r="AE787" s="42" t="str">
        <f t="shared" si="48"/>
        <v/>
      </c>
      <c r="AG787" s="162" t="s">
        <v>1</v>
      </c>
      <c r="AH787" s="10" t="s">
        <v>21</v>
      </c>
      <c r="AI787" s="10"/>
      <c r="AJ787" s="10"/>
    </row>
    <row r="788" spans="1:36">
      <c r="A788" s="137"/>
      <c r="B788" s="47"/>
      <c r="C788" s="47" t="s">
        <v>12</v>
      </c>
      <c r="D788" s="47"/>
      <c r="E788" s="7">
        <f>+G788-Adjustments!G788</f>
        <v>-201407.35999999999</v>
      </c>
      <c r="F788" s="7">
        <f>EXPENSES!F279</f>
        <v>201407.35999999999</v>
      </c>
      <c r="G788" s="7">
        <f>+Adjustments!V787</f>
        <v>-201407.35999999999</v>
      </c>
      <c r="H788" s="7"/>
      <c r="I788" s="7">
        <f>SUM(F788:H788)</f>
        <v>0</v>
      </c>
      <c r="J788" s="7">
        <f>+I788-'ROR-Model'!I788</f>
        <v>0</v>
      </c>
      <c r="K788" s="7"/>
      <c r="L788" s="7" t="s">
        <v>12</v>
      </c>
      <c r="M788" s="7">
        <f>VLOOKUP($L788,$L$2:$N$7,2,FALSE)*I788</f>
        <v>0</v>
      </c>
      <c r="N788" s="7">
        <f>VLOOKUP($L788,$L$2:$N$7,3,FALSE)*I788</f>
        <v>0</v>
      </c>
      <c r="O788" s="120"/>
      <c r="P788" s="421" t="s">
        <v>509</v>
      </c>
      <c r="Q788" s="7">
        <f>IF(P788="G",M788,IF(P788="PT",0,ERR))</f>
        <v>0</v>
      </c>
      <c r="R788" s="7">
        <f>IF(P788="PT",M788,IF(P788="G",0,ERR))</f>
        <v>0</v>
      </c>
      <c r="S788" s="475" t="s">
        <v>509</v>
      </c>
      <c r="T788" s="7">
        <f>IF(S788="G",N788,IF(S788="PT",0,ERR))</f>
        <v>0</v>
      </c>
      <c r="U788" s="7">
        <f>IF(S788="PT",N788,IF(S788="G",0,ERR))</f>
        <v>0</v>
      </c>
      <c r="V788" s="124"/>
      <c r="W788" s="7">
        <f>HLOOKUP($W$9,'ROR-Model'!$Q$10:$U$1273,Y788)</f>
        <v>0</v>
      </c>
      <c r="X788" s="139"/>
      <c r="Y788" s="3">
        <f t="shared" si="46"/>
        <v>779</v>
      </c>
      <c r="AA788" s="7">
        <v>0</v>
      </c>
      <c r="AC788" s="7" t="str">
        <f t="shared" si="47"/>
        <v/>
      </c>
      <c r="AE788" s="42" t="str">
        <f t="shared" si="48"/>
        <v/>
      </c>
      <c r="AG788" s="162"/>
      <c r="AH788" s="10"/>
      <c r="AI788" s="10" t="s">
        <v>12</v>
      </c>
      <c r="AJ788" s="10"/>
    </row>
    <row r="789" spans="1:36">
      <c r="A789" s="137"/>
      <c r="B789" s="47"/>
      <c r="C789" s="47" t="s">
        <v>23</v>
      </c>
      <c r="D789" s="47"/>
      <c r="E789" s="7">
        <f>+G789-Adjustments!G789</f>
        <v>0</v>
      </c>
      <c r="F789" s="7">
        <f>EXPENSES!F280</f>
        <v>0</v>
      </c>
      <c r="G789" s="7">
        <f>+Adjustments!V788</f>
        <v>0</v>
      </c>
      <c r="H789" s="7"/>
      <c r="I789" s="7">
        <f>SUM(F789:H789)</f>
        <v>0</v>
      </c>
      <c r="J789" s="7">
        <f>+I789-'ROR-Model'!I789</f>
        <v>0</v>
      </c>
      <c r="K789" s="7"/>
      <c r="L789" s="7" t="s">
        <v>23</v>
      </c>
      <c r="M789" s="7">
        <f>VLOOKUP($L789,$L$2:$N$7,2,FALSE)*I789</f>
        <v>0</v>
      </c>
      <c r="N789" s="7">
        <f>VLOOKUP($L789,$L$2:$N$7,3,FALSE)*I789</f>
        <v>0</v>
      </c>
      <c r="O789" s="120"/>
      <c r="P789" s="421" t="s">
        <v>509</v>
      </c>
      <c r="Q789" s="7">
        <f>IF(P789="G",M789,IF(P789="PT",0,ERR))</f>
        <v>0</v>
      </c>
      <c r="R789" s="7">
        <f>IF(P789="PT",M789,IF(P789="G",0,ERR))</f>
        <v>0</v>
      </c>
      <c r="S789" s="475" t="s">
        <v>509</v>
      </c>
      <c r="T789" s="7">
        <f>IF(S789="G",N789,IF(S789="PT",0,ERR))</f>
        <v>0</v>
      </c>
      <c r="U789" s="7">
        <f>IF(S789="PT",N789,IF(S789="G",0,ERR))</f>
        <v>0</v>
      </c>
      <c r="V789" s="124"/>
      <c r="W789" s="7">
        <f>HLOOKUP($W$9,'ROR-Model'!$Q$10:$U$1273,Y789)</f>
        <v>0</v>
      </c>
      <c r="X789" s="139"/>
      <c r="Y789" s="3">
        <f t="shared" si="46"/>
        <v>780</v>
      </c>
      <c r="AA789" s="7">
        <v>0</v>
      </c>
      <c r="AC789" s="7" t="str">
        <f t="shared" si="47"/>
        <v/>
      </c>
      <c r="AE789" s="42" t="str">
        <f t="shared" si="48"/>
        <v/>
      </c>
      <c r="AG789" s="162"/>
      <c r="AH789" s="10"/>
      <c r="AI789" s="10" t="s">
        <v>23</v>
      </c>
      <c r="AJ789" s="10"/>
    </row>
    <row r="790" spans="1:36">
      <c r="A790" s="137"/>
      <c r="B790" s="47"/>
      <c r="C790" s="47" t="s">
        <v>145</v>
      </c>
      <c r="D790" s="47"/>
      <c r="E790" s="140">
        <f>+G790-Adjustments!G790</f>
        <v>-201407.35999999999</v>
      </c>
      <c r="F790" s="140">
        <f>SUM(F788:F789)</f>
        <v>201407.35999999999</v>
      </c>
      <c r="G790" s="140">
        <f>SUM(G788:G789)</f>
        <v>-201407.35999999999</v>
      </c>
      <c r="H790" s="140">
        <f>SUM(H788:H789)</f>
        <v>0</v>
      </c>
      <c r="I790" s="140">
        <f>SUM(I788:I789)</f>
        <v>0</v>
      </c>
      <c r="J790" s="7">
        <f>+I790-'ROR-Model'!I790</f>
        <v>0</v>
      </c>
      <c r="K790" s="7"/>
      <c r="L790" s="140"/>
      <c r="M790" s="140">
        <f>SUM(M788:M789)</f>
        <v>0</v>
      </c>
      <c r="N790" s="140">
        <f>SUM(N788:N789)</f>
        <v>0</v>
      </c>
      <c r="O790" s="120"/>
      <c r="P790" s="201"/>
      <c r="Q790" s="140">
        <f>SUM(Q788:Q789)</f>
        <v>0</v>
      </c>
      <c r="R790" s="140">
        <f>SUM(R788:R789)</f>
        <v>0</v>
      </c>
      <c r="S790" s="201"/>
      <c r="T790" s="140">
        <f>SUM(T788:T789)</f>
        <v>0</v>
      </c>
      <c r="U790" s="140">
        <f>SUM(U788:U789)</f>
        <v>0</v>
      </c>
      <c r="V790" s="124"/>
      <c r="W790" s="140">
        <f>HLOOKUP($W$9,'ROR-Model'!$Q$10:$U$1273,Y790)</f>
        <v>0</v>
      </c>
      <c r="X790" s="139"/>
      <c r="Y790" s="3">
        <f t="shared" si="46"/>
        <v>781</v>
      </c>
      <c r="AA790" s="140">
        <v>0</v>
      </c>
      <c r="AC790" s="140" t="str">
        <f t="shared" si="47"/>
        <v/>
      </c>
      <c r="AE790" s="42" t="str">
        <f t="shared" si="48"/>
        <v/>
      </c>
      <c r="AG790" s="162"/>
      <c r="AH790" s="10"/>
      <c r="AI790" s="10" t="s">
        <v>145</v>
      </c>
      <c r="AJ790" s="10"/>
    </row>
    <row r="791" spans="1:36">
      <c r="A791" s="137"/>
      <c r="B791" s="47"/>
      <c r="C791" s="47"/>
      <c r="D791" s="47"/>
      <c r="E791" s="7">
        <f>+G791-Adjustments!G791</f>
        <v>0</v>
      </c>
      <c r="F791" s="7"/>
      <c r="G791" s="7"/>
      <c r="H791" s="7"/>
      <c r="I791" s="7"/>
      <c r="J791" s="7">
        <f>+I791-'ROR-Model'!I791</f>
        <v>0</v>
      </c>
      <c r="K791" s="7"/>
      <c r="L791" s="7"/>
      <c r="M791" s="7"/>
      <c r="N791" s="7"/>
      <c r="O791" s="120"/>
      <c r="P791" s="126"/>
      <c r="Q791" s="7"/>
      <c r="R791" s="7"/>
      <c r="S791" s="126"/>
      <c r="T791" s="7"/>
      <c r="U791" s="7"/>
      <c r="V791" s="124"/>
      <c r="W791" s="7"/>
      <c r="X791" s="139"/>
      <c r="Y791" s="3">
        <f t="shared" si="46"/>
        <v>782</v>
      </c>
      <c r="AA791" s="7"/>
      <c r="AC791" s="7" t="str">
        <f t="shared" si="47"/>
        <v/>
      </c>
      <c r="AE791" s="42" t="str">
        <f t="shared" si="48"/>
        <v/>
      </c>
      <c r="AG791" s="162"/>
      <c r="AH791" s="10"/>
      <c r="AI791" s="10"/>
      <c r="AJ791" s="10"/>
    </row>
    <row r="792" spans="1:36">
      <c r="A792" s="137" t="s">
        <v>2</v>
      </c>
      <c r="B792" s="47" t="s">
        <v>22</v>
      </c>
      <c r="C792" s="47"/>
      <c r="D792" s="47"/>
      <c r="E792" s="7">
        <f>+G792-Adjustments!G792</f>
        <v>0</v>
      </c>
      <c r="F792" s="7"/>
      <c r="G792" s="7"/>
      <c r="H792" s="7"/>
      <c r="I792" s="7"/>
      <c r="J792" s="7">
        <f>+I792-'ROR-Model'!I792</f>
        <v>0</v>
      </c>
      <c r="K792" s="7"/>
      <c r="L792" s="7"/>
      <c r="M792" s="7"/>
      <c r="N792" s="7"/>
      <c r="O792" s="120"/>
      <c r="P792" s="126"/>
      <c r="Q792" s="7"/>
      <c r="R792" s="7"/>
      <c r="S792" s="126"/>
      <c r="T792" s="7"/>
      <c r="U792" s="7"/>
      <c r="V792" s="124"/>
      <c r="W792" s="7"/>
      <c r="X792" s="139"/>
      <c r="Y792" s="3">
        <f t="shared" si="46"/>
        <v>783</v>
      </c>
      <c r="AA792" s="7"/>
      <c r="AC792" s="7" t="str">
        <f t="shared" si="47"/>
        <v/>
      </c>
      <c r="AE792" s="42" t="str">
        <f t="shared" si="48"/>
        <v/>
      </c>
      <c r="AG792" s="162" t="s">
        <v>2</v>
      </c>
      <c r="AH792" s="10" t="s">
        <v>22</v>
      </c>
      <c r="AI792" s="10"/>
      <c r="AJ792" s="10"/>
    </row>
    <row r="793" spans="1:36">
      <c r="A793" s="137"/>
      <c r="B793" s="47"/>
      <c r="C793" s="47" t="s">
        <v>12</v>
      </c>
      <c r="D793" s="47"/>
      <c r="E793" s="7">
        <f>+G793-Adjustments!G793</f>
        <v>-1836475.2000000002</v>
      </c>
      <c r="F793" s="7">
        <f>EXPENSES!F284</f>
        <v>1836475.2000000002</v>
      </c>
      <c r="G793" s="7">
        <f>+Adjustments!V792</f>
        <v>-1836475.2000000002</v>
      </c>
      <c r="H793" s="7"/>
      <c r="I793" s="7">
        <f>SUM(F793:H793)</f>
        <v>0</v>
      </c>
      <c r="J793" s="7">
        <f>+I793-'ROR-Model'!I793</f>
        <v>0</v>
      </c>
      <c r="K793" s="7"/>
      <c r="L793" s="7" t="s">
        <v>12</v>
      </c>
      <c r="M793" s="7">
        <f>VLOOKUP($L793,$L$2:$N$7,2,FALSE)*I793</f>
        <v>0</v>
      </c>
      <c r="N793" s="7">
        <f>VLOOKUP($L793,$L$2:$N$7,3,FALSE)*I793</f>
        <v>0</v>
      </c>
      <c r="O793" s="120"/>
      <c r="P793" s="421" t="s">
        <v>509</v>
      </c>
      <c r="Q793" s="7">
        <f>IF(P793="G",M793,IF(P793="PT",0,ERR))</f>
        <v>0</v>
      </c>
      <c r="R793" s="7">
        <f>IF(P793="PT",M793,IF(P793="G",0,ERR))</f>
        <v>0</v>
      </c>
      <c r="S793" s="475" t="s">
        <v>509</v>
      </c>
      <c r="T793" s="7">
        <f>IF(S793="G",N793,IF(S793="PT",0,ERR))</f>
        <v>0</v>
      </c>
      <c r="U793" s="7">
        <f>IF(S793="PT",N793,IF(S793="G",0,ERR))</f>
        <v>0</v>
      </c>
      <c r="V793" s="124"/>
      <c r="W793" s="7">
        <f>HLOOKUP($W$9,'ROR-Model'!$Q$10:$U$1273,Y793)</f>
        <v>0</v>
      </c>
      <c r="X793" s="139"/>
      <c r="Y793" s="3">
        <f t="shared" si="46"/>
        <v>784</v>
      </c>
      <c r="AA793" s="7">
        <v>0</v>
      </c>
      <c r="AC793" s="7" t="str">
        <f t="shared" si="47"/>
        <v/>
      </c>
      <c r="AE793" s="42" t="str">
        <f t="shared" si="48"/>
        <v/>
      </c>
      <c r="AG793" s="162"/>
      <c r="AH793" s="10"/>
      <c r="AI793" s="10" t="s">
        <v>12</v>
      </c>
      <c r="AJ793" s="10"/>
    </row>
    <row r="794" spans="1:36">
      <c r="A794" s="137"/>
      <c r="B794" s="47"/>
      <c r="C794" s="47" t="s">
        <v>23</v>
      </c>
      <c r="D794" s="47"/>
      <c r="E794" s="7">
        <f>+G794-Adjustments!G794</f>
        <v>0</v>
      </c>
      <c r="F794" s="7">
        <f>EXPENSES!F285</f>
        <v>0</v>
      </c>
      <c r="G794" s="7">
        <f>+Adjustments!V793</f>
        <v>0</v>
      </c>
      <c r="H794" s="7"/>
      <c r="I794" s="7">
        <f>SUM(F794:H794)</f>
        <v>0</v>
      </c>
      <c r="J794" s="7">
        <f>+I794-'ROR-Model'!I794</f>
        <v>0</v>
      </c>
      <c r="K794" s="7"/>
      <c r="L794" s="7" t="s">
        <v>23</v>
      </c>
      <c r="M794" s="7">
        <f>VLOOKUP($L794,$L$2:$N$7,2,FALSE)*I794</f>
        <v>0</v>
      </c>
      <c r="N794" s="7">
        <f>VLOOKUP($L794,$L$2:$N$7,3,FALSE)*I794</f>
        <v>0</v>
      </c>
      <c r="O794" s="120"/>
      <c r="P794" s="421" t="s">
        <v>509</v>
      </c>
      <c r="Q794" s="7">
        <f>IF(P794="G",M794,IF(P794="PT",0,ERR))</f>
        <v>0</v>
      </c>
      <c r="R794" s="7">
        <f>IF(P794="PT",M794,IF(P794="G",0,ERR))</f>
        <v>0</v>
      </c>
      <c r="S794" s="475" t="s">
        <v>509</v>
      </c>
      <c r="T794" s="7">
        <f>IF(S794="G",N794,IF(S794="PT",0,ERR))</f>
        <v>0</v>
      </c>
      <c r="U794" s="7">
        <f>IF(S794="PT",N794,IF(S794="G",0,ERR))</f>
        <v>0</v>
      </c>
      <c r="V794" s="124"/>
      <c r="W794" s="7">
        <f>HLOOKUP($W$9,'ROR-Model'!$Q$10:$U$1273,Y794)</f>
        <v>0</v>
      </c>
      <c r="X794" s="139"/>
      <c r="Y794" s="3">
        <f t="shared" si="46"/>
        <v>785</v>
      </c>
      <c r="AA794" s="7">
        <v>0</v>
      </c>
      <c r="AC794" s="7" t="str">
        <f t="shared" si="47"/>
        <v/>
      </c>
      <c r="AE794" s="42" t="str">
        <f t="shared" si="48"/>
        <v/>
      </c>
      <c r="AG794" s="162"/>
      <c r="AH794" s="10"/>
      <c r="AI794" s="10" t="s">
        <v>23</v>
      </c>
      <c r="AJ794" s="10"/>
    </row>
    <row r="795" spans="1:36">
      <c r="A795" s="137"/>
      <c r="B795" s="47"/>
      <c r="C795" s="47" t="s">
        <v>145</v>
      </c>
      <c r="D795" s="47"/>
      <c r="E795" s="140">
        <f>+G795-Adjustments!G795</f>
        <v>-1836475.2000000002</v>
      </c>
      <c r="F795" s="140">
        <f>SUM(F793:F794)</f>
        <v>1836475.2000000002</v>
      </c>
      <c r="G795" s="140">
        <f>SUM(G793:G794)</f>
        <v>-1836475.2000000002</v>
      </c>
      <c r="H795" s="140">
        <f>SUM(H793:H794)</f>
        <v>0</v>
      </c>
      <c r="I795" s="140">
        <f>SUM(I793:I794)</f>
        <v>0</v>
      </c>
      <c r="J795" s="7">
        <f>+I795-'ROR-Model'!I795</f>
        <v>0</v>
      </c>
      <c r="K795" s="7"/>
      <c r="L795" s="140"/>
      <c r="M795" s="140">
        <f>SUM(M793:M794)</f>
        <v>0</v>
      </c>
      <c r="N795" s="140">
        <f>SUM(N793:N794)</f>
        <v>0</v>
      </c>
      <c r="O795" s="120"/>
      <c r="P795" s="201"/>
      <c r="Q795" s="140">
        <f>SUM(Q793:Q794)</f>
        <v>0</v>
      </c>
      <c r="R795" s="140">
        <f>SUM(R793:R794)</f>
        <v>0</v>
      </c>
      <c r="S795" s="201"/>
      <c r="T795" s="140">
        <f>SUM(T793:T794)</f>
        <v>0</v>
      </c>
      <c r="U795" s="140">
        <f>SUM(U793:U794)</f>
        <v>0</v>
      </c>
      <c r="V795" s="124"/>
      <c r="W795" s="140">
        <f>HLOOKUP($W$9,'ROR-Model'!$Q$10:$U$1273,Y795)</f>
        <v>0</v>
      </c>
      <c r="X795" s="139"/>
      <c r="Y795" s="3">
        <f t="shared" si="46"/>
        <v>786</v>
      </c>
      <c r="AA795" s="140">
        <v>0</v>
      </c>
      <c r="AC795" s="140" t="str">
        <f t="shared" si="47"/>
        <v/>
      </c>
      <c r="AE795" s="42" t="str">
        <f t="shared" si="48"/>
        <v/>
      </c>
      <c r="AG795" s="162"/>
      <c r="AH795" s="10"/>
      <c r="AI795" s="10" t="s">
        <v>145</v>
      </c>
      <c r="AJ795" s="10"/>
    </row>
    <row r="796" spans="1:36">
      <c r="A796" s="137"/>
      <c r="B796" s="47"/>
      <c r="C796" s="47"/>
      <c r="D796" s="47"/>
      <c r="E796" s="7">
        <f>+G796-Adjustments!G796</f>
        <v>0</v>
      </c>
      <c r="F796" s="7"/>
      <c r="G796" s="7"/>
      <c r="H796" s="7"/>
      <c r="I796" s="7"/>
      <c r="J796" s="7">
        <f>+I796-'ROR-Model'!I796</f>
        <v>0</v>
      </c>
      <c r="K796" s="7"/>
      <c r="L796" s="7"/>
      <c r="M796" s="7"/>
      <c r="N796" s="7"/>
      <c r="O796" s="120"/>
      <c r="P796" s="126"/>
      <c r="Q796" s="7"/>
      <c r="R796" s="7"/>
      <c r="S796" s="126"/>
      <c r="T796" s="7"/>
      <c r="U796" s="7"/>
      <c r="V796" s="124"/>
      <c r="W796" s="7"/>
      <c r="X796" s="139"/>
      <c r="Y796" s="3">
        <f t="shared" si="46"/>
        <v>787</v>
      </c>
      <c r="AA796" s="7"/>
      <c r="AC796" s="7" t="str">
        <f t="shared" si="47"/>
        <v/>
      </c>
      <c r="AE796" s="42" t="str">
        <f t="shared" si="48"/>
        <v/>
      </c>
      <c r="AG796" s="162"/>
      <c r="AH796" s="10"/>
      <c r="AI796" s="10"/>
      <c r="AJ796" s="10"/>
    </row>
    <row r="797" spans="1:36">
      <c r="A797" s="137">
        <v>905</v>
      </c>
      <c r="B797" s="47" t="s">
        <v>366</v>
      </c>
      <c r="C797" s="47"/>
      <c r="D797" s="47"/>
      <c r="E797" s="7">
        <f>+G797-Adjustments!G797</f>
        <v>0</v>
      </c>
      <c r="F797" s="7"/>
      <c r="G797" s="7"/>
      <c r="H797" s="7"/>
      <c r="I797" s="7"/>
      <c r="J797" s="7">
        <f>+I797-'ROR-Model'!I797</f>
        <v>0</v>
      </c>
      <c r="K797" s="7"/>
      <c r="L797" s="7"/>
      <c r="M797" s="7"/>
      <c r="N797" s="7"/>
      <c r="O797" s="120"/>
      <c r="P797" s="126"/>
      <c r="Q797" s="7"/>
      <c r="R797" s="7"/>
      <c r="S797" s="126"/>
      <c r="T797" s="7"/>
      <c r="U797" s="7"/>
      <c r="V797" s="124"/>
      <c r="W797" s="7"/>
      <c r="X797" s="139"/>
      <c r="Y797" s="3">
        <f t="shared" si="46"/>
        <v>788</v>
      </c>
      <c r="AA797" s="7"/>
      <c r="AC797" s="7" t="str">
        <f t="shared" si="47"/>
        <v/>
      </c>
      <c r="AE797" s="42" t="str">
        <f t="shared" si="48"/>
        <v/>
      </c>
      <c r="AG797" s="162">
        <v>905</v>
      </c>
      <c r="AH797" s="10" t="s">
        <v>366</v>
      </c>
      <c r="AI797" s="10"/>
      <c r="AJ797" s="10"/>
    </row>
    <row r="798" spans="1:36">
      <c r="A798" s="136"/>
      <c r="B798" s="47"/>
      <c r="C798" s="47" t="s">
        <v>12</v>
      </c>
      <c r="D798" s="47"/>
      <c r="E798" s="7">
        <f>+G798-Adjustments!G798</f>
        <v>0</v>
      </c>
      <c r="F798" s="7">
        <f>EXPENSES!F290</f>
        <v>0</v>
      </c>
      <c r="G798" s="7">
        <f>+Adjustments!V797</f>
        <v>0</v>
      </c>
      <c r="H798" s="7"/>
      <c r="I798" s="7">
        <f>SUM($F$798:$H$798)</f>
        <v>0</v>
      </c>
      <c r="J798" s="7">
        <f>+I798-'ROR-Model'!I798</f>
        <v>0</v>
      </c>
      <c r="K798" s="7"/>
      <c r="L798" s="7" t="s">
        <v>12</v>
      </c>
      <c r="M798" s="7">
        <f>VLOOKUP($L798,$L$2:$N$7,2,FALSE)*I798</f>
        <v>0</v>
      </c>
      <c r="N798" s="7">
        <f>VLOOKUP($L798,$L$2:$N$7,3,FALSE)*I798</f>
        <v>0</v>
      </c>
      <c r="O798" s="120"/>
      <c r="P798" s="192" t="s">
        <v>510</v>
      </c>
      <c r="Q798" s="7">
        <f>IF(P798="G",M798,IF(P798="PT",0,ERR))</f>
        <v>0</v>
      </c>
      <c r="R798" s="7">
        <f>IF(P798="PT",M798,IF(P798="G",0,ERR))</f>
        <v>0</v>
      </c>
      <c r="S798" s="126" t="s">
        <v>510</v>
      </c>
      <c r="T798" s="7">
        <f>IF(S798="G",N798,IF(S798="PT",0,ERR))</f>
        <v>0</v>
      </c>
      <c r="U798" s="7">
        <f>IF(S798="PT",N798,IF(S798="G",0,ERR))</f>
        <v>0</v>
      </c>
      <c r="V798" s="124"/>
      <c r="W798" s="7">
        <f>HLOOKUP($W$9,'ROR-Model'!$Q$10:$U$1273,Y798)</f>
        <v>0</v>
      </c>
      <c r="X798" s="139"/>
      <c r="Y798" s="3">
        <f t="shared" si="46"/>
        <v>789</v>
      </c>
      <c r="AA798" s="7">
        <v>0</v>
      </c>
      <c r="AC798" s="7" t="str">
        <f t="shared" si="47"/>
        <v/>
      </c>
      <c r="AE798" s="42" t="str">
        <f t="shared" si="48"/>
        <v/>
      </c>
      <c r="AG798" s="162"/>
      <c r="AH798" s="10"/>
      <c r="AI798" s="10" t="s">
        <v>12</v>
      </c>
      <c r="AJ798" s="10"/>
    </row>
    <row r="799" spans="1:36">
      <c r="A799" s="136"/>
      <c r="B799" s="47"/>
      <c r="C799" s="47" t="s">
        <v>23</v>
      </c>
      <c r="D799" s="47"/>
      <c r="E799" s="7">
        <f>+G799-Adjustments!G799</f>
        <v>0</v>
      </c>
      <c r="F799" s="7">
        <f>EXPENSES!F291</f>
        <v>0</v>
      </c>
      <c r="G799" s="7">
        <f>+Adjustments!V798</f>
        <v>0</v>
      </c>
      <c r="H799" s="7"/>
      <c r="I799" s="7">
        <f>SUM($F$799:$H$799)</f>
        <v>0</v>
      </c>
      <c r="J799" s="7">
        <f>+I799-'ROR-Model'!I799</f>
        <v>0</v>
      </c>
      <c r="K799" s="7"/>
      <c r="L799" s="7" t="s">
        <v>23</v>
      </c>
      <c r="M799" s="7">
        <f>VLOOKUP($L799,$L$2:$N$7,2,FALSE)*I799</f>
        <v>0</v>
      </c>
      <c r="N799" s="7">
        <f>VLOOKUP($L799,$L$2:$N$7,3,FALSE)*I799</f>
        <v>0</v>
      </c>
      <c r="O799" s="120"/>
      <c r="P799" s="192" t="s">
        <v>510</v>
      </c>
      <c r="Q799" s="7">
        <f>IF(P799="G",M799,IF(P799="PT",0,ERR))</f>
        <v>0</v>
      </c>
      <c r="R799" s="7">
        <f>IF(P799="PT",M799,IF(P799="G",0,ERR))</f>
        <v>0</v>
      </c>
      <c r="S799" s="126" t="s">
        <v>510</v>
      </c>
      <c r="T799" s="7">
        <f>IF(S799="G",N799,IF(S799="PT",0,ERR))</f>
        <v>0</v>
      </c>
      <c r="U799" s="7">
        <f>IF(S799="PT",N799,IF(S799="G",0,ERR))</f>
        <v>0</v>
      </c>
      <c r="V799" s="124"/>
      <c r="W799" s="7">
        <f>HLOOKUP($W$9,'ROR-Model'!$Q$10:$U$1273,Y799)</f>
        <v>0</v>
      </c>
      <c r="X799" s="139"/>
      <c r="Y799" s="3">
        <f t="shared" si="46"/>
        <v>790</v>
      </c>
      <c r="AA799" s="7">
        <v>0</v>
      </c>
      <c r="AC799" s="7" t="str">
        <f t="shared" si="47"/>
        <v/>
      </c>
      <c r="AE799" s="42" t="str">
        <f t="shared" si="48"/>
        <v/>
      </c>
      <c r="AG799" s="162"/>
      <c r="AH799" s="10"/>
      <c r="AI799" s="10" t="s">
        <v>23</v>
      </c>
      <c r="AJ799" s="10"/>
    </row>
    <row r="800" spans="1:36">
      <c r="A800" s="136"/>
      <c r="B800" s="47"/>
      <c r="C800" s="47" t="s">
        <v>145</v>
      </c>
      <c r="D800" s="47"/>
      <c r="E800" s="140">
        <f>+G800-Adjustments!G800</f>
        <v>0</v>
      </c>
      <c r="F800" s="140">
        <f>SUM(F798:F799)</f>
        <v>0</v>
      </c>
      <c r="G800" s="140">
        <f>SUM(G798:G799)</f>
        <v>0</v>
      </c>
      <c r="H800" s="140">
        <f>SUM(H798:H799)</f>
        <v>0</v>
      </c>
      <c r="I800" s="140">
        <f>SUM(I798:I799)</f>
        <v>0</v>
      </c>
      <c r="J800" s="7">
        <f>+I800-'ROR-Model'!I800</f>
        <v>0</v>
      </c>
      <c r="K800" s="7"/>
      <c r="L800" s="140"/>
      <c r="M800" s="140">
        <f>SUM(M798:M799)</f>
        <v>0</v>
      </c>
      <c r="N800" s="140">
        <f>SUM(N798:N799)</f>
        <v>0</v>
      </c>
      <c r="O800" s="120"/>
      <c r="P800" s="201"/>
      <c r="Q800" s="140">
        <f>SUM(Q798:Q799)</f>
        <v>0</v>
      </c>
      <c r="R800" s="140">
        <f>SUM(R798:R799)</f>
        <v>0</v>
      </c>
      <c r="S800" s="201"/>
      <c r="T800" s="140">
        <f>SUM(T798:T799)</f>
        <v>0</v>
      </c>
      <c r="U800" s="140">
        <f>SUM(U798:U799)</f>
        <v>0</v>
      </c>
      <c r="V800" s="124"/>
      <c r="W800" s="140">
        <f>HLOOKUP($W$9,'ROR-Model'!$Q$10:$U$1273,Y800)</f>
        <v>0</v>
      </c>
      <c r="X800" s="139"/>
      <c r="Y800" s="3">
        <f t="shared" si="46"/>
        <v>791</v>
      </c>
      <c r="AA800" s="140">
        <v>0</v>
      </c>
      <c r="AC800" s="140" t="str">
        <f t="shared" si="47"/>
        <v/>
      </c>
      <c r="AE800" s="42" t="str">
        <f t="shared" si="48"/>
        <v/>
      </c>
      <c r="AG800" s="162"/>
      <c r="AH800" s="10"/>
      <c r="AI800" s="10" t="s">
        <v>145</v>
      </c>
      <c r="AJ800" s="10"/>
    </row>
    <row r="801" spans="1:36" ht="13.5" thickBot="1">
      <c r="A801" s="136"/>
      <c r="B801" s="47"/>
      <c r="C801" s="47"/>
      <c r="D801" s="47"/>
      <c r="E801" s="24">
        <f>+G801-Adjustments!G801</f>
        <v>0</v>
      </c>
      <c r="F801" s="24"/>
      <c r="G801" s="24"/>
      <c r="H801" s="24"/>
      <c r="I801" s="24"/>
      <c r="J801" s="7">
        <f>+I801-'ROR-Model'!I801</f>
        <v>0</v>
      </c>
      <c r="K801" s="7"/>
      <c r="L801" s="24"/>
      <c r="M801" s="24"/>
      <c r="N801" s="24"/>
      <c r="O801" s="120"/>
      <c r="P801" s="202"/>
      <c r="Q801" s="24"/>
      <c r="R801" s="24"/>
      <c r="S801" s="202"/>
      <c r="T801" s="24"/>
      <c r="U801" s="24"/>
      <c r="V801" s="124"/>
      <c r="W801" s="24"/>
      <c r="X801" s="139"/>
      <c r="Y801" s="3">
        <f t="shared" si="46"/>
        <v>792</v>
      </c>
      <c r="AA801" s="24"/>
      <c r="AC801" s="24" t="str">
        <f t="shared" si="47"/>
        <v/>
      </c>
      <c r="AE801" s="42" t="str">
        <f t="shared" si="48"/>
        <v/>
      </c>
      <c r="AG801" s="162"/>
      <c r="AH801" s="10"/>
      <c r="AI801" s="10"/>
      <c r="AJ801" s="10"/>
    </row>
    <row r="802" spans="1:36" ht="13.5" thickTop="1">
      <c r="A802" s="116" t="s">
        <v>592</v>
      </c>
      <c r="B802" s="47"/>
      <c r="C802" s="47"/>
      <c r="D802" s="47"/>
      <c r="E802" s="7">
        <f>+G802-Adjustments!G802</f>
        <v>0</v>
      </c>
      <c r="F802" s="7"/>
      <c r="G802" s="7"/>
      <c r="H802" s="7"/>
      <c r="I802" s="7"/>
      <c r="J802" s="7">
        <f>+I802-'ROR-Model'!I802</f>
        <v>0</v>
      </c>
      <c r="K802" s="7"/>
      <c r="L802" s="7"/>
      <c r="M802" s="7"/>
      <c r="N802" s="7"/>
      <c r="O802" s="120"/>
      <c r="P802" s="126"/>
      <c r="Q802" s="7"/>
      <c r="R802" s="7"/>
      <c r="S802" s="126"/>
      <c r="T802" s="7"/>
      <c r="U802" s="7"/>
      <c r="V802" s="124"/>
      <c r="W802" s="7"/>
      <c r="X802" s="139"/>
      <c r="Y802" s="3">
        <f t="shared" si="46"/>
        <v>793</v>
      </c>
      <c r="AA802" s="7"/>
      <c r="AC802" s="7" t="str">
        <f t="shared" si="47"/>
        <v/>
      </c>
      <c r="AE802" s="42" t="str">
        <f t="shared" si="48"/>
        <v/>
      </c>
      <c r="AG802" s="162" t="s">
        <v>592</v>
      </c>
      <c r="AH802" s="10"/>
      <c r="AI802" s="10"/>
      <c r="AJ802" s="10"/>
    </row>
    <row r="803" spans="1:36">
      <c r="A803" s="136"/>
      <c r="B803" s="47" t="s">
        <v>593</v>
      </c>
      <c r="C803" s="47"/>
      <c r="D803" s="47"/>
      <c r="E803" s="339">
        <f>+G803-Adjustments!G803</f>
        <v>-1840583.8969250892</v>
      </c>
      <c r="F803" s="339">
        <f t="shared" ref="F803:I804" si="49">F798+F793+F788+F783+F778+F773+F768+F763+F758</f>
        <v>14353298.720000003</v>
      </c>
      <c r="G803" s="339">
        <f t="shared" si="49"/>
        <v>-1840583.8969250892</v>
      </c>
      <c r="H803" s="339">
        <f t="shared" si="49"/>
        <v>0</v>
      </c>
      <c r="I803" s="339">
        <f t="shared" si="49"/>
        <v>12512714.823074913</v>
      </c>
      <c r="J803" s="7">
        <f>+I803-'ROR-Model'!I803</f>
        <v>0</v>
      </c>
      <c r="K803" s="7"/>
      <c r="L803" s="7"/>
      <c r="M803" s="7">
        <f>M758+M763+M768+M773+M778+M783+M798+M788+M793</f>
        <v>12512714.823074911</v>
      </c>
      <c r="N803" s="7">
        <f>N758+N763+N768+N773+N778+N783+N798</f>
        <v>0</v>
      </c>
      <c r="O803" s="120"/>
      <c r="P803" s="126"/>
      <c r="Q803" s="7">
        <f>Q758+Q763+Q768+Q773+Q778+Q783+Q798+Q788+Q793</f>
        <v>12512714.823074911</v>
      </c>
      <c r="R803" s="7">
        <f>R758+R763+R768+R773+R778+R783+R798+R788+R793</f>
        <v>0</v>
      </c>
      <c r="S803" s="126"/>
      <c r="T803" s="7">
        <f>T758+T763+T768+T773+T778+T783+T798+T788+T793</f>
        <v>0</v>
      </c>
      <c r="U803" s="7">
        <f>U758+U763+U768+U773+U778+U783+U798+U788+U793</f>
        <v>0</v>
      </c>
      <c r="V803" s="124"/>
      <c r="W803" s="7">
        <f>W758+W763+W768+W773+W778+W783+W798+W788+W793</f>
        <v>12512714.823074911</v>
      </c>
      <c r="X803" s="139"/>
      <c r="Y803" s="3">
        <f t="shared" si="46"/>
        <v>794</v>
      </c>
      <c r="AA803" s="7">
        <v>12679837.663812865</v>
      </c>
      <c r="AC803" s="7">
        <f t="shared" si="47"/>
        <v>-167122.84073795378</v>
      </c>
      <c r="AE803" s="42">
        <f t="shared" si="48"/>
        <v>-1.3180203498575347E-2</v>
      </c>
      <c r="AG803" s="162"/>
      <c r="AH803" s="10" t="s">
        <v>593</v>
      </c>
      <c r="AI803" s="10"/>
      <c r="AJ803" s="10"/>
    </row>
    <row r="804" spans="1:36">
      <c r="A804" s="136"/>
      <c r="B804" s="47" t="s">
        <v>595</v>
      </c>
      <c r="C804" s="47"/>
      <c r="D804" s="47"/>
      <c r="E804" s="339">
        <f>+G804-Adjustments!G804</f>
        <v>-65820.193299322476</v>
      </c>
      <c r="F804" s="339">
        <f t="shared" si="49"/>
        <v>427539.63</v>
      </c>
      <c r="G804" s="339">
        <f t="shared" si="49"/>
        <v>-65820.193299322476</v>
      </c>
      <c r="H804" s="339">
        <f t="shared" si="49"/>
        <v>0</v>
      </c>
      <c r="I804" s="339">
        <f t="shared" si="49"/>
        <v>361719.43670067756</v>
      </c>
      <c r="J804" s="7">
        <f>+I804-'ROR-Model'!I804</f>
        <v>0</v>
      </c>
      <c r="K804" s="7"/>
      <c r="L804" s="7"/>
      <c r="M804" s="7">
        <f>M759+M764+M769+M774+M779+M784+M799</f>
        <v>0</v>
      </c>
      <c r="N804" s="7">
        <f>N759+N764+N769+N774+N779+N784+N799</f>
        <v>361719.4367006775</v>
      </c>
      <c r="O804" s="120"/>
      <c r="P804" s="126"/>
      <c r="Q804" s="7">
        <f>Q759+Q764+Q769+Q774+Q779+Q784+Q799</f>
        <v>0</v>
      </c>
      <c r="R804" s="7">
        <f>R759+R764+R769+R774+R779+R784+R799</f>
        <v>0</v>
      </c>
      <c r="S804" s="126"/>
      <c r="T804" s="7">
        <f>T759+T764+T769+T774+T779+T784+T799</f>
        <v>361719.4367006775</v>
      </c>
      <c r="U804" s="7">
        <f>U759+U764+U769+U774+U779+U784+U799</f>
        <v>0</v>
      </c>
      <c r="V804" s="124"/>
      <c r="W804" s="7">
        <f>HLOOKUP($W$9,'ROR-Model'!$Q$10:$U$1273,Y804)</f>
        <v>0</v>
      </c>
      <c r="X804" s="139"/>
      <c r="Y804" s="3">
        <f t="shared" si="46"/>
        <v>795</v>
      </c>
      <c r="AA804" s="7">
        <v>0</v>
      </c>
      <c r="AC804" s="7" t="str">
        <f t="shared" si="47"/>
        <v/>
      </c>
      <c r="AE804" s="42" t="str">
        <f t="shared" si="48"/>
        <v/>
      </c>
      <c r="AG804" s="162"/>
      <c r="AH804" s="10" t="s">
        <v>595</v>
      </c>
      <c r="AI804" s="10"/>
      <c r="AJ804" s="10"/>
    </row>
    <row r="805" spans="1:36" ht="13.5" thickBot="1">
      <c r="A805" s="136"/>
      <c r="B805" s="47"/>
      <c r="C805" s="47"/>
      <c r="D805" s="47"/>
      <c r="E805" s="154">
        <f>+G805-Adjustments!G805</f>
        <v>0</v>
      </c>
      <c r="F805" s="154"/>
      <c r="G805" s="154"/>
      <c r="H805" s="154"/>
      <c r="I805" s="154"/>
      <c r="J805" s="7">
        <f>+I805-'ROR-Model'!I805</f>
        <v>0</v>
      </c>
      <c r="K805" s="7"/>
      <c r="L805" s="154"/>
      <c r="M805" s="154"/>
      <c r="N805" s="154"/>
      <c r="O805" s="120"/>
      <c r="P805" s="204"/>
      <c r="Q805" s="154"/>
      <c r="R805" s="154"/>
      <c r="S805" s="204"/>
      <c r="T805" s="154"/>
      <c r="U805" s="154"/>
      <c r="V805" s="124"/>
      <c r="W805" s="154"/>
      <c r="X805" s="139"/>
      <c r="Y805" s="3">
        <f t="shared" si="46"/>
        <v>796</v>
      </c>
      <c r="AA805" s="154"/>
      <c r="AC805" s="154" t="str">
        <f t="shared" si="47"/>
        <v/>
      </c>
      <c r="AE805" s="42" t="str">
        <f t="shared" si="48"/>
        <v/>
      </c>
      <c r="AG805" s="162"/>
      <c r="AH805" s="10"/>
      <c r="AI805" s="10"/>
      <c r="AJ805" s="10"/>
    </row>
    <row r="806" spans="1:36">
      <c r="A806" s="136"/>
      <c r="B806" s="141" t="s">
        <v>592</v>
      </c>
      <c r="C806" s="47"/>
      <c r="D806" s="47"/>
      <c r="E806" s="7">
        <f>+G806-Adjustments!G806</f>
        <v>-1906404.0902244116</v>
      </c>
      <c r="F806" s="7">
        <f>F800+F795+F790+F785+F780+F775+F770+F765+F760</f>
        <v>14780838.35</v>
      </c>
      <c r="G806" s="7">
        <f>G800+G795+G790+G785+G780+G775+G770+G765+G760</f>
        <v>-1906404.0902244116</v>
      </c>
      <c r="H806" s="7">
        <f>H800+H795+H790+H785+H780+H775+H770+H765+H760</f>
        <v>0</v>
      </c>
      <c r="I806" s="7">
        <f>I800+I795+I790+I785+I780+I775+I770+I765+I760</f>
        <v>12874434.259775588</v>
      </c>
      <c r="J806" s="7">
        <f>+I806-'ROR-Model'!I806</f>
        <v>0</v>
      </c>
      <c r="K806" s="7"/>
      <c r="L806" s="7"/>
      <c r="M806" s="7">
        <f>M800+M795+M790+M785+M780+M775+M770+M765+M760</f>
        <v>12512714.823074913</v>
      </c>
      <c r="N806" s="7">
        <f>N800+N795+N790+N785+N780+N775+N770+N765+N760</f>
        <v>361719.43670067756</v>
      </c>
      <c r="O806" s="120"/>
      <c r="P806" s="126"/>
      <c r="Q806" s="7">
        <f>Q800+Q795+Q790+Q785+Q780+Q775+Q770+Q765+Q760</f>
        <v>12512714.823074913</v>
      </c>
      <c r="R806" s="7">
        <f>R800+R795+R790+R785+R780+R775+R770+R765+R760</f>
        <v>0</v>
      </c>
      <c r="S806" s="126"/>
      <c r="T806" s="7">
        <f>T800+T795+T790+T785+T780+T775+T770+T765+T760</f>
        <v>361719.43670067756</v>
      </c>
      <c r="U806" s="7">
        <f>U800+U795+U790+U785+U780+U775+U770+U765+U760</f>
        <v>0</v>
      </c>
      <c r="V806" s="124"/>
      <c r="W806" s="7">
        <f>HLOOKUP($W$9,'ROR-Model'!$Q$10:$U$1273,Y806)</f>
        <v>12512714.823074913</v>
      </c>
      <c r="X806" s="139"/>
      <c r="Y806" s="3">
        <f t="shared" si="46"/>
        <v>797</v>
      </c>
      <c r="AA806" s="7">
        <v>12679837.663812863</v>
      </c>
      <c r="AC806" s="7">
        <f t="shared" si="47"/>
        <v>-167122.84073795006</v>
      </c>
      <c r="AE806" s="42">
        <f t="shared" si="48"/>
        <v>-1.3180203498575056E-2</v>
      </c>
      <c r="AG806" s="162"/>
      <c r="AH806" t="s">
        <v>592</v>
      </c>
      <c r="AI806" s="10"/>
      <c r="AJ806" s="10"/>
    </row>
    <row r="807" spans="1:36">
      <c r="A807" s="136"/>
      <c r="B807" s="47"/>
      <c r="C807" s="47"/>
      <c r="D807" s="47"/>
      <c r="E807" s="7">
        <f>+G807-Adjustments!G807</f>
        <v>0</v>
      </c>
      <c r="F807" s="7"/>
      <c r="G807" s="7"/>
      <c r="H807" s="7"/>
      <c r="I807" s="7"/>
      <c r="J807" s="7">
        <f>+I807-'ROR-Model'!I807</f>
        <v>0</v>
      </c>
      <c r="K807" s="7"/>
      <c r="L807" s="7"/>
      <c r="M807" s="7"/>
      <c r="N807" s="7"/>
      <c r="O807" s="120"/>
      <c r="P807" s="126"/>
      <c r="Q807" s="7"/>
      <c r="R807" s="7"/>
      <c r="S807" s="126"/>
      <c r="T807" s="7"/>
      <c r="U807" s="7"/>
      <c r="V807" s="124"/>
      <c r="W807" s="7"/>
      <c r="X807" s="139"/>
      <c r="Y807" s="3">
        <f t="shared" si="46"/>
        <v>798</v>
      </c>
      <c r="AA807" s="7"/>
      <c r="AC807" s="7" t="str">
        <f t="shared" si="47"/>
        <v/>
      </c>
      <c r="AE807" s="42" t="str">
        <f t="shared" si="48"/>
        <v/>
      </c>
      <c r="AG807" s="162"/>
      <c r="AH807" s="10"/>
      <c r="AI807" s="10"/>
      <c r="AJ807" s="10"/>
    </row>
    <row r="808" spans="1:36">
      <c r="A808" s="116" t="s">
        <v>367</v>
      </c>
      <c r="B808" s="47"/>
      <c r="C808" s="47"/>
      <c r="D808" s="47"/>
      <c r="E808" s="7">
        <f>+G808-Adjustments!G808</f>
        <v>0</v>
      </c>
      <c r="F808" s="7"/>
      <c r="G808" s="7"/>
      <c r="H808" s="7"/>
      <c r="I808" s="7"/>
      <c r="J808" s="7">
        <f>+I808-'ROR-Model'!I808</f>
        <v>0</v>
      </c>
      <c r="K808" s="7"/>
      <c r="L808" s="7"/>
      <c r="M808" s="7"/>
      <c r="N808" s="7"/>
      <c r="O808" s="120"/>
      <c r="P808" s="126"/>
      <c r="Q808" s="7"/>
      <c r="R808" s="7"/>
      <c r="S808" s="126"/>
      <c r="T808" s="7"/>
      <c r="U808" s="7"/>
      <c r="V808" s="124"/>
      <c r="W808" s="7"/>
      <c r="X808" s="139"/>
      <c r="Y808" s="3">
        <f t="shared" si="46"/>
        <v>799</v>
      </c>
      <c r="AA808" s="7"/>
      <c r="AC808" s="7" t="str">
        <f t="shared" si="47"/>
        <v/>
      </c>
      <c r="AE808" s="42" t="str">
        <f t="shared" si="48"/>
        <v/>
      </c>
      <c r="AG808" s="162" t="s">
        <v>367</v>
      </c>
      <c r="AH808" s="10"/>
      <c r="AI808" s="10"/>
      <c r="AJ808" s="10"/>
    </row>
    <row r="809" spans="1:36">
      <c r="A809" s="136"/>
      <c r="B809" s="47"/>
      <c r="C809" s="47"/>
      <c r="D809" s="47"/>
      <c r="E809" s="7">
        <f>+G809-Adjustments!G809</f>
        <v>0</v>
      </c>
      <c r="F809" s="7"/>
      <c r="G809" s="7"/>
      <c r="H809" s="7"/>
      <c r="I809" s="7"/>
      <c r="J809" s="7">
        <f>+I809-'ROR-Model'!I809</f>
        <v>0</v>
      </c>
      <c r="K809" s="7"/>
      <c r="L809" s="7"/>
      <c r="M809" s="7"/>
      <c r="N809" s="7"/>
      <c r="O809" s="120"/>
      <c r="P809" s="126"/>
      <c r="Q809" s="7"/>
      <c r="R809" s="7"/>
      <c r="S809" s="126"/>
      <c r="T809" s="7"/>
      <c r="U809" s="7"/>
      <c r="V809" s="124"/>
      <c r="W809" s="7"/>
      <c r="X809" s="139"/>
      <c r="Y809" s="3">
        <f t="shared" si="46"/>
        <v>800</v>
      </c>
      <c r="AA809" s="7"/>
      <c r="AC809" s="7" t="str">
        <f t="shared" si="47"/>
        <v/>
      </c>
      <c r="AE809" s="42" t="str">
        <f t="shared" si="48"/>
        <v/>
      </c>
      <c r="AG809" s="162"/>
      <c r="AH809" s="10"/>
      <c r="AI809" s="10"/>
      <c r="AJ809" s="10"/>
    </row>
    <row r="810" spans="1:36">
      <c r="A810" s="137">
        <v>907</v>
      </c>
      <c r="B810" s="47" t="s">
        <v>359</v>
      </c>
      <c r="C810" s="47"/>
      <c r="D810" s="47"/>
      <c r="E810" s="7">
        <f>+G810-Adjustments!G810</f>
        <v>0</v>
      </c>
      <c r="F810" s="7"/>
      <c r="G810" s="7"/>
      <c r="H810" s="7"/>
      <c r="I810" s="7"/>
      <c r="J810" s="7">
        <f>+I810-'ROR-Model'!I810</f>
        <v>0</v>
      </c>
      <c r="K810" s="7"/>
      <c r="L810" s="7"/>
      <c r="M810" s="7"/>
      <c r="N810" s="7"/>
      <c r="O810" s="120"/>
      <c r="P810" s="126"/>
      <c r="Q810" s="7"/>
      <c r="R810" s="7"/>
      <c r="S810" s="126"/>
      <c r="T810" s="7"/>
      <c r="U810" s="7"/>
      <c r="V810" s="124"/>
      <c r="W810" s="7"/>
      <c r="X810" s="139"/>
      <c r="Y810" s="3">
        <f t="shared" si="46"/>
        <v>801</v>
      </c>
      <c r="AA810" s="7"/>
      <c r="AC810" s="7" t="str">
        <f t="shared" si="47"/>
        <v/>
      </c>
      <c r="AE810" s="42" t="str">
        <f t="shared" si="48"/>
        <v/>
      </c>
      <c r="AG810" s="162">
        <v>907</v>
      </c>
      <c r="AH810" s="10" t="s">
        <v>359</v>
      </c>
      <c r="AI810" s="10"/>
      <c r="AJ810" s="10"/>
    </row>
    <row r="811" spans="1:36">
      <c r="A811" s="137"/>
      <c r="B811" s="47"/>
      <c r="C811" s="47" t="s">
        <v>12</v>
      </c>
      <c r="D811" s="47"/>
      <c r="E811" s="7">
        <f>+G811-Adjustments!G811</f>
        <v>0</v>
      </c>
      <c r="F811" s="7">
        <f>EXPENSES!F303</f>
        <v>457820.72</v>
      </c>
      <c r="G811" s="7">
        <f>+Adjustments!V810</f>
        <v>0</v>
      </c>
      <c r="H811" s="7"/>
      <c r="I811" s="7">
        <f>SUM($F$811:$H$811)</f>
        <v>457820.72</v>
      </c>
      <c r="J811" s="7">
        <f>+I811-'ROR-Model'!I811</f>
        <v>0</v>
      </c>
      <c r="K811" s="7"/>
      <c r="L811" s="7" t="s">
        <v>12</v>
      </c>
      <c r="M811" s="7">
        <f>VLOOKUP($L811,$L$2:$N$7,2,FALSE)*I811</f>
        <v>457820.72</v>
      </c>
      <c r="N811" s="7">
        <f>VLOOKUP($L811,$L$2:$N$7,3,FALSE)*I811</f>
        <v>0</v>
      </c>
      <c r="O811" s="120"/>
      <c r="P811" s="192" t="s">
        <v>510</v>
      </c>
      <c r="Q811" s="7">
        <f>IF(P811="G",M811,IF(P811="PT",0,ERR))</f>
        <v>457820.72</v>
      </c>
      <c r="R811" s="7">
        <f>IF(P811="PT",M811,IF(P811="G",0,ERR))</f>
        <v>0</v>
      </c>
      <c r="S811" s="126" t="s">
        <v>510</v>
      </c>
      <c r="T811" s="7">
        <f>IF(S811="G",N811,IF(S811="PT",0,ERR))</f>
        <v>0</v>
      </c>
      <c r="U811" s="7">
        <f>IF(S811="PT",N811,IF(S811="G",0,ERR))</f>
        <v>0</v>
      </c>
      <c r="V811" s="124"/>
      <c r="W811" s="7">
        <f>HLOOKUP($W$9,'ROR-Model'!$Q$10:$U$1273,Y811)</f>
        <v>457820.72</v>
      </c>
      <c r="X811" s="139"/>
      <c r="Y811" s="3">
        <f t="shared" si="46"/>
        <v>802</v>
      </c>
      <c r="AA811" s="7">
        <v>313306.83</v>
      </c>
      <c r="AC811" s="7">
        <f t="shared" si="47"/>
        <v>144513.88999999996</v>
      </c>
      <c r="AE811" s="42">
        <f t="shared" si="48"/>
        <v>0.46125355773444182</v>
      </c>
      <c r="AG811" s="162"/>
      <c r="AH811" s="10"/>
      <c r="AI811" s="10" t="s">
        <v>12</v>
      </c>
      <c r="AJ811" s="10"/>
    </row>
    <row r="812" spans="1:36">
      <c r="A812" s="137"/>
      <c r="B812" s="47"/>
      <c r="C812" s="47" t="s">
        <v>23</v>
      </c>
      <c r="D812" s="47"/>
      <c r="E812" s="7">
        <f>+G812-Adjustments!G812</f>
        <v>0</v>
      </c>
      <c r="F812" s="7">
        <f>EXPENSES!F304</f>
        <v>12906.7</v>
      </c>
      <c r="G812" s="7">
        <f>+Adjustments!V811</f>
        <v>0</v>
      </c>
      <c r="H812" s="7"/>
      <c r="I812" s="7">
        <f>SUM($F$812:$H$812)</f>
        <v>12906.7</v>
      </c>
      <c r="J812" s="7">
        <f>+I812-'ROR-Model'!I812</f>
        <v>0</v>
      </c>
      <c r="K812" s="7"/>
      <c r="L812" s="7" t="s">
        <v>23</v>
      </c>
      <c r="M812" s="7">
        <f>VLOOKUP($L812,$L$2:$N$7,2,FALSE)*I812</f>
        <v>0</v>
      </c>
      <c r="N812" s="7">
        <f>VLOOKUP($L812,$L$2:$N$7,3,FALSE)*I812</f>
        <v>12906.7</v>
      </c>
      <c r="O812" s="120"/>
      <c r="P812" s="192" t="s">
        <v>510</v>
      </c>
      <c r="Q812" s="7">
        <f>IF(P812="G",M812,IF(P812="PT",0,ERR))</f>
        <v>0</v>
      </c>
      <c r="R812" s="7">
        <f>IF(P812="PT",M812,IF(P812="G",0,ERR))</f>
        <v>0</v>
      </c>
      <c r="S812" s="126" t="s">
        <v>510</v>
      </c>
      <c r="T812" s="7">
        <f>IF(S812="G",N812,IF(S812="PT",0,ERR))</f>
        <v>12906.7</v>
      </c>
      <c r="U812" s="7">
        <f>IF(S812="PT",N812,IF(S812="G",0,ERR))</f>
        <v>0</v>
      </c>
      <c r="V812" s="124"/>
      <c r="W812" s="7">
        <f>HLOOKUP($W$9,'ROR-Model'!$Q$10:$U$1273,Y812)</f>
        <v>0</v>
      </c>
      <c r="X812" s="139"/>
      <c r="Y812" s="3">
        <f t="shared" si="46"/>
        <v>803</v>
      </c>
      <c r="AA812" s="7">
        <v>0</v>
      </c>
      <c r="AC812" s="7" t="str">
        <f t="shared" si="47"/>
        <v/>
      </c>
      <c r="AE812" s="42" t="str">
        <f t="shared" si="48"/>
        <v/>
      </c>
      <c r="AG812" s="162"/>
      <c r="AH812" s="10"/>
      <c r="AI812" s="10" t="s">
        <v>23</v>
      </c>
      <c r="AJ812" s="10"/>
    </row>
    <row r="813" spans="1:36">
      <c r="A813" s="137"/>
      <c r="B813" s="47"/>
      <c r="C813" s="47" t="s">
        <v>145</v>
      </c>
      <c r="D813" s="47"/>
      <c r="E813" s="140">
        <f>+G813-Adjustments!G813</f>
        <v>0</v>
      </c>
      <c r="F813" s="140">
        <f>SUM(F811:F812)</f>
        <v>470727.42</v>
      </c>
      <c r="G813" s="140">
        <f>SUM(G811:G812)</f>
        <v>0</v>
      </c>
      <c r="H813" s="140">
        <f>SUM(H811:H812)</f>
        <v>0</v>
      </c>
      <c r="I813" s="140">
        <f>SUM(I811:I812)</f>
        <v>470727.42</v>
      </c>
      <c r="J813" s="7">
        <f>+I813-'ROR-Model'!I813</f>
        <v>0</v>
      </c>
      <c r="K813" s="7"/>
      <c r="L813" s="140"/>
      <c r="M813" s="140">
        <f>SUM(M811:M812)</f>
        <v>457820.72</v>
      </c>
      <c r="N813" s="140">
        <f>SUM(N811:N812)</f>
        <v>12906.7</v>
      </c>
      <c r="O813" s="120"/>
      <c r="P813" s="201"/>
      <c r="Q813" s="140">
        <f>SUM(Q811:Q812)</f>
        <v>457820.72</v>
      </c>
      <c r="R813" s="140">
        <f>SUM(R811:R812)</f>
        <v>0</v>
      </c>
      <c r="S813" s="201"/>
      <c r="T813" s="140">
        <f>SUM(T811:T812)</f>
        <v>12906.7</v>
      </c>
      <c r="U813" s="140">
        <f>SUM(U811:U812)</f>
        <v>0</v>
      </c>
      <c r="V813" s="124"/>
      <c r="W813" s="140">
        <f>HLOOKUP($W$9,'ROR-Model'!$Q$10:$U$1273,Y813)</f>
        <v>457820.72</v>
      </c>
      <c r="X813" s="139"/>
      <c r="Y813" s="3">
        <f t="shared" si="46"/>
        <v>804</v>
      </c>
      <c r="AA813" s="140">
        <v>313306.83</v>
      </c>
      <c r="AC813" s="140">
        <f t="shared" si="47"/>
        <v>144513.88999999996</v>
      </c>
      <c r="AE813" s="42">
        <f t="shared" si="48"/>
        <v>0.46125355773444182</v>
      </c>
      <c r="AG813" s="162"/>
      <c r="AH813" s="10"/>
      <c r="AI813" s="10" t="s">
        <v>145</v>
      </c>
      <c r="AJ813" s="10"/>
    </row>
    <row r="814" spans="1:36">
      <c r="A814" s="137"/>
      <c r="B814" s="47"/>
      <c r="C814" s="47"/>
      <c r="D814" s="47"/>
      <c r="E814" s="7">
        <f>+G814-Adjustments!G814</f>
        <v>0</v>
      </c>
      <c r="F814" s="7"/>
      <c r="G814" s="7"/>
      <c r="H814" s="7"/>
      <c r="I814" s="7"/>
      <c r="J814" s="7">
        <f>+I814-'ROR-Model'!I814</f>
        <v>0</v>
      </c>
      <c r="K814" s="7"/>
      <c r="L814" s="7"/>
      <c r="M814" s="7"/>
      <c r="N814" s="7"/>
      <c r="O814" s="120"/>
      <c r="P814" s="126"/>
      <c r="Q814" s="7"/>
      <c r="R814" s="7"/>
      <c r="S814" s="126"/>
      <c r="T814" s="7"/>
      <c r="U814" s="7"/>
      <c r="V814" s="124"/>
      <c r="W814" s="7"/>
      <c r="X814" s="139"/>
      <c r="Y814" s="3">
        <f t="shared" si="46"/>
        <v>805</v>
      </c>
      <c r="AA814" s="7"/>
      <c r="AC814" s="7" t="str">
        <f t="shared" si="47"/>
        <v/>
      </c>
      <c r="AE814" s="42" t="str">
        <f t="shared" si="48"/>
        <v/>
      </c>
      <c r="AG814" s="162"/>
      <c r="AH814" s="10"/>
      <c r="AI814" s="10"/>
      <c r="AJ814" s="10"/>
    </row>
    <row r="815" spans="1:36">
      <c r="A815" s="137">
        <v>908</v>
      </c>
      <c r="B815" s="47" t="s">
        <v>368</v>
      </c>
      <c r="C815" s="47"/>
      <c r="D815" s="47"/>
      <c r="E815" s="7">
        <f>+G815-Adjustments!G815</f>
        <v>26736727.259999998</v>
      </c>
      <c r="F815" s="7"/>
      <c r="G815" s="7"/>
      <c r="H815" s="7"/>
      <c r="I815" s="7"/>
      <c r="J815" s="7">
        <f>+I815-'ROR-Model'!I815</f>
        <v>0</v>
      </c>
      <c r="K815" s="7"/>
      <c r="L815" s="7"/>
      <c r="M815" s="7"/>
      <c r="N815" s="7"/>
      <c r="O815" s="120"/>
      <c r="P815" s="126"/>
      <c r="Q815" s="7"/>
      <c r="R815" s="7"/>
      <c r="S815" s="126"/>
      <c r="T815" s="7"/>
      <c r="U815" s="7"/>
      <c r="V815" s="124"/>
      <c r="W815" s="7"/>
      <c r="X815" s="139"/>
      <c r="Y815" s="3">
        <f t="shared" si="46"/>
        <v>806</v>
      </c>
      <c r="AA815" s="7"/>
      <c r="AC815" s="7" t="str">
        <f t="shared" si="47"/>
        <v/>
      </c>
      <c r="AE815" s="42" t="str">
        <f t="shared" si="48"/>
        <v/>
      </c>
      <c r="AG815" s="162">
        <v>908</v>
      </c>
      <c r="AH815" s="10" t="s">
        <v>368</v>
      </c>
      <c r="AI815" s="10"/>
      <c r="AJ815" s="10"/>
    </row>
    <row r="816" spans="1:36">
      <c r="A816" s="137"/>
      <c r="B816" s="47"/>
      <c r="C816" s="47" t="s">
        <v>12</v>
      </c>
      <c r="D816" s="47"/>
      <c r="E816" s="7">
        <f>+G816-Adjustments!G816</f>
        <v>-26629595.989999998</v>
      </c>
      <c r="F816" s="7">
        <f>EXPENSES!F308</f>
        <v>27750988.700000003</v>
      </c>
      <c r="G816" s="7">
        <f>+Adjustments!V815</f>
        <v>-26736727.259999998</v>
      </c>
      <c r="H816" s="7"/>
      <c r="I816" s="7">
        <f>SUM($F$816:$H$816)</f>
        <v>1014261.4400000051</v>
      </c>
      <c r="J816" s="7">
        <f>+I816-'ROR-Model'!I816</f>
        <v>0</v>
      </c>
      <c r="K816" s="7"/>
      <c r="L816" s="7" t="s">
        <v>12</v>
      </c>
      <c r="M816" s="7">
        <f>VLOOKUP($L816,$L$2:$N$7,2,FALSE)*I816</f>
        <v>1014261.4400000051</v>
      </c>
      <c r="N816" s="7">
        <f>VLOOKUP($L816,$L$2:$N$7,3,FALSE)*I816</f>
        <v>0</v>
      </c>
      <c r="O816" s="120"/>
      <c r="P816" s="192" t="s">
        <v>510</v>
      </c>
      <c r="Q816" s="7">
        <f>IF(P816="G",M816,IF(P816="PT",0,ERR))</f>
        <v>1014261.4400000051</v>
      </c>
      <c r="R816" s="7">
        <f>IF(P816="PT",M816,IF(P816="G",0,ERR))</f>
        <v>0</v>
      </c>
      <c r="S816" s="126" t="s">
        <v>510</v>
      </c>
      <c r="T816" s="7">
        <f>IF(S816="G",N816,IF(S816="PT",0,ERR))</f>
        <v>0</v>
      </c>
      <c r="U816" s="7">
        <f>IF(S816="PT",N816,IF(S816="G",0,ERR))</f>
        <v>0</v>
      </c>
      <c r="V816" s="124"/>
      <c r="W816" s="7">
        <f>HLOOKUP($W$9,'ROR-Model'!$Q$10:$U$1273,Y816)</f>
        <v>1014261.4400000051</v>
      </c>
      <c r="X816" s="139"/>
      <c r="Y816" s="3">
        <f t="shared" si="46"/>
        <v>807</v>
      </c>
      <c r="AA816" s="7">
        <v>1970941.7100000009</v>
      </c>
      <c r="AC816" s="7">
        <f t="shared" si="47"/>
        <v>-956680.26999999583</v>
      </c>
      <c r="AE816" s="42">
        <f t="shared" si="48"/>
        <v>-0.48539247261655211</v>
      </c>
      <c r="AG816" s="162"/>
      <c r="AH816" s="10"/>
      <c r="AI816" s="10" t="s">
        <v>12</v>
      </c>
      <c r="AJ816" s="10"/>
    </row>
    <row r="817" spans="1:36">
      <c r="A817" s="137"/>
      <c r="B817" s="47"/>
      <c r="C817" s="47" t="s">
        <v>23</v>
      </c>
      <c r="D817" s="47"/>
      <c r="E817" s="7">
        <f>+G817-Adjustments!G817</f>
        <v>26736727.259999998</v>
      </c>
      <c r="F817" s="7">
        <f>EXPENSES!F309</f>
        <v>154343.00999999998</v>
      </c>
      <c r="G817" s="7">
        <f>+Adjustments!V816</f>
        <v>-107131.26999999999</v>
      </c>
      <c r="H817" s="7"/>
      <c r="I817" s="7">
        <f>SUM($F$817:$H$817)</f>
        <v>47211.739999999991</v>
      </c>
      <c r="J817" s="7">
        <f>+I817-'ROR-Model'!I817</f>
        <v>0</v>
      </c>
      <c r="K817" s="7"/>
      <c r="L817" s="7" t="s">
        <v>23</v>
      </c>
      <c r="M817" s="7">
        <f>VLOOKUP($L817,$L$2:$N$7,2,FALSE)*I817</f>
        <v>0</v>
      </c>
      <c r="N817" s="7">
        <f>VLOOKUP($L817,$L$2:$N$7,3,FALSE)*I817</f>
        <v>47211.739999999991</v>
      </c>
      <c r="O817" s="120"/>
      <c r="P817" s="192" t="s">
        <v>510</v>
      </c>
      <c r="Q817" s="7">
        <f>IF(P817="G",M817,IF(P817="PT",0,ERR))</f>
        <v>0</v>
      </c>
      <c r="R817" s="7">
        <f>IF(P817="PT",M817,IF(P817="G",0,ERR))</f>
        <v>0</v>
      </c>
      <c r="S817" s="126" t="s">
        <v>510</v>
      </c>
      <c r="T817" s="7">
        <f>IF(S817="G",N817,IF(S817="PT",0,ERR))</f>
        <v>47211.739999999991</v>
      </c>
      <c r="U817" s="7">
        <f>IF(S817="PT",N817,IF(S817="G",0,ERR))</f>
        <v>0</v>
      </c>
      <c r="V817" s="124"/>
      <c r="W817" s="7">
        <f>HLOOKUP($W$9,'ROR-Model'!$Q$10:$U$1273,Y817)</f>
        <v>0</v>
      </c>
      <c r="X817" s="139"/>
      <c r="Y817" s="3">
        <f t="shared" si="46"/>
        <v>808</v>
      </c>
      <c r="AA817" s="7">
        <v>0</v>
      </c>
      <c r="AC817" s="7" t="str">
        <f t="shared" si="47"/>
        <v/>
      </c>
      <c r="AE817" s="42" t="str">
        <f t="shared" si="48"/>
        <v/>
      </c>
      <c r="AG817" s="162"/>
      <c r="AH817" s="10"/>
      <c r="AI817" s="10" t="s">
        <v>23</v>
      </c>
      <c r="AJ817" s="10"/>
    </row>
    <row r="818" spans="1:36">
      <c r="A818" s="137"/>
      <c r="B818" s="47"/>
      <c r="C818" s="47" t="s">
        <v>145</v>
      </c>
      <c r="D818" s="47"/>
      <c r="E818" s="140">
        <f>+G818-Adjustments!G818</f>
        <v>-26843858.529999997</v>
      </c>
      <c r="F818" s="140">
        <f>SUM(F816:F817)</f>
        <v>27905331.710000005</v>
      </c>
      <c r="G818" s="140">
        <f>SUM(G816:G817)</f>
        <v>-26843858.529999997</v>
      </c>
      <c r="H818" s="140">
        <f>SUM(H816:H817)</f>
        <v>0</v>
      </c>
      <c r="I818" s="140">
        <f>SUM(I816:I817)</f>
        <v>1061473.1800000051</v>
      </c>
      <c r="J818" s="7">
        <f>+I818-'ROR-Model'!I818</f>
        <v>0</v>
      </c>
      <c r="K818" s="7"/>
      <c r="L818" s="140"/>
      <c r="M818" s="140">
        <f>SUM(M816:M817)</f>
        <v>1014261.4400000051</v>
      </c>
      <c r="N818" s="140">
        <f>SUM(N816:N817)</f>
        <v>47211.739999999991</v>
      </c>
      <c r="O818" s="120"/>
      <c r="P818" s="201"/>
      <c r="Q818" s="140">
        <f>SUM(Q816:Q817)</f>
        <v>1014261.4400000051</v>
      </c>
      <c r="R818" s="140">
        <f>SUM(R816:R817)</f>
        <v>0</v>
      </c>
      <c r="S818" s="201"/>
      <c r="T818" s="140">
        <f>SUM(T816:T817)</f>
        <v>47211.739999999991</v>
      </c>
      <c r="U818" s="140">
        <f>SUM(U816:U817)</f>
        <v>0</v>
      </c>
      <c r="V818" s="124"/>
      <c r="W818" s="140">
        <f>HLOOKUP($W$9,'ROR-Model'!$Q$10:$U$1273,Y818)</f>
        <v>1014261.4400000051</v>
      </c>
      <c r="X818" s="139"/>
      <c r="Y818" s="3">
        <f t="shared" si="46"/>
        <v>809</v>
      </c>
      <c r="AA818" s="140">
        <v>1970941.7100000009</v>
      </c>
      <c r="AC818" s="140">
        <f t="shared" si="47"/>
        <v>-956680.26999999583</v>
      </c>
      <c r="AE818" s="42">
        <f t="shared" si="48"/>
        <v>-0.48539247261655211</v>
      </c>
      <c r="AG818" s="162"/>
      <c r="AH818" s="10"/>
      <c r="AI818" s="10" t="s">
        <v>145</v>
      </c>
      <c r="AJ818" s="10"/>
    </row>
    <row r="819" spans="1:36">
      <c r="A819" s="137"/>
      <c r="B819" s="47"/>
      <c r="C819" s="47"/>
      <c r="D819" s="47"/>
      <c r="E819" s="7">
        <f>+G819-Adjustments!G819</f>
        <v>0</v>
      </c>
      <c r="F819" s="7"/>
      <c r="G819" s="7"/>
      <c r="H819" s="7"/>
      <c r="I819" s="7"/>
      <c r="J819" s="7">
        <f>+I819-'ROR-Model'!I819</f>
        <v>0</v>
      </c>
      <c r="K819" s="7"/>
      <c r="L819" s="7"/>
      <c r="M819" s="7"/>
      <c r="N819" s="7"/>
      <c r="O819" s="120"/>
      <c r="P819" s="126"/>
      <c r="Q819" s="7"/>
      <c r="R819" s="7"/>
      <c r="S819" s="126"/>
      <c r="T819" s="7"/>
      <c r="U819" s="7"/>
      <c r="V819" s="124"/>
      <c r="W819" s="7"/>
      <c r="X819" s="139"/>
      <c r="Y819" s="3">
        <f t="shared" si="46"/>
        <v>810</v>
      </c>
      <c r="AA819" s="7"/>
      <c r="AC819" s="7" t="str">
        <f t="shared" si="47"/>
        <v/>
      </c>
      <c r="AE819" s="42" t="str">
        <f t="shared" si="48"/>
        <v/>
      </c>
      <c r="AG819" s="162"/>
      <c r="AH819" s="10"/>
      <c r="AI819" s="10"/>
      <c r="AJ819" s="10"/>
    </row>
    <row r="820" spans="1:36">
      <c r="A820" s="137">
        <v>909</v>
      </c>
      <c r="B820" s="47" t="s">
        <v>381</v>
      </c>
      <c r="C820" s="47"/>
      <c r="D820" s="47"/>
      <c r="E820" s="7">
        <f>+G820-Adjustments!G820</f>
        <v>0</v>
      </c>
      <c r="F820" s="7"/>
      <c r="G820" s="7"/>
      <c r="H820" s="7"/>
      <c r="I820" s="7"/>
      <c r="J820" s="7">
        <f>+I820-'ROR-Model'!I820</f>
        <v>0</v>
      </c>
      <c r="K820" s="7"/>
      <c r="L820" s="7"/>
      <c r="M820" s="7"/>
      <c r="N820" s="7"/>
      <c r="O820" s="120"/>
      <c r="P820" s="126"/>
      <c r="Q820" s="7"/>
      <c r="R820" s="7"/>
      <c r="S820" s="126"/>
      <c r="T820" s="7"/>
      <c r="U820" s="7"/>
      <c r="V820" s="124"/>
      <c r="W820" s="7"/>
      <c r="X820" s="139"/>
      <c r="Y820" s="3">
        <f t="shared" si="46"/>
        <v>811</v>
      </c>
      <c r="AA820" s="7"/>
      <c r="AC820" s="7" t="str">
        <f t="shared" si="47"/>
        <v/>
      </c>
      <c r="AE820" s="42" t="str">
        <f t="shared" si="48"/>
        <v/>
      </c>
      <c r="AG820" s="162">
        <v>909</v>
      </c>
      <c r="AH820" s="10" t="s">
        <v>381</v>
      </c>
      <c r="AI820" s="10"/>
      <c r="AJ820" s="10"/>
    </row>
    <row r="821" spans="1:36">
      <c r="A821" s="137"/>
      <c r="B821" s="47"/>
      <c r="C821" s="47" t="s">
        <v>12</v>
      </c>
      <c r="D821" s="47"/>
      <c r="E821" s="7">
        <f>+G821-Adjustments!G821</f>
        <v>0</v>
      </c>
      <c r="F821" s="7">
        <f>EXPENSES!F313</f>
        <v>651470.22</v>
      </c>
      <c r="G821" s="7">
        <f>+Adjustments!V820</f>
        <v>0</v>
      </c>
      <c r="H821" s="7"/>
      <c r="I821" s="7">
        <f>SUM($F$821:$H$821)</f>
        <v>651470.22</v>
      </c>
      <c r="J821" s="7">
        <f>+I821-'ROR-Model'!I821</f>
        <v>0</v>
      </c>
      <c r="K821" s="7"/>
      <c r="L821" s="7" t="s">
        <v>12</v>
      </c>
      <c r="M821" s="7">
        <f>VLOOKUP($L821,$L$2:$N$7,2,FALSE)*I821</f>
        <v>651470.22</v>
      </c>
      <c r="N821" s="7">
        <f>VLOOKUP($L821,$L$2:$N$7,3,FALSE)*I821</f>
        <v>0</v>
      </c>
      <c r="O821" s="120"/>
      <c r="P821" s="192" t="s">
        <v>510</v>
      </c>
      <c r="Q821" s="7">
        <f>IF(P821="G",M821,IF(P821="PT",0,ERR))</f>
        <v>651470.22</v>
      </c>
      <c r="R821" s="7">
        <f>IF(P821="PT",M821,IF(P821="G",0,ERR))</f>
        <v>0</v>
      </c>
      <c r="S821" s="126" t="s">
        <v>510</v>
      </c>
      <c r="T821" s="7">
        <f>IF(S821="G",N821,IF(S821="PT",0,ERR))</f>
        <v>0</v>
      </c>
      <c r="U821" s="7">
        <f>IF(S821="PT",N821,IF(S821="G",0,ERR))</f>
        <v>0</v>
      </c>
      <c r="V821" s="124"/>
      <c r="W821" s="7">
        <f>HLOOKUP($W$9,'ROR-Model'!$Q$10:$U$1273,Y821)</f>
        <v>651470.22</v>
      </c>
      <c r="X821" s="139"/>
      <c r="Y821" s="3">
        <f t="shared" si="46"/>
        <v>812</v>
      </c>
      <c r="AA821" s="7">
        <v>806380.58465365798</v>
      </c>
      <c r="AC821" s="7">
        <f t="shared" si="47"/>
        <v>-154910.36465365801</v>
      </c>
      <c r="AE821" s="42">
        <f t="shared" si="48"/>
        <v>-0.19210577189205555</v>
      </c>
      <c r="AG821" s="162"/>
      <c r="AH821" s="10"/>
      <c r="AI821" s="10" t="s">
        <v>12</v>
      </c>
      <c r="AJ821" s="10"/>
    </row>
    <row r="822" spans="1:36">
      <c r="A822" s="137"/>
      <c r="B822" s="47"/>
      <c r="C822" s="47" t="s">
        <v>23</v>
      </c>
      <c r="D822" s="47"/>
      <c r="E822" s="7">
        <f>+G822-Adjustments!G822</f>
        <v>0</v>
      </c>
      <c r="F822" s="7">
        <f>EXPENSES!F314</f>
        <v>13910.900000000001</v>
      </c>
      <c r="G822" s="7">
        <f>+Adjustments!V821</f>
        <v>0</v>
      </c>
      <c r="H822" s="7"/>
      <c r="I822" s="7">
        <f>SUM($F$822:$H$822)</f>
        <v>13910.900000000001</v>
      </c>
      <c r="J822" s="7">
        <f>+I822-'ROR-Model'!I822</f>
        <v>0</v>
      </c>
      <c r="K822" s="7"/>
      <c r="L822" s="7" t="s">
        <v>23</v>
      </c>
      <c r="M822" s="7">
        <f>VLOOKUP($L822,$L$2:$N$7,2,FALSE)*I822</f>
        <v>0</v>
      </c>
      <c r="N822" s="7">
        <f>VLOOKUP($L822,$L$2:$N$7,3,FALSE)*I822</f>
        <v>13910.900000000001</v>
      </c>
      <c r="O822" s="120"/>
      <c r="P822" s="192" t="s">
        <v>510</v>
      </c>
      <c r="Q822" s="7">
        <f>IF(P822="G",M822,IF(P822="PT",0,ERR))</f>
        <v>0</v>
      </c>
      <c r="R822" s="7">
        <f>IF(P822="PT",M822,IF(P822="G",0,ERR))</f>
        <v>0</v>
      </c>
      <c r="S822" s="126" t="s">
        <v>510</v>
      </c>
      <c r="T822" s="7">
        <f>IF(S822="G",N822,IF(S822="PT",0,ERR))</f>
        <v>13910.900000000001</v>
      </c>
      <c r="U822" s="7">
        <f>IF(S822="PT",N822,IF(S822="G",0,ERR))</f>
        <v>0</v>
      </c>
      <c r="V822" s="124"/>
      <c r="W822" s="7">
        <f>HLOOKUP($W$9,'ROR-Model'!$Q$10:$U$1273,Y822)</f>
        <v>0</v>
      </c>
      <c r="X822" s="139"/>
      <c r="Y822" s="3">
        <f t="shared" si="46"/>
        <v>813</v>
      </c>
      <c r="AA822" s="7">
        <v>0</v>
      </c>
      <c r="AC822" s="7" t="str">
        <f t="shared" si="47"/>
        <v/>
      </c>
      <c r="AE822" s="42" t="str">
        <f t="shared" si="48"/>
        <v/>
      </c>
      <c r="AG822" s="162"/>
      <c r="AH822" s="10"/>
      <c r="AI822" s="10" t="s">
        <v>23</v>
      </c>
      <c r="AJ822" s="10"/>
    </row>
    <row r="823" spans="1:36">
      <c r="A823" s="137"/>
      <c r="B823" s="47"/>
      <c r="C823" s="47" t="s">
        <v>145</v>
      </c>
      <c r="D823" s="47"/>
      <c r="E823" s="140">
        <f>+G823-Adjustments!G823</f>
        <v>0</v>
      </c>
      <c r="F823" s="140">
        <f>SUM(F821:F822)</f>
        <v>665381.12</v>
      </c>
      <c r="G823" s="140">
        <f>SUM(G821:G822)</f>
        <v>0</v>
      </c>
      <c r="H823" s="140">
        <f>SUM(H821:H822)</f>
        <v>0</v>
      </c>
      <c r="I823" s="140">
        <f>SUM(I821:I822)</f>
        <v>665381.12</v>
      </c>
      <c r="J823" s="7">
        <f>+I823-'ROR-Model'!I823</f>
        <v>0</v>
      </c>
      <c r="K823" s="7"/>
      <c r="L823" s="140"/>
      <c r="M823" s="140">
        <f>SUM(M821:M822)</f>
        <v>651470.22</v>
      </c>
      <c r="N823" s="140">
        <f>SUM(N821:N822)</f>
        <v>13910.900000000001</v>
      </c>
      <c r="O823" s="120"/>
      <c r="P823" s="201"/>
      <c r="Q823" s="140">
        <f>SUM(Q821:Q822)</f>
        <v>651470.22</v>
      </c>
      <c r="R823" s="140">
        <f>SUM(R821:R822)</f>
        <v>0</v>
      </c>
      <c r="S823" s="201"/>
      <c r="T823" s="140">
        <f>SUM(T821:T822)</f>
        <v>13910.900000000001</v>
      </c>
      <c r="U823" s="140">
        <f>SUM(U821:U822)</f>
        <v>0</v>
      </c>
      <c r="V823" s="124"/>
      <c r="W823" s="140">
        <f>HLOOKUP($W$9,'ROR-Model'!$Q$10:$U$1273,Y823)</f>
        <v>651470.22</v>
      </c>
      <c r="X823" s="139"/>
      <c r="Y823" s="3">
        <f t="shared" si="46"/>
        <v>814</v>
      </c>
      <c r="AA823" s="140">
        <v>806380.58465365798</v>
      </c>
      <c r="AC823" s="140">
        <f t="shared" si="47"/>
        <v>-154910.36465365801</v>
      </c>
      <c r="AE823" s="42">
        <f t="shared" si="48"/>
        <v>-0.19210577189205555</v>
      </c>
      <c r="AG823" s="162"/>
      <c r="AH823" s="10"/>
      <c r="AI823" s="10" t="s">
        <v>145</v>
      </c>
      <c r="AJ823" s="10"/>
    </row>
    <row r="824" spans="1:36">
      <c r="A824" s="137"/>
      <c r="B824" s="47"/>
      <c r="C824" s="47"/>
      <c r="D824" s="47"/>
      <c r="E824" s="7">
        <f>+G824-Adjustments!G824</f>
        <v>0</v>
      </c>
      <c r="F824" s="7"/>
      <c r="G824" s="7"/>
      <c r="H824" s="7"/>
      <c r="I824" s="7"/>
      <c r="J824" s="7">
        <f>+I824-'ROR-Model'!I824</f>
        <v>0</v>
      </c>
      <c r="K824" s="7"/>
      <c r="L824" s="7"/>
      <c r="M824" s="7"/>
      <c r="N824" s="7"/>
      <c r="O824" s="120"/>
      <c r="P824" s="126"/>
      <c r="Q824" s="7"/>
      <c r="R824" s="7"/>
      <c r="S824" s="126"/>
      <c r="T824" s="7"/>
      <c r="U824" s="7"/>
      <c r="V824" s="124"/>
      <c r="W824" s="7"/>
      <c r="X824" s="139"/>
      <c r="Y824" s="3">
        <f t="shared" si="46"/>
        <v>815</v>
      </c>
      <c r="AA824" s="7"/>
      <c r="AC824" s="7" t="str">
        <f t="shared" si="47"/>
        <v/>
      </c>
      <c r="AE824" s="42" t="str">
        <f t="shared" si="48"/>
        <v/>
      </c>
      <c r="AG824" s="162"/>
      <c r="AH824" s="10"/>
      <c r="AI824" s="10"/>
      <c r="AJ824" s="10"/>
    </row>
    <row r="825" spans="1:36">
      <c r="A825" s="137">
        <v>910</v>
      </c>
      <c r="B825" s="47" t="s">
        <v>382</v>
      </c>
      <c r="C825" s="47"/>
      <c r="D825" s="47"/>
      <c r="E825" s="7">
        <f>+G825-Adjustments!G825</f>
        <v>0</v>
      </c>
      <c r="F825" s="7"/>
      <c r="G825" s="7"/>
      <c r="H825" s="7"/>
      <c r="I825" s="7"/>
      <c r="J825" s="7">
        <f>+I825-'ROR-Model'!I825</f>
        <v>0</v>
      </c>
      <c r="K825" s="7"/>
      <c r="L825" s="7"/>
      <c r="M825" s="7"/>
      <c r="N825" s="7"/>
      <c r="O825" s="120"/>
      <c r="P825" s="126"/>
      <c r="Q825" s="7"/>
      <c r="R825" s="7"/>
      <c r="S825" s="126"/>
      <c r="T825" s="7"/>
      <c r="U825" s="7"/>
      <c r="V825" s="124"/>
      <c r="W825" s="7"/>
      <c r="X825" s="139"/>
      <c r="Y825" s="3">
        <f t="shared" si="46"/>
        <v>816</v>
      </c>
      <c r="AA825" s="7"/>
      <c r="AC825" s="7" t="str">
        <f t="shared" si="47"/>
        <v/>
      </c>
      <c r="AE825" s="42" t="str">
        <f t="shared" si="48"/>
        <v/>
      </c>
      <c r="AG825" s="162">
        <v>910</v>
      </c>
      <c r="AH825" s="10" t="s">
        <v>382</v>
      </c>
      <c r="AI825" s="10"/>
      <c r="AJ825" s="10"/>
    </row>
    <row r="826" spans="1:36">
      <c r="A826" s="136"/>
      <c r="B826" s="47"/>
      <c r="C826" s="47" t="s">
        <v>12</v>
      </c>
      <c r="D826" s="47"/>
      <c r="E826" s="7">
        <f>+G826-Adjustments!G826</f>
        <v>0</v>
      </c>
      <c r="F826" s="7">
        <f>EXPENSES!F318</f>
        <v>0</v>
      </c>
      <c r="G826" s="7">
        <f>+Adjustments!V825</f>
        <v>0</v>
      </c>
      <c r="H826" s="7"/>
      <c r="I826" s="7">
        <f>SUM($F$826:$H$826)</f>
        <v>0</v>
      </c>
      <c r="J826" s="7">
        <f>+I826-'ROR-Model'!I826</f>
        <v>0</v>
      </c>
      <c r="K826" s="7"/>
      <c r="L826" s="7" t="s">
        <v>12</v>
      </c>
      <c r="M826" s="7">
        <f>VLOOKUP($L826,$L$2:$N$7,2,FALSE)*I826</f>
        <v>0</v>
      </c>
      <c r="N826" s="7">
        <f>VLOOKUP($L826,$L$2:$N$7,3,FALSE)*I826</f>
        <v>0</v>
      </c>
      <c r="O826" s="120"/>
      <c r="P826" s="192" t="s">
        <v>510</v>
      </c>
      <c r="Q826" s="7">
        <f>IF(P826="G",M826,IF(P826="PT",0,ERR))</f>
        <v>0</v>
      </c>
      <c r="R826" s="7">
        <f>IF(P826="PT",M826,IF(P826="G",0,ERR))</f>
        <v>0</v>
      </c>
      <c r="S826" s="126" t="s">
        <v>510</v>
      </c>
      <c r="T826" s="7">
        <f>IF(S826="G",N826,IF(S826="PT",0,ERR))</f>
        <v>0</v>
      </c>
      <c r="U826" s="7">
        <f>IF(S826="PT",N826,IF(S826="G",0,ERR))</f>
        <v>0</v>
      </c>
      <c r="V826" s="124"/>
      <c r="W826" s="7">
        <f>HLOOKUP($W$9,'ROR-Model'!$Q$10:$U$1273,Y826)</f>
        <v>0</v>
      </c>
      <c r="X826" s="139"/>
      <c r="Y826" s="3">
        <f t="shared" si="46"/>
        <v>817</v>
      </c>
      <c r="AA826" s="7">
        <v>0</v>
      </c>
      <c r="AC826" s="7" t="str">
        <f t="shared" si="47"/>
        <v/>
      </c>
      <c r="AE826" s="42" t="str">
        <f t="shared" si="48"/>
        <v/>
      </c>
      <c r="AG826" s="162"/>
      <c r="AH826" s="10"/>
      <c r="AI826" s="10" t="s">
        <v>12</v>
      </c>
      <c r="AJ826" s="10"/>
    </row>
    <row r="827" spans="1:36">
      <c r="A827" s="136"/>
      <c r="B827" s="47"/>
      <c r="C827" s="47" t="s">
        <v>23</v>
      </c>
      <c r="D827" s="47"/>
      <c r="E827" s="7">
        <f>+G827-Adjustments!G827</f>
        <v>0</v>
      </c>
      <c r="F827" s="7">
        <f>EXPENSES!F319</f>
        <v>0</v>
      </c>
      <c r="G827" s="7">
        <f>+Adjustments!V826</f>
        <v>0</v>
      </c>
      <c r="H827" s="7"/>
      <c r="I827" s="7">
        <f>SUM($F$827:$H$827)</f>
        <v>0</v>
      </c>
      <c r="J827" s="7">
        <f>+I827-'ROR-Model'!I827</f>
        <v>0</v>
      </c>
      <c r="K827" s="7"/>
      <c r="L827" s="7" t="s">
        <v>23</v>
      </c>
      <c r="M827" s="7">
        <f>VLOOKUP($L827,$L$2:$N$7,2,FALSE)*I827</f>
        <v>0</v>
      </c>
      <c r="N827" s="7">
        <f>VLOOKUP($L827,$L$2:$N$7,3,FALSE)*I827</f>
        <v>0</v>
      </c>
      <c r="O827" s="120"/>
      <c r="P827" s="192" t="s">
        <v>510</v>
      </c>
      <c r="Q827" s="7">
        <f>IF(P827="G",M827,IF(P827="PT",0,ERR))</f>
        <v>0</v>
      </c>
      <c r="R827" s="7">
        <f>IF(P827="PT",M827,IF(P827="G",0,ERR))</f>
        <v>0</v>
      </c>
      <c r="S827" s="126" t="s">
        <v>510</v>
      </c>
      <c r="T827" s="7">
        <f>IF(S827="G",N827,IF(S827="PT",0,ERR))</f>
        <v>0</v>
      </c>
      <c r="U827" s="7">
        <f>IF(S827="PT",N827,IF(S827="G",0,ERR))</f>
        <v>0</v>
      </c>
      <c r="V827" s="124"/>
      <c r="W827" s="7">
        <f>HLOOKUP($W$9,'ROR-Model'!$Q$10:$U$1273,Y827)</f>
        <v>0</v>
      </c>
      <c r="X827" s="139"/>
      <c r="Y827" s="3">
        <f t="shared" si="46"/>
        <v>818</v>
      </c>
      <c r="AA827" s="7">
        <v>0</v>
      </c>
      <c r="AC827" s="7" t="str">
        <f t="shared" si="47"/>
        <v/>
      </c>
      <c r="AE827" s="42" t="str">
        <f t="shared" si="48"/>
        <v/>
      </c>
      <c r="AG827" s="162"/>
      <c r="AH827" s="10"/>
      <c r="AI827" s="10" t="s">
        <v>23</v>
      </c>
      <c r="AJ827" s="10"/>
    </row>
    <row r="828" spans="1:36">
      <c r="A828" s="136"/>
      <c r="B828" s="47"/>
      <c r="C828" s="47" t="s">
        <v>145</v>
      </c>
      <c r="D828" s="47"/>
      <c r="E828" s="140">
        <f>+G828-Adjustments!G828</f>
        <v>0</v>
      </c>
      <c r="F828" s="140">
        <f>SUM(F826:F827)</f>
        <v>0</v>
      </c>
      <c r="G828" s="140">
        <f>SUM(G826:G827)</f>
        <v>0</v>
      </c>
      <c r="H828" s="140">
        <f>SUM(H826:H827)</f>
        <v>0</v>
      </c>
      <c r="I828" s="140">
        <f>SUM(I826:I827)</f>
        <v>0</v>
      </c>
      <c r="J828" s="7">
        <f>+I828-'ROR-Model'!I828</f>
        <v>0</v>
      </c>
      <c r="K828" s="7"/>
      <c r="L828" s="140"/>
      <c r="M828" s="140">
        <f>SUM(M826:M827)</f>
        <v>0</v>
      </c>
      <c r="N828" s="140">
        <f>SUM(N826:N827)</f>
        <v>0</v>
      </c>
      <c r="O828" s="120"/>
      <c r="P828" s="201"/>
      <c r="Q828" s="140">
        <f>SUM(Q826:Q827)</f>
        <v>0</v>
      </c>
      <c r="R828" s="140">
        <f>SUM(R826:R827)</f>
        <v>0</v>
      </c>
      <c r="S828" s="201"/>
      <c r="T828" s="140">
        <f>SUM(T826:T827)</f>
        <v>0</v>
      </c>
      <c r="U828" s="140">
        <f>SUM(U826:U827)</f>
        <v>0</v>
      </c>
      <c r="V828" s="124"/>
      <c r="W828" s="140">
        <f>HLOOKUP($W$9,'ROR-Model'!$Q$10:$U$1273,Y828)</f>
        <v>0</v>
      </c>
      <c r="X828" s="139"/>
      <c r="Y828" s="3">
        <f t="shared" si="46"/>
        <v>819</v>
      </c>
      <c r="AA828" s="140">
        <v>0</v>
      </c>
      <c r="AC828" s="140" t="str">
        <f t="shared" si="47"/>
        <v/>
      </c>
      <c r="AE828" s="42" t="str">
        <f t="shared" si="48"/>
        <v/>
      </c>
      <c r="AG828" s="162"/>
      <c r="AH828" s="10"/>
      <c r="AI828" s="10" t="s">
        <v>145</v>
      </c>
      <c r="AJ828" s="10"/>
    </row>
    <row r="829" spans="1:36" ht="13.5" thickBot="1">
      <c r="A829" s="136"/>
      <c r="B829" s="47"/>
      <c r="C829" s="47"/>
      <c r="D829" s="47"/>
      <c r="E829" s="24">
        <f>+G829-Adjustments!G829</f>
        <v>0</v>
      </c>
      <c r="F829" s="24"/>
      <c r="G829" s="24"/>
      <c r="H829" s="24"/>
      <c r="I829" s="24"/>
      <c r="J829" s="7">
        <f>+I829-'ROR-Model'!I829</f>
        <v>0</v>
      </c>
      <c r="K829" s="7"/>
      <c r="L829" s="24"/>
      <c r="M829" s="24"/>
      <c r="N829" s="24"/>
      <c r="O829" s="120"/>
      <c r="P829" s="202"/>
      <c r="Q829" s="24"/>
      <c r="R829" s="24"/>
      <c r="S829" s="202"/>
      <c r="T829" s="24"/>
      <c r="U829" s="24"/>
      <c r="V829" s="124"/>
      <c r="W829" s="24"/>
      <c r="X829" s="139"/>
      <c r="Y829" s="3">
        <f t="shared" si="46"/>
        <v>820</v>
      </c>
      <c r="AA829" s="24"/>
      <c r="AC829" s="24" t="str">
        <f t="shared" si="47"/>
        <v/>
      </c>
      <c r="AE829" s="42" t="str">
        <f t="shared" si="48"/>
        <v/>
      </c>
      <c r="AG829" s="162"/>
      <c r="AH829" s="10"/>
      <c r="AI829" s="10"/>
      <c r="AJ829" s="10"/>
    </row>
    <row r="830" spans="1:36" ht="13.5" thickTop="1">
      <c r="A830" s="116" t="s">
        <v>596</v>
      </c>
      <c r="B830" s="47"/>
      <c r="C830" s="47"/>
      <c r="D830" s="47"/>
      <c r="E830" s="7">
        <f>+G830-Adjustments!G830</f>
        <v>26736727.259999998</v>
      </c>
      <c r="F830" s="7"/>
      <c r="G830" s="7"/>
      <c r="H830" s="7"/>
      <c r="I830" s="7"/>
      <c r="J830" s="7">
        <f>+I830-'ROR-Model'!I830</f>
        <v>0</v>
      </c>
      <c r="K830" s="7"/>
      <c r="L830" s="7"/>
      <c r="M830" s="7"/>
      <c r="N830" s="7"/>
      <c r="O830" s="120"/>
      <c r="P830" s="126"/>
      <c r="Q830" s="7"/>
      <c r="R830" s="7"/>
      <c r="S830" s="126"/>
      <c r="T830" s="7"/>
      <c r="U830" s="7"/>
      <c r="V830" s="124"/>
      <c r="W830" s="7"/>
      <c r="X830" s="139"/>
      <c r="Y830" s="3">
        <f t="shared" si="46"/>
        <v>821</v>
      </c>
      <c r="AA830" s="7"/>
      <c r="AC830" s="7" t="str">
        <f t="shared" si="47"/>
        <v/>
      </c>
      <c r="AE830" s="42" t="str">
        <f t="shared" si="48"/>
        <v/>
      </c>
      <c r="AG830" s="162" t="s">
        <v>596</v>
      </c>
      <c r="AH830" s="10"/>
      <c r="AI830" s="10"/>
      <c r="AJ830" s="10"/>
    </row>
    <row r="831" spans="1:36">
      <c r="A831" s="136"/>
      <c r="B831" s="423" t="s">
        <v>597</v>
      </c>
      <c r="C831" s="47"/>
      <c r="D831" s="47"/>
      <c r="E831" s="7">
        <f>+G831-Adjustments!G831</f>
        <v>-26629595.989999998</v>
      </c>
      <c r="F831" s="7">
        <f>F811+F816+F821+F826</f>
        <v>28860279.640000001</v>
      </c>
      <c r="G831" s="7">
        <f t="shared" ref="G831:G832" si="50">G811+G816+G821+G826</f>
        <v>-26736727.259999998</v>
      </c>
      <c r="H831" s="7">
        <f t="shared" ref="H831:I832" si="51">H811+H816+H821+H826</f>
        <v>0</v>
      </c>
      <c r="I831" s="7">
        <f t="shared" si="51"/>
        <v>2123552.380000005</v>
      </c>
      <c r="J831" s="7">
        <f>+I831-'ROR-Model'!I831</f>
        <v>0</v>
      </c>
      <c r="K831" s="7"/>
      <c r="L831" s="7"/>
      <c r="M831" s="7">
        <f>M811+M816+M821+M826</f>
        <v>2123552.380000005</v>
      </c>
      <c r="N831" s="7">
        <f>N811+N816+N821+N826</f>
        <v>0</v>
      </c>
      <c r="O831" s="120"/>
      <c r="P831" s="126"/>
      <c r="Q831" s="7">
        <f>Q811+Q816+Q821+Q826</f>
        <v>2123552.380000005</v>
      </c>
      <c r="R831" s="7">
        <f>R811+R816+R821+R826</f>
        <v>0</v>
      </c>
      <c r="S831" s="126"/>
      <c r="T831" s="7">
        <f>T811+T816+T821+T826</f>
        <v>0</v>
      </c>
      <c r="U831" s="7">
        <f>U811+U816+U821+U826</f>
        <v>0</v>
      </c>
      <c r="V831" s="124"/>
      <c r="W831" s="7">
        <f>HLOOKUP($W$9,'ROR-Model'!$Q$10:$U$1273,Y831)</f>
        <v>2123552.380000005</v>
      </c>
      <c r="X831" s="139"/>
      <c r="Y831" s="3">
        <f t="shared" si="46"/>
        <v>822</v>
      </c>
      <c r="AA831" s="7">
        <v>3090629.1246536588</v>
      </c>
      <c r="AC831" s="7">
        <f t="shared" si="47"/>
        <v>-967076.74465365382</v>
      </c>
      <c r="AE831" s="42">
        <f t="shared" si="48"/>
        <v>-0.312906112525561</v>
      </c>
      <c r="AG831" s="162"/>
      <c r="AH831" t="s">
        <v>597</v>
      </c>
      <c r="AI831" s="10"/>
      <c r="AJ831" s="10"/>
    </row>
    <row r="832" spans="1:36">
      <c r="A832" s="136"/>
      <c r="B832" s="423" t="s">
        <v>598</v>
      </c>
      <c r="C832" s="47"/>
      <c r="D832" s="47"/>
      <c r="E832" s="7">
        <f>+G832-Adjustments!G832</f>
        <v>-107131.26999999999</v>
      </c>
      <c r="F832" s="7">
        <f>F812+F817+F822+F827</f>
        <v>181160.61</v>
      </c>
      <c r="G832" s="7">
        <f t="shared" si="50"/>
        <v>-107131.26999999999</v>
      </c>
      <c r="H832" s="7">
        <f t="shared" si="51"/>
        <v>0</v>
      </c>
      <c r="I832" s="7">
        <f t="shared" si="51"/>
        <v>74029.34</v>
      </c>
      <c r="J832" s="7">
        <f>+I832-'ROR-Model'!I832</f>
        <v>0</v>
      </c>
      <c r="K832" s="7"/>
      <c r="L832" s="7"/>
      <c r="M832" s="7">
        <f>M812+M817+M822+M827</f>
        <v>0</v>
      </c>
      <c r="N832" s="7">
        <f>N812+N817+N822+N827</f>
        <v>74029.34</v>
      </c>
      <c r="O832" s="120"/>
      <c r="P832" s="126"/>
      <c r="Q832" s="7">
        <f>Q812+Q817+Q822+Q827</f>
        <v>0</v>
      </c>
      <c r="R832" s="7">
        <f>R812+R817+R822+R827</f>
        <v>0</v>
      </c>
      <c r="S832" s="126"/>
      <c r="T832" s="7">
        <f>T812+T817+T822+T827</f>
        <v>74029.34</v>
      </c>
      <c r="U832" s="7">
        <f>U812+U817+U822+U827</f>
        <v>0</v>
      </c>
      <c r="V832" s="124"/>
      <c r="W832" s="7">
        <f>HLOOKUP($W$9,'ROR-Model'!$Q$10:$U$1273,Y832)</f>
        <v>0</v>
      </c>
      <c r="X832" s="139"/>
      <c r="Y832" s="3">
        <f t="shared" si="46"/>
        <v>823</v>
      </c>
      <c r="AA832" s="7">
        <v>0</v>
      </c>
      <c r="AC832" s="7" t="str">
        <f t="shared" si="47"/>
        <v/>
      </c>
      <c r="AE832" s="42" t="str">
        <f t="shared" si="48"/>
        <v/>
      </c>
      <c r="AG832" s="162"/>
      <c r="AH832" t="s">
        <v>598</v>
      </c>
      <c r="AI832" s="10"/>
      <c r="AJ832" s="10"/>
    </row>
    <row r="833" spans="1:36" ht="13.5" thickBot="1">
      <c r="A833" s="136"/>
      <c r="B833" s="47"/>
      <c r="C833" s="47"/>
      <c r="D833" s="47"/>
      <c r="E833" s="154">
        <f>+G833-Adjustments!G833</f>
        <v>26843858.529999997</v>
      </c>
      <c r="F833" s="154"/>
      <c r="G833" s="154"/>
      <c r="H833" s="154"/>
      <c r="I833" s="154"/>
      <c r="J833" s="7">
        <f>+I833-'ROR-Model'!I833</f>
        <v>0</v>
      </c>
      <c r="K833" s="7"/>
      <c r="L833" s="154"/>
      <c r="M833" s="154"/>
      <c r="N833" s="154"/>
      <c r="O833" s="120"/>
      <c r="P833" s="204"/>
      <c r="Q833" s="154"/>
      <c r="R833" s="154"/>
      <c r="S833" s="204"/>
      <c r="T833" s="154"/>
      <c r="U833" s="154"/>
      <c r="V833" s="124"/>
      <c r="W833" s="154"/>
      <c r="X833" s="139"/>
      <c r="Y833" s="3">
        <f t="shared" si="46"/>
        <v>824</v>
      </c>
      <c r="AA833" s="154"/>
      <c r="AC833" s="154" t="str">
        <f t="shared" si="47"/>
        <v/>
      </c>
      <c r="AE833" s="42" t="str">
        <f t="shared" si="48"/>
        <v/>
      </c>
      <c r="AG833" s="162"/>
      <c r="AH833" s="10"/>
      <c r="AI833" s="10"/>
      <c r="AJ833" s="10"/>
    </row>
    <row r="834" spans="1:36">
      <c r="A834" s="136"/>
      <c r="B834" s="141" t="s">
        <v>596</v>
      </c>
      <c r="C834" s="47"/>
      <c r="D834" s="47"/>
      <c r="E834" s="7">
        <f>+G834-Adjustments!G834</f>
        <v>-26843858.529999997</v>
      </c>
      <c r="F834" s="7">
        <f>F813+F818+F823+F828</f>
        <v>29041440.250000007</v>
      </c>
      <c r="G834" s="7">
        <f>G813+G818+G823+G828</f>
        <v>-26843858.529999997</v>
      </c>
      <c r="H834" s="7">
        <f>H813+H818+H823+H828</f>
        <v>0</v>
      </c>
      <c r="I834" s="7">
        <f>I813+I818+I823+I828</f>
        <v>2197581.7200000049</v>
      </c>
      <c r="J834" s="7">
        <f>+I834-'ROR-Model'!I834</f>
        <v>0</v>
      </c>
      <c r="K834" s="7"/>
      <c r="L834" s="7"/>
      <c r="M834" s="7">
        <f>M813+M818+M823+M828</f>
        <v>2123552.380000005</v>
      </c>
      <c r="N834" s="7">
        <f>N813+N818+N823+N828</f>
        <v>74029.34</v>
      </c>
      <c r="O834" s="120"/>
      <c r="P834" s="126"/>
      <c r="Q834" s="7">
        <f>Q813+Q818+Q823+Q828</f>
        <v>2123552.380000005</v>
      </c>
      <c r="R834" s="7">
        <f>R813+R818+R823+R828</f>
        <v>0</v>
      </c>
      <c r="S834" s="126"/>
      <c r="T834" s="7">
        <f>T813+T818+T823+T828</f>
        <v>74029.34</v>
      </c>
      <c r="U834" s="7">
        <f>U813+U818+U823+U828</f>
        <v>0</v>
      </c>
      <c r="V834" s="124"/>
      <c r="W834" s="7">
        <f>HLOOKUP($W$9,'ROR-Model'!$Q$10:$U$1273,Y834)</f>
        <v>2123552.380000005</v>
      </c>
      <c r="X834" s="139"/>
      <c r="Y834" s="3">
        <f t="shared" si="46"/>
        <v>825</v>
      </c>
      <c r="AA834" s="7">
        <v>3090629.1246536588</v>
      </c>
      <c r="AC834" s="7">
        <f t="shared" si="47"/>
        <v>-967076.74465365382</v>
      </c>
      <c r="AE834" s="42">
        <f t="shared" si="48"/>
        <v>-0.312906112525561</v>
      </c>
      <c r="AG834" s="162"/>
      <c r="AH834" t="s">
        <v>596</v>
      </c>
      <c r="AI834" s="10"/>
      <c r="AJ834" s="10"/>
    </row>
    <row r="835" spans="1:36">
      <c r="A835" s="136"/>
      <c r="B835" s="47"/>
      <c r="C835" s="47"/>
      <c r="D835" s="47"/>
      <c r="E835" s="7">
        <f>+G835-Adjustments!G835</f>
        <v>0</v>
      </c>
      <c r="F835" s="7"/>
      <c r="G835" s="7"/>
      <c r="H835" s="7"/>
      <c r="I835" s="7"/>
      <c r="J835" s="7">
        <f>+I835-'ROR-Model'!I835</f>
        <v>0</v>
      </c>
      <c r="K835" s="7"/>
      <c r="L835" s="7"/>
      <c r="M835" s="7"/>
      <c r="N835" s="7"/>
      <c r="O835" s="120"/>
      <c r="P835" s="126"/>
      <c r="Q835" s="7"/>
      <c r="R835" s="7"/>
      <c r="S835" s="126"/>
      <c r="T835" s="7"/>
      <c r="U835" s="7"/>
      <c r="V835" s="124"/>
      <c r="W835" s="7"/>
      <c r="X835" s="139"/>
      <c r="Y835" s="3">
        <f t="shared" si="46"/>
        <v>826</v>
      </c>
      <c r="AA835" s="7"/>
      <c r="AC835" s="7" t="str">
        <f t="shared" si="47"/>
        <v/>
      </c>
      <c r="AE835" s="42" t="str">
        <f t="shared" si="48"/>
        <v/>
      </c>
      <c r="AG835" s="162"/>
      <c r="AH835" s="10"/>
      <c r="AI835" s="10"/>
      <c r="AJ835" s="10"/>
    </row>
    <row r="836" spans="1:36">
      <c r="A836" s="167" t="s">
        <v>383</v>
      </c>
      <c r="B836" s="49"/>
      <c r="C836" s="49"/>
      <c r="D836" s="49"/>
      <c r="E836" s="7">
        <f>+G836-Adjustments!G836</f>
        <v>0</v>
      </c>
      <c r="F836" s="7"/>
      <c r="G836" s="7"/>
      <c r="H836" s="7"/>
      <c r="I836" s="7"/>
      <c r="J836" s="7">
        <f>+I836-'ROR-Model'!I836</f>
        <v>0</v>
      </c>
      <c r="K836" s="7"/>
      <c r="L836" s="207"/>
      <c r="M836" s="7"/>
      <c r="N836" s="7"/>
      <c r="O836" s="120"/>
      <c r="P836" s="126"/>
      <c r="Q836" s="7"/>
      <c r="R836" s="7"/>
      <c r="S836" s="126"/>
      <c r="T836" s="7"/>
      <c r="U836" s="7"/>
      <c r="V836" s="124"/>
      <c r="W836" s="7"/>
      <c r="X836" s="139"/>
      <c r="Y836" s="3">
        <f t="shared" si="46"/>
        <v>827</v>
      </c>
      <c r="AA836" s="7"/>
      <c r="AC836" s="7" t="str">
        <f t="shared" si="47"/>
        <v/>
      </c>
      <c r="AE836" s="42" t="str">
        <f t="shared" si="48"/>
        <v/>
      </c>
      <c r="AG836" s="162" t="s">
        <v>383</v>
      </c>
      <c r="AH836" s="10"/>
      <c r="AI836" s="10"/>
      <c r="AJ836" s="10"/>
    </row>
    <row r="837" spans="1:36">
      <c r="A837" s="168"/>
      <c r="B837" s="49"/>
      <c r="C837" s="49"/>
      <c r="D837" s="49"/>
      <c r="E837" s="7">
        <f>+G837-Adjustments!G837</f>
        <v>0</v>
      </c>
      <c r="F837" s="7"/>
      <c r="G837" s="7"/>
      <c r="H837" s="7"/>
      <c r="I837" s="7"/>
      <c r="J837" s="7">
        <f>+I837-'ROR-Model'!I837</f>
        <v>0</v>
      </c>
      <c r="K837" s="7"/>
      <c r="L837" s="7"/>
      <c r="M837" s="7"/>
      <c r="N837" s="7"/>
      <c r="O837" s="120"/>
      <c r="P837" s="126"/>
      <c r="Q837" s="7"/>
      <c r="R837" s="7"/>
      <c r="S837" s="126"/>
      <c r="T837" s="7"/>
      <c r="U837" s="7"/>
      <c r="V837" s="124"/>
      <c r="W837" s="7"/>
      <c r="X837" s="139"/>
      <c r="Y837" s="3">
        <f t="shared" si="46"/>
        <v>828</v>
      </c>
      <c r="AA837" s="7"/>
      <c r="AC837" s="7" t="str">
        <f t="shared" si="47"/>
        <v/>
      </c>
      <c r="AE837" s="42" t="str">
        <f t="shared" si="48"/>
        <v/>
      </c>
      <c r="AG837" s="162"/>
      <c r="AH837" s="10"/>
      <c r="AI837" s="10"/>
      <c r="AJ837" s="10"/>
    </row>
    <row r="838" spans="1:36">
      <c r="A838" s="173">
        <v>920</v>
      </c>
      <c r="B838" s="49" t="s">
        <v>384</v>
      </c>
      <c r="C838" s="49"/>
      <c r="D838" s="49"/>
      <c r="E838" s="7">
        <f>+G838-Adjustments!G838</f>
        <v>0</v>
      </c>
      <c r="F838" s="7"/>
      <c r="G838" s="7"/>
      <c r="H838" s="7"/>
      <c r="I838" s="7"/>
      <c r="J838" s="7">
        <f>+I838-'ROR-Model'!I838</f>
        <v>0</v>
      </c>
      <c r="K838" s="7"/>
      <c r="L838" s="7"/>
      <c r="M838" s="7"/>
      <c r="N838" s="7"/>
      <c r="O838" s="120"/>
      <c r="P838" s="126"/>
      <c r="Q838" s="7"/>
      <c r="R838" s="7"/>
      <c r="S838" s="126"/>
      <c r="T838" s="7"/>
      <c r="U838" s="7"/>
      <c r="V838" s="124"/>
      <c r="W838" s="7"/>
      <c r="X838" s="139"/>
      <c r="Y838" s="3">
        <f t="shared" si="46"/>
        <v>829</v>
      </c>
      <c r="AA838" s="7"/>
      <c r="AC838" s="7" t="str">
        <f t="shared" si="47"/>
        <v/>
      </c>
      <c r="AE838" s="42" t="str">
        <f t="shared" si="48"/>
        <v/>
      </c>
      <c r="AG838" s="162">
        <v>920</v>
      </c>
      <c r="AH838" s="10" t="s">
        <v>384</v>
      </c>
      <c r="AI838" s="10"/>
      <c r="AJ838" s="10"/>
    </row>
    <row r="839" spans="1:36">
      <c r="A839" s="168"/>
      <c r="C839" s="49" t="s">
        <v>12</v>
      </c>
      <c r="D839" s="49"/>
      <c r="E839" s="7">
        <f>+G839-Adjustments!G839</f>
        <v>982513.47360137384</v>
      </c>
      <c r="F839" s="7">
        <f>EXPENSES!F331</f>
        <v>6983469.5200000005</v>
      </c>
      <c r="G839" s="7">
        <f>Adjustments!V838</f>
        <v>982513.47360137384</v>
      </c>
      <c r="H839" s="7"/>
      <c r="I839" s="7">
        <f>SUM(F839:H839)</f>
        <v>7965982.9936013743</v>
      </c>
      <c r="J839" s="7">
        <f>+I839-'ROR-Model'!I839</f>
        <v>0</v>
      </c>
      <c r="K839" s="7"/>
      <c r="L839" s="7" t="s">
        <v>12</v>
      </c>
      <c r="M839" s="7">
        <f>VLOOKUP($L839,$L$2:$N$7,2,FALSE)*I839</f>
        <v>7965982.9936013743</v>
      </c>
      <c r="N839" s="7">
        <f>VLOOKUP($L839,$L$2:$N$7,3,FALSE)*I839</f>
        <v>0</v>
      </c>
      <c r="O839" s="120"/>
      <c r="P839" s="192" t="s">
        <v>510</v>
      </c>
      <c r="Q839" s="7">
        <f>IF(P839="G",M839,IF(P839="PT",0,ERR))</f>
        <v>7965982.9936013743</v>
      </c>
      <c r="R839" s="7">
        <f>IF(P839="PT",M839,IF(P839="G",0,ERR))</f>
        <v>0</v>
      </c>
      <c r="S839" s="126" t="s">
        <v>510</v>
      </c>
      <c r="T839" s="7">
        <f>IF(S839="G",N839,IF(S839="PT",0,ERR))</f>
        <v>0</v>
      </c>
      <c r="U839" s="7">
        <f>IF(S839="PT",N839,IF(S839="G",0,ERR))</f>
        <v>0</v>
      </c>
      <c r="V839" s="124"/>
      <c r="W839" s="7">
        <f>HLOOKUP($W$9,'ROR-Model'!$Q$10:$U$1273,Y839)</f>
        <v>7965982.9936013743</v>
      </c>
      <c r="X839" s="139"/>
      <c r="Y839" s="3">
        <f t="shared" si="46"/>
        <v>830</v>
      </c>
      <c r="AA839" s="7">
        <v>1091491.6944779337</v>
      </c>
      <c r="AC839" s="7">
        <f t="shared" si="47"/>
        <v>6874491.2991234409</v>
      </c>
      <c r="AE839" s="42">
        <f t="shared" si="48"/>
        <v>6.2982534213524612</v>
      </c>
      <c r="AG839" s="162"/>
      <c r="AI839" s="10" t="s">
        <v>12</v>
      </c>
      <c r="AJ839" s="10"/>
    </row>
    <row r="840" spans="1:36">
      <c r="A840" s="168"/>
      <c r="C840" s="49" t="s">
        <v>23</v>
      </c>
      <c r="D840" s="49"/>
      <c r="E840" s="7">
        <f>+G840-Adjustments!G840</f>
        <v>28356.220902320129</v>
      </c>
      <c r="F840" s="7">
        <f>EXPENSES!F332</f>
        <v>239637.56000000003</v>
      </c>
      <c r="G840" s="7">
        <f>Adjustments!V839</f>
        <v>28356.220902320129</v>
      </c>
      <c r="H840" s="7"/>
      <c r="I840" s="7">
        <f>SUM(F840:H840)</f>
        <v>267993.78090232017</v>
      </c>
      <c r="J840" s="7">
        <f>+I840-'ROR-Model'!I840</f>
        <v>0</v>
      </c>
      <c r="K840" s="7"/>
      <c r="L840" s="7" t="s">
        <v>23</v>
      </c>
      <c r="M840" s="7">
        <f>VLOOKUP($L840,$L$2:$N$7,2,FALSE)*I840</f>
        <v>0</v>
      </c>
      <c r="N840" s="7">
        <f>VLOOKUP($L840,$L$2:$N$7,3,FALSE)*I840</f>
        <v>267993.78090232017</v>
      </c>
      <c r="O840" s="120"/>
      <c r="P840" s="192" t="s">
        <v>510</v>
      </c>
      <c r="Q840" s="7">
        <f>IF(P840="G",M840,IF(P840="PT",0,ERR))</f>
        <v>0</v>
      </c>
      <c r="R840" s="7">
        <f>IF(P840="PT",M840,IF(P840="G",0,ERR))</f>
        <v>0</v>
      </c>
      <c r="S840" s="126" t="s">
        <v>510</v>
      </c>
      <c r="T840" s="7">
        <f>IF(S840="G",N840,IF(S840="PT",0,ERR))</f>
        <v>267993.78090232017</v>
      </c>
      <c r="U840" s="7">
        <f>IF(S840="PT",N840,IF(S840="G",0,ERR))</f>
        <v>0</v>
      </c>
      <c r="V840" s="124"/>
      <c r="W840" s="7">
        <f>HLOOKUP($W$9,'ROR-Model'!$Q$10:$U$1273,Y840)</f>
        <v>0</v>
      </c>
      <c r="X840" s="139"/>
      <c r="Y840" s="3">
        <f t="shared" si="46"/>
        <v>831</v>
      </c>
      <c r="AA840" s="7">
        <v>0</v>
      </c>
      <c r="AC840" s="7" t="str">
        <f t="shared" si="47"/>
        <v/>
      </c>
      <c r="AE840" s="42" t="str">
        <f t="shared" si="48"/>
        <v/>
      </c>
      <c r="AG840" s="162"/>
      <c r="AI840" s="10" t="s">
        <v>23</v>
      </c>
      <c r="AJ840" s="10"/>
    </row>
    <row r="841" spans="1:36">
      <c r="A841" s="173"/>
      <c r="C841" s="49" t="s">
        <v>145</v>
      </c>
      <c r="D841" s="49"/>
      <c r="E841" s="140">
        <f>+G841-Adjustments!G841</f>
        <v>1010869.6945036938</v>
      </c>
      <c r="F841" s="140">
        <f>SUM(F839:F840)</f>
        <v>7223107.0800000001</v>
      </c>
      <c r="G841" s="140">
        <f>Adjustments!V840</f>
        <v>1010869.6945036938</v>
      </c>
      <c r="H841" s="140"/>
      <c r="I841" s="140">
        <f>SUM(I839:I840)</f>
        <v>8233976.7745036948</v>
      </c>
      <c r="J841" s="7">
        <f>+I841-'ROR-Model'!I841</f>
        <v>0</v>
      </c>
      <c r="K841" s="7"/>
      <c r="L841" s="140"/>
      <c r="M841" s="140">
        <f>SUM(M839:M840)</f>
        <v>7965982.9936013743</v>
      </c>
      <c r="N841" s="140">
        <f>SUM(N839:N840)</f>
        <v>267993.78090232017</v>
      </c>
      <c r="O841" s="120"/>
      <c r="P841" s="201"/>
      <c r="Q841" s="140">
        <f>SUM(Q839:Q840)</f>
        <v>7965982.9936013743</v>
      </c>
      <c r="R841" s="140">
        <f>SUM(R839:R840)</f>
        <v>0</v>
      </c>
      <c r="S841" s="201"/>
      <c r="T841" s="140">
        <f>SUM(T839:T840)</f>
        <v>267993.78090232017</v>
      </c>
      <c r="U841" s="140">
        <f>SUM(U839:U840)</f>
        <v>0</v>
      </c>
      <c r="V841" s="124"/>
      <c r="W841" s="140">
        <f>HLOOKUP($W$9,'ROR-Model'!$Q$10:$U$1273,Y841)</f>
        <v>7965982.9936013743</v>
      </c>
      <c r="X841" s="139"/>
      <c r="Y841" s="3">
        <f t="shared" si="46"/>
        <v>832</v>
      </c>
      <c r="AA841" s="140">
        <v>1091491.6944779337</v>
      </c>
      <c r="AC841" s="140">
        <f t="shared" si="47"/>
        <v>6874491.2991234409</v>
      </c>
      <c r="AE841" s="42">
        <f t="shared" si="48"/>
        <v>6.2982534213524612</v>
      </c>
      <c r="AG841" s="162"/>
      <c r="AI841" s="10" t="s">
        <v>145</v>
      </c>
      <c r="AJ841" s="10"/>
    </row>
    <row r="842" spans="1:36">
      <c r="A842" s="173"/>
      <c r="B842" s="49"/>
      <c r="C842" s="49"/>
      <c r="D842" s="49"/>
      <c r="E842" s="7">
        <f>+G842-Adjustments!G842</f>
        <v>0</v>
      </c>
      <c r="F842" s="7"/>
      <c r="G842" s="7"/>
      <c r="H842" s="7"/>
      <c r="I842" s="7"/>
      <c r="J842" s="7">
        <f>+I842-'ROR-Model'!I842</f>
        <v>0</v>
      </c>
      <c r="K842" s="139"/>
      <c r="L842" s="7"/>
      <c r="M842" s="7"/>
      <c r="N842" s="139"/>
      <c r="O842" s="120"/>
      <c r="P842" s="192"/>
      <c r="Q842" s="7"/>
      <c r="R842" s="7"/>
      <c r="S842" s="126"/>
      <c r="T842" s="7"/>
      <c r="U842" s="7"/>
      <c r="V842" s="124"/>
      <c r="W842" s="7"/>
      <c r="X842" s="139"/>
      <c r="Y842" s="3">
        <f t="shared" si="46"/>
        <v>833</v>
      </c>
      <c r="AA842" s="7"/>
      <c r="AC842" s="7" t="str">
        <f t="shared" si="47"/>
        <v/>
      </c>
      <c r="AE842" s="42" t="str">
        <f t="shared" si="48"/>
        <v/>
      </c>
      <c r="AG842" s="162"/>
      <c r="AH842" s="10"/>
      <c r="AI842" s="10"/>
      <c r="AJ842" s="10"/>
    </row>
    <row r="843" spans="1:36">
      <c r="A843" s="173">
        <v>921</v>
      </c>
      <c r="B843" s="49" t="s">
        <v>385</v>
      </c>
      <c r="C843" s="49"/>
      <c r="D843" s="49"/>
      <c r="E843" s="7">
        <f>+G843-Adjustments!G843</f>
        <v>0</v>
      </c>
      <c r="F843" s="7"/>
      <c r="G843" s="7"/>
      <c r="H843" s="7"/>
      <c r="I843" s="7"/>
      <c r="J843" s="7">
        <f>+I843-'ROR-Model'!I843</f>
        <v>0</v>
      </c>
      <c r="K843" s="7"/>
      <c r="L843" s="7"/>
      <c r="M843" s="7"/>
      <c r="N843" s="7"/>
      <c r="O843" s="120"/>
      <c r="P843" s="126"/>
      <c r="Q843" s="7"/>
      <c r="R843" s="7"/>
      <c r="S843" s="126"/>
      <c r="T843" s="7"/>
      <c r="U843" s="7"/>
      <c r="V843" s="124"/>
      <c r="W843" s="7"/>
      <c r="X843" s="139"/>
      <c r="Y843" s="3">
        <f t="shared" si="46"/>
        <v>834</v>
      </c>
      <c r="AA843" s="7"/>
      <c r="AC843" s="7" t="str">
        <f t="shared" si="47"/>
        <v/>
      </c>
      <c r="AE843" s="42" t="str">
        <f t="shared" si="48"/>
        <v/>
      </c>
      <c r="AG843" s="162">
        <v>921</v>
      </c>
      <c r="AH843" s="10" t="s">
        <v>385</v>
      </c>
      <c r="AI843" s="10"/>
      <c r="AJ843" s="10"/>
    </row>
    <row r="844" spans="1:36">
      <c r="A844" s="173"/>
      <c r="C844" s="49" t="s">
        <v>12</v>
      </c>
      <c r="D844" s="49"/>
      <c r="E844" s="7">
        <f>+G844-Adjustments!G844</f>
        <v>303869.92650325899</v>
      </c>
      <c r="F844" s="7">
        <f>EXPENSES!F335</f>
        <v>2484245.96</v>
      </c>
      <c r="G844" s="7">
        <f>Adjustments!V842</f>
        <v>303869.92650325899</v>
      </c>
      <c r="H844" s="7"/>
      <c r="I844" s="7">
        <f>SUM(F844:H844)</f>
        <v>2788115.8865032587</v>
      </c>
      <c r="J844" s="7">
        <f>+I844-'ROR-Model'!I844</f>
        <v>0</v>
      </c>
      <c r="K844" s="7"/>
      <c r="L844" s="7" t="s">
        <v>12</v>
      </c>
      <c r="M844" s="7">
        <f>VLOOKUP($L844,$L$2:$N$7,2,FALSE)*I844</f>
        <v>2788115.8865032587</v>
      </c>
      <c r="N844" s="7">
        <f>VLOOKUP($L844,$L$2:$N$7,3,FALSE)*I844</f>
        <v>0</v>
      </c>
      <c r="O844" s="120"/>
      <c r="P844" s="192" t="s">
        <v>510</v>
      </c>
      <c r="Q844" s="7">
        <f>IF(P844="G",M844,IF(P844="PT",0,ERR))</f>
        <v>2788115.8865032587</v>
      </c>
      <c r="R844" s="7">
        <f>IF(P844="PT",M844,IF(P844="G",0,ERR))</f>
        <v>0</v>
      </c>
      <c r="S844" s="126" t="s">
        <v>510</v>
      </c>
      <c r="T844" s="7">
        <f>IF(S844="G",N844,IF(S844="PT",0,ERR))</f>
        <v>0</v>
      </c>
      <c r="U844" s="7">
        <f>IF(S844="PT",N844,IF(S844="G",0,ERR))</f>
        <v>0</v>
      </c>
      <c r="V844" s="124"/>
      <c r="W844" s="7">
        <f>HLOOKUP($W$9,'ROR-Model'!$Q$10:$U$1273,Y844)</f>
        <v>2788115.8865032587</v>
      </c>
      <c r="X844" s="139"/>
      <c r="Y844" s="3">
        <f t="shared" si="46"/>
        <v>835</v>
      </c>
      <c r="AA844" s="7">
        <v>2317073.345671426</v>
      </c>
      <c r="AC844" s="7">
        <f t="shared" si="47"/>
        <v>471042.54083183268</v>
      </c>
      <c r="AE844" s="42">
        <f t="shared" si="48"/>
        <v>0.20329202858933976</v>
      </c>
      <c r="AG844" s="162"/>
      <c r="AI844" s="10" t="s">
        <v>12</v>
      </c>
      <c r="AJ844" s="10"/>
    </row>
    <row r="845" spans="1:36">
      <c r="A845" s="173"/>
      <c r="C845" s="49" t="s">
        <v>23</v>
      </c>
      <c r="D845" s="49"/>
      <c r="E845" s="7">
        <f>+G845-Adjustments!G845</f>
        <v>10703.592096741148</v>
      </c>
      <c r="F845" s="7">
        <f>EXPENSES!F336</f>
        <v>139867.03</v>
      </c>
      <c r="G845" s="7">
        <f>Adjustments!V843</f>
        <v>10703.592096741148</v>
      </c>
      <c r="H845" s="7"/>
      <c r="I845" s="7">
        <f>SUM(F845:H845)</f>
        <v>150570.62209674114</v>
      </c>
      <c r="J845" s="7">
        <f>+I845-'ROR-Model'!I845</f>
        <v>0</v>
      </c>
      <c r="K845" s="7"/>
      <c r="L845" s="7" t="s">
        <v>23</v>
      </c>
      <c r="M845" s="7">
        <f>VLOOKUP($L845,$L$2:$N$7,2,FALSE)*I845</f>
        <v>0</v>
      </c>
      <c r="N845" s="7">
        <f>VLOOKUP($L845,$L$2:$N$7,3,FALSE)*I845</f>
        <v>150570.62209674114</v>
      </c>
      <c r="O845" s="120"/>
      <c r="P845" s="192" t="s">
        <v>510</v>
      </c>
      <c r="Q845" s="7">
        <f>IF(P845="G",M845,IF(P845="PT",0,ERR))</f>
        <v>0</v>
      </c>
      <c r="R845" s="7">
        <f>IF(P845="PT",M845,IF(P845="G",0,ERR))</f>
        <v>0</v>
      </c>
      <c r="S845" s="126" t="s">
        <v>510</v>
      </c>
      <c r="T845" s="7">
        <f>IF(S845="G",N845,IF(S845="PT",0,ERR))</f>
        <v>150570.62209674114</v>
      </c>
      <c r="U845" s="7">
        <f>IF(S845="PT",N845,IF(S845="G",0,ERR))</f>
        <v>0</v>
      </c>
      <c r="V845" s="124"/>
      <c r="W845" s="7">
        <f>HLOOKUP($W$9,'ROR-Model'!$Q$10:$U$1273,Y845)</f>
        <v>0</v>
      </c>
      <c r="X845" s="139"/>
      <c r="Y845" s="3">
        <f t="shared" si="46"/>
        <v>836</v>
      </c>
      <c r="AA845" s="7">
        <v>0</v>
      </c>
      <c r="AC845" s="7" t="str">
        <f t="shared" si="47"/>
        <v/>
      </c>
      <c r="AE845" s="42" t="str">
        <f t="shared" si="48"/>
        <v/>
      </c>
      <c r="AG845" s="162"/>
      <c r="AI845" s="10" t="s">
        <v>23</v>
      </c>
      <c r="AJ845" s="10"/>
    </row>
    <row r="846" spans="1:36">
      <c r="A846" s="173"/>
      <c r="C846" s="49" t="s">
        <v>145</v>
      </c>
      <c r="D846" s="49"/>
      <c r="E846" s="140">
        <f>+G846-Adjustments!G846</f>
        <v>314573.51860000013</v>
      </c>
      <c r="F846" s="140">
        <f>SUM(F844:F845)</f>
        <v>2624112.9899999998</v>
      </c>
      <c r="G846" s="140">
        <f>SUM(G844:G845)</f>
        <v>314573.51860000013</v>
      </c>
      <c r="H846" s="140"/>
      <c r="I846" s="140">
        <f>SUM(I844:I845)</f>
        <v>2938686.5085999998</v>
      </c>
      <c r="J846" s="7">
        <f>+I846-'ROR-Model'!I846</f>
        <v>0</v>
      </c>
      <c r="K846" s="7"/>
      <c r="L846" s="140"/>
      <c r="M846" s="140">
        <f>SUM(M844:M845)</f>
        <v>2788115.8865032587</v>
      </c>
      <c r="N846" s="140">
        <f>SUM(N844:N845)</f>
        <v>150570.62209674114</v>
      </c>
      <c r="O846" s="120"/>
      <c r="P846" s="201"/>
      <c r="Q846" s="140">
        <f>SUM(Q844:Q845)</f>
        <v>2788115.8865032587</v>
      </c>
      <c r="R846" s="140">
        <f>SUM(R844:R845)</f>
        <v>0</v>
      </c>
      <c r="S846" s="201"/>
      <c r="T846" s="140">
        <f>SUM(T844:T845)</f>
        <v>150570.62209674114</v>
      </c>
      <c r="U846" s="140">
        <f>SUM(U844:U845)</f>
        <v>0</v>
      </c>
      <c r="V846" s="124"/>
      <c r="W846" s="140">
        <f>HLOOKUP($W$9,'ROR-Model'!$Q$10:$U$1273,Y846)</f>
        <v>2788115.8865032587</v>
      </c>
      <c r="X846" s="139"/>
      <c r="Y846" s="3">
        <f t="shared" ref="Y846:Y909" si="52">Y845+1</f>
        <v>837</v>
      </c>
      <c r="AA846" s="140">
        <v>2317073.345671426</v>
      </c>
      <c r="AC846" s="140">
        <f t="shared" si="47"/>
        <v>471042.54083183268</v>
      </c>
      <c r="AE846" s="42">
        <f t="shared" si="48"/>
        <v>0.20329202858933976</v>
      </c>
      <c r="AG846" s="162"/>
      <c r="AI846" s="10" t="s">
        <v>145</v>
      </c>
      <c r="AJ846" s="10"/>
    </row>
    <row r="847" spans="1:36">
      <c r="A847" s="173"/>
      <c r="B847" s="49"/>
      <c r="C847" s="49"/>
      <c r="D847" s="49"/>
      <c r="E847" s="7">
        <f>+G847-Adjustments!G847</f>
        <v>0</v>
      </c>
      <c r="F847" s="7"/>
      <c r="G847" s="7"/>
      <c r="H847" s="7"/>
      <c r="I847" s="7"/>
      <c r="J847" s="7">
        <f>+I847-'ROR-Model'!I847</f>
        <v>0</v>
      </c>
      <c r="K847" s="139"/>
      <c r="L847" s="7"/>
      <c r="M847" s="7"/>
      <c r="N847" s="139"/>
      <c r="O847" s="120"/>
      <c r="P847" s="192"/>
      <c r="Q847" s="7"/>
      <c r="R847" s="7"/>
      <c r="S847" s="126"/>
      <c r="T847" s="7"/>
      <c r="U847" s="7"/>
      <c r="V847" s="124"/>
      <c r="W847" s="7"/>
      <c r="X847" s="139"/>
      <c r="Y847" s="3">
        <f t="shared" si="52"/>
        <v>838</v>
      </c>
      <c r="AA847" s="7"/>
      <c r="AC847" s="7" t="str">
        <f t="shared" si="47"/>
        <v/>
      </c>
      <c r="AE847" s="42" t="str">
        <f t="shared" si="48"/>
        <v/>
      </c>
      <c r="AG847" s="162"/>
      <c r="AH847" s="10"/>
      <c r="AI847" s="10"/>
      <c r="AJ847" s="10"/>
    </row>
    <row r="848" spans="1:36">
      <c r="A848" s="173">
        <v>922</v>
      </c>
      <c r="B848" s="49" t="s">
        <v>386</v>
      </c>
      <c r="C848" s="49"/>
      <c r="D848" s="49"/>
      <c r="E848" s="7">
        <f>+G848-Adjustments!G848</f>
        <v>0</v>
      </c>
      <c r="F848" s="7"/>
      <c r="G848" s="7"/>
      <c r="H848" s="7"/>
      <c r="I848" s="7"/>
      <c r="J848" s="7">
        <f>+I848-'ROR-Model'!I848</f>
        <v>0</v>
      </c>
      <c r="K848" s="7"/>
      <c r="L848" s="7"/>
      <c r="M848" s="7"/>
      <c r="N848" s="7"/>
      <c r="O848" s="120"/>
      <c r="P848" s="126"/>
      <c r="Q848" s="7"/>
      <c r="R848" s="7"/>
      <c r="S848" s="126"/>
      <c r="T848" s="7"/>
      <c r="U848" s="7"/>
      <c r="V848" s="124"/>
      <c r="W848" s="7"/>
      <c r="X848" s="139"/>
      <c r="Y848" s="3">
        <f t="shared" si="52"/>
        <v>839</v>
      </c>
      <c r="AA848" s="7"/>
      <c r="AC848" s="7" t="str">
        <f t="shared" si="47"/>
        <v/>
      </c>
      <c r="AE848" s="42" t="str">
        <f t="shared" si="48"/>
        <v/>
      </c>
      <c r="AG848" s="162">
        <v>922</v>
      </c>
      <c r="AH848" s="10" t="s">
        <v>386</v>
      </c>
      <c r="AI848" s="10"/>
      <c r="AJ848" s="10"/>
    </row>
    <row r="849" spans="1:36">
      <c r="A849" s="173"/>
      <c r="C849" s="49" t="s">
        <v>12</v>
      </c>
      <c r="D849" s="49"/>
      <c r="E849" s="7">
        <f>+G849-Adjustments!G849</f>
        <v>0</v>
      </c>
      <c r="F849" s="7">
        <f>EXPENSES!F339</f>
        <v>-17775013.439999998</v>
      </c>
      <c r="G849" s="7">
        <f>Adjustments!V846</f>
        <v>0</v>
      </c>
      <c r="H849" s="7"/>
      <c r="I849" s="7">
        <f>SUM(F849:H849)</f>
        <v>-17775013.439999998</v>
      </c>
      <c r="J849" s="7">
        <f>+I849-'ROR-Model'!I849</f>
        <v>0</v>
      </c>
      <c r="K849" s="7"/>
      <c r="L849" s="7" t="s">
        <v>12</v>
      </c>
      <c r="M849" s="7">
        <f>VLOOKUP($L849,$L$2:$N$7,2,FALSE)*I849</f>
        <v>-17775013.439999998</v>
      </c>
      <c r="N849" s="7">
        <f>VLOOKUP($L849,$L$2:$N$7,3,FALSE)*I849</f>
        <v>0</v>
      </c>
      <c r="O849" s="120"/>
      <c r="P849" s="192" t="s">
        <v>510</v>
      </c>
      <c r="Q849" s="7">
        <f>IF(P849="G",M849,IF(P849="PT",0,ERR))</f>
        <v>-17775013.439999998</v>
      </c>
      <c r="R849" s="7">
        <f>IF(P849="PT",M849,IF(P849="G",0,ERR))</f>
        <v>0</v>
      </c>
      <c r="S849" s="126" t="s">
        <v>510</v>
      </c>
      <c r="T849" s="7">
        <f>IF(S849="G",N849,IF(S849="PT",0,ERR))</f>
        <v>0</v>
      </c>
      <c r="U849" s="7">
        <f>IF(S849="PT",N849,IF(S849="G",0,ERR))</f>
        <v>0</v>
      </c>
      <c r="V849" s="124"/>
      <c r="W849" s="7">
        <f>HLOOKUP($W$9,'ROR-Model'!$Q$10:$U$1273,Y849)</f>
        <v>-17775013.439999998</v>
      </c>
      <c r="X849" s="139"/>
      <c r="Y849" s="3">
        <f t="shared" si="52"/>
        <v>840</v>
      </c>
      <c r="AA849" s="7">
        <v>-9091796.4845190011</v>
      </c>
      <c r="AC849" s="7">
        <f t="shared" ref="AC849:AC912" si="53">IF(ABS(AA849)&gt;0,W849-AA849,"")</f>
        <v>-8683216.9554809965</v>
      </c>
      <c r="AE849" s="42">
        <f t="shared" si="48"/>
        <v>0.95506063848506606</v>
      </c>
      <c r="AG849" s="162"/>
      <c r="AI849" s="10" t="s">
        <v>12</v>
      </c>
      <c r="AJ849" s="10"/>
    </row>
    <row r="850" spans="1:36">
      <c r="A850" s="173"/>
      <c r="C850" s="49" t="s">
        <v>23</v>
      </c>
      <c r="D850" s="49"/>
      <c r="E850" s="7">
        <f>+G850-Adjustments!G850</f>
        <v>0</v>
      </c>
      <c r="F850" s="7">
        <f>EXPENSES!F340</f>
        <v>-609229.79</v>
      </c>
      <c r="G850" s="7">
        <f>Adjustments!V847</f>
        <v>0</v>
      </c>
      <c r="H850" s="7"/>
      <c r="I850" s="7">
        <f>SUM(F850:H850)</f>
        <v>-609229.79</v>
      </c>
      <c r="J850" s="7">
        <f>+I850-'ROR-Model'!I850</f>
        <v>0</v>
      </c>
      <c r="K850" s="7"/>
      <c r="L850" s="7" t="s">
        <v>23</v>
      </c>
      <c r="M850" s="7">
        <f>VLOOKUP($L850,$L$2:$N$7,2,FALSE)*I850</f>
        <v>0</v>
      </c>
      <c r="N850" s="7">
        <f>VLOOKUP($L850,$L$2:$N$7,3,FALSE)*I850</f>
        <v>-609229.79</v>
      </c>
      <c r="O850" s="120"/>
      <c r="P850" s="192" t="s">
        <v>510</v>
      </c>
      <c r="Q850" s="7">
        <f>IF(P850="G",M850,IF(P850="PT",0,ERR))</f>
        <v>0</v>
      </c>
      <c r="R850" s="7">
        <f>IF(P850="PT",M850,IF(P850="G",0,ERR))</f>
        <v>0</v>
      </c>
      <c r="S850" s="126" t="s">
        <v>510</v>
      </c>
      <c r="T850" s="7">
        <f>IF(S850="G",N850,IF(S850="PT",0,ERR))</f>
        <v>-609229.79</v>
      </c>
      <c r="U850" s="7">
        <f>IF(S850="PT",N850,IF(S850="G",0,ERR))</f>
        <v>0</v>
      </c>
      <c r="V850" s="124"/>
      <c r="W850" s="7">
        <f>HLOOKUP($W$9,'ROR-Model'!$Q$10:$U$1273,Y850)</f>
        <v>0</v>
      </c>
      <c r="X850" s="139"/>
      <c r="Y850" s="3">
        <f t="shared" si="52"/>
        <v>841</v>
      </c>
      <c r="AA850" s="7">
        <v>0</v>
      </c>
      <c r="AC850" s="7" t="str">
        <f t="shared" si="53"/>
        <v/>
      </c>
      <c r="AE850" s="42" t="str">
        <f t="shared" ref="AE850:AE913" si="54">IF(ABS(AA850)&gt;0,AC850/AA850,"")</f>
        <v/>
      </c>
      <c r="AG850" s="162"/>
      <c r="AI850" s="10" t="s">
        <v>23</v>
      </c>
      <c r="AJ850" s="10"/>
    </row>
    <row r="851" spans="1:36">
      <c r="A851" s="173"/>
      <c r="C851" s="49" t="s">
        <v>145</v>
      </c>
      <c r="D851" s="49"/>
      <c r="E851" s="140">
        <f>+G851-Adjustments!G851</f>
        <v>0</v>
      </c>
      <c r="F851" s="140">
        <f>SUM(F849:F850)</f>
        <v>-18384243.229999997</v>
      </c>
      <c r="G851" s="140">
        <f>Adjustments!V848</f>
        <v>0</v>
      </c>
      <c r="H851" s="140"/>
      <c r="I851" s="140">
        <f>SUM(I849:I850)</f>
        <v>-18384243.229999997</v>
      </c>
      <c r="J851" s="7">
        <f>+I851-'ROR-Model'!I851</f>
        <v>0</v>
      </c>
      <c r="K851" s="7"/>
      <c r="L851" s="140"/>
      <c r="M851" s="140">
        <f>SUM(M849:M850)</f>
        <v>-17775013.439999998</v>
      </c>
      <c r="N851" s="140">
        <f>SUM(N849:N850)</f>
        <v>-609229.79</v>
      </c>
      <c r="O851" s="120"/>
      <c r="P851" s="201"/>
      <c r="Q851" s="140">
        <f>SUM(Q849:Q850)</f>
        <v>-17775013.439999998</v>
      </c>
      <c r="R851" s="140">
        <f>SUM(R849:R850)</f>
        <v>0</v>
      </c>
      <c r="S851" s="201"/>
      <c r="T851" s="140">
        <f>SUM(T849:T850)</f>
        <v>-609229.79</v>
      </c>
      <c r="U851" s="140">
        <f>SUM(U849:U850)</f>
        <v>0</v>
      </c>
      <c r="V851" s="124"/>
      <c r="W851" s="140">
        <f>HLOOKUP($W$9,'ROR-Model'!$Q$10:$U$1273,Y851)</f>
        <v>-17775013.439999998</v>
      </c>
      <c r="X851" s="139"/>
      <c r="Y851" s="3">
        <f t="shared" si="52"/>
        <v>842</v>
      </c>
      <c r="AA851" s="140">
        <v>-9091796.4845190011</v>
      </c>
      <c r="AC851" s="140">
        <f t="shared" si="53"/>
        <v>-8683216.9554809965</v>
      </c>
      <c r="AE851" s="42">
        <f t="shared" si="54"/>
        <v>0.95506063848506606</v>
      </c>
      <c r="AG851" s="162"/>
      <c r="AI851" s="10" t="s">
        <v>145</v>
      </c>
      <c r="AJ851" s="10"/>
    </row>
    <row r="852" spans="1:36">
      <c r="A852" s="173"/>
      <c r="B852" s="49"/>
      <c r="C852" s="49"/>
      <c r="D852" s="49"/>
      <c r="E852" s="7">
        <f>+G852-Adjustments!G852</f>
        <v>0</v>
      </c>
      <c r="F852" s="7"/>
      <c r="G852" s="7"/>
      <c r="H852" s="7"/>
      <c r="I852" s="7"/>
      <c r="J852" s="7">
        <f>+I852-'ROR-Model'!I852</f>
        <v>0</v>
      </c>
      <c r="K852" s="139"/>
      <c r="L852" s="7"/>
      <c r="M852" s="7"/>
      <c r="N852" s="139"/>
      <c r="O852" s="120"/>
      <c r="P852" s="192"/>
      <c r="Q852" s="7"/>
      <c r="R852" s="7"/>
      <c r="S852" s="126"/>
      <c r="T852" s="7"/>
      <c r="U852" s="7"/>
      <c r="V852" s="124"/>
      <c r="W852" s="7"/>
      <c r="X852" s="139"/>
      <c r="Y852" s="3">
        <f t="shared" si="52"/>
        <v>843</v>
      </c>
      <c r="AA852" s="7"/>
      <c r="AC852" s="7" t="str">
        <f t="shared" si="53"/>
        <v/>
      </c>
      <c r="AE852" s="42" t="str">
        <f t="shared" si="54"/>
        <v/>
      </c>
      <c r="AG852" s="162"/>
      <c r="AH852" s="10"/>
      <c r="AI852" s="10"/>
      <c r="AJ852" s="10"/>
    </row>
    <row r="853" spans="1:36">
      <c r="A853" s="173">
        <v>923</v>
      </c>
      <c r="B853" s="49" t="s">
        <v>387</v>
      </c>
      <c r="C853" s="49"/>
      <c r="D853" s="49"/>
      <c r="E853" s="7">
        <f>+G853-Adjustments!G853</f>
        <v>0</v>
      </c>
      <c r="F853" s="7"/>
      <c r="G853" s="7"/>
      <c r="H853" s="7"/>
      <c r="I853" s="7"/>
      <c r="J853" s="7">
        <f>+I853-'ROR-Model'!I853</f>
        <v>0</v>
      </c>
      <c r="K853" s="7"/>
      <c r="L853" s="7"/>
      <c r="M853" s="7"/>
      <c r="N853" s="7"/>
      <c r="O853" s="120"/>
      <c r="P853" s="126"/>
      <c r="Q853" s="7"/>
      <c r="R853" s="7"/>
      <c r="S853" s="126"/>
      <c r="T853" s="7"/>
      <c r="U853" s="7"/>
      <c r="V853" s="124"/>
      <c r="W853" s="7"/>
      <c r="X853" s="139"/>
      <c r="Y853" s="3">
        <f t="shared" si="52"/>
        <v>844</v>
      </c>
      <c r="AA853" s="7"/>
      <c r="AC853" s="7" t="str">
        <f t="shared" si="53"/>
        <v/>
      </c>
      <c r="AE853" s="42" t="str">
        <f t="shared" si="54"/>
        <v/>
      </c>
      <c r="AG853" s="162">
        <v>923</v>
      </c>
      <c r="AH853" s="10" t="s">
        <v>387</v>
      </c>
      <c r="AI853" s="10"/>
      <c r="AJ853" s="10"/>
    </row>
    <row r="854" spans="1:36">
      <c r="A854" s="173"/>
      <c r="C854" s="49" t="s">
        <v>12</v>
      </c>
      <c r="D854" s="49"/>
      <c r="E854" s="7">
        <f>+G854-Adjustments!G854</f>
        <v>0</v>
      </c>
      <c r="F854" s="7">
        <f>EXPENSES!F343</f>
        <v>37612186.189999998</v>
      </c>
      <c r="G854" s="7">
        <f>Adjustments!V850</f>
        <v>0</v>
      </c>
      <c r="H854" s="7"/>
      <c r="I854" s="7">
        <f>SUM(F854:H854)</f>
        <v>37612186.189999998</v>
      </c>
      <c r="J854" s="7">
        <f>+I854-'ROR-Model'!I854</f>
        <v>0</v>
      </c>
      <c r="K854" s="7"/>
      <c r="L854" s="7" t="s">
        <v>12</v>
      </c>
      <c r="M854" s="586">
        <f>VLOOKUP($L854,$L$2:$N$7,2,FALSE)*I854</f>
        <v>37612186.189999998</v>
      </c>
      <c r="N854" s="7">
        <f>VLOOKUP($L854,$L$2:$N$7,3,FALSE)*I854</f>
        <v>0</v>
      </c>
      <c r="O854" s="120"/>
      <c r="P854" s="192" t="s">
        <v>510</v>
      </c>
      <c r="Q854" s="7">
        <f>IF(P854="G",M854,IF(P854="PT",0,ERR))</f>
        <v>37612186.189999998</v>
      </c>
      <c r="R854" s="7">
        <f>IF(P854="PT",M854,IF(P854="G",0,ERR))</f>
        <v>0</v>
      </c>
      <c r="S854" s="126" t="s">
        <v>510</v>
      </c>
      <c r="T854" s="7">
        <f>IF(S854="G",N854,IF(S854="PT",0,ERR))</f>
        <v>0</v>
      </c>
      <c r="U854" s="7">
        <f>IF(S854="PT",N854,IF(S854="G",0,ERR))</f>
        <v>0</v>
      </c>
      <c r="V854" s="124"/>
      <c r="W854" s="7">
        <f>HLOOKUP($W$9,'ROR-Model'!$Q$10:$U$1273,Y854)</f>
        <v>37612186.189999998</v>
      </c>
      <c r="X854" s="139"/>
      <c r="Y854" s="3">
        <f t="shared" si="52"/>
        <v>845</v>
      </c>
      <c r="AA854" s="7">
        <v>36120796.82</v>
      </c>
      <c r="AC854" s="7">
        <f t="shared" si="53"/>
        <v>1491389.3699999973</v>
      </c>
      <c r="AE854" s="42">
        <f t="shared" si="54"/>
        <v>4.1288938819151924E-2</v>
      </c>
      <c r="AG854" s="162"/>
      <c r="AI854" s="10" t="s">
        <v>12</v>
      </c>
      <c r="AJ854" s="10"/>
    </row>
    <row r="855" spans="1:36">
      <c r="A855" s="173"/>
      <c r="C855" s="49" t="s">
        <v>23</v>
      </c>
      <c r="D855" s="49"/>
      <c r="E855" s="7">
        <f>+G855-Adjustments!G855</f>
        <v>0</v>
      </c>
      <c r="F855" s="7">
        <f>EXPENSES!F344</f>
        <v>1391608.25</v>
      </c>
      <c r="G855" s="7">
        <f>Adjustments!V851</f>
        <v>0</v>
      </c>
      <c r="H855" s="7"/>
      <c r="I855" s="7">
        <f>SUM(F855:H855)</f>
        <v>1391608.25</v>
      </c>
      <c r="J855" s="7">
        <f>+I855-'ROR-Model'!I855</f>
        <v>0</v>
      </c>
      <c r="K855" s="7"/>
      <c r="L855" s="7" t="s">
        <v>23</v>
      </c>
      <c r="M855" s="7">
        <f>VLOOKUP($L855,$L$2:$N$7,2,FALSE)*I855</f>
        <v>0</v>
      </c>
      <c r="N855" s="7">
        <f>VLOOKUP($L855,$L$2:$N$7,3,FALSE)*I855</f>
        <v>1391608.25</v>
      </c>
      <c r="O855" s="120"/>
      <c r="P855" s="192" t="s">
        <v>510</v>
      </c>
      <c r="Q855" s="7">
        <f>IF(P855="G",M855,IF(P855="PT",0,ERR))</f>
        <v>0</v>
      </c>
      <c r="R855" s="7">
        <f>IF(P855="PT",M855,IF(P855="G",0,ERR))</f>
        <v>0</v>
      </c>
      <c r="S855" s="126" t="s">
        <v>510</v>
      </c>
      <c r="T855" s="7">
        <f>IF(S855="G",N855,IF(S855="PT",0,ERR))</f>
        <v>1391608.25</v>
      </c>
      <c r="U855" s="7">
        <f>IF(S855="PT",N855,IF(S855="G",0,ERR))</f>
        <v>0</v>
      </c>
      <c r="V855" s="124"/>
      <c r="W855" s="7">
        <f>HLOOKUP($W$9,'ROR-Model'!$Q$10:$U$1273,Y855)</f>
        <v>0</v>
      </c>
      <c r="X855" s="139"/>
      <c r="Y855" s="3">
        <f t="shared" si="52"/>
        <v>846</v>
      </c>
      <c r="AA855" s="7">
        <v>0</v>
      </c>
      <c r="AC855" s="7" t="str">
        <f t="shared" si="53"/>
        <v/>
      </c>
      <c r="AE855" s="42" t="str">
        <f t="shared" si="54"/>
        <v/>
      </c>
      <c r="AG855" s="162"/>
      <c r="AI855" s="10" t="s">
        <v>23</v>
      </c>
      <c r="AJ855" s="10"/>
    </row>
    <row r="856" spans="1:36">
      <c r="A856" s="173"/>
      <c r="C856" s="49" t="s">
        <v>145</v>
      </c>
      <c r="D856" s="49"/>
      <c r="E856" s="140">
        <f>+G856-Adjustments!G856</f>
        <v>0</v>
      </c>
      <c r="F856" s="140">
        <f>SUM(F854:F855)</f>
        <v>39003794.439999998</v>
      </c>
      <c r="G856" s="140">
        <f>Adjustments!V852</f>
        <v>0</v>
      </c>
      <c r="H856" s="140"/>
      <c r="I856" s="140">
        <f>SUM(I854:I855)</f>
        <v>39003794.439999998</v>
      </c>
      <c r="J856" s="7">
        <f>+I856-'ROR-Model'!I856</f>
        <v>0</v>
      </c>
      <c r="K856" s="7"/>
      <c r="L856" s="140"/>
      <c r="M856" s="140">
        <f>SUM(M854:M855)</f>
        <v>37612186.189999998</v>
      </c>
      <c r="N856" s="140">
        <f>SUM(N854:N855)</f>
        <v>1391608.25</v>
      </c>
      <c r="O856" s="120"/>
      <c r="P856" s="201"/>
      <c r="Q856" s="140">
        <f>SUM(Q854:Q855)</f>
        <v>37612186.189999998</v>
      </c>
      <c r="R856" s="140">
        <f>SUM(R854:R855)</f>
        <v>0</v>
      </c>
      <c r="S856" s="201"/>
      <c r="T856" s="140">
        <f>SUM(T854:T855)</f>
        <v>1391608.25</v>
      </c>
      <c r="U856" s="140">
        <f>SUM(U854:U855)</f>
        <v>0</v>
      </c>
      <c r="V856" s="124"/>
      <c r="W856" s="140">
        <f>HLOOKUP($W$9,'ROR-Model'!$Q$10:$U$1273,Y856)</f>
        <v>37612186.189999998</v>
      </c>
      <c r="X856" s="139"/>
      <c r="Y856" s="3">
        <f t="shared" si="52"/>
        <v>847</v>
      </c>
      <c r="AA856" s="140">
        <v>36120796.82</v>
      </c>
      <c r="AC856" s="140">
        <f t="shared" si="53"/>
        <v>1491389.3699999973</v>
      </c>
      <c r="AE856" s="42">
        <f t="shared" si="54"/>
        <v>4.1288938819151924E-2</v>
      </c>
      <c r="AG856" s="162"/>
      <c r="AI856" s="10" t="s">
        <v>145</v>
      </c>
      <c r="AJ856" s="10"/>
    </row>
    <row r="857" spans="1:36">
      <c r="A857" s="173"/>
      <c r="B857" s="49"/>
      <c r="C857" s="49"/>
      <c r="D857" s="49"/>
      <c r="E857" s="7">
        <f>+G857-Adjustments!G857</f>
        <v>0</v>
      </c>
      <c r="F857" s="7"/>
      <c r="G857" s="7"/>
      <c r="H857" s="7"/>
      <c r="I857" s="7"/>
      <c r="J857" s="7">
        <f>+I857-'ROR-Model'!I857</f>
        <v>0</v>
      </c>
      <c r="K857" s="139"/>
      <c r="L857" s="7"/>
      <c r="M857" s="7"/>
      <c r="N857" s="139"/>
      <c r="O857" s="120"/>
      <c r="P857" s="192"/>
      <c r="Q857" s="7"/>
      <c r="R857" s="7"/>
      <c r="S857" s="126"/>
      <c r="T857" s="7"/>
      <c r="U857" s="7"/>
      <c r="V857" s="124"/>
      <c r="W857" s="7"/>
      <c r="X857" s="139"/>
      <c r="Y857" s="3">
        <f t="shared" si="52"/>
        <v>848</v>
      </c>
      <c r="AA857" s="7"/>
      <c r="AC857" s="7" t="str">
        <f t="shared" si="53"/>
        <v/>
      </c>
      <c r="AE857" s="42" t="str">
        <f t="shared" si="54"/>
        <v/>
      </c>
      <c r="AG857" s="162"/>
      <c r="AH857" s="10"/>
      <c r="AI857" s="10"/>
      <c r="AJ857" s="10"/>
    </row>
    <row r="858" spans="1:36">
      <c r="A858" s="173">
        <v>924</v>
      </c>
      <c r="B858" s="49" t="s">
        <v>388</v>
      </c>
      <c r="C858" s="49"/>
      <c r="D858" s="49"/>
      <c r="E858" s="7">
        <f>+G858-Adjustments!G858</f>
        <v>0</v>
      </c>
      <c r="F858" s="7"/>
      <c r="G858" s="7"/>
      <c r="H858" s="7"/>
      <c r="I858" s="7"/>
      <c r="J858" s="7">
        <f>+I858-'ROR-Model'!I858</f>
        <v>0</v>
      </c>
      <c r="K858" s="7"/>
      <c r="L858" s="7"/>
      <c r="M858" s="7"/>
      <c r="N858" s="7"/>
      <c r="O858" s="120"/>
      <c r="P858" s="126"/>
      <c r="Q858" s="7"/>
      <c r="R858" s="7"/>
      <c r="S858" s="126"/>
      <c r="T858" s="7"/>
      <c r="U858" s="7"/>
      <c r="V858" s="124"/>
      <c r="W858" s="7"/>
      <c r="X858" s="139"/>
      <c r="Y858" s="3">
        <f t="shared" si="52"/>
        <v>849</v>
      </c>
      <c r="AA858" s="7"/>
      <c r="AC858" s="7" t="str">
        <f t="shared" si="53"/>
        <v/>
      </c>
      <c r="AE858" s="42" t="str">
        <f t="shared" si="54"/>
        <v/>
      </c>
      <c r="AG858" s="162">
        <v>924</v>
      </c>
      <c r="AH858" s="10" t="s">
        <v>388</v>
      </c>
      <c r="AI858" s="10"/>
      <c r="AJ858" s="10"/>
    </row>
    <row r="859" spans="1:36">
      <c r="A859" s="173"/>
      <c r="C859" s="49" t="s">
        <v>12</v>
      </c>
      <c r="D859" s="49"/>
      <c r="E859" s="7">
        <f>+G859-Adjustments!G859</f>
        <v>0</v>
      </c>
      <c r="F859" s="7">
        <f>EXPENSES!F347</f>
        <v>339927.26</v>
      </c>
      <c r="G859" s="7">
        <f>Adjustments!V854</f>
        <v>0</v>
      </c>
      <c r="H859" s="7"/>
      <c r="I859" s="7">
        <f>SUM(F859:H859)</f>
        <v>339927.26</v>
      </c>
      <c r="J859" s="7">
        <f>+I859-'ROR-Model'!I859</f>
        <v>0</v>
      </c>
      <c r="K859" s="7"/>
      <c r="L859" s="7" t="s">
        <v>12</v>
      </c>
      <c r="M859" s="7">
        <f>VLOOKUP($L859,$L$2:$N$7,2,FALSE)*I859</f>
        <v>339927.26</v>
      </c>
      <c r="N859" s="7">
        <f>VLOOKUP($L859,$L$2:$N$7,3,FALSE)*I859</f>
        <v>0</v>
      </c>
      <c r="O859" s="120"/>
      <c r="P859" s="192" t="s">
        <v>510</v>
      </c>
      <c r="Q859" s="7">
        <f>IF(P859="G",M859,IF(P859="PT",0,ERR))</f>
        <v>339927.26</v>
      </c>
      <c r="R859" s="7">
        <f>IF(P859="PT",M859,IF(P859="G",0,ERR))</f>
        <v>0</v>
      </c>
      <c r="S859" s="126" t="s">
        <v>510</v>
      </c>
      <c r="T859" s="7">
        <f>IF(S859="G",N859,IF(S859="PT",0,ERR))</f>
        <v>0</v>
      </c>
      <c r="U859" s="7">
        <f>IF(S859="PT",N859,IF(S859="G",0,ERR))</f>
        <v>0</v>
      </c>
      <c r="V859" s="124"/>
      <c r="W859" s="7">
        <f>HLOOKUP($W$9,'ROR-Model'!$Q$10:$U$1273,Y859)</f>
        <v>339927.26</v>
      </c>
      <c r="X859" s="139"/>
      <c r="Y859" s="3">
        <f t="shared" si="52"/>
        <v>850</v>
      </c>
      <c r="AA859" s="7">
        <v>176214.02</v>
      </c>
      <c r="AC859" s="7">
        <f t="shared" si="53"/>
        <v>163713.24000000002</v>
      </c>
      <c r="AE859" s="42">
        <f t="shared" si="54"/>
        <v>0.92905910664770053</v>
      </c>
      <c r="AG859" s="162"/>
      <c r="AI859" s="10" t="s">
        <v>12</v>
      </c>
      <c r="AJ859" s="10"/>
    </row>
    <row r="860" spans="1:36">
      <c r="A860" s="173"/>
      <c r="C860" s="49" t="s">
        <v>23</v>
      </c>
      <c r="D860" s="49"/>
      <c r="E860" s="7">
        <f>+G860-Adjustments!G860</f>
        <v>0</v>
      </c>
      <c r="F860" s="7">
        <f>EXPENSES!F348</f>
        <v>11649.57</v>
      </c>
      <c r="G860" s="7">
        <f>Adjustments!V855</f>
        <v>0</v>
      </c>
      <c r="H860" s="7"/>
      <c r="I860" s="7">
        <f>SUM(F860:H860)</f>
        <v>11649.57</v>
      </c>
      <c r="J860" s="7">
        <f>+I860-'ROR-Model'!I860</f>
        <v>0</v>
      </c>
      <c r="K860" s="7"/>
      <c r="L860" s="7" t="s">
        <v>23</v>
      </c>
      <c r="M860" s="7">
        <f>VLOOKUP($L860,$L$2:$N$7,2,FALSE)*I860</f>
        <v>0</v>
      </c>
      <c r="N860" s="7">
        <f>VLOOKUP($L860,$L$2:$N$7,3,FALSE)*I860</f>
        <v>11649.57</v>
      </c>
      <c r="O860" s="120"/>
      <c r="P860" s="192" t="s">
        <v>510</v>
      </c>
      <c r="Q860" s="7">
        <f>IF(P860="G",M860,IF(P860="PT",0,ERR))</f>
        <v>0</v>
      </c>
      <c r="R860" s="7">
        <f>IF(P860="PT",M860,IF(P860="G",0,ERR))</f>
        <v>0</v>
      </c>
      <c r="S860" s="126" t="s">
        <v>510</v>
      </c>
      <c r="T860" s="7">
        <f>IF(S860="G",N860,IF(S860="PT",0,ERR))</f>
        <v>11649.57</v>
      </c>
      <c r="U860" s="7">
        <f>IF(S860="PT",N860,IF(S860="G",0,ERR))</f>
        <v>0</v>
      </c>
      <c r="V860" s="124"/>
      <c r="W860" s="7">
        <f>HLOOKUP($W$9,'ROR-Model'!$Q$10:$U$1273,Y860)</f>
        <v>0</v>
      </c>
      <c r="X860" s="139"/>
      <c r="Y860" s="3">
        <f t="shared" si="52"/>
        <v>851</v>
      </c>
      <c r="AA860" s="7">
        <v>0</v>
      </c>
      <c r="AC860" s="7" t="str">
        <f t="shared" si="53"/>
        <v/>
      </c>
      <c r="AE860" s="42" t="str">
        <f t="shared" si="54"/>
        <v/>
      </c>
      <c r="AG860" s="162"/>
      <c r="AI860" s="10" t="s">
        <v>23</v>
      </c>
      <c r="AJ860" s="10"/>
    </row>
    <row r="861" spans="1:36">
      <c r="A861" s="173"/>
      <c r="C861" s="49" t="s">
        <v>145</v>
      </c>
      <c r="D861" s="49"/>
      <c r="E861" s="140">
        <f>+G861-Adjustments!G861</f>
        <v>0</v>
      </c>
      <c r="F861" s="140">
        <f>SUM(F859:F860)</f>
        <v>351576.83</v>
      </c>
      <c r="G861" s="140">
        <f>Adjustments!V856</f>
        <v>0</v>
      </c>
      <c r="H861" s="140"/>
      <c r="I861" s="140">
        <f>SUM(I859:I860)</f>
        <v>351576.83</v>
      </c>
      <c r="J861" s="7">
        <f>+I861-'ROR-Model'!I861</f>
        <v>0</v>
      </c>
      <c r="K861" s="7"/>
      <c r="L861" s="140"/>
      <c r="M861" s="140">
        <f>SUM(M859:M860)</f>
        <v>339927.26</v>
      </c>
      <c r="N861" s="140">
        <f>SUM(N859:N860)</f>
        <v>11649.57</v>
      </c>
      <c r="O861" s="120"/>
      <c r="P861" s="201"/>
      <c r="Q861" s="140">
        <f>SUM(Q859:Q860)</f>
        <v>339927.26</v>
      </c>
      <c r="R861" s="140">
        <f>SUM(R859:R860)</f>
        <v>0</v>
      </c>
      <c r="S861" s="201"/>
      <c r="T861" s="140">
        <f>SUM(T859:T860)</f>
        <v>11649.57</v>
      </c>
      <c r="U861" s="140">
        <f>SUM(U859:U860)</f>
        <v>0</v>
      </c>
      <c r="V861" s="124"/>
      <c r="W861" s="140">
        <f>HLOOKUP($W$9,'ROR-Model'!$Q$10:$U$1273,Y861)</f>
        <v>339927.26</v>
      </c>
      <c r="X861" s="139"/>
      <c r="Y861" s="3">
        <f t="shared" si="52"/>
        <v>852</v>
      </c>
      <c r="AA861" s="140">
        <v>176214.02</v>
      </c>
      <c r="AC861" s="140">
        <f t="shared" si="53"/>
        <v>163713.24000000002</v>
      </c>
      <c r="AE861" s="42">
        <f t="shared" si="54"/>
        <v>0.92905910664770053</v>
      </c>
      <c r="AG861" s="162"/>
      <c r="AI861" s="10" t="s">
        <v>145</v>
      </c>
      <c r="AJ861" s="10"/>
    </row>
    <row r="862" spans="1:36">
      <c r="A862" s="173"/>
      <c r="B862" s="49"/>
      <c r="C862" s="49"/>
      <c r="D862" s="49"/>
      <c r="E862" s="7">
        <f>+G862-Adjustments!G862</f>
        <v>0</v>
      </c>
      <c r="F862" s="7"/>
      <c r="G862" s="7"/>
      <c r="H862" s="7"/>
      <c r="I862" s="7"/>
      <c r="J862" s="7">
        <f>+I862-'ROR-Model'!I862</f>
        <v>0</v>
      </c>
      <c r="K862" s="139"/>
      <c r="L862" s="7"/>
      <c r="M862" s="7"/>
      <c r="N862" s="139"/>
      <c r="O862" s="120"/>
      <c r="P862" s="192"/>
      <c r="Q862" s="7"/>
      <c r="R862" s="7"/>
      <c r="S862" s="126"/>
      <c r="T862" s="7"/>
      <c r="U862" s="7"/>
      <c r="V862" s="124"/>
      <c r="W862" s="7"/>
      <c r="X862" s="139"/>
      <c r="Y862" s="3">
        <f t="shared" si="52"/>
        <v>853</v>
      </c>
      <c r="AA862" s="7"/>
      <c r="AC862" s="7" t="str">
        <f t="shared" si="53"/>
        <v/>
      </c>
      <c r="AE862" s="42" t="str">
        <f t="shared" si="54"/>
        <v/>
      </c>
      <c r="AG862" s="162"/>
      <c r="AH862" s="10"/>
      <c r="AI862" s="10"/>
      <c r="AJ862" s="10"/>
    </row>
    <row r="863" spans="1:36">
      <c r="A863" s="173">
        <v>925</v>
      </c>
      <c r="B863" s="49" t="s">
        <v>389</v>
      </c>
      <c r="C863" s="49"/>
      <c r="D863" s="49"/>
      <c r="E863" s="7">
        <f>+G863-Adjustments!G863</f>
        <v>0</v>
      </c>
      <c r="F863" s="7"/>
      <c r="G863" s="7"/>
      <c r="H863" s="7"/>
      <c r="I863" s="7"/>
      <c r="J863" s="7">
        <f>+I863-'ROR-Model'!I863</f>
        <v>0</v>
      </c>
      <c r="K863" s="7"/>
      <c r="L863" s="7"/>
      <c r="M863" s="7"/>
      <c r="N863" s="7"/>
      <c r="O863" s="120"/>
      <c r="P863" s="126"/>
      <c r="Q863" s="7"/>
      <c r="R863" s="7"/>
      <c r="S863" s="126"/>
      <c r="T863" s="7"/>
      <c r="U863" s="7"/>
      <c r="V863" s="124"/>
      <c r="W863" s="7"/>
      <c r="X863" s="139"/>
      <c r="Y863" s="3">
        <f t="shared" si="52"/>
        <v>854</v>
      </c>
      <c r="AA863" s="7"/>
      <c r="AC863" s="7" t="str">
        <f t="shared" si="53"/>
        <v/>
      </c>
      <c r="AE863" s="42" t="str">
        <f t="shared" si="54"/>
        <v/>
      </c>
      <c r="AG863" s="162">
        <v>925</v>
      </c>
      <c r="AH863" s="10" t="s">
        <v>389</v>
      </c>
      <c r="AI863" s="10"/>
      <c r="AJ863" s="10"/>
    </row>
    <row r="864" spans="1:36">
      <c r="A864" s="173"/>
      <c r="C864" s="49" t="s">
        <v>12</v>
      </c>
      <c r="D864" s="49"/>
      <c r="E864" s="7">
        <f>+G864-Adjustments!G864</f>
        <v>0</v>
      </c>
      <c r="F864" s="7">
        <f>EXPENSES!F351</f>
        <v>1141494.81</v>
      </c>
      <c r="G864" s="7">
        <f>Adjustments!V858</f>
        <v>0</v>
      </c>
      <c r="H864" s="7"/>
      <c r="I864" s="7">
        <f>SUM(F864:H864)</f>
        <v>1141494.81</v>
      </c>
      <c r="J864" s="7">
        <f>+I864-'ROR-Model'!I864</f>
        <v>0</v>
      </c>
      <c r="K864" s="7"/>
      <c r="L864" s="7" t="s">
        <v>12</v>
      </c>
      <c r="M864" s="7">
        <f>VLOOKUP($L864,$L$2:$N$7,2,FALSE)*I864</f>
        <v>1141494.81</v>
      </c>
      <c r="N864" s="7">
        <f>VLOOKUP($L864,$L$2:$N$7,3,FALSE)*I864</f>
        <v>0</v>
      </c>
      <c r="O864" s="120"/>
      <c r="P864" s="192" t="s">
        <v>510</v>
      </c>
      <c r="Q864" s="7">
        <f>IF(P864="G",M864,IF(P864="PT",0,ERR))</f>
        <v>1141494.81</v>
      </c>
      <c r="R864" s="7">
        <f>IF(P864="PT",M864,IF(P864="G",0,ERR))</f>
        <v>0</v>
      </c>
      <c r="S864" s="126" t="s">
        <v>510</v>
      </c>
      <c r="T864" s="7">
        <f>IF(S864="G",N864,IF(S864="PT",0,ERR))</f>
        <v>0</v>
      </c>
      <c r="U864" s="7">
        <f>IF(S864="PT",N864,IF(S864="G",0,ERR))</f>
        <v>0</v>
      </c>
      <c r="V864" s="124"/>
      <c r="W864" s="7">
        <f>HLOOKUP($W$9,'ROR-Model'!$Q$10:$U$1273,Y864)</f>
        <v>1141494.81</v>
      </c>
      <c r="X864" s="139"/>
      <c r="Y864" s="3">
        <f t="shared" si="52"/>
        <v>855</v>
      </c>
      <c r="AA864" s="7">
        <v>1620100.5399999996</v>
      </c>
      <c r="AC864" s="7">
        <f t="shared" si="53"/>
        <v>-478605.72999999952</v>
      </c>
      <c r="AE864" s="42">
        <f t="shared" si="54"/>
        <v>-0.295417301694128</v>
      </c>
      <c r="AG864" s="162"/>
      <c r="AI864" s="10" t="s">
        <v>12</v>
      </c>
      <c r="AJ864" s="10"/>
    </row>
    <row r="865" spans="1:36">
      <c r="A865" s="173"/>
      <c r="C865" s="49" t="s">
        <v>23</v>
      </c>
      <c r="D865" s="49"/>
      <c r="E865" s="7">
        <f>+G865-Adjustments!G865</f>
        <v>0</v>
      </c>
      <c r="F865" s="7">
        <f>EXPENSES!F352</f>
        <v>42796.619999999995</v>
      </c>
      <c r="G865" s="7">
        <f>Adjustments!V859</f>
        <v>0</v>
      </c>
      <c r="H865" s="7"/>
      <c r="I865" s="7">
        <f>SUM(F865:H865)</f>
        <v>42796.619999999995</v>
      </c>
      <c r="J865" s="7">
        <f>+I865-'ROR-Model'!I865</f>
        <v>0</v>
      </c>
      <c r="K865" s="7"/>
      <c r="L865" s="7" t="s">
        <v>23</v>
      </c>
      <c r="M865" s="7">
        <f>VLOOKUP($L865,$L$2:$N$7,2,FALSE)*I865</f>
        <v>0</v>
      </c>
      <c r="N865" s="7">
        <f>VLOOKUP($L865,$L$2:$N$7,3,FALSE)*I865</f>
        <v>42796.619999999995</v>
      </c>
      <c r="O865" s="120"/>
      <c r="P865" s="192" t="s">
        <v>510</v>
      </c>
      <c r="Q865" s="7">
        <f>IF(P865="G",M865,IF(P865="PT",0,ERR))</f>
        <v>0</v>
      </c>
      <c r="R865" s="7">
        <f>IF(P865="PT",M865,IF(P865="G",0,ERR))</f>
        <v>0</v>
      </c>
      <c r="S865" s="126" t="s">
        <v>510</v>
      </c>
      <c r="T865" s="7">
        <f>IF(S865="G",N865,IF(S865="PT",0,ERR))</f>
        <v>42796.619999999995</v>
      </c>
      <c r="U865" s="7">
        <f>IF(S865="PT",N865,IF(S865="G",0,ERR))</f>
        <v>0</v>
      </c>
      <c r="V865" s="124"/>
      <c r="W865" s="7">
        <f>HLOOKUP($W$9,'ROR-Model'!$Q$10:$U$1273,Y865)</f>
        <v>0</v>
      </c>
      <c r="X865" s="139"/>
      <c r="Y865" s="3">
        <f t="shared" si="52"/>
        <v>856</v>
      </c>
      <c r="AA865" s="7">
        <v>0</v>
      </c>
      <c r="AC865" s="7" t="str">
        <f t="shared" si="53"/>
        <v/>
      </c>
      <c r="AE865" s="42" t="str">
        <f t="shared" si="54"/>
        <v/>
      </c>
      <c r="AG865" s="162"/>
      <c r="AI865" s="10" t="s">
        <v>23</v>
      </c>
      <c r="AJ865" s="10"/>
    </row>
    <row r="866" spans="1:36">
      <c r="A866" s="173"/>
      <c r="C866" s="49" t="s">
        <v>145</v>
      </c>
      <c r="D866" s="49"/>
      <c r="E866" s="140">
        <f>+G866-Adjustments!G866</f>
        <v>0</v>
      </c>
      <c r="F866" s="140">
        <f>SUM(F864:F865)</f>
        <v>1184291.4300000002</v>
      </c>
      <c r="G866" s="140">
        <f>Adjustments!V860</f>
        <v>0</v>
      </c>
      <c r="H866" s="140"/>
      <c r="I866" s="140">
        <f>SUM(I864:I865)</f>
        <v>1184291.4300000002</v>
      </c>
      <c r="J866" s="7">
        <f>+I866-'ROR-Model'!I866</f>
        <v>0</v>
      </c>
      <c r="K866" s="7"/>
      <c r="L866" s="140"/>
      <c r="M866" s="140">
        <f>SUM(M864:M865)</f>
        <v>1141494.81</v>
      </c>
      <c r="N866" s="140">
        <f>SUM(N864:N865)</f>
        <v>42796.619999999995</v>
      </c>
      <c r="O866" s="120"/>
      <c r="P866" s="201"/>
      <c r="Q866" s="140">
        <f>SUM(Q864:Q865)</f>
        <v>1141494.81</v>
      </c>
      <c r="R866" s="140">
        <f>SUM(R864:R865)</f>
        <v>0</v>
      </c>
      <c r="S866" s="201"/>
      <c r="T866" s="140">
        <f>SUM(T864:T865)</f>
        <v>42796.619999999995</v>
      </c>
      <c r="U866" s="140">
        <f>SUM(U864:U865)</f>
        <v>0</v>
      </c>
      <c r="V866" s="124"/>
      <c r="W866" s="140">
        <f>HLOOKUP($W$9,'ROR-Model'!$Q$10:$U$1273,Y866)</f>
        <v>1141494.81</v>
      </c>
      <c r="X866" s="139"/>
      <c r="Y866" s="3">
        <f t="shared" si="52"/>
        <v>857</v>
      </c>
      <c r="AA866" s="140">
        <v>1620100.5399999996</v>
      </c>
      <c r="AC866" s="140">
        <f t="shared" si="53"/>
        <v>-478605.72999999952</v>
      </c>
      <c r="AE866" s="42">
        <f t="shared" si="54"/>
        <v>-0.295417301694128</v>
      </c>
      <c r="AG866" s="162"/>
      <c r="AI866" s="10" t="s">
        <v>145</v>
      </c>
      <c r="AJ866" s="10"/>
    </row>
    <row r="867" spans="1:36">
      <c r="A867" s="173"/>
      <c r="B867" s="49"/>
      <c r="C867" s="49"/>
      <c r="D867" s="49"/>
      <c r="E867" s="7">
        <f>+G867-Adjustments!G867</f>
        <v>0</v>
      </c>
      <c r="F867" s="7"/>
      <c r="G867" s="7"/>
      <c r="H867" s="7"/>
      <c r="I867" s="7"/>
      <c r="J867" s="7">
        <f>+I867-'ROR-Model'!I867</f>
        <v>0</v>
      </c>
      <c r="K867" s="139"/>
      <c r="L867" s="7"/>
      <c r="M867" s="7"/>
      <c r="N867" s="139"/>
      <c r="O867" s="120"/>
      <c r="P867" s="192"/>
      <c r="Q867" s="7"/>
      <c r="R867" s="7"/>
      <c r="S867" s="126"/>
      <c r="T867" s="7"/>
      <c r="U867" s="7"/>
      <c r="V867" s="124"/>
      <c r="W867" s="7"/>
      <c r="X867" s="139"/>
      <c r="Y867" s="3">
        <f t="shared" si="52"/>
        <v>858</v>
      </c>
      <c r="AA867" s="7"/>
      <c r="AC867" s="7" t="str">
        <f t="shared" si="53"/>
        <v/>
      </c>
      <c r="AE867" s="42" t="str">
        <f t="shared" si="54"/>
        <v/>
      </c>
      <c r="AG867" s="162"/>
      <c r="AH867" s="10"/>
      <c r="AI867" s="10"/>
      <c r="AJ867" s="10"/>
    </row>
    <row r="868" spans="1:36">
      <c r="A868" s="173">
        <v>926</v>
      </c>
      <c r="B868" s="49" t="s">
        <v>390</v>
      </c>
      <c r="C868" s="49"/>
      <c r="D868" s="49"/>
      <c r="E868" s="7">
        <f>+G868-Adjustments!G868</f>
        <v>0</v>
      </c>
      <c r="F868" s="7"/>
      <c r="G868" s="7"/>
      <c r="H868" s="7"/>
      <c r="I868" s="7"/>
      <c r="J868" s="7">
        <f>+I868-'ROR-Model'!I868</f>
        <v>0</v>
      </c>
      <c r="K868" s="7"/>
      <c r="L868" s="7"/>
      <c r="M868" s="7"/>
      <c r="N868" s="7"/>
      <c r="O868" s="120"/>
      <c r="P868" s="126"/>
      <c r="Q868" s="7"/>
      <c r="R868" s="7"/>
      <c r="S868" s="126"/>
      <c r="T868" s="7"/>
      <c r="U868" s="7"/>
      <c r="V868" s="124"/>
      <c r="W868" s="7"/>
      <c r="X868" s="139"/>
      <c r="Y868" s="3">
        <f t="shared" si="52"/>
        <v>859</v>
      </c>
      <c r="AA868" s="7"/>
      <c r="AC868" s="7" t="str">
        <f t="shared" si="53"/>
        <v/>
      </c>
      <c r="AE868" s="42" t="str">
        <f t="shared" si="54"/>
        <v/>
      </c>
      <c r="AG868" s="162">
        <v>926</v>
      </c>
      <c r="AH868" s="10" t="s">
        <v>390</v>
      </c>
      <c r="AI868" s="10"/>
      <c r="AJ868" s="10"/>
    </row>
    <row r="869" spans="1:36">
      <c r="A869" s="173"/>
      <c r="C869" s="49" t="s">
        <v>12</v>
      </c>
      <c r="D869" s="49"/>
      <c r="E869" s="7">
        <f>+G869-Adjustments!G869</f>
        <v>8198932.6521643</v>
      </c>
      <c r="F869" s="7">
        <f>EXPENSES!F355</f>
        <v>-2072805.75</v>
      </c>
      <c r="G869" s="7">
        <f>Adjustments!V862</f>
        <v>8198932.6521643</v>
      </c>
      <c r="H869" s="7"/>
      <c r="I869" s="7">
        <f>SUM(F869:H869)</f>
        <v>6126126.9021643</v>
      </c>
      <c r="J869" s="7">
        <f>+I869-'ROR-Model'!I869</f>
        <v>0</v>
      </c>
      <c r="K869" s="7"/>
      <c r="L869" s="7" t="s">
        <v>12</v>
      </c>
      <c r="M869" s="7">
        <f>VLOOKUP($L869,$L$2:$N$7,2,FALSE)*I869</f>
        <v>6126126.9021643</v>
      </c>
      <c r="N869" s="7">
        <f>VLOOKUP($L869,$L$2:$N$7,3,FALSE)*I869</f>
        <v>0</v>
      </c>
      <c r="O869" s="120"/>
      <c r="P869" s="192" t="s">
        <v>510</v>
      </c>
      <c r="Q869" s="7">
        <f>IF(P869="G",M869,IF(P869="PT",0,ERR))</f>
        <v>6126126.9021643</v>
      </c>
      <c r="R869" s="7">
        <f>IF(P869="PT",M869,IF(P869="G",0,ERR))</f>
        <v>0</v>
      </c>
      <c r="S869" s="126" t="s">
        <v>510</v>
      </c>
      <c r="T869" s="7">
        <f>IF(S869="G",N869,IF(S869="PT",0,ERR))</f>
        <v>0</v>
      </c>
      <c r="U869" s="7">
        <f>IF(S869="PT",N869,IF(S869="G",0,ERR))</f>
        <v>0</v>
      </c>
      <c r="V869" s="124"/>
      <c r="W869" s="7">
        <f>HLOOKUP($W$9,'ROR-Model'!$Q$10:$U$1273,Y869)</f>
        <v>6126126.9021643</v>
      </c>
      <c r="X869" s="139"/>
      <c r="Y869" s="3">
        <f t="shared" si="52"/>
        <v>860</v>
      </c>
      <c r="AA869" s="7">
        <v>4593933.4999999991</v>
      </c>
      <c r="AC869" s="7">
        <f t="shared" si="53"/>
        <v>1532193.4021643009</v>
      </c>
      <c r="AE869" s="42">
        <f t="shared" si="54"/>
        <v>0.33352537692683215</v>
      </c>
      <c r="AG869" s="162"/>
      <c r="AI869" s="10" t="s">
        <v>12</v>
      </c>
      <c r="AJ869" s="10"/>
    </row>
    <row r="870" spans="1:36">
      <c r="A870" s="173"/>
      <c r="C870" s="49" t="s">
        <v>23</v>
      </c>
      <c r="D870" s="49"/>
      <c r="E870" s="7">
        <f>+G870-Adjustments!G870</f>
        <v>255585.45783569937</v>
      </c>
      <c r="F870" s="7">
        <f>EXPENSES!F356</f>
        <v>-109173.48999999999</v>
      </c>
      <c r="G870" s="7">
        <f>Adjustments!V863</f>
        <v>255585.45783569937</v>
      </c>
      <c r="H870" s="7"/>
      <c r="I870" s="7">
        <f>SUM(F870:H870)</f>
        <v>146411.96783569938</v>
      </c>
      <c r="J870" s="7">
        <f>+I870-'ROR-Model'!I870</f>
        <v>0</v>
      </c>
      <c r="K870" s="7"/>
      <c r="L870" s="7" t="s">
        <v>23</v>
      </c>
      <c r="M870" s="7">
        <f>VLOOKUP($L870,$L$2:$N$7,2,FALSE)*I870</f>
        <v>0</v>
      </c>
      <c r="N870" s="7">
        <f>VLOOKUP($L870,$L$2:$N$7,3,FALSE)*I870</f>
        <v>146411.96783569938</v>
      </c>
      <c r="O870" s="120"/>
      <c r="P870" s="192" t="s">
        <v>510</v>
      </c>
      <c r="Q870" s="7">
        <f>IF(P870="G",M870,IF(P870="PT",0,ERR))</f>
        <v>0</v>
      </c>
      <c r="R870" s="7">
        <f>IF(P870="PT",M870,IF(P870="G",0,ERR))</f>
        <v>0</v>
      </c>
      <c r="S870" s="126" t="s">
        <v>510</v>
      </c>
      <c r="T870" s="7">
        <f>IF(S870="G",N870,IF(S870="PT",0,ERR))</f>
        <v>146411.96783569938</v>
      </c>
      <c r="U870" s="7">
        <f>IF(S870="PT",N870,IF(S870="G",0,ERR))</f>
        <v>0</v>
      </c>
      <c r="V870" s="124"/>
      <c r="W870" s="7">
        <f>HLOOKUP($W$9,'ROR-Model'!$Q$10:$U$1273,Y870)</f>
        <v>0</v>
      </c>
      <c r="X870" s="139"/>
      <c r="Y870" s="3">
        <f t="shared" si="52"/>
        <v>861</v>
      </c>
      <c r="AA870" s="7">
        <v>0</v>
      </c>
      <c r="AC870" s="7" t="str">
        <f t="shared" si="53"/>
        <v/>
      </c>
      <c r="AE870" s="42" t="str">
        <f t="shared" si="54"/>
        <v/>
      </c>
      <c r="AG870" s="162"/>
      <c r="AI870" s="10" t="s">
        <v>23</v>
      </c>
      <c r="AJ870" s="10"/>
    </row>
    <row r="871" spans="1:36">
      <c r="A871" s="173"/>
      <c r="C871" s="49" t="s">
        <v>145</v>
      </c>
      <c r="D871" s="49"/>
      <c r="E871" s="140">
        <f>+G871-Adjustments!G871</f>
        <v>8454518.1099999994</v>
      </c>
      <c r="F871" s="140">
        <f>SUM(F869:F870)</f>
        <v>-2181979.2400000002</v>
      </c>
      <c r="G871" s="140">
        <f>Adjustments!V864</f>
        <v>8454518.1099999994</v>
      </c>
      <c r="H871" s="140"/>
      <c r="I871" s="140">
        <f>SUM(I869:I870)</f>
        <v>6272538.8699999992</v>
      </c>
      <c r="J871" s="7">
        <f>+I871-'ROR-Model'!I871</f>
        <v>0</v>
      </c>
      <c r="K871" s="7"/>
      <c r="L871" s="140"/>
      <c r="M871" s="140">
        <f>SUM(M869:M870)</f>
        <v>6126126.9021643</v>
      </c>
      <c r="N871" s="140">
        <f>SUM(N869:N870)</f>
        <v>146411.96783569938</v>
      </c>
      <c r="O871" s="120"/>
      <c r="P871" s="201"/>
      <c r="Q871" s="140">
        <f>SUM(Q869:Q870)</f>
        <v>6126126.9021643</v>
      </c>
      <c r="R871" s="140">
        <f>SUM(R869:R870)</f>
        <v>0</v>
      </c>
      <c r="S871" s="201"/>
      <c r="T871" s="140">
        <f>SUM(T869:T870)</f>
        <v>146411.96783569938</v>
      </c>
      <c r="U871" s="140">
        <f>SUM(U869:U870)</f>
        <v>0</v>
      </c>
      <c r="V871" s="124"/>
      <c r="W871" s="140">
        <f>HLOOKUP($W$9,'ROR-Model'!$Q$10:$U$1273,Y871)</f>
        <v>6126126.9021643</v>
      </c>
      <c r="X871" s="139"/>
      <c r="Y871" s="3">
        <f t="shared" si="52"/>
        <v>862</v>
      </c>
      <c r="AA871" s="140">
        <v>4593933.4999999991</v>
      </c>
      <c r="AC871" s="140">
        <f t="shared" si="53"/>
        <v>1532193.4021643009</v>
      </c>
      <c r="AE871" s="42">
        <f t="shared" si="54"/>
        <v>0.33352537692683215</v>
      </c>
      <c r="AG871" s="162"/>
      <c r="AI871" s="10" t="s">
        <v>145</v>
      </c>
      <c r="AJ871" s="10"/>
    </row>
    <row r="872" spans="1:36">
      <c r="A872" s="173"/>
      <c r="B872" s="49"/>
      <c r="C872" s="49"/>
      <c r="D872" s="49"/>
      <c r="E872" s="7">
        <f>+G872-Adjustments!G872</f>
        <v>0</v>
      </c>
      <c r="F872" s="7"/>
      <c r="G872" s="7"/>
      <c r="H872" s="7"/>
      <c r="I872" s="7"/>
      <c r="J872" s="7">
        <f>+I872-'ROR-Model'!I872</f>
        <v>0</v>
      </c>
      <c r="K872" s="139"/>
      <c r="L872" s="7"/>
      <c r="M872" s="7"/>
      <c r="N872" s="139"/>
      <c r="O872" s="120"/>
      <c r="P872" s="192"/>
      <c r="Q872" s="7"/>
      <c r="R872" s="7"/>
      <c r="S872" s="126"/>
      <c r="T872" s="7"/>
      <c r="U872" s="7"/>
      <c r="V872" s="124"/>
      <c r="W872" s="7"/>
      <c r="X872" s="139"/>
      <c r="Y872" s="3">
        <f t="shared" si="52"/>
        <v>863</v>
      </c>
      <c r="AA872" s="7"/>
      <c r="AC872" s="7" t="str">
        <f t="shared" si="53"/>
        <v/>
      </c>
      <c r="AE872" s="42" t="str">
        <f t="shared" si="54"/>
        <v/>
      </c>
      <c r="AG872" s="162"/>
      <c r="AH872" s="10"/>
      <c r="AI872" s="10"/>
      <c r="AJ872" s="10"/>
    </row>
    <row r="873" spans="1:36">
      <c r="A873" s="173" t="s">
        <v>762</v>
      </c>
      <c r="B873" s="49" t="s">
        <v>763</v>
      </c>
      <c r="C873" s="49"/>
      <c r="D873" s="49"/>
      <c r="E873" s="7">
        <f>+G873-Adjustments!G873</f>
        <v>0</v>
      </c>
      <c r="F873" s="7"/>
      <c r="G873" s="7"/>
      <c r="H873" s="7"/>
      <c r="I873" s="7"/>
      <c r="J873" s="7">
        <f>+I873-'ROR-Model'!I873</f>
        <v>0</v>
      </c>
      <c r="K873" s="7"/>
      <c r="L873" s="7"/>
      <c r="M873" s="7"/>
      <c r="N873" s="7"/>
      <c r="O873" s="120"/>
      <c r="P873" s="126"/>
      <c r="Q873" s="7"/>
      <c r="R873" s="7"/>
      <c r="S873" s="126"/>
      <c r="T873" s="7"/>
      <c r="U873" s="7"/>
      <c r="V873" s="124"/>
      <c r="W873" s="7"/>
      <c r="X873" s="139"/>
      <c r="Y873" s="3">
        <f t="shared" si="52"/>
        <v>864</v>
      </c>
      <c r="AA873" s="7"/>
      <c r="AC873" s="7" t="str">
        <f t="shared" si="53"/>
        <v/>
      </c>
      <c r="AE873" s="42" t="str">
        <f t="shared" si="54"/>
        <v/>
      </c>
      <c r="AG873" s="162" t="s">
        <v>762</v>
      </c>
      <c r="AH873" s="10" t="s">
        <v>763</v>
      </c>
      <c r="AI873" s="10"/>
      <c r="AJ873" s="10"/>
    </row>
    <row r="874" spans="1:36">
      <c r="A874" s="173"/>
      <c r="C874" s="49" t="s">
        <v>12</v>
      </c>
      <c r="D874" s="49"/>
      <c r="E874" s="7">
        <f>+G874-Adjustments!G874</f>
        <v>0</v>
      </c>
      <c r="F874" s="7">
        <f>EXPENSES!F359</f>
        <v>0</v>
      </c>
      <c r="G874" s="7">
        <f>Adjustments!V866</f>
        <v>0</v>
      </c>
      <c r="H874" s="7"/>
      <c r="I874" s="7">
        <f>SUM(F874:H874)</f>
        <v>0</v>
      </c>
      <c r="J874" s="7">
        <f>+I874-'ROR-Model'!I874</f>
        <v>0</v>
      </c>
      <c r="K874" s="7"/>
      <c r="L874" s="7" t="s">
        <v>12</v>
      </c>
      <c r="M874" s="7">
        <f>VLOOKUP($L874,$L$2:$N$7,2,FALSE)*I874</f>
        <v>0</v>
      </c>
      <c r="N874" s="7">
        <f>VLOOKUP($L874,$L$2:$N$7,3,FALSE)*I874</f>
        <v>0</v>
      </c>
      <c r="O874" s="120"/>
      <c r="P874" s="192" t="s">
        <v>510</v>
      </c>
      <c r="Q874" s="7">
        <f>IF(P874="G",M874,IF(P874="PT",0,ERR))</f>
        <v>0</v>
      </c>
      <c r="R874" s="7">
        <f>IF(P874="PT",M874,IF(P874="G",0,ERR))</f>
        <v>0</v>
      </c>
      <c r="S874" s="126" t="s">
        <v>510</v>
      </c>
      <c r="T874" s="7">
        <f>IF(S874="G",N874,IF(S874="PT",0,ERR))</f>
        <v>0</v>
      </c>
      <c r="U874" s="7">
        <f>IF(S874="PT",N874,IF(S874="G",0,ERR))</f>
        <v>0</v>
      </c>
      <c r="V874" s="124"/>
      <c r="W874" s="7">
        <f>HLOOKUP($W$9,'ROR-Model'!$Q$10:$U$1273,Y874)</f>
        <v>0</v>
      </c>
      <c r="X874" s="139"/>
      <c r="Y874" s="3">
        <f t="shared" si="52"/>
        <v>865</v>
      </c>
      <c r="AA874" s="7">
        <v>0</v>
      </c>
      <c r="AC874" s="7" t="str">
        <f t="shared" si="53"/>
        <v/>
      </c>
      <c r="AE874" s="42" t="str">
        <f t="shared" si="54"/>
        <v/>
      </c>
      <c r="AG874" s="162"/>
      <c r="AI874" s="10" t="s">
        <v>12</v>
      </c>
      <c r="AJ874" s="10"/>
    </row>
    <row r="875" spans="1:36">
      <c r="A875" s="173"/>
      <c r="C875" s="49" t="s">
        <v>23</v>
      </c>
      <c r="D875" s="49"/>
      <c r="E875" s="7">
        <f>+G875-Adjustments!G875</f>
        <v>0</v>
      </c>
      <c r="F875" s="7">
        <f>EXPENSES!F360</f>
        <v>0</v>
      </c>
      <c r="G875" s="7">
        <f>Adjustments!V867</f>
        <v>0</v>
      </c>
      <c r="H875" s="7"/>
      <c r="I875" s="7">
        <f>SUM(F875:H875)</f>
        <v>0</v>
      </c>
      <c r="J875" s="7">
        <f>+I875-'ROR-Model'!I875</f>
        <v>0</v>
      </c>
      <c r="K875" s="7"/>
      <c r="L875" s="7" t="s">
        <v>23</v>
      </c>
      <c r="M875" s="7">
        <f>VLOOKUP($L875,$L$2:$N$7,2,FALSE)*I875</f>
        <v>0</v>
      </c>
      <c r="N875" s="7">
        <f>VLOOKUP($L875,$L$2:$N$7,3,FALSE)*I875</f>
        <v>0</v>
      </c>
      <c r="O875" s="120"/>
      <c r="P875" s="192" t="s">
        <v>510</v>
      </c>
      <c r="Q875" s="7">
        <f>IF(P875="G",M875,IF(P875="PT",0,ERR))</f>
        <v>0</v>
      </c>
      <c r="R875" s="7">
        <f>IF(P875="PT",M875,IF(P875="G",0,ERR))</f>
        <v>0</v>
      </c>
      <c r="S875" s="126" t="s">
        <v>510</v>
      </c>
      <c r="T875" s="7">
        <f>IF(S875="G",N875,IF(S875="PT",0,ERR))</f>
        <v>0</v>
      </c>
      <c r="U875" s="7">
        <f>IF(S875="PT",N875,IF(S875="G",0,ERR))</f>
        <v>0</v>
      </c>
      <c r="V875" s="124"/>
      <c r="W875" s="7">
        <f>HLOOKUP($W$9,'ROR-Model'!$Q$10:$U$1273,Y875)</f>
        <v>0</v>
      </c>
      <c r="X875" s="139"/>
      <c r="Y875" s="3">
        <f t="shared" si="52"/>
        <v>866</v>
      </c>
      <c r="AA875" s="7">
        <v>0</v>
      </c>
      <c r="AC875" s="7" t="str">
        <f t="shared" si="53"/>
        <v/>
      </c>
      <c r="AE875" s="42" t="str">
        <f t="shared" si="54"/>
        <v/>
      </c>
      <c r="AG875" s="162"/>
      <c r="AI875" s="10" t="s">
        <v>23</v>
      </c>
      <c r="AJ875" s="10"/>
    </row>
    <row r="876" spans="1:36">
      <c r="A876" s="173"/>
      <c r="C876" s="49" t="s">
        <v>145</v>
      </c>
      <c r="D876" s="49"/>
      <c r="E876" s="140">
        <f>+G876-Adjustments!G876</f>
        <v>0</v>
      </c>
      <c r="F876" s="140">
        <f>SUM(F874:F875)</f>
        <v>0</v>
      </c>
      <c r="G876" s="140">
        <f>Adjustments!V868</f>
        <v>0</v>
      </c>
      <c r="H876" s="140"/>
      <c r="I876" s="140">
        <f>SUM(I874:I875)</f>
        <v>0</v>
      </c>
      <c r="J876" s="7">
        <f>+I876-'ROR-Model'!I876</f>
        <v>0</v>
      </c>
      <c r="K876" s="7"/>
      <c r="L876" s="140"/>
      <c r="M876" s="140">
        <f>SUM(M874:M875)</f>
        <v>0</v>
      </c>
      <c r="N876" s="140">
        <f>SUM(N874:N875)</f>
        <v>0</v>
      </c>
      <c r="O876" s="120"/>
      <c r="P876" s="201"/>
      <c r="Q876" s="140">
        <f>SUM(Q874:Q875)</f>
        <v>0</v>
      </c>
      <c r="R876" s="140">
        <f>SUM(R874:R875)</f>
        <v>0</v>
      </c>
      <c r="S876" s="201"/>
      <c r="T876" s="140">
        <f>SUM(T874:T875)</f>
        <v>0</v>
      </c>
      <c r="U876" s="140">
        <f>SUM(U874:U875)</f>
        <v>0</v>
      </c>
      <c r="V876" s="124"/>
      <c r="W876" s="140">
        <f>HLOOKUP($W$9,'ROR-Model'!$Q$10:$U$1273,Y876)</f>
        <v>0</v>
      </c>
      <c r="X876" s="139"/>
      <c r="Y876" s="3">
        <f t="shared" si="52"/>
        <v>867</v>
      </c>
      <c r="AA876" s="140">
        <v>0</v>
      </c>
      <c r="AC876" s="140" t="str">
        <f t="shared" si="53"/>
        <v/>
      </c>
      <c r="AE876" s="42" t="str">
        <f t="shared" si="54"/>
        <v/>
      </c>
      <c r="AG876" s="162"/>
      <c r="AI876" s="10" t="s">
        <v>145</v>
      </c>
      <c r="AJ876" s="10"/>
    </row>
    <row r="877" spans="1:36">
      <c r="A877" s="173"/>
      <c r="B877" s="49"/>
      <c r="C877" s="49"/>
      <c r="D877" s="49"/>
      <c r="E877" s="7">
        <f>+G877-Adjustments!G877</f>
        <v>0</v>
      </c>
      <c r="F877" s="7"/>
      <c r="G877" s="7"/>
      <c r="H877" s="7"/>
      <c r="I877" s="7"/>
      <c r="J877" s="7">
        <f>+I877-'ROR-Model'!I877</f>
        <v>0</v>
      </c>
      <c r="K877" s="139"/>
      <c r="L877" s="7"/>
      <c r="M877" s="7"/>
      <c r="N877" s="139"/>
      <c r="O877" s="120"/>
      <c r="P877" s="192"/>
      <c r="Q877" s="7"/>
      <c r="R877" s="7"/>
      <c r="S877" s="126"/>
      <c r="T877" s="7"/>
      <c r="U877" s="7"/>
      <c r="V877" s="124"/>
      <c r="W877" s="7"/>
      <c r="X877" s="139"/>
      <c r="Y877" s="3">
        <f t="shared" si="52"/>
        <v>868</v>
      </c>
      <c r="AA877" s="7"/>
      <c r="AC877" s="7" t="str">
        <f t="shared" si="53"/>
        <v/>
      </c>
      <c r="AE877" s="42" t="str">
        <f t="shared" si="54"/>
        <v/>
      </c>
      <c r="AG877" s="162"/>
      <c r="AH877" s="10"/>
      <c r="AI877" s="10"/>
      <c r="AJ877" s="10"/>
    </row>
    <row r="878" spans="1:36">
      <c r="A878" s="173">
        <v>9301</v>
      </c>
      <c r="B878" s="49" t="s">
        <v>391</v>
      </c>
      <c r="C878" s="49"/>
      <c r="D878" s="49"/>
      <c r="E878" s="7">
        <f>+G878-Adjustments!G878</f>
        <v>0</v>
      </c>
      <c r="F878" s="7"/>
      <c r="G878" s="7"/>
      <c r="H878" s="7"/>
      <c r="I878" s="7"/>
      <c r="J878" s="7">
        <f>+I878-'ROR-Model'!I878</f>
        <v>0</v>
      </c>
      <c r="K878" s="7"/>
      <c r="L878" s="7"/>
      <c r="M878" s="7"/>
      <c r="N878" s="7"/>
      <c r="O878" s="120"/>
      <c r="P878" s="126"/>
      <c r="Q878" s="7"/>
      <c r="R878" s="7"/>
      <c r="S878" s="126"/>
      <c r="T878" s="7"/>
      <c r="U878" s="7"/>
      <c r="V878" s="124"/>
      <c r="W878" s="7"/>
      <c r="X878" s="139"/>
      <c r="Y878" s="3">
        <f t="shared" si="52"/>
        <v>869</v>
      </c>
      <c r="AA878" s="7"/>
      <c r="AC878" s="7" t="str">
        <f t="shared" si="53"/>
        <v/>
      </c>
      <c r="AE878" s="42" t="str">
        <f t="shared" si="54"/>
        <v/>
      </c>
      <c r="AG878" s="162">
        <v>9301</v>
      </c>
      <c r="AH878" s="10" t="s">
        <v>391</v>
      </c>
      <c r="AI878" s="10"/>
      <c r="AJ878" s="10"/>
    </row>
    <row r="879" spans="1:36">
      <c r="A879" s="173"/>
      <c r="C879" s="49" t="s">
        <v>12</v>
      </c>
      <c r="D879" s="49"/>
      <c r="E879" s="7">
        <f>+G879-Adjustments!G879</f>
        <v>0</v>
      </c>
      <c r="F879" s="7">
        <f>EXPENSES!F363</f>
        <v>0</v>
      </c>
      <c r="G879" s="7">
        <f>Adjustments!V870</f>
        <v>0</v>
      </c>
      <c r="H879" s="7"/>
      <c r="I879" s="7">
        <f>SUM(F879:H879)</f>
        <v>0</v>
      </c>
      <c r="J879" s="7">
        <f>+I879-'ROR-Model'!I879</f>
        <v>0</v>
      </c>
      <c r="K879" s="7"/>
      <c r="L879" s="7" t="s">
        <v>12</v>
      </c>
      <c r="M879" s="7">
        <f>VLOOKUP($L879,$L$2:$N$7,2,FALSE)*I879</f>
        <v>0</v>
      </c>
      <c r="N879" s="7">
        <f>VLOOKUP($L879,$L$2:$N$7,3,FALSE)*I879</f>
        <v>0</v>
      </c>
      <c r="O879" s="120"/>
      <c r="P879" s="192" t="s">
        <v>510</v>
      </c>
      <c r="Q879" s="7">
        <f>IF(P879="G",M879,IF(P879="PT",0,ERR))</f>
        <v>0</v>
      </c>
      <c r="R879" s="7">
        <f>IF(P879="PT",M879,IF(P879="G",0,ERR))</f>
        <v>0</v>
      </c>
      <c r="S879" s="126" t="s">
        <v>510</v>
      </c>
      <c r="T879" s="7">
        <f>IF(S879="G",N879,IF(S879="PT",0,ERR))</f>
        <v>0</v>
      </c>
      <c r="U879" s="7">
        <f>IF(S879="PT",N879,IF(S879="G",0,ERR))</f>
        <v>0</v>
      </c>
      <c r="V879" s="124"/>
      <c r="W879" s="7">
        <f>HLOOKUP($W$9,'ROR-Model'!$Q$10:$U$1273,Y879)</f>
        <v>0</v>
      </c>
      <c r="X879" s="139"/>
      <c r="Y879" s="3">
        <f t="shared" si="52"/>
        <v>870</v>
      </c>
      <c r="AA879" s="7">
        <v>0</v>
      </c>
      <c r="AC879" s="7" t="str">
        <f t="shared" si="53"/>
        <v/>
      </c>
      <c r="AE879" s="42" t="str">
        <f t="shared" si="54"/>
        <v/>
      </c>
      <c r="AG879" s="162"/>
      <c r="AI879" s="10" t="s">
        <v>12</v>
      </c>
      <c r="AJ879" s="10"/>
    </row>
    <row r="880" spans="1:36">
      <c r="A880" s="173"/>
      <c r="C880" s="49" t="s">
        <v>23</v>
      </c>
      <c r="D880" s="49"/>
      <c r="E880" s="7">
        <f>+G880-Adjustments!G880</f>
        <v>0</v>
      </c>
      <c r="F880" s="7">
        <f>EXPENSES!F364</f>
        <v>0</v>
      </c>
      <c r="G880" s="7">
        <f>Adjustments!V871</f>
        <v>0</v>
      </c>
      <c r="H880" s="7"/>
      <c r="I880" s="7">
        <f>SUM(F880:H880)</f>
        <v>0</v>
      </c>
      <c r="J880" s="7">
        <f>+I880-'ROR-Model'!I880</f>
        <v>0</v>
      </c>
      <c r="K880" s="7"/>
      <c r="L880" s="7" t="s">
        <v>23</v>
      </c>
      <c r="M880" s="7">
        <f>VLOOKUP($L880,$L$2:$N$7,2,FALSE)*I880</f>
        <v>0</v>
      </c>
      <c r="N880" s="7">
        <f>VLOOKUP($L880,$L$2:$N$7,3,FALSE)*I880</f>
        <v>0</v>
      </c>
      <c r="O880" s="120"/>
      <c r="P880" s="192" t="s">
        <v>510</v>
      </c>
      <c r="Q880" s="7">
        <f>IF(P880="G",M880,IF(P880="PT",0,ERR))</f>
        <v>0</v>
      </c>
      <c r="R880" s="7">
        <f>IF(P880="PT",M880,IF(P880="G",0,ERR))</f>
        <v>0</v>
      </c>
      <c r="S880" s="126" t="s">
        <v>510</v>
      </c>
      <c r="T880" s="7">
        <f>IF(S880="G",N880,IF(S880="PT",0,ERR))</f>
        <v>0</v>
      </c>
      <c r="U880" s="7">
        <f>IF(S880="PT",N880,IF(S880="G",0,ERR))</f>
        <v>0</v>
      </c>
      <c r="V880" s="124"/>
      <c r="W880" s="7">
        <f>HLOOKUP($W$9,'ROR-Model'!$Q$10:$U$1273,Y880)</f>
        <v>0</v>
      </c>
      <c r="X880" s="139"/>
      <c r="Y880" s="3">
        <f t="shared" si="52"/>
        <v>871</v>
      </c>
      <c r="AA880" s="7">
        <v>0</v>
      </c>
      <c r="AC880" s="7" t="str">
        <f t="shared" si="53"/>
        <v/>
      </c>
      <c r="AE880" s="42" t="str">
        <f t="shared" si="54"/>
        <v/>
      </c>
      <c r="AG880" s="162"/>
      <c r="AI880" s="10" t="s">
        <v>23</v>
      </c>
      <c r="AJ880" s="10"/>
    </row>
    <row r="881" spans="1:36">
      <c r="A881" s="173"/>
      <c r="C881" s="49" t="s">
        <v>145</v>
      </c>
      <c r="D881" s="49"/>
      <c r="E881" s="140">
        <f>+G881-Adjustments!G881</f>
        <v>0</v>
      </c>
      <c r="F881" s="140">
        <f>SUM(F879:F880)</f>
        <v>0</v>
      </c>
      <c r="G881" s="140">
        <f>Adjustments!V872</f>
        <v>0</v>
      </c>
      <c r="H881" s="140"/>
      <c r="I881" s="140">
        <f>SUM(I879:I880)</f>
        <v>0</v>
      </c>
      <c r="J881" s="7">
        <f>+I881-'ROR-Model'!I881</f>
        <v>0</v>
      </c>
      <c r="K881" s="7"/>
      <c r="L881" s="140"/>
      <c r="M881" s="140">
        <f>SUM(M879:M880)</f>
        <v>0</v>
      </c>
      <c r="N881" s="140">
        <f>SUM(N879:N880)</f>
        <v>0</v>
      </c>
      <c r="O881" s="120"/>
      <c r="P881" s="201"/>
      <c r="Q881" s="140">
        <f>SUM(Q879:Q880)</f>
        <v>0</v>
      </c>
      <c r="R881" s="140">
        <f>SUM(R879:R880)</f>
        <v>0</v>
      </c>
      <c r="S881" s="201"/>
      <c r="T881" s="140">
        <f>SUM(T879:T880)</f>
        <v>0</v>
      </c>
      <c r="U881" s="140">
        <f>SUM(U879:U880)</f>
        <v>0</v>
      </c>
      <c r="V881" s="124"/>
      <c r="W881" s="140">
        <f>HLOOKUP($W$9,'ROR-Model'!$Q$10:$U$1273,Y881)</f>
        <v>0</v>
      </c>
      <c r="X881" s="139"/>
      <c r="Y881" s="3">
        <f t="shared" si="52"/>
        <v>872</v>
      </c>
      <c r="AA881" s="140">
        <v>0</v>
      </c>
      <c r="AC881" s="140" t="str">
        <f t="shared" si="53"/>
        <v/>
      </c>
      <c r="AE881" s="42" t="str">
        <f t="shared" si="54"/>
        <v/>
      </c>
      <c r="AG881" s="162"/>
      <c r="AI881" s="10" t="s">
        <v>145</v>
      </c>
      <c r="AJ881" s="10"/>
    </row>
    <row r="882" spans="1:36">
      <c r="A882" s="173"/>
      <c r="B882" s="49"/>
      <c r="C882" s="49"/>
      <c r="D882" s="49"/>
      <c r="E882" s="7">
        <f>+G882-Adjustments!G882</f>
        <v>0</v>
      </c>
      <c r="F882" s="7"/>
      <c r="G882" s="7"/>
      <c r="H882" s="7"/>
      <c r="I882" s="7"/>
      <c r="J882" s="7">
        <f>+I882-'ROR-Model'!I882</f>
        <v>0</v>
      </c>
      <c r="K882" s="139"/>
      <c r="L882" s="7"/>
      <c r="M882" s="7"/>
      <c r="N882" s="139"/>
      <c r="O882" s="120"/>
      <c r="P882" s="192"/>
      <c r="Q882" s="7"/>
      <c r="R882" s="7"/>
      <c r="S882" s="126"/>
      <c r="T882" s="7"/>
      <c r="U882" s="7"/>
      <c r="V882" s="124"/>
      <c r="W882" s="7"/>
      <c r="X882" s="139"/>
      <c r="Y882" s="3">
        <f t="shared" si="52"/>
        <v>873</v>
      </c>
      <c r="AA882" s="7"/>
      <c r="AC882" s="7" t="str">
        <f t="shared" si="53"/>
        <v/>
      </c>
      <c r="AE882" s="42" t="str">
        <f t="shared" si="54"/>
        <v/>
      </c>
      <c r="AG882" s="162"/>
      <c r="AH882" s="10"/>
      <c r="AI882" s="10"/>
      <c r="AJ882" s="10"/>
    </row>
    <row r="883" spans="1:36">
      <c r="A883" s="173">
        <v>9302</v>
      </c>
      <c r="B883" s="49" t="s">
        <v>393</v>
      </c>
      <c r="C883" s="49"/>
      <c r="D883" s="49"/>
      <c r="E883" s="7">
        <f>+G883-Adjustments!G883</f>
        <v>0</v>
      </c>
      <c r="F883" s="7"/>
      <c r="G883" s="7"/>
      <c r="H883" s="7"/>
      <c r="I883" s="7"/>
      <c r="J883" s="7">
        <f>+I883-'ROR-Model'!I883</f>
        <v>0</v>
      </c>
      <c r="K883" s="7"/>
      <c r="L883" s="7"/>
      <c r="M883" s="7"/>
      <c r="N883" s="7"/>
      <c r="O883" s="120"/>
      <c r="P883" s="126"/>
      <c r="Q883" s="7"/>
      <c r="R883" s="7"/>
      <c r="S883" s="126"/>
      <c r="T883" s="7"/>
      <c r="U883" s="7"/>
      <c r="V883" s="124"/>
      <c r="W883" s="7"/>
      <c r="X883" s="139"/>
      <c r="Y883" s="3">
        <f t="shared" si="52"/>
        <v>874</v>
      </c>
      <c r="AA883" s="7"/>
      <c r="AC883" s="7" t="str">
        <f t="shared" si="53"/>
        <v/>
      </c>
      <c r="AE883" s="42" t="str">
        <f t="shared" si="54"/>
        <v/>
      </c>
      <c r="AG883" s="162">
        <v>9302</v>
      </c>
      <c r="AH883" s="10" t="s">
        <v>393</v>
      </c>
      <c r="AI883" s="10"/>
      <c r="AJ883" s="10"/>
    </row>
    <row r="884" spans="1:36">
      <c r="A884" s="173"/>
      <c r="C884" s="49" t="s">
        <v>12</v>
      </c>
      <c r="D884" s="49"/>
      <c r="E884" s="7">
        <f>+G884-Adjustments!G884</f>
        <v>0</v>
      </c>
      <c r="F884" s="7">
        <f>EXPENSES!F367</f>
        <v>3423500.74</v>
      </c>
      <c r="G884" s="7">
        <f>Adjustments!V874</f>
        <v>0</v>
      </c>
      <c r="H884" s="7"/>
      <c r="I884" s="7">
        <f>SUM(F884:H884)</f>
        <v>3423500.74</v>
      </c>
      <c r="J884" s="7">
        <f>+I884-'ROR-Model'!I884</f>
        <v>0</v>
      </c>
      <c r="K884" s="7"/>
      <c r="L884" s="7" t="s">
        <v>12</v>
      </c>
      <c r="M884" s="7">
        <f>VLOOKUP($L884,$L$2:$N$7,2,FALSE)*I884</f>
        <v>3423500.74</v>
      </c>
      <c r="N884" s="7">
        <f>VLOOKUP($L884,$L$2:$N$7,3,FALSE)*I884</f>
        <v>0</v>
      </c>
      <c r="O884" s="120"/>
      <c r="P884" s="192" t="s">
        <v>510</v>
      </c>
      <c r="Q884" s="7">
        <f>IF(P884="G",M884,IF(P884="PT",0,ERR))</f>
        <v>3423500.74</v>
      </c>
      <c r="R884" s="7">
        <f>IF(P884="PT",M884,IF(P884="G",0,ERR))</f>
        <v>0</v>
      </c>
      <c r="S884" s="126" t="s">
        <v>510</v>
      </c>
      <c r="T884" s="7">
        <f>IF(S884="G",N884,IF(S884="PT",0,ERR))</f>
        <v>0</v>
      </c>
      <c r="U884" s="7">
        <f>IF(S884="PT",N884,IF(S884="G",0,ERR))</f>
        <v>0</v>
      </c>
      <c r="V884" s="124"/>
      <c r="W884" s="7">
        <f>HLOOKUP($W$9,'ROR-Model'!$Q$10:$U$1273,Y884)</f>
        <v>3423500.74</v>
      </c>
      <c r="X884" s="139"/>
      <c r="Y884" s="3">
        <f t="shared" si="52"/>
        <v>875</v>
      </c>
      <c r="AA884" s="7">
        <v>6143459.3133865613</v>
      </c>
      <c r="AC884" s="7">
        <f t="shared" si="53"/>
        <v>-2719958.5733865611</v>
      </c>
      <c r="AE884" s="42">
        <f t="shared" si="54"/>
        <v>-0.44274055294218156</v>
      </c>
      <c r="AG884" s="162"/>
      <c r="AI884" s="10" t="s">
        <v>12</v>
      </c>
      <c r="AJ884" s="10"/>
    </row>
    <row r="885" spans="1:36">
      <c r="A885" s="173"/>
      <c r="C885" s="49" t="s">
        <v>23</v>
      </c>
      <c r="D885" s="49"/>
      <c r="E885" s="7">
        <f>+G885-Adjustments!G885</f>
        <v>0</v>
      </c>
      <c r="F885" s="7">
        <f>EXPENSES!F368</f>
        <v>65294.43</v>
      </c>
      <c r="G885" s="7">
        <f>Adjustments!V875</f>
        <v>0</v>
      </c>
      <c r="H885" s="7"/>
      <c r="I885" s="7">
        <f>SUM(F885:H885)</f>
        <v>65294.43</v>
      </c>
      <c r="J885" s="7">
        <f>+I885-'ROR-Model'!I885</f>
        <v>0</v>
      </c>
      <c r="K885" s="7"/>
      <c r="L885" s="7" t="s">
        <v>23</v>
      </c>
      <c r="M885" s="7">
        <f>VLOOKUP($L885,$L$2:$N$7,2,FALSE)*I885</f>
        <v>0</v>
      </c>
      <c r="N885" s="7">
        <f>VLOOKUP($L885,$L$2:$N$7,3,FALSE)*I885</f>
        <v>65294.43</v>
      </c>
      <c r="O885" s="120"/>
      <c r="P885" s="192" t="s">
        <v>510</v>
      </c>
      <c r="Q885" s="7">
        <f>IF(P885="G",M885,IF(P885="PT",0,ERR))</f>
        <v>0</v>
      </c>
      <c r="R885" s="7">
        <f>IF(P885="PT",M885,IF(P885="G",0,ERR))</f>
        <v>0</v>
      </c>
      <c r="S885" s="126" t="s">
        <v>510</v>
      </c>
      <c r="T885" s="7">
        <f>IF(S885="G",N885,IF(S885="PT",0,ERR))</f>
        <v>65294.43</v>
      </c>
      <c r="U885" s="7">
        <f>IF(S885="PT",N885,IF(S885="G",0,ERR))</f>
        <v>0</v>
      </c>
      <c r="V885" s="124"/>
      <c r="W885" s="7">
        <f>HLOOKUP($W$9,'ROR-Model'!$Q$10:$U$1273,Y885)</f>
        <v>0</v>
      </c>
      <c r="X885" s="139"/>
      <c r="Y885" s="3">
        <f t="shared" si="52"/>
        <v>876</v>
      </c>
      <c r="AA885" s="7">
        <v>0</v>
      </c>
      <c r="AC885" s="7" t="str">
        <f t="shared" si="53"/>
        <v/>
      </c>
      <c r="AE885" s="42" t="str">
        <f t="shared" si="54"/>
        <v/>
      </c>
      <c r="AG885" s="162"/>
      <c r="AI885" s="10" t="s">
        <v>23</v>
      </c>
      <c r="AJ885" s="10"/>
    </row>
    <row r="886" spans="1:36">
      <c r="A886" s="173"/>
      <c r="C886" s="49" t="s">
        <v>145</v>
      </c>
      <c r="D886" s="49"/>
      <c r="E886" s="140">
        <f>+G886-Adjustments!G886</f>
        <v>0</v>
      </c>
      <c r="F886" s="140">
        <f>SUM(F884:F885)</f>
        <v>3488795.1700000004</v>
      </c>
      <c r="G886" s="140">
        <f>Adjustments!V876</f>
        <v>0</v>
      </c>
      <c r="H886" s="140"/>
      <c r="I886" s="140">
        <f>SUM(I884:I885)</f>
        <v>3488795.1700000004</v>
      </c>
      <c r="J886" s="7">
        <f>+I886-'ROR-Model'!I886</f>
        <v>0</v>
      </c>
      <c r="K886" s="7"/>
      <c r="L886" s="140"/>
      <c r="M886" s="140">
        <f>SUM(M884:M885)</f>
        <v>3423500.74</v>
      </c>
      <c r="N886" s="140">
        <f>SUM(N884:N885)</f>
        <v>65294.43</v>
      </c>
      <c r="O886" s="120"/>
      <c r="P886" s="201"/>
      <c r="Q886" s="140">
        <f>SUM(Q884:Q885)</f>
        <v>3423500.74</v>
      </c>
      <c r="R886" s="140">
        <f>SUM(R884:R885)</f>
        <v>0</v>
      </c>
      <c r="S886" s="201"/>
      <c r="T886" s="140">
        <f>SUM(T884:T885)</f>
        <v>65294.43</v>
      </c>
      <c r="U886" s="140">
        <f>SUM(U884:U885)</f>
        <v>0</v>
      </c>
      <c r="V886" s="124"/>
      <c r="W886" s="140">
        <f>HLOOKUP($W$9,'ROR-Model'!$Q$10:$U$1273,Y886)</f>
        <v>3423500.74</v>
      </c>
      <c r="X886" s="139"/>
      <c r="Y886" s="3">
        <f t="shared" si="52"/>
        <v>877</v>
      </c>
      <c r="AA886" s="140">
        <v>6143459.3133865613</v>
      </c>
      <c r="AC886" s="140">
        <f t="shared" si="53"/>
        <v>-2719958.5733865611</v>
      </c>
      <c r="AE886" s="42">
        <f t="shared" si="54"/>
        <v>-0.44274055294218156</v>
      </c>
      <c r="AG886" s="162"/>
      <c r="AI886" s="10" t="s">
        <v>145</v>
      </c>
      <c r="AJ886" s="10"/>
    </row>
    <row r="887" spans="1:36">
      <c r="A887" s="173"/>
      <c r="B887" s="49"/>
      <c r="C887" s="49"/>
      <c r="D887" s="49"/>
      <c r="E887" s="7">
        <f>+G887-Adjustments!G887</f>
        <v>0</v>
      </c>
      <c r="F887" s="7"/>
      <c r="G887" s="7"/>
      <c r="H887" s="7"/>
      <c r="I887" s="7"/>
      <c r="J887" s="7">
        <f>+I887-'ROR-Model'!I887</f>
        <v>0</v>
      </c>
      <c r="K887" s="139"/>
      <c r="L887" s="7"/>
      <c r="M887" s="7"/>
      <c r="N887" s="139"/>
      <c r="O887" s="120"/>
      <c r="P887" s="192"/>
      <c r="Q887" s="7"/>
      <c r="R887" s="7"/>
      <c r="S887" s="126"/>
      <c r="T887" s="7"/>
      <c r="U887" s="7"/>
      <c r="V887" s="124"/>
      <c r="W887" s="7"/>
      <c r="X887" s="139"/>
      <c r="Y887" s="3">
        <f t="shared" si="52"/>
        <v>878</v>
      </c>
      <c r="AA887" s="7"/>
      <c r="AC887" s="7" t="str">
        <f t="shared" si="53"/>
        <v/>
      </c>
      <c r="AE887" s="42" t="str">
        <f t="shared" si="54"/>
        <v/>
      </c>
      <c r="AG887" s="162"/>
      <c r="AH887" s="10"/>
      <c r="AI887" s="10"/>
      <c r="AJ887" s="10"/>
    </row>
    <row r="888" spans="1:36">
      <c r="A888" s="173">
        <v>931</v>
      </c>
      <c r="B888" s="49" t="s">
        <v>346</v>
      </c>
      <c r="C888" s="49"/>
      <c r="D888" s="49"/>
      <c r="E888" s="7">
        <f>+G888-Adjustments!G888</f>
        <v>0</v>
      </c>
      <c r="F888" s="7"/>
      <c r="G888" s="7"/>
      <c r="H888" s="7"/>
      <c r="I888" s="7"/>
      <c r="J888" s="7">
        <f>+I888-'ROR-Model'!I888</f>
        <v>0</v>
      </c>
      <c r="K888" s="7"/>
      <c r="L888" s="7"/>
      <c r="M888" s="7"/>
      <c r="N888" s="7"/>
      <c r="O888" s="120"/>
      <c r="P888" s="126"/>
      <c r="Q888" s="7"/>
      <c r="R888" s="7"/>
      <c r="S888" s="126"/>
      <c r="T888" s="7"/>
      <c r="U888" s="7"/>
      <c r="V888" s="124"/>
      <c r="W888" s="7"/>
      <c r="X888" s="139"/>
      <c r="Y888" s="3">
        <f t="shared" si="52"/>
        <v>879</v>
      </c>
      <c r="AA888" s="7"/>
      <c r="AC888" s="7" t="str">
        <f t="shared" si="53"/>
        <v/>
      </c>
      <c r="AE888" s="42" t="str">
        <f t="shared" si="54"/>
        <v/>
      </c>
      <c r="AG888" s="162">
        <v>931</v>
      </c>
      <c r="AH888" s="10" t="s">
        <v>346</v>
      </c>
      <c r="AI888" s="10"/>
      <c r="AJ888" s="10"/>
    </row>
    <row r="889" spans="1:36">
      <c r="A889" s="173"/>
      <c r="C889" s="49" t="s">
        <v>12</v>
      </c>
      <c r="D889" s="49"/>
      <c r="E889" s="7">
        <f>+G889-Adjustments!G889</f>
        <v>0</v>
      </c>
      <c r="F889" s="7">
        <f>EXPENSES!F371</f>
        <v>129.09</v>
      </c>
      <c r="G889" s="7">
        <f>Adjustments!V878</f>
        <v>0</v>
      </c>
      <c r="H889" s="7"/>
      <c r="I889" s="7">
        <f>SUM(F889:H889)</f>
        <v>129.09</v>
      </c>
      <c r="J889" s="7">
        <f>+I889-'ROR-Model'!I889</f>
        <v>0</v>
      </c>
      <c r="K889" s="7"/>
      <c r="L889" s="7" t="s">
        <v>12</v>
      </c>
      <c r="M889" s="7">
        <f>VLOOKUP($L889,$L$2:$N$7,2,FALSE)*I889</f>
        <v>129.09</v>
      </c>
      <c r="N889" s="7">
        <f>VLOOKUP($L889,$L$2:$N$7,3,FALSE)*I889</f>
        <v>0</v>
      </c>
      <c r="O889" s="120"/>
      <c r="P889" s="192" t="s">
        <v>510</v>
      </c>
      <c r="Q889" s="7">
        <f>IF(P889="G",M889,IF(P889="PT",0,ERR))</f>
        <v>129.09</v>
      </c>
      <c r="R889" s="7">
        <f>IF(P889="PT",M889,IF(P889="G",0,ERR))</f>
        <v>0</v>
      </c>
      <c r="S889" s="126" t="s">
        <v>510</v>
      </c>
      <c r="T889" s="7">
        <f>IF(S889="G",N889,IF(S889="PT",0,ERR))</f>
        <v>0</v>
      </c>
      <c r="U889" s="7">
        <f>IF(S889="PT",N889,IF(S889="G",0,ERR))</f>
        <v>0</v>
      </c>
      <c r="V889" s="124"/>
      <c r="W889" s="7">
        <f>HLOOKUP($W$9,'ROR-Model'!$Q$10:$U$1273,Y889)</f>
        <v>129.09</v>
      </c>
      <c r="X889" s="139"/>
      <c r="Y889" s="3">
        <f t="shared" si="52"/>
        <v>880</v>
      </c>
      <c r="AA889" s="7">
        <v>143580.99</v>
      </c>
      <c r="AC889" s="7">
        <f t="shared" si="53"/>
        <v>-143451.9</v>
      </c>
      <c r="AE889" s="42">
        <f t="shared" si="54"/>
        <v>-0.99910092554731655</v>
      </c>
      <c r="AG889" s="162"/>
      <c r="AI889" s="10" t="s">
        <v>12</v>
      </c>
      <c r="AJ889" s="10"/>
    </row>
    <row r="890" spans="1:36">
      <c r="A890" s="173"/>
      <c r="C890" s="49" t="s">
        <v>23</v>
      </c>
      <c r="D890" s="49"/>
      <c r="E890" s="7">
        <f>+G890-Adjustments!G890</f>
        <v>0</v>
      </c>
      <c r="F890" s="7">
        <f>EXPENSES!F372</f>
        <v>109075.38</v>
      </c>
      <c r="G890" s="7">
        <f>Adjustments!V879</f>
        <v>0</v>
      </c>
      <c r="H890" s="7"/>
      <c r="I890" s="7">
        <f>SUM(F890:H890)</f>
        <v>109075.38</v>
      </c>
      <c r="J890" s="7">
        <f>+I890-'ROR-Model'!I890</f>
        <v>0</v>
      </c>
      <c r="K890" s="7"/>
      <c r="L890" s="7" t="s">
        <v>23</v>
      </c>
      <c r="M890" s="7">
        <f>VLOOKUP($L890,$L$2:$N$7,2,FALSE)*I890</f>
        <v>0</v>
      </c>
      <c r="N890" s="7">
        <f>VLOOKUP($L890,$L$2:$N$7,3,FALSE)*I890</f>
        <v>109075.38</v>
      </c>
      <c r="O890" s="120"/>
      <c r="P890" s="192" t="s">
        <v>510</v>
      </c>
      <c r="Q890" s="7">
        <f>IF(P890="G",M890,IF(P890="PT",0,ERR))</f>
        <v>0</v>
      </c>
      <c r="R890" s="7">
        <f>IF(P890="PT",M890,IF(P890="G",0,ERR))</f>
        <v>0</v>
      </c>
      <c r="S890" s="126" t="s">
        <v>510</v>
      </c>
      <c r="T890" s="7">
        <f>IF(S890="G",N890,IF(S890="PT",0,ERR))</f>
        <v>109075.38</v>
      </c>
      <c r="U890" s="7">
        <f>IF(S890="PT",N890,IF(S890="G",0,ERR))</f>
        <v>0</v>
      </c>
      <c r="V890" s="124"/>
      <c r="W890" s="7">
        <f>HLOOKUP($W$9,'ROR-Model'!$Q$10:$U$1273,Y890)</f>
        <v>0</v>
      </c>
      <c r="X890" s="139"/>
      <c r="Y890" s="3">
        <f t="shared" si="52"/>
        <v>881</v>
      </c>
      <c r="AA890" s="7">
        <v>0</v>
      </c>
      <c r="AC890" s="7" t="str">
        <f t="shared" si="53"/>
        <v/>
      </c>
      <c r="AE890" s="42" t="str">
        <f t="shared" si="54"/>
        <v/>
      </c>
      <c r="AG890" s="162"/>
      <c r="AI890" s="10" t="s">
        <v>23</v>
      </c>
      <c r="AJ890" s="10"/>
    </row>
    <row r="891" spans="1:36">
      <c r="A891" s="173"/>
      <c r="C891" s="49" t="s">
        <v>145</v>
      </c>
      <c r="D891" s="49"/>
      <c r="E891" s="140">
        <f>+G891-Adjustments!G891</f>
        <v>0</v>
      </c>
      <c r="F891" s="140">
        <f>SUM(F889:F890)</f>
        <v>109204.47</v>
      </c>
      <c r="G891" s="140">
        <f>Adjustments!V880</f>
        <v>0</v>
      </c>
      <c r="H891" s="140"/>
      <c r="I891" s="140">
        <f>SUM(I889:I890)</f>
        <v>109204.47</v>
      </c>
      <c r="J891" s="7">
        <f>+I891-'ROR-Model'!I891</f>
        <v>0</v>
      </c>
      <c r="K891" s="7"/>
      <c r="L891" s="140"/>
      <c r="M891" s="140">
        <f>SUM(M889:M890)</f>
        <v>129.09</v>
      </c>
      <c r="N891" s="140">
        <f>SUM(N889:N890)</f>
        <v>109075.38</v>
      </c>
      <c r="O891" s="120"/>
      <c r="P891" s="201"/>
      <c r="Q891" s="140">
        <f>SUM(Q889:Q890)</f>
        <v>129.09</v>
      </c>
      <c r="R891" s="140">
        <f>SUM(R889:R890)</f>
        <v>0</v>
      </c>
      <c r="S891" s="201"/>
      <c r="T891" s="140">
        <f>SUM(T889:T890)</f>
        <v>109075.38</v>
      </c>
      <c r="U891" s="140">
        <f>SUM(U889:U890)</f>
        <v>0</v>
      </c>
      <c r="V891" s="124"/>
      <c r="W891" s="140">
        <f>HLOOKUP($W$9,'ROR-Model'!$Q$10:$U$1273,Y891)</f>
        <v>129.09</v>
      </c>
      <c r="X891" s="139"/>
      <c r="Y891" s="3">
        <f t="shared" si="52"/>
        <v>882</v>
      </c>
      <c r="AA891" s="140">
        <v>143580.99</v>
      </c>
      <c r="AC891" s="140">
        <f t="shared" si="53"/>
        <v>-143451.9</v>
      </c>
      <c r="AE891" s="42">
        <f t="shared" si="54"/>
        <v>-0.99910092554731655</v>
      </c>
      <c r="AG891" s="162"/>
      <c r="AI891" s="10" t="s">
        <v>145</v>
      </c>
      <c r="AJ891" s="10"/>
    </row>
    <row r="892" spans="1:36">
      <c r="A892" s="173"/>
      <c r="B892" s="49"/>
      <c r="C892" s="49"/>
      <c r="D892" s="49"/>
      <c r="E892" s="7">
        <f>+G892-Adjustments!G892</f>
        <v>26843858.529999997</v>
      </c>
      <c r="F892" s="7"/>
      <c r="G892" s="7"/>
      <c r="H892" s="7"/>
      <c r="I892" s="7"/>
      <c r="J892" s="7">
        <f>+I892-'ROR-Model'!I892</f>
        <v>0</v>
      </c>
      <c r="K892" s="139"/>
      <c r="L892" s="7"/>
      <c r="M892" s="7"/>
      <c r="N892" s="139"/>
      <c r="O892" s="120"/>
      <c r="P892" s="192"/>
      <c r="Q892" s="7"/>
      <c r="R892" s="7"/>
      <c r="S892" s="126"/>
      <c r="T892" s="7"/>
      <c r="U892" s="7"/>
      <c r="V892" s="124"/>
      <c r="W892" s="7"/>
      <c r="X892" s="139"/>
      <c r="Y892" s="3">
        <f t="shared" si="52"/>
        <v>883</v>
      </c>
      <c r="AA892" s="7"/>
      <c r="AC892" s="7" t="str">
        <f t="shared" si="53"/>
        <v/>
      </c>
      <c r="AE892" s="42" t="str">
        <f t="shared" si="54"/>
        <v/>
      </c>
      <c r="AG892" s="162"/>
      <c r="AH892" s="10"/>
      <c r="AI892" s="10"/>
      <c r="AJ892" s="10"/>
    </row>
    <row r="893" spans="1:36">
      <c r="A893" s="173" t="s">
        <v>764</v>
      </c>
      <c r="B893" s="49" t="s">
        <v>394</v>
      </c>
      <c r="C893" s="49"/>
      <c r="D893" s="49"/>
      <c r="E893" s="7">
        <f>+G893-Adjustments!G893</f>
        <v>0</v>
      </c>
      <c r="F893" s="7"/>
      <c r="G893" s="7"/>
      <c r="H893" s="7"/>
      <c r="I893" s="7"/>
      <c r="J893" s="7">
        <f>+I893-'ROR-Model'!I893</f>
        <v>0</v>
      </c>
      <c r="K893" s="7"/>
      <c r="L893" s="7"/>
      <c r="M893" s="7"/>
      <c r="N893" s="7"/>
      <c r="O893" s="120"/>
      <c r="P893" s="126"/>
      <c r="Q893" s="7"/>
      <c r="R893" s="7"/>
      <c r="S893" s="126"/>
      <c r="T893" s="7"/>
      <c r="U893" s="7"/>
      <c r="V893" s="124"/>
      <c r="W893" s="7"/>
      <c r="X893" s="139"/>
      <c r="Y893" s="3">
        <f t="shared" si="52"/>
        <v>884</v>
      </c>
      <c r="AA893" s="7"/>
      <c r="AC893" s="7" t="str">
        <f t="shared" si="53"/>
        <v/>
      </c>
      <c r="AE893" s="42" t="str">
        <f t="shared" si="54"/>
        <v/>
      </c>
      <c r="AG893" s="162" t="s">
        <v>764</v>
      </c>
      <c r="AH893" s="10" t="s">
        <v>394</v>
      </c>
      <c r="AI893" s="10"/>
      <c r="AJ893" s="10"/>
    </row>
    <row r="894" spans="1:36">
      <c r="A894" s="173"/>
      <c r="C894" s="49" t="s">
        <v>12</v>
      </c>
      <c r="D894" s="49"/>
      <c r="E894" s="7">
        <f>+G894-Adjustments!G894</f>
        <v>0</v>
      </c>
      <c r="F894" s="7">
        <f>EXPENSES!F375</f>
        <v>781483.2</v>
      </c>
      <c r="G894" s="7">
        <f>Adjustments!V882</f>
        <v>0</v>
      </c>
      <c r="H894" s="7"/>
      <c r="I894" s="7">
        <f>SUM(F894:H894)</f>
        <v>781483.2</v>
      </c>
      <c r="J894" s="7">
        <f>+I894-'ROR-Model'!I894</f>
        <v>0</v>
      </c>
      <c r="K894" s="7"/>
      <c r="L894" s="7" t="s">
        <v>12</v>
      </c>
      <c r="M894" s="7">
        <f>VLOOKUP($L894,$L$2:$N$7,2,FALSE)*I894</f>
        <v>781483.2</v>
      </c>
      <c r="N894" s="7">
        <f>VLOOKUP($L894,$L$2:$N$7,3,FALSE)*I894</f>
        <v>0</v>
      </c>
      <c r="O894" s="120"/>
      <c r="P894" s="192" t="s">
        <v>510</v>
      </c>
      <c r="Q894" s="7">
        <f>IF(P894="G",M894,IF(P894="PT",0,ERR))</f>
        <v>781483.2</v>
      </c>
      <c r="R894" s="7">
        <f>IF(P894="PT",M894,IF(P894="G",0,ERR))</f>
        <v>0</v>
      </c>
      <c r="S894" s="126" t="s">
        <v>510</v>
      </c>
      <c r="T894" s="7">
        <f>IF(S894="G",N894,IF(S894="PT",0,ERR))</f>
        <v>0</v>
      </c>
      <c r="U894" s="7">
        <f>IF(S894="PT",N894,IF(S894="G",0,ERR))</f>
        <v>0</v>
      </c>
      <c r="V894" s="124"/>
      <c r="W894" s="7">
        <f>HLOOKUP($W$9,'ROR-Model'!$Q$10:$U$1273,Y894)</f>
        <v>781483.2</v>
      </c>
      <c r="X894" s="139"/>
      <c r="Y894" s="3">
        <f t="shared" si="52"/>
        <v>885</v>
      </c>
      <c r="AA894" s="7">
        <v>3947776.3200000003</v>
      </c>
      <c r="AC894" s="7">
        <f t="shared" si="53"/>
        <v>-3166293.12</v>
      </c>
      <c r="AE894" s="42">
        <f t="shared" si="54"/>
        <v>-0.80204471159095458</v>
      </c>
      <c r="AG894" s="162"/>
      <c r="AI894" s="10" t="s">
        <v>12</v>
      </c>
      <c r="AJ894" s="10"/>
    </row>
    <row r="895" spans="1:36">
      <c r="A895" s="173"/>
      <c r="C895" s="49" t="s">
        <v>23</v>
      </c>
      <c r="D895" s="49"/>
      <c r="E895" s="7">
        <f>+G895-Adjustments!G895</f>
        <v>0</v>
      </c>
      <c r="F895" s="7">
        <f>EXPENSES!F376</f>
        <v>26162.489999999998</v>
      </c>
      <c r="G895" s="7">
        <f>Adjustments!V883</f>
        <v>0</v>
      </c>
      <c r="H895" s="7"/>
      <c r="I895" s="7">
        <f>SUM(F895:H895)</f>
        <v>26162.489999999998</v>
      </c>
      <c r="J895" s="7">
        <f>+I895-'ROR-Model'!I895</f>
        <v>0</v>
      </c>
      <c r="K895" s="7"/>
      <c r="L895" s="7" t="s">
        <v>23</v>
      </c>
      <c r="M895" s="7">
        <f>VLOOKUP($L895,$L$2:$N$7,2,FALSE)*I895</f>
        <v>0</v>
      </c>
      <c r="N895" s="7">
        <f>VLOOKUP($L895,$L$2:$N$7,3,FALSE)*I895</f>
        <v>26162.489999999998</v>
      </c>
      <c r="O895" s="120"/>
      <c r="P895" s="192" t="s">
        <v>510</v>
      </c>
      <c r="Q895" s="7">
        <f>IF(P895="G",M895,IF(P895="PT",0,ERR))</f>
        <v>0</v>
      </c>
      <c r="R895" s="7">
        <f>IF(P895="PT",M895,IF(P895="G",0,ERR))</f>
        <v>0</v>
      </c>
      <c r="S895" s="126" t="s">
        <v>510</v>
      </c>
      <c r="T895" s="7">
        <f>IF(S895="G",N895,IF(S895="PT",0,ERR))</f>
        <v>26162.489999999998</v>
      </c>
      <c r="U895" s="7">
        <f>IF(S895="PT",N895,IF(S895="G",0,ERR))</f>
        <v>0</v>
      </c>
      <c r="V895" s="124"/>
      <c r="W895" s="7">
        <f>HLOOKUP($W$9,'ROR-Model'!$Q$10:$U$1273,Y895)</f>
        <v>0</v>
      </c>
      <c r="X895" s="139"/>
      <c r="Y895" s="3">
        <f t="shared" si="52"/>
        <v>886</v>
      </c>
      <c r="AA895" s="7">
        <v>0</v>
      </c>
      <c r="AC895" s="7" t="str">
        <f t="shared" si="53"/>
        <v/>
      </c>
      <c r="AE895" s="42" t="str">
        <f t="shared" si="54"/>
        <v/>
      </c>
      <c r="AG895" s="162"/>
      <c r="AI895" s="10" t="s">
        <v>23</v>
      </c>
      <c r="AJ895" s="10"/>
    </row>
    <row r="896" spans="1:36">
      <c r="A896" s="173"/>
      <c r="C896" s="49" t="s">
        <v>145</v>
      </c>
      <c r="D896" s="49"/>
      <c r="E896" s="140">
        <f>+G896-Adjustments!G896</f>
        <v>0</v>
      </c>
      <c r="F896" s="140">
        <f>SUM(F894:F895)</f>
        <v>807645.69</v>
      </c>
      <c r="G896" s="140">
        <f>Adjustments!V884</f>
        <v>0</v>
      </c>
      <c r="H896" s="140"/>
      <c r="I896" s="140">
        <f>SUM(I894:I895)</f>
        <v>807645.69</v>
      </c>
      <c r="J896" s="7">
        <f>+I896-'ROR-Model'!I896</f>
        <v>0</v>
      </c>
      <c r="K896" s="7"/>
      <c r="L896" s="140"/>
      <c r="M896" s="140">
        <f>SUM(M894:M895)</f>
        <v>781483.2</v>
      </c>
      <c r="N896" s="140">
        <f>SUM(N894:N895)</f>
        <v>26162.489999999998</v>
      </c>
      <c r="O896" s="120"/>
      <c r="P896" s="201"/>
      <c r="Q896" s="140">
        <f>SUM(Q894:Q895)</f>
        <v>781483.2</v>
      </c>
      <c r="R896" s="140">
        <f>SUM(R894:R895)</f>
        <v>0</v>
      </c>
      <c r="S896" s="201"/>
      <c r="T896" s="140">
        <f>SUM(T894:T895)</f>
        <v>26162.489999999998</v>
      </c>
      <c r="U896" s="140">
        <f>SUM(U894:U895)</f>
        <v>0</v>
      </c>
      <c r="V896" s="124"/>
      <c r="W896" s="140">
        <f>HLOOKUP($W$9,'ROR-Model'!$Q$10:$U$1273,Y896)</f>
        <v>781483.2</v>
      </c>
      <c r="X896" s="139"/>
      <c r="Y896" s="3">
        <f t="shared" si="52"/>
        <v>887</v>
      </c>
      <c r="AA896" s="140">
        <v>3947776.3200000003</v>
      </c>
      <c r="AC896" s="140">
        <f t="shared" si="53"/>
        <v>-3166293.12</v>
      </c>
      <c r="AE896" s="42">
        <f t="shared" si="54"/>
        <v>-0.80204471159095458</v>
      </c>
      <c r="AG896" s="162"/>
      <c r="AI896" s="10" t="s">
        <v>145</v>
      </c>
      <c r="AJ896" s="10"/>
    </row>
    <row r="897" spans="1:36" ht="13.5" thickBot="1">
      <c r="A897" s="168"/>
      <c r="B897" s="49"/>
      <c r="C897" s="49"/>
      <c r="D897" s="49"/>
      <c r="E897" s="7">
        <f>+G897-Adjustments!G897</f>
        <v>0</v>
      </c>
      <c r="F897" s="7"/>
      <c r="G897" s="7"/>
      <c r="H897" s="7"/>
      <c r="I897" s="7"/>
      <c r="J897" s="7">
        <f>+I897-'ROR-Model'!I897</f>
        <v>0</v>
      </c>
      <c r="K897" s="204"/>
      <c r="L897" s="154"/>
      <c r="M897" s="154"/>
      <c r="N897" s="204"/>
      <c r="O897" s="120"/>
      <c r="P897" s="154"/>
      <c r="Q897" s="154"/>
      <c r="R897" s="154"/>
      <c r="S897" s="204"/>
      <c r="T897" s="154"/>
      <c r="U897" s="154"/>
      <c r="V897" s="124"/>
      <c r="W897" s="154"/>
      <c r="X897" s="139"/>
      <c r="Y897" s="3">
        <f t="shared" si="52"/>
        <v>888</v>
      </c>
      <c r="AA897" s="154"/>
      <c r="AC897" s="154" t="str">
        <f t="shared" si="53"/>
        <v/>
      </c>
      <c r="AE897" s="42" t="str">
        <f t="shared" si="54"/>
        <v/>
      </c>
      <c r="AG897" s="162"/>
      <c r="AH897" s="10"/>
      <c r="AI897" s="10"/>
      <c r="AJ897" s="10"/>
    </row>
    <row r="898" spans="1:36">
      <c r="A898" s="175" t="s">
        <v>395</v>
      </c>
      <c r="C898" s="49"/>
      <c r="D898" s="49"/>
      <c r="E898" s="23">
        <f>+G898-Adjustments!G898</f>
        <v>0</v>
      </c>
      <c r="F898" s="23"/>
      <c r="G898" s="23"/>
      <c r="H898" s="23"/>
      <c r="I898" s="23"/>
      <c r="J898" s="7">
        <f>+I898-'ROR-Model'!I898</f>
        <v>0</v>
      </c>
      <c r="K898" s="7"/>
      <c r="L898" s="7"/>
      <c r="M898" s="7"/>
      <c r="N898" s="7"/>
      <c r="O898" s="120"/>
      <c r="P898" s="7"/>
      <c r="Q898" s="7"/>
      <c r="R898" s="7"/>
      <c r="S898" s="126"/>
      <c r="T898" s="7"/>
      <c r="U898" s="7"/>
      <c r="V898" s="124"/>
      <c r="W898" s="7"/>
      <c r="X898" s="139"/>
      <c r="Y898" s="3">
        <f t="shared" si="52"/>
        <v>889</v>
      </c>
      <c r="AA898" s="7"/>
      <c r="AC898" s="7" t="str">
        <f t="shared" si="53"/>
        <v/>
      </c>
      <c r="AE898" s="42" t="str">
        <f t="shared" si="54"/>
        <v/>
      </c>
      <c r="AG898" t="s">
        <v>395</v>
      </c>
      <c r="AI898" s="10"/>
      <c r="AJ898" s="10"/>
    </row>
    <row r="899" spans="1:36">
      <c r="A899" s="168"/>
      <c r="B899" s="466" t="s">
        <v>297</v>
      </c>
      <c r="C899" s="49"/>
      <c r="D899" s="49"/>
      <c r="E899" s="7">
        <f>+G899-Adjustments!G899</f>
        <v>9485316.0522689335</v>
      </c>
      <c r="F899" s="7">
        <f>F894+F889+F884+F879+F874+F869+F864+F859+F854+F849+F844+F839</f>
        <v>32918617.580000002</v>
      </c>
      <c r="G899" s="7">
        <f>G894+G889+G884+G879+G874+G869+G864+G859+G854+G849+G844+G839</f>
        <v>9485316.0522689335</v>
      </c>
      <c r="H899" s="7">
        <f t="shared" ref="G899:I900" si="55">H894+H889+H884+H879+H874+H869+H864+H859+H854+H849+H844+H839</f>
        <v>0</v>
      </c>
      <c r="I899" s="7">
        <f t="shared" si="55"/>
        <v>42403933.632268935</v>
      </c>
      <c r="J899" s="7">
        <f>+I899-'ROR-Model'!I899</f>
        <v>0</v>
      </c>
      <c r="K899" s="7"/>
      <c r="L899" s="7"/>
      <c r="M899" s="7">
        <f>M894+M889+M884+M879+M874+M869+M864+M859+M854+M849+M844+M839</f>
        <v>42403933.632268935</v>
      </c>
      <c r="N899" s="7">
        <f>N894+N889+N884+N879+N874+N869+N864+N859+N854+N849+N844+N839</f>
        <v>0</v>
      </c>
      <c r="O899" s="120"/>
      <c r="P899" s="7"/>
      <c r="Q899" s="7">
        <f>Q894+Q889+Q884+Q879+Q874+Q869+Q864+Q859+Q854+Q849+Q844+Q839</f>
        <v>42403933.632268935</v>
      </c>
      <c r="R899" s="7">
        <f>R894+R889+R884+R879+R874+R869+R864+R859+R854+R849+R844+R839</f>
        <v>0</v>
      </c>
      <c r="S899" s="126"/>
      <c r="T899" s="7">
        <f>T894+T889+T884+T879+T874+T869+T864+T859+T854+T849+T844+T839</f>
        <v>0</v>
      </c>
      <c r="U899" s="7">
        <f>U894+U889+U884+U879+U874+U869+U864+U859+U854+U849+U844+U839</f>
        <v>0</v>
      </c>
      <c r="V899" s="124"/>
      <c r="W899" s="7">
        <f>W894+W889+W884+W879+W874+W869+W864+W859+W854+W849+W844+W839</f>
        <v>42403933.632268935</v>
      </c>
      <c r="X899" s="139"/>
      <c r="Y899" s="3">
        <f t="shared" si="52"/>
        <v>890</v>
      </c>
      <c r="AA899" s="7">
        <v>47062630.059016906</v>
      </c>
      <c r="AC899" s="7">
        <f t="shared" si="53"/>
        <v>-4658696.4267479703</v>
      </c>
      <c r="AE899" s="42">
        <f t="shared" si="54"/>
        <v>-9.8989291947898544E-2</v>
      </c>
      <c r="AG899" s="162"/>
      <c r="AH899" t="s">
        <v>297</v>
      </c>
      <c r="AI899" s="10"/>
      <c r="AJ899" s="10"/>
    </row>
    <row r="900" spans="1:36">
      <c r="A900" s="168"/>
      <c r="B900" s="466" t="s">
        <v>298</v>
      </c>
      <c r="C900" s="49"/>
      <c r="D900" s="49"/>
      <c r="E900" s="7">
        <f>+G900-Adjustments!G900</f>
        <v>294645.27083476062</v>
      </c>
      <c r="F900" s="7">
        <f>F895+F890+F885+F880+F875+F870+F865+F860+F855+F850+F845+F840</f>
        <v>1307688.05</v>
      </c>
      <c r="G900" s="7">
        <f t="shared" si="55"/>
        <v>294645.27083476062</v>
      </c>
      <c r="H900" s="7">
        <f t="shared" si="55"/>
        <v>0</v>
      </c>
      <c r="I900" s="7">
        <f t="shared" si="55"/>
        <v>1602333.3208347606</v>
      </c>
      <c r="J900" s="7">
        <f>+I900-'ROR-Model'!I900</f>
        <v>0</v>
      </c>
      <c r="K900" s="7"/>
      <c r="L900" s="7"/>
      <c r="M900" s="7">
        <f>M895+M890+M885+M880+M875+M870+M865+M860+M855+M850+M845+M840</f>
        <v>0</v>
      </c>
      <c r="N900" s="7">
        <f>N895+N890+N885+N880+N875+N870+N865+N860+N855+N850+N845+N840</f>
        <v>1602333.3208347606</v>
      </c>
      <c r="O900" s="120"/>
      <c r="P900" s="7"/>
      <c r="Q900" s="7">
        <f>Q895+Q890+Q885+Q880+Q875+Q870+Q865+Q860+Q855+Q850+Q845+Q840</f>
        <v>0</v>
      </c>
      <c r="R900" s="7">
        <f>R895+R890+R885+R880+R875+R870+R865+R860+R855+R850+R845+R840</f>
        <v>0</v>
      </c>
      <c r="S900" s="126"/>
      <c r="T900" s="7">
        <f>T895+T890+T885+T880+T875+T870+T865+T860+T855+T850+T845+T840</f>
        <v>1602333.3208347606</v>
      </c>
      <c r="U900" s="7">
        <f>U895+U890+U885+U880+U875+U870+U865+U860+U855+U850+U845+U840</f>
        <v>0</v>
      </c>
      <c r="V900" s="124"/>
      <c r="W900" s="7">
        <f>W895+W890+W885+W880+W875+W870+W865+W860+W855+W850+W845+W840</f>
        <v>0</v>
      </c>
      <c r="X900" s="139"/>
      <c r="Y900" s="3">
        <f t="shared" si="52"/>
        <v>891</v>
      </c>
      <c r="AA900" s="7">
        <v>0</v>
      </c>
      <c r="AC900" s="7" t="str">
        <f t="shared" si="53"/>
        <v/>
      </c>
      <c r="AE900" s="42" t="str">
        <f t="shared" si="54"/>
        <v/>
      </c>
      <c r="AG900" s="162"/>
      <c r="AH900" t="s">
        <v>298</v>
      </c>
      <c r="AI900" s="10"/>
      <c r="AJ900" s="10"/>
    </row>
    <row r="901" spans="1:36" ht="13.5" thickBot="1">
      <c r="A901" s="168"/>
      <c r="B901" s="49"/>
      <c r="C901" s="49"/>
      <c r="D901" s="49"/>
      <c r="E901" s="7">
        <f>+G901-Adjustments!G901</f>
        <v>0</v>
      </c>
      <c r="F901" s="7"/>
      <c r="G901" s="7"/>
      <c r="H901" s="7"/>
      <c r="I901" s="7"/>
      <c r="J901" s="7">
        <f>+I901-'ROR-Model'!I901</f>
        <v>0</v>
      </c>
      <c r="K901" s="7"/>
      <c r="L901" s="7"/>
      <c r="M901" s="7"/>
      <c r="N901" s="7"/>
      <c r="O901" s="120"/>
      <c r="P901" s="7"/>
      <c r="Q901" s="7"/>
      <c r="R901" s="7"/>
      <c r="S901" s="126"/>
      <c r="T901" s="154"/>
      <c r="U901" s="154"/>
      <c r="V901" s="124"/>
      <c r="W901" s="154"/>
      <c r="X901" s="139"/>
      <c r="Y901" s="3">
        <f t="shared" si="52"/>
        <v>892</v>
      </c>
      <c r="AA901" s="154"/>
      <c r="AC901" s="154" t="str">
        <f t="shared" si="53"/>
        <v/>
      </c>
      <c r="AE901" s="42" t="str">
        <f t="shared" si="54"/>
        <v/>
      </c>
      <c r="AG901" s="162"/>
      <c r="AH901" s="10"/>
      <c r="AI901" s="10"/>
      <c r="AJ901" s="10"/>
    </row>
    <row r="902" spans="1:36">
      <c r="A902" s="168"/>
      <c r="B902" s="175" t="s">
        <v>395</v>
      </c>
      <c r="C902" s="49"/>
      <c r="D902" s="49"/>
      <c r="E902" s="23">
        <f>+G902-Adjustments!G902</f>
        <v>9779961.3231036924</v>
      </c>
      <c r="F902" s="23">
        <f>IF(F896+F891+F886+F881+F876+F871+F866+F861+F856+F851+F846+F841=F899+F900,F899+F900,"ERROR")</f>
        <v>34226305.630000003</v>
      </c>
      <c r="G902" s="23">
        <f>G896+G891+G886+G881+G876+G871+G866+G861+G856+G851+G846+G841</f>
        <v>9779961.3231036924</v>
      </c>
      <c r="H902" s="23">
        <f>H896+H891+H886+H881+H876+H871+H866+H861+H856+H851+H846+H841</f>
        <v>0</v>
      </c>
      <c r="I902" s="23">
        <f>I896+I891+I886+I881+I876+I871+I866+I861+I856+I851+I846+I841</f>
        <v>44006266.953103691</v>
      </c>
      <c r="J902" s="7">
        <f>+I902-'ROR-Model'!I902</f>
        <v>0</v>
      </c>
      <c r="K902" s="23"/>
      <c r="L902" s="23">
        <f>L896+L891+L886+L881+L876+L871+L866+L861+L856+L851+L846+L841</f>
        <v>0</v>
      </c>
      <c r="M902" s="23">
        <f>M896+M891+M886+M881+M876+M871+M866+M861+M856+M851+M846+M841</f>
        <v>42403933.632268935</v>
      </c>
      <c r="N902" s="23">
        <f>N896+N891+N886+N881+N876+N871+N866+N861+N856+N851+N846+N841</f>
        <v>1602333.3208347606</v>
      </c>
      <c r="O902" s="120"/>
      <c r="P902" s="23"/>
      <c r="Q902" s="23">
        <f>Q896+Q891+Q886+Q881+Q876+Q871+Q866+Q861+Q856+Q851+Q846+Q841</f>
        <v>42403933.632268935</v>
      </c>
      <c r="R902" s="23">
        <f>R896+R891+R886+R881+R876+R871+R866+R861+R856+R851+R846+R841</f>
        <v>0</v>
      </c>
      <c r="S902" s="208"/>
      <c r="T902" s="23">
        <f>T896+T891+T886+T881+T876+T871+T866+T861+T856+T851+T846+T841</f>
        <v>1602333.3208347606</v>
      </c>
      <c r="U902" s="23">
        <f>U896+U891+U886+U881+U876+U871+U866+U861+U856+U851+U846+U841</f>
        <v>0</v>
      </c>
      <c r="V902" s="124"/>
      <c r="W902" s="23">
        <f>HLOOKUP($W$9,'ROR-Model'!$Q$10:$U$1273,Y902)</f>
        <v>42403933.632268935</v>
      </c>
      <c r="X902" s="139"/>
      <c r="Y902" s="3">
        <f t="shared" si="52"/>
        <v>893</v>
      </c>
      <c r="AA902" s="23">
        <v>47062630.059016906</v>
      </c>
      <c r="AC902" s="23">
        <f t="shared" si="53"/>
        <v>-4658696.4267479703</v>
      </c>
      <c r="AE902" s="42">
        <f t="shared" si="54"/>
        <v>-9.8989291947898544E-2</v>
      </c>
      <c r="AG902" s="162"/>
      <c r="AH902" t="s">
        <v>395</v>
      </c>
      <c r="AI902" s="10"/>
      <c r="AJ902" s="10"/>
    </row>
    <row r="903" spans="1:36" ht="13.5" thickBot="1">
      <c r="A903" s="136"/>
      <c r="B903" s="47"/>
      <c r="C903" s="47"/>
      <c r="D903" s="47"/>
      <c r="E903" s="24">
        <f>+G903-Adjustments!G903</f>
        <v>0</v>
      </c>
      <c r="F903" s="24"/>
      <c r="G903" s="24"/>
      <c r="H903" s="24"/>
      <c r="I903" s="24"/>
      <c r="J903" s="7">
        <f>+I903-'ROR-Model'!I903</f>
        <v>0</v>
      </c>
      <c r="K903" s="7"/>
      <c r="L903" s="24"/>
      <c r="M903" s="24"/>
      <c r="N903" s="24"/>
      <c r="O903" s="120"/>
      <c r="P903" s="202"/>
      <c r="Q903" s="24"/>
      <c r="R903" s="24"/>
      <c r="S903" s="202"/>
      <c r="T903" s="24"/>
      <c r="U903" s="24"/>
      <c r="V903" s="124"/>
      <c r="W903" s="24"/>
      <c r="X903" s="139"/>
      <c r="Y903" s="3">
        <f t="shared" si="52"/>
        <v>894</v>
      </c>
      <c r="AA903" s="24"/>
      <c r="AC903" s="24" t="str">
        <f t="shared" si="53"/>
        <v/>
      </c>
      <c r="AE903" s="42" t="str">
        <f t="shared" si="54"/>
        <v/>
      </c>
      <c r="AG903" s="162"/>
      <c r="AH903" s="10"/>
      <c r="AI903" s="10"/>
      <c r="AJ903" s="10"/>
    </row>
    <row r="904" spans="1:36" ht="13.5" thickTop="1">
      <c r="A904" s="136"/>
      <c r="B904" s="47"/>
      <c r="C904" s="47"/>
      <c r="D904" s="47"/>
      <c r="E904" s="7">
        <f>+G904-Adjustments!G904</f>
        <v>0</v>
      </c>
      <c r="F904" s="7"/>
      <c r="G904" s="7"/>
      <c r="H904" s="7"/>
      <c r="I904" s="7"/>
      <c r="J904" s="7">
        <f>+I904-'ROR-Model'!I904</f>
        <v>0</v>
      </c>
      <c r="K904" s="7"/>
      <c r="L904" s="7"/>
      <c r="M904" s="7"/>
      <c r="N904" s="7"/>
      <c r="O904" s="120"/>
      <c r="P904" s="126"/>
      <c r="Q904" s="7"/>
      <c r="R904" s="7"/>
      <c r="S904" s="126"/>
      <c r="T904" s="7"/>
      <c r="U904" s="7"/>
      <c r="V904" s="124"/>
      <c r="W904" s="7"/>
      <c r="X904" s="139"/>
      <c r="Y904" s="3">
        <f t="shared" si="52"/>
        <v>895</v>
      </c>
      <c r="AA904" s="7"/>
      <c r="AC904" s="7" t="str">
        <f t="shared" si="53"/>
        <v/>
      </c>
      <c r="AE904" s="42" t="str">
        <f t="shared" si="54"/>
        <v/>
      </c>
      <c r="AG904" s="162"/>
      <c r="AH904" s="10"/>
      <c r="AI904" s="10"/>
      <c r="AJ904" s="10"/>
    </row>
    <row r="905" spans="1:36">
      <c r="A905" s="168"/>
      <c r="B905" s="175" t="s">
        <v>599</v>
      </c>
      <c r="C905" s="49"/>
      <c r="D905" s="49"/>
      <c r="E905" s="29">
        <f>+G905-Adjustments!G905</f>
        <v>-18970301.297120716</v>
      </c>
      <c r="F905" s="29">
        <f>F650+F753+F806+F834+F902</f>
        <v>159424946.91999999</v>
      </c>
      <c r="G905" s="7">
        <f>G650+G753+G806+G834+G902</f>
        <v>-18970301.297120716</v>
      </c>
      <c r="H905" s="7">
        <f>H650+H753+H806+H834+H902</f>
        <v>0</v>
      </c>
      <c r="I905" s="7">
        <f>I650+I753+I806+I834+I902</f>
        <v>140454645.62287927</v>
      </c>
      <c r="J905" s="7">
        <f>+I905-'ROR-Model'!I905</f>
        <v>0</v>
      </c>
      <c r="K905" s="7"/>
      <c r="L905" s="7"/>
      <c r="M905" s="587">
        <f>M650+M753+M806+M834+M902</f>
        <v>135198455.70663941</v>
      </c>
      <c r="N905" s="7">
        <f>N650+N753+N806+N834+N902</f>
        <v>5256189.9162398949</v>
      </c>
      <c r="O905" s="120"/>
      <c r="P905" s="7"/>
      <c r="Q905" s="7">
        <f>Q650+Q753+Q806+Q834+Q902</f>
        <v>135198455.70663941</v>
      </c>
      <c r="R905" s="7">
        <f>R650+R753+R806+R834+R902</f>
        <v>0</v>
      </c>
      <c r="S905" s="126"/>
      <c r="T905" s="7">
        <f>T650+T753+T806+T834+T902</f>
        <v>5256189.9162398949</v>
      </c>
      <c r="U905" s="7">
        <f>U650+U753+U806+U834+U902</f>
        <v>0</v>
      </c>
      <c r="V905" s="124"/>
      <c r="W905" s="7">
        <f>HLOOKUP($W$9,'ROR-Model'!$Q$10:$U$1273,Y905)</f>
        <v>135198455.70663941</v>
      </c>
      <c r="X905" s="139"/>
      <c r="Y905" s="3">
        <f t="shared" si="52"/>
        <v>896</v>
      </c>
      <c r="AA905" s="7">
        <v>116188293.80121672</v>
      </c>
      <c r="AC905" s="7">
        <f t="shared" si="53"/>
        <v>19010161.905422688</v>
      </c>
      <c r="AE905" s="42">
        <f t="shared" si="54"/>
        <v>0.1636151223456869</v>
      </c>
      <c r="AG905" s="162"/>
      <c r="AH905" t="s">
        <v>599</v>
      </c>
      <c r="AI905" s="10"/>
      <c r="AJ905" s="10"/>
    </row>
    <row r="906" spans="1:36">
      <c r="A906" s="136"/>
      <c r="B906" s="47"/>
      <c r="C906" s="47"/>
      <c r="D906" s="47"/>
      <c r="E906" s="7">
        <f>+G906-Adjustments!G906</f>
        <v>0</v>
      </c>
      <c r="F906" s="7"/>
      <c r="G906" s="7"/>
      <c r="H906" s="7"/>
      <c r="I906" s="7"/>
      <c r="J906" s="7">
        <f>+I906-'ROR-Model'!I906</f>
        <v>0</v>
      </c>
      <c r="K906" s="7"/>
      <c r="L906" s="7"/>
      <c r="M906" s="7"/>
      <c r="N906" s="7"/>
      <c r="O906" s="120"/>
      <c r="P906" s="126"/>
      <c r="Q906" s="7"/>
      <c r="R906" s="7"/>
      <c r="S906" s="126"/>
      <c r="T906" s="7"/>
      <c r="U906" s="7"/>
      <c r="V906" s="124"/>
      <c r="W906" s="7"/>
      <c r="X906" s="139"/>
      <c r="Y906" s="3">
        <f t="shared" si="52"/>
        <v>897</v>
      </c>
      <c r="AA906" s="7"/>
      <c r="AC906" s="7" t="str">
        <f t="shared" si="53"/>
        <v/>
      </c>
      <c r="AE906" s="42" t="str">
        <f t="shared" si="54"/>
        <v/>
      </c>
      <c r="AG906" s="162"/>
      <c r="AH906" s="10"/>
      <c r="AI906" s="10"/>
      <c r="AJ906" s="10"/>
    </row>
    <row r="907" spans="1:36">
      <c r="A907" s="136"/>
      <c r="B907" s="47"/>
      <c r="C907" s="47"/>
      <c r="D907" s="47"/>
      <c r="E907" s="7">
        <f>+G907-Adjustments!G907</f>
        <v>0</v>
      </c>
      <c r="F907" s="7"/>
      <c r="G907" s="7"/>
      <c r="H907" s="7"/>
      <c r="I907" s="7"/>
      <c r="J907" s="7">
        <f>+I907-'ROR-Model'!I907</f>
        <v>0</v>
      </c>
      <c r="K907" s="7"/>
      <c r="L907" s="7"/>
      <c r="M907" s="7"/>
      <c r="N907" s="7"/>
      <c r="O907" s="120"/>
      <c r="P907" s="126"/>
      <c r="Q907" s="7"/>
      <c r="R907" s="7"/>
      <c r="S907" s="126"/>
      <c r="T907" s="7"/>
      <c r="U907" s="7"/>
      <c r="V907" s="124"/>
      <c r="W907" s="7"/>
      <c r="X907" s="139"/>
      <c r="Y907" s="3">
        <f t="shared" si="52"/>
        <v>898</v>
      </c>
      <c r="AA907" s="7"/>
      <c r="AC907" s="7" t="str">
        <f t="shared" si="53"/>
        <v/>
      </c>
      <c r="AE907" s="42" t="str">
        <f t="shared" si="54"/>
        <v/>
      </c>
      <c r="AG907" s="162"/>
      <c r="AH907" s="10"/>
      <c r="AI907" s="10"/>
      <c r="AJ907" s="10"/>
    </row>
    <row r="908" spans="1:36">
      <c r="A908" s="116" t="s">
        <v>396</v>
      </c>
      <c r="B908" s="47"/>
      <c r="C908" s="47"/>
      <c r="D908" s="47"/>
      <c r="E908" s="7">
        <f>+G908-Adjustments!G908</f>
        <v>0</v>
      </c>
      <c r="F908" s="7"/>
      <c r="G908" s="7"/>
      <c r="H908" s="7"/>
      <c r="I908" s="7"/>
      <c r="J908" s="7">
        <f>+I908-'ROR-Model'!I908</f>
        <v>0</v>
      </c>
      <c r="K908" s="7"/>
      <c r="L908" s="7"/>
      <c r="M908" s="7"/>
      <c r="N908" s="7"/>
      <c r="O908" s="120"/>
      <c r="P908" s="126"/>
      <c r="Q908" s="7"/>
      <c r="R908" s="7"/>
      <c r="S908" s="126"/>
      <c r="T908" s="7"/>
      <c r="U908" s="7"/>
      <c r="V908" s="124"/>
      <c r="W908" s="7"/>
      <c r="X908" s="139"/>
      <c r="Y908" s="3">
        <f t="shared" si="52"/>
        <v>899</v>
      </c>
      <c r="AA908" s="7"/>
      <c r="AC908" s="7" t="str">
        <f t="shared" si="53"/>
        <v/>
      </c>
      <c r="AE908" s="42" t="str">
        <f t="shared" si="54"/>
        <v/>
      </c>
      <c r="AG908" s="162" t="s">
        <v>396</v>
      </c>
      <c r="AH908" s="10"/>
      <c r="AI908" s="10"/>
      <c r="AJ908" s="10"/>
    </row>
    <row r="909" spans="1:36">
      <c r="A909" s="136"/>
      <c r="B909" s="47"/>
      <c r="C909" s="47"/>
      <c r="D909" s="47"/>
      <c r="E909" s="7">
        <f>+G909-Adjustments!G909</f>
        <v>0</v>
      </c>
      <c r="F909" s="7"/>
      <c r="G909" s="7"/>
      <c r="H909" s="7"/>
      <c r="I909" s="7"/>
      <c r="J909" s="7">
        <f>+I909-'ROR-Model'!I909</f>
        <v>0</v>
      </c>
      <c r="K909" s="7"/>
      <c r="L909" s="7"/>
      <c r="M909" s="7"/>
      <c r="N909" s="7"/>
      <c r="O909" s="120"/>
      <c r="P909" s="126"/>
      <c r="Q909" s="7"/>
      <c r="R909" s="7"/>
      <c r="S909" s="126"/>
      <c r="T909" s="7"/>
      <c r="U909" s="7"/>
      <c r="V909" s="124"/>
      <c r="W909" s="7"/>
      <c r="X909" s="139"/>
      <c r="Y909" s="3">
        <f t="shared" si="52"/>
        <v>900</v>
      </c>
      <c r="AA909" s="7"/>
      <c r="AC909" s="7" t="str">
        <f t="shared" si="53"/>
        <v/>
      </c>
      <c r="AE909" s="42" t="str">
        <f t="shared" si="54"/>
        <v/>
      </c>
      <c r="AG909" s="162"/>
      <c r="AH909" s="10"/>
      <c r="AI909" s="10"/>
      <c r="AJ909" s="10"/>
    </row>
    <row r="910" spans="1:36">
      <c r="A910" s="116" t="s">
        <v>397</v>
      </c>
      <c r="B910" s="47"/>
      <c r="C910" s="47"/>
      <c r="D910" s="47"/>
      <c r="E910" s="7">
        <f>+G910-Adjustments!G910</f>
        <v>0</v>
      </c>
      <c r="F910" s="7"/>
      <c r="G910" s="7"/>
      <c r="H910" s="7"/>
      <c r="I910" s="7"/>
      <c r="J910" s="7">
        <f>+I910-'ROR-Model'!I910</f>
        <v>0</v>
      </c>
      <c r="K910" s="7"/>
      <c r="L910" s="7"/>
      <c r="M910" s="7"/>
      <c r="N910" s="7"/>
      <c r="O910" s="120"/>
      <c r="P910" s="126"/>
      <c r="Q910" s="7"/>
      <c r="R910" s="7"/>
      <c r="S910" s="126"/>
      <c r="T910" s="7"/>
      <c r="U910" s="7"/>
      <c r="V910" s="124"/>
      <c r="W910" s="7"/>
      <c r="X910" s="139"/>
      <c r="Y910" s="3">
        <f t="shared" ref="Y910:Y973" si="56">Y909+1</f>
        <v>901</v>
      </c>
      <c r="AA910" s="7"/>
      <c r="AC910" s="7" t="str">
        <f t="shared" si="53"/>
        <v/>
      </c>
      <c r="AE910" s="42" t="str">
        <f t="shared" si="54"/>
        <v/>
      </c>
      <c r="AG910" s="162" t="s">
        <v>397</v>
      </c>
      <c r="AH910" s="10"/>
      <c r="AI910" s="10"/>
      <c r="AJ910" s="10"/>
    </row>
    <row r="911" spans="1:36">
      <c r="A911" s="136"/>
      <c r="B911" s="47"/>
      <c r="C911" s="47"/>
      <c r="D911" s="47"/>
      <c r="E911" s="7">
        <f>+G911-Adjustments!G911</f>
        <v>0</v>
      </c>
      <c r="F911" s="7"/>
      <c r="G911" s="7"/>
      <c r="H911" s="7"/>
      <c r="I911" s="7"/>
      <c r="J911" s="7">
        <f>+I911-'ROR-Model'!I911</f>
        <v>0</v>
      </c>
      <c r="K911" s="7"/>
      <c r="L911" s="7"/>
      <c r="M911" s="7"/>
      <c r="N911" s="7"/>
      <c r="O911" s="120"/>
      <c r="P911" s="126"/>
      <c r="Q911" s="7"/>
      <c r="R911" s="7"/>
      <c r="S911" s="126"/>
      <c r="T911" s="7"/>
      <c r="U911" s="7"/>
      <c r="V911" s="124"/>
      <c r="W911" s="7"/>
      <c r="X911" s="139"/>
      <c r="Y911" s="3">
        <f t="shared" si="56"/>
        <v>902</v>
      </c>
      <c r="AA911" s="7"/>
      <c r="AC911" s="7" t="str">
        <f t="shared" si="53"/>
        <v/>
      </c>
      <c r="AE911" s="42" t="str">
        <f t="shared" si="54"/>
        <v/>
      </c>
      <c r="AG911" s="162"/>
      <c r="AH911" s="10"/>
      <c r="AI911" s="10"/>
      <c r="AJ911" s="10"/>
    </row>
    <row r="912" spans="1:36">
      <c r="A912" s="137">
        <v>403</v>
      </c>
      <c r="B912" s="47" t="s">
        <v>398</v>
      </c>
      <c r="C912" s="47"/>
      <c r="D912" s="47"/>
      <c r="E912" s="7">
        <f>+G912-Adjustments!G912</f>
        <v>0</v>
      </c>
      <c r="F912" s="7"/>
      <c r="G912" s="7"/>
      <c r="H912" s="7"/>
      <c r="I912" s="7"/>
      <c r="J912" s="7">
        <f>+I912-'ROR-Model'!I912</f>
        <v>0</v>
      </c>
      <c r="K912" s="7"/>
      <c r="L912" s="7"/>
      <c r="M912" s="7"/>
      <c r="N912" s="7"/>
      <c r="O912" s="120"/>
      <c r="P912" s="126"/>
      <c r="Q912" s="7"/>
      <c r="R912" s="7"/>
      <c r="S912" s="126"/>
      <c r="T912" s="7"/>
      <c r="U912" s="7"/>
      <c r="V912" s="124"/>
      <c r="W912" s="7"/>
      <c r="X912" s="139"/>
      <c r="Y912" s="3">
        <f t="shared" si="56"/>
        <v>903</v>
      </c>
      <c r="AA912" s="7"/>
      <c r="AC912" s="7" t="str">
        <f t="shared" si="53"/>
        <v/>
      </c>
      <c r="AE912" s="42" t="str">
        <f t="shared" si="54"/>
        <v/>
      </c>
      <c r="AG912" s="162">
        <v>403</v>
      </c>
      <c r="AH912" s="10" t="s">
        <v>398</v>
      </c>
      <c r="AI912" s="10"/>
      <c r="AJ912" s="10"/>
    </row>
    <row r="913" spans="1:36">
      <c r="A913" s="137"/>
      <c r="B913" s="47"/>
      <c r="C913" s="47" t="s">
        <v>399</v>
      </c>
      <c r="D913" s="47"/>
      <c r="E913" s="7">
        <f>+G913-Adjustments!G913</f>
        <v>0</v>
      </c>
      <c r="F913" s="7">
        <f>EXPENSES!F388</f>
        <v>677344.67999999993</v>
      </c>
      <c r="G913" s="7">
        <f>+Adjustments!V900</f>
        <v>0</v>
      </c>
      <c r="H913" s="7"/>
      <c r="I913" s="7">
        <f>SUM($F$913:$H$913)</f>
        <v>677344.67999999993</v>
      </c>
      <c r="J913" s="7">
        <f>+I913-'ROR-Model'!I913</f>
        <v>0</v>
      </c>
      <c r="K913" s="7"/>
      <c r="L913" s="7" t="s">
        <v>637</v>
      </c>
      <c r="M913" s="7">
        <f>VLOOKUP($L913,$L$2:$N$7,2,FALSE)*I913</f>
        <v>655579.5943305851</v>
      </c>
      <c r="N913" s="7">
        <f>VLOOKUP($L913,$L$2:$N$7,3,FALSE)*I913</f>
        <v>21765.085669414791</v>
      </c>
      <c r="O913" s="120"/>
      <c r="P913" s="192" t="s">
        <v>510</v>
      </c>
      <c r="Q913" s="7">
        <f>IF(P913="G",M913,IF(P913="PT",0,ERR))</f>
        <v>655579.5943305851</v>
      </c>
      <c r="R913" s="7">
        <f>IF(P913="PT",M913,IF(P913="G",0,ERR))</f>
        <v>0</v>
      </c>
      <c r="S913" s="126" t="s">
        <v>509</v>
      </c>
      <c r="T913" s="7">
        <f>IF(S913="G",N913,IF(S913="PT",0,ERR))</f>
        <v>0</v>
      </c>
      <c r="U913" s="7">
        <f>IF(S913="PT",N913,IF(S913="G",0,ERR))</f>
        <v>21765.085669414791</v>
      </c>
      <c r="V913" s="124"/>
      <c r="W913" s="7">
        <f>HLOOKUP($W$9,'ROR-Model'!$Q$10:$U$1273,Y913)</f>
        <v>655579.5943305851</v>
      </c>
      <c r="X913" s="139"/>
      <c r="Y913" s="3">
        <f t="shared" si="56"/>
        <v>904</v>
      </c>
      <c r="AA913" s="7">
        <v>488827.4222889705</v>
      </c>
      <c r="AC913" s="7">
        <f t="shared" ref="AC913:AC976" si="57">IF(ABS(AA913)&gt;0,W913-AA913,"")</f>
        <v>166752.1720416146</v>
      </c>
      <c r="AE913" s="42">
        <f t="shared" si="54"/>
        <v>0.34112687717228557</v>
      </c>
      <c r="AG913" s="162"/>
      <c r="AH913" s="10"/>
      <c r="AI913" s="10" t="s">
        <v>399</v>
      </c>
      <c r="AJ913" s="10"/>
    </row>
    <row r="914" spans="1:36">
      <c r="A914" s="137"/>
      <c r="B914" s="47"/>
      <c r="C914" s="47" t="s">
        <v>542</v>
      </c>
      <c r="D914" s="47"/>
      <c r="E914" s="7">
        <f>+G914-Adjustments!G914</f>
        <v>0</v>
      </c>
      <c r="F914" s="7">
        <f>EXPENSES!F389</f>
        <v>2532942.0300000003</v>
      </c>
      <c r="G914" s="7">
        <f>+Adjustments!V901</f>
        <v>0</v>
      </c>
      <c r="H914" s="7"/>
      <c r="I914" s="7">
        <f>SUM($F$914:$H$914)</f>
        <v>2532942.0300000003</v>
      </c>
      <c r="J914" s="7">
        <f>+I914-'ROR-Model'!I914</f>
        <v>0</v>
      </c>
      <c r="K914" s="7"/>
      <c r="L914" s="7" t="s">
        <v>23</v>
      </c>
      <c r="M914" s="7">
        <f>VLOOKUP($L914,$L$2:$N$7,2,FALSE)*I914</f>
        <v>0</v>
      </c>
      <c r="N914" s="7">
        <f>VLOOKUP($L914,$L$2:$N$7,3,FALSE)*I914</f>
        <v>2532942.0300000003</v>
      </c>
      <c r="O914" s="120"/>
      <c r="P914" s="192" t="s">
        <v>510</v>
      </c>
      <c r="Q914" s="7">
        <f>IF(P914="G",M914,IF(P914="PT",0,ERR))</f>
        <v>0</v>
      </c>
      <c r="R914" s="7">
        <f>IF(P914="PT",M914,IF(P914="G",0,ERR))</f>
        <v>0</v>
      </c>
      <c r="S914" s="126" t="s">
        <v>510</v>
      </c>
      <c r="T914" s="7">
        <f>IF(S914="G",N914,IF(S914="PT",0,ERR))</f>
        <v>2532942.0300000003</v>
      </c>
      <c r="U914" s="7">
        <f>IF(S914="PT",N914,IF(S914="G",0,ERR))</f>
        <v>0</v>
      </c>
      <c r="V914" s="124"/>
      <c r="W914" s="7">
        <f>HLOOKUP($W$9,'ROR-Model'!$Q$10:$U$1273,Y914)</f>
        <v>0</v>
      </c>
      <c r="X914" s="139"/>
      <c r="Y914" s="3">
        <f t="shared" si="56"/>
        <v>905</v>
      </c>
      <c r="AA914" s="7">
        <v>0</v>
      </c>
      <c r="AC914" s="7" t="str">
        <f t="shared" si="57"/>
        <v/>
      </c>
      <c r="AE914" s="42" t="str">
        <f t="shared" ref="AE914:AE977" si="58">IF(ABS(AA914)&gt;0,AC914/AA914,"")</f>
        <v/>
      </c>
      <c r="AG914" s="162"/>
      <c r="AH914" s="10"/>
      <c r="AI914" s="10" t="s">
        <v>542</v>
      </c>
      <c r="AJ914" s="10"/>
    </row>
    <row r="915" spans="1:36">
      <c r="A915" s="137"/>
      <c r="B915" s="47"/>
      <c r="C915" s="47" t="s">
        <v>543</v>
      </c>
      <c r="D915" s="47"/>
      <c r="E915" s="7">
        <f>+G915-Adjustments!G915</f>
        <v>0</v>
      </c>
      <c r="F915" s="7">
        <f>EXPENSES!F390</f>
        <v>84756223.760000005</v>
      </c>
      <c r="G915" s="7">
        <f>+Adjustments!V902</f>
        <v>0</v>
      </c>
      <c r="H915" s="7"/>
      <c r="I915" s="7">
        <f>SUM($F$915:$H$915)</f>
        <v>84756223.760000005</v>
      </c>
      <c r="J915" s="7">
        <f>+I915-'ROR-Model'!I915</f>
        <v>0</v>
      </c>
      <c r="K915" s="7"/>
      <c r="L915" s="7" t="s">
        <v>12</v>
      </c>
      <c r="M915" s="7">
        <f>VLOOKUP($L915,$L$2:$N$7,2,FALSE)*I915</f>
        <v>84756223.760000005</v>
      </c>
      <c r="N915" s="7">
        <f>VLOOKUP($L915,$L$2:$N$7,3,FALSE)*I915</f>
        <v>0</v>
      </c>
      <c r="O915" s="120"/>
      <c r="P915" s="192" t="s">
        <v>510</v>
      </c>
      <c r="Q915" s="7">
        <f>IF(P915="G",M915,IF(P915="PT",0,ERR))</f>
        <v>84756223.760000005</v>
      </c>
      <c r="R915" s="7">
        <f>IF(P915="PT",M915,IF(P915="G",0,ERR))</f>
        <v>0</v>
      </c>
      <c r="S915" s="126" t="s">
        <v>510</v>
      </c>
      <c r="T915" s="7">
        <f>IF(S915="G",N915,IF(S915="PT",0,ERR))</f>
        <v>0</v>
      </c>
      <c r="U915" s="7">
        <f>IF(S915="PT",N915,IF(S915="G",0,ERR))</f>
        <v>0</v>
      </c>
      <c r="V915" s="124"/>
      <c r="W915" s="7">
        <f>HLOOKUP($W$9,'ROR-Model'!$Q$10:$U$1273,Y915)</f>
        <v>84756223.760000005</v>
      </c>
      <c r="X915" s="139"/>
      <c r="Y915" s="3">
        <f t="shared" si="56"/>
        <v>906</v>
      </c>
      <c r="AA915" s="7">
        <v>61653256.760000005</v>
      </c>
      <c r="AC915" s="7">
        <f t="shared" si="57"/>
        <v>23102967</v>
      </c>
      <c r="AE915" s="42">
        <f t="shared" si="58"/>
        <v>0.37472419486181896</v>
      </c>
      <c r="AG915" s="162"/>
      <c r="AH915" s="10"/>
      <c r="AI915" s="10" t="s">
        <v>543</v>
      </c>
      <c r="AJ915" s="10"/>
    </row>
    <row r="916" spans="1:36">
      <c r="A916" s="137"/>
      <c r="B916" s="47"/>
      <c r="C916" s="47" t="s">
        <v>544</v>
      </c>
      <c r="D916" s="47"/>
      <c r="E916" s="7">
        <f>+G916-Adjustments!G916</f>
        <v>0</v>
      </c>
      <c r="F916" s="7">
        <f>EXPENSES!F391</f>
        <v>7552499.9100000001</v>
      </c>
      <c r="G916" s="7">
        <f>+Adjustments!V903</f>
        <v>0</v>
      </c>
      <c r="H916" s="7"/>
      <c r="I916" s="7">
        <f>SUM($F$916:$H$916)</f>
        <v>7552499.9100000001</v>
      </c>
      <c r="J916" s="7">
        <f>+I916-'ROR-Model'!I916</f>
        <v>0</v>
      </c>
      <c r="K916" s="7"/>
      <c r="L916" s="7" t="s">
        <v>429</v>
      </c>
      <c r="M916" s="7">
        <f>VLOOKUP($L916,$L$2:$N$7,2,FALSE)*I916</f>
        <v>7324183.0358521687</v>
      </c>
      <c r="N916" s="7">
        <f>VLOOKUP($L916,$L$2:$N$7,3,FALSE)*I916</f>
        <v>228316.87414783105</v>
      </c>
      <c r="O916" s="120"/>
      <c r="P916" s="192" t="s">
        <v>510</v>
      </c>
      <c r="Q916" s="7">
        <f>IF(P916="G",M916,IF(P916="PT",0,ERR))</f>
        <v>7324183.0358521687</v>
      </c>
      <c r="R916" s="7">
        <f>IF(P916="PT",M916,IF(P916="G",0,ERR))</f>
        <v>0</v>
      </c>
      <c r="S916" s="126" t="s">
        <v>510</v>
      </c>
      <c r="T916" s="7">
        <f>IF(S916="G",N916,IF(S916="PT",0,ERR))</f>
        <v>228316.87414783105</v>
      </c>
      <c r="U916" s="7">
        <f>IF(S916="PT",N916,IF(S916="G",0,ERR))</f>
        <v>0</v>
      </c>
      <c r="V916" s="124"/>
      <c r="W916" s="7">
        <f>HLOOKUP($W$9,'ROR-Model'!$Q$10:$U$1273,Y916)</f>
        <v>7324183.0358521687</v>
      </c>
      <c r="X916" s="139"/>
      <c r="Y916" s="3">
        <f t="shared" si="56"/>
        <v>907</v>
      </c>
      <c r="AA916" s="7">
        <v>9048770.8322781064</v>
      </c>
      <c r="AC916" s="7">
        <f t="shared" si="57"/>
        <v>-1724587.7964259377</v>
      </c>
      <c r="AE916" s="42">
        <f t="shared" si="58"/>
        <v>-0.19058807305342684</v>
      </c>
      <c r="AG916" s="162"/>
      <c r="AH916" s="10"/>
      <c r="AI916" s="10" t="s">
        <v>544</v>
      </c>
      <c r="AJ916" s="10"/>
    </row>
    <row r="917" spans="1:36">
      <c r="A917" s="137"/>
      <c r="B917" s="47"/>
      <c r="C917" s="47" t="s">
        <v>545</v>
      </c>
      <c r="D917" s="47"/>
      <c r="E917" s="140">
        <f>+G917-Adjustments!G917</f>
        <v>0</v>
      </c>
      <c r="F917" s="140">
        <f>SUM(F913:F916)</f>
        <v>95519010.379999995</v>
      </c>
      <c r="G917" s="140">
        <f>SUM(G913:G916)</f>
        <v>0</v>
      </c>
      <c r="H917" s="140">
        <f>SUM(H913:H916)</f>
        <v>0</v>
      </c>
      <c r="I917" s="140">
        <f>SUM(I913:I916)</f>
        <v>95519010.379999995</v>
      </c>
      <c r="J917" s="7">
        <f>+I917-'ROR-Model'!I917</f>
        <v>0</v>
      </c>
      <c r="K917" s="7"/>
      <c r="L917" s="140"/>
      <c r="M917" s="140">
        <f>SUM(M913:M916)</f>
        <v>92735986.390182748</v>
      </c>
      <c r="N917" s="140">
        <f>SUM(N913:N916)</f>
        <v>2783023.9898172459</v>
      </c>
      <c r="O917" s="120"/>
      <c r="P917" s="201"/>
      <c r="Q917" s="140">
        <f>SUM(Q913:Q916)</f>
        <v>92735986.390182748</v>
      </c>
      <c r="R917" s="140">
        <f>SUM(R913:R916)</f>
        <v>0</v>
      </c>
      <c r="S917" s="201"/>
      <c r="T917" s="140">
        <f>SUM(T913:T916)</f>
        <v>2761258.9041478313</v>
      </c>
      <c r="U917" s="140">
        <f>SUM(U913:U916)</f>
        <v>21765.085669414791</v>
      </c>
      <c r="V917" s="124"/>
      <c r="W917" s="140">
        <f>HLOOKUP($W$9,'ROR-Model'!$Q$10:$U$1273,Y917)</f>
        <v>92735986.390182748</v>
      </c>
      <c r="X917" s="139"/>
      <c r="Y917" s="3">
        <f t="shared" si="56"/>
        <v>908</v>
      </c>
      <c r="AA917" s="140">
        <v>71190855.014567077</v>
      </c>
      <c r="AC917" s="140">
        <f t="shared" si="57"/>
        <v>21545131.375615671</v>
      </c>
      <c r="AE917" s="42">
        <f t="shared" si="58"/>
        <v>0.30263903097114236</v>
      </c>
      <c r="AG917" s="162"/>
      <c r="AH917" s="10"/>
      <c r="AI917" s="10" t="s">
        <v>545</v>
      </c>
      <c r="AJ917" s="10"/>
    </row>
    <row r="918" spans="1:36">
      <c r="A918" s="137"/>
      <c r="B918" s="47"/>
      <c r="C918" s="47"/>
      <c r="D918" s="47"/>
      <c r="E918" s="7">
        <f>+G918-Adjustments!G918</f>
        <v>0</v>
      </c>
      <c r="F918" s="7"/>
      <c r="G918" s="7"/>
      <c r="H918" s="7"/>
      <c r="I918" s="7"/>
      <c r="J918" s="7">
        <f>+I918-'ROR-Model'!I918</f>
        <v>0</v>
      </c>
      <c r="K918" s="7"/>
      <c r="L918" s="7"/>
      <c r="M918" s="7"/>
      <c r="N918" s="7"/>
      <c r="O918" s="120"/>
      <c r="P918" s="126"/>
      <c r="Q918" s="7"/>
      <c r="R918" s="7"/>
      <c r="S918" s="126"/>
      <c r="T918" s="7"/>
      <c r="U918" s="7"/>
      <c r="V918" s="124"/>
      <c r="W918" s="7"/>
      <c r="X918" s="139"/>
      <c r="Y918" s="3">
        <f t="shared" si="56"/>
        <v>909</v>
      </c>
      <c r="AA918" s="7"/>
      <c r="AC918" s="7" t="str">
        <f t="shared" si="57"/>
        <v/>
      </c>
      <c r="AE918" s="42" t="str">
        <f t="shared" si="58"/>
        <v/>
      </c>
      <c r="AG918" s="162"/>
      <c r="AH918" s="10"/>
      <c r="AI918" s="10"/>
      <c r="AJ918" s="10"/>
    </row>
    <row r="919" spans="1:36">
      <c r="A919" s="137">
        <v>404</v>
      </c>
      <c r="B919" s="47" t="s">
        <v>546</v>
      </c>
      <c r="C919" s="47"/>
      <c r="D919" s="47"/>
      <c r="E919" s="7">
        <f>+G919-Adjustments!G919</f>
        <v>0</v>
      </c>
      <c r="F919" s="7"/>
      <c r="G919" s="7"/>
      <c r="H919" s="7"/>
      <c r="I919" s="7"/>
      <c r="J919" s="7">
        <f>+I919-'ROR-Model'!I919</f>
        <v>0</v>
      </c>
      <c r="K919" s="7"/>
      <c r="L919" s="7"/>
      <c r="M919" s="7"/>
      <c r="N919" s="7"/>
      <c r="O919" s="120"/>
      <c r="P919" s="126"/>
      <c r="Q919" s="7"/>
      <c r="R919" s="7"/>
      <c r="S919" s="126"/>
      <c r="T919" s="7"/>
      <c r="U919" s="7"/>
      <c r="V919" s="124"/>
      <c r="W919" s="7"/>
      <c r="X919" s="139"/>
      <c r="Y919" s="3">
        <f t="shared" si="56"/>
        <v>910</v>
      </c>
      <c r="AA919" s="7"/>
      <c r="AC919" s="7" t="str">
        <f t="shared" si="57"/>
        <v/>
      </c>
      <c r="AE919" s="42" t="str">
        <f t="shared" si="58"/>
        <v/>
      </c>
      <c r="AG919" s="162">
        <v>404</v>
      </c>
      <c r="AH919" s="10" t="s">
        <v>546</v>
      </c>
      <c r="AI919" s="10"/>
      <c r="AJ919" s="10"/>
    </row>
    <row r="920" spans="1:36">
      <c r="A920" s="137"/>
      <c r="B920" s="47"/>
      <c r="C920" s="47" t="s">
        <v>399</v>
      </c>
      <c r="D920" s="47"/>
      <c r="E920" s="7">
        <f>+G920-Adjustments!G920</f>
        <v>0</v>
      </c>
      <c r="F920" s="7">
        <f>EXPENSES!F395</f>
        <v>0</v>
      </c>
      <c r="G920" s="7">
        <f>+Adjustments!V907</f>
        <v>0</v>
      </c>
      <c r="H920" s="7"/>
      <c r="I920" s="7">
        <f>SUM($F$920:$H$920)</f>
        <v>0</v>
      </c>
      <c r="J920" s="7">
        <f>+I920-'ROR-Model'!I920</f>
        <v>0</v>
      </c>
      <c r="K920" s="7"/>
      <c r="L920" s="7" t="s">
        <v>637</v>
      </c>
      <c r="M920" s="7">
        <f>VLOOKUP($L920,$L$2:$N$7,2,FALSE)*I920</f>
        <v>0</v>
      </c>
      <c r="N920" s="7">
        <f>VLOOKUP($L920,$L$2:$N$7,3,FALSE)*I920</f>
        <v>0</v>
      </c>
      <c r="O920" s="120"/>
      <c r="P920" s="192" t="s">
        <v>510</v>
      </c>
      <c r="Q920" s="7">
        <f>IF(P920="G",M920,IF(P920="PT",0,ERR))</f>
        <v>0</v>
      </c>
      <c r="R920" s="7">
        <f>IF(P920="PT",M920,IF(P920="G",0,ERR))</f>
        <v>0</v>
      </c>
      <c r="S920" s="126" t="s">
        <v>509</v>
      </c>
      <c r="T920" s="7">
        <f>IF(S920="G",N920,IF(S920="PT",0,ERR))</f>
        <v>0</v>
      </c>
      <c r="U920" s="7">
        <f>IF(S920="PT",N920,IF(S920="G",0,ERR))</f>
        <v>0</v>
      </c>
      <c r="V920" s="124"/>
      <c r="W920" s="7">
        <f>HLOOKUP($W$9,'ROR-Model'!$Q$10:$U$1273,Y920)</f>
        <v>0</v>
      </c>
      <c r="X920" s="139"/>
      <c r="Y920" s="3">
        <f t="shared" si="56"/>
        <v>911</v>
      </c>
      <c r="AA920" s="7">
        <v>0</v>
      </c>
      <c r="AC920" s="7" t="str">
        <f t="shared" si="57"/>
        <v/>
      </c>
      <c r="AE920" s="42" t="str">
        <f t="shared" si="58"/>
        <v/>
      </c>
      <c r="AG920" s="162"/>
      <c r="AH920" s="10"/>
      <c r="AI920" s="10" t="s">
        <v>399</v>
      </c>
      <c r="AJ920" s="10"/>
    </row>
    <row r="921" spans="1:36">
      <c r="A921" s="137"/>
      <c r="B921" s="47"/>
      <c r="C921" s="47" t="s">
        <v>542</v>
      </c>
      <c r="D921" s="47"/>
      <c r="E921" s="7">
        <f>+G921-Adjustments!G921</f>
        <v>0</v>
      </c>
      <c r="F921" s="7">
        <f>EXPENSES!F396</f>
        <v>0</v>
      </c>
      <c r="G921" s="7">
        <f>+Adjustments!V908</f>
        <v>0</v>
      </c>
      <c r="H921" s="7"/>
      <c r="I921" s="7">
        <f>SUM($F$921:$H$921)</f>
        <v>0</v>
      </c>
      <c r="J921" s="7">
        <f>+I921-'ROR-Model'!I921</f>
        <v>0</v>
      </c>
      <c r="K921" s="7"/>
      <c r="L921" s="7" t="s">
        <v>23</v>
      </c>
      <c r="M921" s="7">
        <f>VLOOKUP($L921,$L$2:$N$7,2,FALSE)*I921</f>
        <v>0</v>
      </c>
      <c r="N921" s="7">
        <f>VLOOKUP($L921,$L$2:$N$7,3,FALSE)*I921</f>
        <v>0</v>
      </c>
      <c r="O921" s="120"/>
      <c r="P921" s="192" t="s">
        <v>510</v>
      </c>
      <c r="Q921" s="7">
        <f>IF(P921="G",M921,IF(P921="PT",0,ERR))</f>
        <v>0</v>
      </c>
      <c r="R921" s="7">
        <f>IF(P921="PT",M921,IF(P921="G",0,ERR))</f>
        <v>0</v>
      </c>
      <c r="S921" s="126" t="s">
        <v>510</v>
      </c>
      <c r="T921" s="7">
        <f>IF(S921="G",N921,IF(S921="PT",0,ERR))</f>
        <v>0</v>
      </c>
      <c r="U921" s="7">
        <f>IF(S921="PT",N921,IF(S921="G",0,ERR))</f>
        <v>0</v>
      </c>
      <c r="V921" s="124"/>
      <c r="W921" s="7">
        <f>HLOOKUP($W$9,'ROR-Model'!$Q$10:$U$1273,Y921)</f>
        <v>0</v>
      </c>
      <c r="X921" s="139"/>
      <c r="Y921" s="3">
        <f t="shared" si="56"/>
        <v>912</v>
      </c>
      <c r="AA921" s="7">
        <v>0</v>
      </c>
      <c r="AC921" s="7" t="str">
        <f t="shared" si="57"/>
        <v/>
      </c>
      <c r="AE921" s="42" t="str">
        <f t="shared" si="58"/>
        <v/>
      </c>
      <c r="AG921" s="162"/>
      <c r="AH921" s="10"/>
      <c r="AI921" s="10" t="s">
        <v>542</v>
      </c>
      <c r="AJ921" s="10"/>
    </row>
    <row r="922" spans="1:36">
      <c r="A922" s="137"/>
      <c r="B922" s="47"/>
      <c r="C922" s="47" t="s">
        <v>543</v>
      </c>
      <c r="D922" s="47"/>
      <c r="E922" s="7">
        <f>+G922-Adjustments!G922</f>
        <v>0</v>
      </c>
      <c r="F922" s="7">
        <f>EXPENSES!F397</f>
        <v>0</v>
      </c>
      <c r="G922" s="7">
        <f>+Adjustments!V909</f>
        <v>0</v>
      </c>
      <c r="H922" s="7"/>
      <c r="I922" s="7">
        <f>SUM($F$922:$H$922)</f>
        <v>0</v>
      </c>
      <c r="J922" s="7">
        <f>+I922-'ROR-Model'!I922</f>
        <v>0</v>
      </c>
      <c r="K922" s="7"/>
      <c r="L922" s="7" t="s">
        <v>12</v>
      </c>
      <c r="M922" s="7">
        <f>VLOOKUP($L922,$L$2:$N$7,2,FALSE)*I922</f>
        <v>0</v>
      </c>
      <c r="N922" s="7">
        <f>VLOOKUP($L922,$L$2:$N$7,3,FALSE)*I922</f>
        <v>0</v>
      </c>
      <c r="O922" s="120"/>
      <c r="P922" s="192" t="s">
        <v>510</v>
      </c>
      <c r="Q922" s="7">
        <f>IF(P922="G",M922,IF(P922="PT",0,ERR))</f>
        <v>0</v>
      </c>
      <c r="R922" s="7">
        <f>IF(P922="PT",M922,IF(P922="G",0,ERR))</f>
        <v>0</v>
      </c>
      <c r="S922" s="126" t="s">
        <v>510</v>
      </c>
      <c r="T922" s="7">
        <f>IF(S922="G",N922,IF(S922="PT",0,ERR))</f>
        <v>0</v>
      </c>
      <c r="U922" s="7">
        <f>IF(S922="PT",N922,IF(S922="G",0,ERR))</f>
        <v>0</v>
      </c>
      <c r="V922" s="124"/>
      <c r="W922" s="7">
        <f>HLOOKUP($W$9,'ROR-Model'!$Q$10:$U$1273,Y922)</f>
        <v>0</v>
      </c>
      <c r="X922" s="139"/>
      <c r="Y922" s="3">
        <f t="shared" si="56"/>
        <v>913</v>
      </c>
      <c r="AA922" s="7">
        <v>-9.0949470177292824E-13</v>
      </c>
      <c r="AC922" s="7">
        <f t="shared" si="57"/>
        <v>9.0949470177292824E-13</v>
      </c>
      <c r="AE922" s="42">
        <f t="shared" si="58"/>
        <v>-1</v>
      </c>
      <c r="AG922" s="162"/>
      <c r="AH922" s="10"/>
      <c r="AI922" s="10" t="s">
        <v>543</v>
      </c>
      <c r="AJ922" s="10"/>
    </row>
    <row r="923" spans="1:36">
      <c r="A923" s="137"/>
      <c r="B923" s="47"/>
      <c r="C923" s="47" t="s">
        <v>544</v>
      </c>
      <c r="D923" s="47"/>
      <c r="E923" s="7">
        <f>+G923-Adjustments!G923</f>
        <v>-150900.48175547289</v>
      </c>
      <c r="F923" s="7">
        <f>EXPENSES!F398</f>
        <v>0</v>
      </c>
      <c r="G923" s="7">
        <f>+Adjustments!V910</f>
        <v>0</v>
      </c>
      <c r="H923" s="7"/>
      <c r="I923" s="7">
        <f>SUM($F$923:$H$923)</f>
        <v>0</v>
      </c>
      <c r="J923" s="7">
        <f>+I923-'ROR-Model'!I923</f>
        <v>0</v>
      </c>
      <c r="K923" s="7"/>
      <c r="L923" s="7" t="s">
        <v>429</v>
      </c>
      <c r="M923" s="7">
        <f>VLOOKUP($L923,$L$2:$N$7,2,FALSE)*I923</f>
        <v>0</v>
      </c>
      <c r="N923" s="7">
        <f>VLOOKUP($L923,$L$2:$N$7,3,FALSE)*I923</f>
        <v>0</v>
      </c>
      <c r="O923" s="120"/>
      <c r="P923" s="192" t="s">
        <v>510</v>
      </c>
      <c r="Q923" s="7">
        <f>IF(P923="G",M923,IF(P923="PT",0,ERR))</f>
        <v>0</v>
      </c>
      <c r="R923" s="7">
        <f>IF(P923="PT",M923,IF(P923="G",0,ERR))</f>
        <v>0</v>
      </c>
      <c r="S923" s="126" t="s">
        <v>510</v>
      </c>
      <c r="T923" s="7">
        <f>IF(S923="G",N923,IF(S923="PT",0,ERR))</f>
        <v>0</v>
      </c>
      <c r="U923" s="7">
        <f>IF(S923="PT",N923,IF(S923="G",0,ERR))</f>
        <v>0</v>
      </c>
      <c r="V923" s="124"/>
      <c r="W923" s="7">
        <f>HLOOKUP($W$9,'ROR-Model'!$Q$10:$U$1273,Y923)</f>
        <v>0</v>
      </c>
      <c r="X923" s="139"/>
      <c r="Y923" s="3">
        <f t="shared" si="56"/>
        <v>914</v>
      </c>
      <c r="AA923" s="7">
        <v>0</v>
      </c>
      <c r="AC923" s="7" t="str">
        <f t="shared" si="57"/>
        <v/>
      </c>
      <c r="AE923" s="42" t="str">
        <f t="shared" si="58"/>
        <v/>
      </c>
      <c r="AG923" s="162"/>
      <c r="AH923" s="10"/>
      <c r="AI923" s="10" t="s">
        <v>544</v>
      </c>
      <c r="AJ923" s="10"/>
    </row>
    <row r="924" spans="1:36">
      <c r="A924" s="137"/>
      <c r="B924" s="47"/>
      <c r="C924" s="47" t="s">
        <v>547</v>
      </c>
      <c r="D924" s="47"/>
      <c r="E924" s="140">
        <f>+G924-Adjustments!G924</f>
        <v>0</v>
      </c>
      <c r="F924" s="140">
        <f>SUM(F920:F923)</f>
        <v>0</v>
      </c>
      <c r="G924" s="140">
        <f>SUM(G920:G923)</f>
        <v>0</v>
      </c>
      <c r="H924" s="140">
        <f>SUM(H920:H923)</f>
        <v>0</v>
      </c>
      <c r="I924" s="140">
        <f>SUM(I920:I923)</f>
        <v>0</v>
      </c>
      <c r="J924" s="7">
        <f>+I924-'ROR-Model'!I924</f>
        <v>0</v>
      </c>
      <c r="K924" s="7"/>
      <c r="L924" s="140"/>
      <c r="M924" s="140">
        <f>SUM(M920:M923)</f>
        <v>0</v>
      </c>
      <c r="N924" s="140">
        <f>SUM(N920:N923)</f>
        <v>0</v>
      </c>
      <c r="O924" s="120"/>
      <c r="P924" s="201"/>
      <c r="Q924" s="140">
        <f>SUM(Q920:Q923)</f>
        <v>0</v>
      </c>
      <c r="R924" s="140">
        <f>SUM(R920:R923)</f>
        <v>0</v>
      </c>
      <c r="S924" s="201"/>
      <c r="T924" s="140">
        <f>SUM(T920:T923)</f>
        <v>0</v>
      </c>
      <c r="U924" s="140">
        <f>SUM(U920:U923)</f>
        <v>0</v>
      </c>
      <c r="V924" s="124"/>
      <c r="W924" s="140">
        <f>HLOOKUP($W$9,'ROR-Model'!$Q$10:$U$1273,Y924)</f>
        <v>0</v>
      </c>
      <c r="X924" s="139"/>
      <c r="Y924" s="3">
        <f t="shared" si="56"/>
        <v>915</v>
      </c>
      <c r="AA924" s="140">
        <v>-9.0949470177292824E-13</v>
      </c>
      <c r="AC924" s="140">
        <f t="shared" si="57"/>
        <v>9.0949470177292824E-13</v>
      </c>
      <c r="AE924" s="42">
        <f t="shared" si="58"/>
        <v>-1</v>
      </c>
      <c r="AG924" s="162"/>
      <c r="AH924" s="10"/>
      <c r="AI924" s="10" t="s">
        <v>547</v>
      </c>
      <c r="AJ924" s="10"/>
    </row>
    <row r="925" spans="1:36" ht="13.5" thickBot="1">
      <c r="A925" s="137"/>
      <c r="B925" s="47"/>
      <c r="C925" s="47"/>
      <c r="D925" s="47"/>
      <c r="E925" s="154">
        <f>+G925-Adjustments!G925</f>
        <v>0</v>
      </c>
      <c r="F925" s="154"/>
      <c r="G925" s="154"/>
      <c r="H925" s="154"/>
      <c r="I925" s="154"/>
      <c r="J925" s="7">
        <f>+I925-'ROR-Model'!I925</f>
        <v>0</v>
      </c>
      <c r="K925" s="7"/>
      <c r="L925" s="154"/>
      <c r="M925" s="154"/>
      <c r="N925" s="154"/>
      <c r="O925" s="120"/>
      <c r="P925" s="204"/>
      <c r="Q925" s="154"/>
      <c r="R925" s="154"/>
      <c r="S925" s="204"/>
      <c r="T925" s="154"/>
      <c r="U925" s="154"/>
      <c r="V925" s="124"/>
      <c r="W925" s="154"/>
      <c r="X925" s="139"/>
      <c r="Y925" s="3">
        <f t="shared" si="56"/>
        <v>916</v>
      </c>
      <c r="AA925" s="154"/>
      <c r="AC925" s="154" t="str">
        <f t="shared" si="57"/>
        <v/>
      </c>
      <c r="AE925" s="42" t="str">
        <f t="shared" si="58"/>
        <v/>
      </c>
      <c r="AG925" s="162"/>
      <c r="AH925" s="10"/>
      <c r="AI925" s="10"/>
      <c r="AJ925" s="10"/>
    </row>
    <row r="926" spans="1:36">
      <c r="A926" s="137"/>
      <c r="B926" s="141" t="s">
        <v>602</v>
      </c>
      <c r="C926" s="47"/>
      <c r="D926" s="47"/>
      <c r="E926" s="7">
        <f>+G926-Adjustments!G926</f>
        <v>0</v>
      </c>
      <c r="F926" s="7">
        <f>F917+F924</f>
        <v>95519010.379999995</v>
      </c>
      <c r="G926" s="7">
        <f t="shared" ref="G926:I927" si="59">G917+G924</f>
        <v>0</v>
      </c>
      <c r="H926" s="7">
        <f t="shared" si="59"/>
        <v>0</v>
      </c>
      <c r="I926" s="7">
        <f t="shared" si="59"/>
        <v>95519010.379999995</v>
      </c>
      <c r="J926" s="7">
        <f>+I926-'ROR-Model'!I926</f>
        <v>0</v>
      </c>
      <c r="K926" s="7"/>
      <c r="L926" s="7"/>
      <c r="M926" s="7">
        <f>M917+M924</f>
        <v>92735986.390182748</v>
      </c>
      <c r="N926" s="7">
        <f>N917+N924</f>
        <v>2783023.9898172459</v>
      </c>
      <c r="O926" s="120"/>
      <c r="P926" s="126"/>
      <c r="Q926" s="7">
        <f>Q917+Q924</f>
        <v>92735986.390182748</v>
      </c>
      <c r="R926" s="7">
        <f>R917+R924</f>
        <v>0</v>
      </c>
      <c r="S926" s="126"/>
      <c r="T926" s="7">
        <f>T917+T924</f>
        <v>2761258.9041478313</v>
      </c>
      <c r="U926" s="7">
        <f>U917+U924</f>
        <v>21765.085669414791</v>
      </c>
      <c r="V926" s="124"/>
      <c r="W926" s="7">
        <f>HLOOKUP($W$9,'ROR-Model'!$Q$10:$U$1273,Y926)</f>
        <v>92735986.390182748</v>
      </c>
      <c r="X926" s="139"/>
      <c r="Y926" s="3">
        <f t="shared" si="56"/>
        <v>917</v>
      </c>
      <c r="AA926" s="7">
        <v>71190855.014567077</v>
      </c>
      <c r="AC926" s="7">
        <f t="shared" si="57"/>
        <v>21545131.375615671</v>
      </c>
      <c r="AE926" s="42">
        <f t="shared" si="58"/>
        <v>0.30263903097114236</v>
      </c>
      <c r="AG926" s="162"/>
      <c r="AH926" t="s">
        <v>602</v>
      </c>
      <c r="AI926" s="10"/>
      <c r="AJ926" s="10"/>
    </row>
    <row r="927" spans="1:36">
      <c r="A927" s="137"/>
      <c r="B927" s="47"/>
      <c r="C927" s="47"/>
      <c r="D927" s="47"/>
      <c r="E927" s="7">
        <f>+G927-Adjustments!G927</f>
        <v>0</v>
      </c>
      <c r="F927" s="7">
        <f>F918+F925</f>
        <v>0</v>
      </c>
      <c r="G927" s="7">
        <f t="shared" si="59"/>
        <v>0</v>
      </c>
      <c r="H927" s="7">
        <f t="shared" si="59"/>
        <v>0</v>
      </c>
      <c r="I927" s="7">
        <f t="shared" si="59"/>
        <v>0</v>
      </c>
      <c r="J927" s="7">
        <f>+I927-'ROR-Model'!I927</f>
        <v>0</v>
      </c>
      <c r="K927" s="7"/>
      <c r="L927" s="7"/>
      <c r="M927" s="7"/>
      <c r="N927" s="7"/>
      <c r="O927" s="120"/>
      <c r="P927" s="126"/>
      <c r="Q927" s="7"/>
      <c r="R927" s="7"/>
      <c r="S927" s="126"/>
      <c r="T927" s="7"/>
      <c r="U927" s="7"/>
      <c r="V927" s="124"/>
      <c r="W927" s="7"/>
      <c r="X927" s="139"/>
      <c r="Y927" s="3">
        <f t="shared" si="56"/>
        <v>918</v>
      </c>
      <c r="AA927" s="7"/>
      <c r="AC927" s="7" t="str">
        <f t="shared" si="57"/>
        <v/>
      </c>
      <c r="AE927" s="42" t="str">
        <f t="shared" si="58"/>
        <v/>
      </c>
      <c r="AG927" s="162"/>
      <c r="AH927" s="10"/>
      <c r="AI927" s="10"/>
      <c r="AJ927" s="10"/>
    </row>
    <row r="928" spans="1:36">
      <c r="A928" s="200" t="s">
        <v>603</v>
      </c>
      <c r="B928" s="47"/>
      <c r="C928" s="47"/>
      <c r="D928" s="47"/>
      <c r="E928" s="7">
        <f>+G928-Adjustments!G928</f>
        <v>0</v>
      </c>
      <c r="F928" s="7"/>
      <c r="G928" s="7"/>
      <c r="H928" s="7"/>
      <c r="I928" s="7"/>
      <c r="J928" s="7">
        <f>+I928-'ROR-Model'!I928</f>
        <v>0</v>
      </c>
      <c r="K928" s="7"/>
      <c r="L928" s="7"/>
      <c r="M928" s="7"/>
      <c r="N928" s="7"/>
      <c r="O928" s="120"/>
      <c r="P928" s="126"/>
      <c r="Q928" s="7"/>
      <c r="R928" s="7"/>
      <c r="S928" s="126"/>
      <c r="T928" s="7"/>
      <c r="U928" s="7"/>
      <c r="V928" s="124"/>
      <c r="W928" s="7"/>
      <c r="X928" s="139"/>
      <c r="Y928" s="3">
        <f t="shared" si="56"/>
        <v>919</v>
      </c>
      <c r="AA928" s="7"/>
      <c r="AC928" s="7" t="str">
        <f t="shared" si="57"/>
        <v/>
      </c>
      <c r="AE928" s="42" t="str">
        <f t="shared" si="58"/>
        <v/>
      </c>
      <c r="AG928" s="162" t="s">
        <v>603</v>
      </c>
      <c r="AH928" s="10"/>
      <c r="AI928" s="10"/>
      <c r="AJ928" s="10"/>
    </row>
    <row r="929" spans="1:36">
      <c r="A929" s="137">
        <v>408</v>
      </c>
      <c r="B929" s="47" t="s">
        <v>548</v>
      </c>
      <c r="C929" s="47"/>
      <c r="D929" s="47"/>
      <c r="E929" s="7">
        <f>+G929-Adjustments!G929</f>
        <v>0</v>
      </c>
      <c r="F929" s="7"/>
      <c r="G929" s="7"/>
      <c r="H929" s="7"/>
      <c r="I929" s="7"/>
      <c r="J929" s="7">
        <f>+I929-'ROR-Model'!I929</f>
        <v>0</v>
      </c>
      <c r="K929" s="7"/>
      <c r="L929" s="7"/>
      <c r="M929" s="7"/>
      <c r="N929" s="7"/>
      <c r="O929" s="120"/>
      <c r="P929" s="192" t="s">
        <v>510</v>
      </c>
      <c r="Q929" s="7">
        <f>IF(P929="G",M929,IF(P929="PT",0,ERR))</f>
        <v>0</v>
      </c>
      <c r="R929" s="7">
        <f>IF(P929="PT",M929,IF(P929="G",0,ERR))</f>
        <v>0</v>
      </c>
      <c r="S929" s="126" t="s">
        <v>510</v>
      </c>
      <c r="T929" s="7">
        <f>IF(S929="G",N929,IF(S929="PT",0,ERR))</f>
        <v>0</v>
      </c>
      <c r="U929" s="7">
        <f>IF(S929="PT",N929,IF(S929="G",0,ERR))</f>
        <v>0</v>
      </c>
      <c r="V929" s="124"/>
      <c r="W929" s="7">
        <f>HLOOKUP($W$9,'ROR-Model'!$Q$10:$U$1273,Y929)</f>
        <v>0</v>
      </c>
      <c r="X929" s="139"/>
      <c r="Y929" s="3">
        <f t="shared" si="56"/>
        <v>920</v>
      </c>
      <c r="AA929" s="7">
        <v>0</v>
      </c>
      <c r="AC929" s="7" t="str">
        <f t="shared" si="57"/>
        <v/>
      </c>
      <c r="AE929" s="42" t="str">
        <f t="shared" si="58"/>
        <v/>
      </c>
      <c r="AG929" s="162">
        <v>408</v>
      </c>
      <c r="AH929" s="10" t="s">
        <v>548</v>
      </c>
      <c r="AI929" s="10"/>
      <c r="AJ929" s="10"/>
    </row>
    <row r="930" spans="1:36">
      <c r="A930" s="136"/>
      <c r="B930" s="47"/>
      <c r="C930" s="47" t="s">
        <v>399</v>
      </c>
      <c r="D930" s="47"/>
      <c r="E930" s="7">
        <f>+G930-Adjustments!G930</f>
        <v>0</v>
      </c>
      <c r="F930" s="7">
        <f>EXPENSES!F405</f>
        <v>0</v>
      </c>
      <c r="G930" s="7">
        <f>+Adjustments!V917</f>
        <v>0</v>
      </c>
      <c r="H930" s="7"/>
      <c r="I930" s="7">
        <f>SUM($F$930:$H$930)</f>
        <v>0</v>
      </c>
      <c r="J930" s="7">
        <f>+I930-'ROR-Model'!I930</f>
        <v>0</v>
      </c>
      <c r="K930" s="7"/>
      <c r="L930" s="7" t="s">
        <v>637</v>
      </c>
      <c r="M930" s="7">
        <f>VLOOKUP($L930,$L$2:$N$7,2,FALSE)*I930</f>
        <v>0</v>
      </c>
      <c r="N930" s="7">
        <f>VLOOKUP($L930,$L$2:$N$7,3,FALSE)*I930</f>
        <v>0</v>
      </c>
      <c r="O930" s="120"/>
      <c r="P930" s="192" t="s">
        <v>510</v>
      </c>
      <c r="Q930" s="7">
        <f>IF(P930="G",M930,IF(P930="PT",0,ERR))</f>
        <v>0</v>
      </c>
      <c r="R930" s="7">
        <f>IF(P930="PT",M930,IF(P930="G",0,ERR))</f>
        <v>0</v>
      </c>
      <c r="S930" s="126" t="s">
        <v>510</v>
      </c>
      <c r="T930" s="7">
        <f>IF(S930="G",N930,IF(S930="PT",0,ERR))</f>
        <v>0</v>
      </c>
      <c r="U930" s="7">
        <f>IF(S930="PT",N930,IF(S930="G",0,ERR))</f>
        <v>0</v>
      </c>
      <c r="V930" s="124"/>
      <c r="W930" s="7">
        <f>HLOOKUP($W$9,'ROR-Model'!$Q$10:$U$1273,Y930)</f>
        <v>0</v>
      </c>
      <c r="X930" s="139"/>
      <c r="Y930" s="3">
        <f t="shared" si="56"/>
        <v>921</v>
      </c>
      <c r="AA930" s="7">
        <v>0</v>
      </c>
      <c r="AC930" s="7" t="str">
        <f t="shared" si="57"/>
        <v/>
      </c>
      <c r="AE930" s="42" t="str">
        <f t="shared" si="58"/>
        <v/>
      </c>
      <c r="AG930" s="162"/>
      <c r="AH930" s="10"/>
      <c r="AI930" s="10" t="s">
        <v>399</v>
      </c>
      <c r="AJ930" s="10"/>
    </row>
    <row r="931" spans="1:36">
      <c r="A931" s="136"/>
      <c r="B931" s="47"/>
      <c r="C931" s="47" t="s">
        <v>542</v>
      </c>
      <c r="D931" s="47"/>
      <c r="E931" s="7">
        <f>+G931-Adjustments!G931</f>
        <v>0</v>
      </c>
      <c r="F931" s="7">
        <f>EXPENSES!F406</f>
        <v>1220129.75</v>
      </c>
      <c r="G931" s="7">
        <f>+Adjustments!V918</f>
        <v>0</v>
      </c>
      <c r="H931" s="7"/>
      <c r="I931" s="7">
        <f>SUM($F$931:$H$931)</f>
        <v>1220129.75</v>
      </c>
      <c r="J931" s="7">
        <f>+I931-'ROR-Model'!I931</f>
        <v>0</v>
      </c>
      <c r="K931" s="7"/>
      <c r="L931" s="7" t="s">
        <v>23</v>
      </c>
      <c r="M931" s="7">
        <f>VLOOKUP($L931,$L$2:$N$7,2,FALSE)*I931</f>
        <v>0</v>
      </c>
      <c r="N931" s="7">
        <f>VLOOKUP($L931,$L$2:$N$7,3,FALSE)*I931</f>
        <v>1220129.75</v>
      </c>
      <c r="O931" s="120"/>
      <c r="P931" s="192" t="s">
        <v>510</v>
      </c>
      <c r="Q931" s="7">
        <f>IF(P931="G",M931,IF(P931="PT",0,ERR))</f>
        <v>0</v>
      </c>
      <c r="R931" s="7">
        <f>IF(P931="PT",M931,IF(P931="G",0,ERR))</f>
        <v>0</v>
      </c>
      <c r="S931" s="126" t="s">
        <v>510</v>
      </c>
      <c r="T931" s="7">
        <f>IF(S931="G",N931,IF(S931="PT",0,ERR))</f>
        <v>1220129.75</v>
      </c>
      <c r="U931" s="7">
        <f>IF(S931="PT",N931,IF(S931="G",0,ERR))</f>
        <v>0</v>
      </c>
      <c r="V931" s="124"/>
      <c r="W931" s="7">
        <f>HLOOKUP($W$9,'ROR-Model'!$Q$10:$U$1273,Y931)</f>
        <v>0</v>
      </c>
      <c r="X931" s="139"/>
      <c r="Y931" s="3">
        <f t="shared" si="56"/>
        <v>922</v>
      </c>
      <c r="AA931" s="7">
        <v>0</v>
      </c>
      <c r="AC931" s="7" t="str">
        <f t="shared" si="57"/>
        <v/>
      </c>
      <c r="AE931" s="42" t="str">
        <f t="shared" si="58"/>
        <v/>
      </c>
      <c r="AG931" s="162"/>
      <c r="AH931" s="10"/>
      <c r="AI931" s="10" t="s">
        <v>542</v>
      </c>
      <c r="AJ931" s="10"/>
    </row>
    <row r="932" spans="1:36">
      <c r="A932" s="136"/>
      <c r="B932" s="47"/>
      <c r="C932" s="47" t="s">
        <v>543</v>
      </c>
      <c r="D932" s="47"/>
      <c r="E932" s="7">
        <f>+G932-Adjustments!G932</f>
        <v>0</v>
      </c>
      <c r="F932" s="7">
        <f>EXPENSES!F407</f>
        <v>24243239.060000002</v>
      </c>
      <c r="G932" s="7">
        <f>+Adjustments!V919</f>
        <v>0</v>
      </c>
      <c r="H932" s="7"/>
      <c r="I932" s="7">
        <f>SUM($F$932:$H$932)</f>
        <v>24243239.060000002</v>
      </c>
      <c r="J932" s="7">
        <f>+I932-'ROR-Model'!I932</f>
        <v>0</v>
      </c>
      <c r="K932" s="7"/>
      <c r="L932" s="7" t="s">
        <v>12</v>
      </c>
      <c r="M932" s="7">
        <f>VLOOKUP($L932,$L$2:$N$7,2,FALSE)*I932</f>
        <v>24243239.060000002</v>
      </c>
      <c r="N932" s="7">
        <f>VLOOKUP($L932,$L$2:$N$7,3,FALSE)*I932</f>
        <v>0</v>
      </c>
      <c r="O932" s="120"/>
      <c r="P932" s="192" t="s">
        <v>510</v>
      </c>
      <c r="Q932" s="7">
        <f>IF(P932="G",M932,IF(P932="PT",0,ERR))</f>
        <v>24243239.060000002</v>
      </c>
      <c r="R932" s="7">
        <f>IF(P932="PT",M932,IF(P932="G",0,ERR))</f>
        <v>0</v>
      </c>
      <c r="S932" s="126" t="s">
        <v>510</v>
      </c>
      <c r="T932" s="7">
        <f>IF(S932="G",N932,IF(S932="PT",0,ERR))</f>
        <v>0</v>
      </c>
      <c r="U932" s="7">
        <f>IF(S932="PT",N932,IF(S932="G",0,ERR))</f>
        <v>0</v>
      </c>
      <c r="V932" s="124"/>
      <c r="W932" s="7">
        <f>HLOOKUP($W$9,'ROR-Model'!$Q$10:$U$1273,Y932)</f>
        <v>24243239.060000002</v>
      </c>
      <c r="X932" s="139"/>
      <c r="Y932" s="3">
        <f t="shared" si="56"/>
        <v>923</v>
      </c>
      <c r="AA932" s="7">
        <v>23471163.93</v>
      </c>
      <c r="AC932" s="7">
        <f t="shared" si="57"/>
        <v>772075.13000000268</v>
      </c>
      <c r="AE932" s="42">
        <f t="shared" si="58"/>
        <v>3.2894624753277105E-2</v>
      </c>
      <c r="AG932" s="162"/>
      <c r="AH932" s="10"/>
      <c r="AI932" s="10" t="s">
        <v>543</v>
      </c>
      <c r="AJ932" s="10"/>
    </row>
    <row r="933" spans="1:36">
      <c r="A933" s="136"/>
      <c r="B933" s="47"/>
      <c r="C933" s="47" t="s">
        <v>544</v>
      </c>
      <c r="D933" s="47"/>
      <c r="E933" s="7">
        <f>+G933-Adjustments!G933</f>
        <v>-150900.48175547289</v>
      </c>
      <c r="F933" s="7">
        <f>EXPENSES!F408</f>
        <v>1255099.78</v>
      </c>
      <c r="G933" s="7">
        <f>+Adjustments!V920</f>
        <v>0</v>
      </c>
      <c r="H933" s="7"/>
      <c r="I933" s="7">
        <f>SUM($F$933:$H$933)</f>
        <v>1255099.78</v>
      </c>
      <c r="J933" s="7">
        <f>+I933-'ROR-Model'!I933</f>
        <v>0</v>
      </c>
      <c r="K933" s="7"/>
      <c r="L933" s="7" t="s">
        <v>429</v>
      </c>
      <c r="M933" s="7">
        <f>VLOOKUP($L933,$L$2:$N$7,2,FALSE)*I933</f>
        <v>1217157.3156599733</v>
      </c>
      <c r="N933" s="7">
        <f>VLOOKUP($L933,$L$2:$N$7,3,FALSE)*I933</f>
        <v>37942.464340026781</v>
      </c>
      <c r="O933" s="120"/>
      <c r="P933" s="192" t="s">
        <v>510</v>
      </c>
      <c r="Q933" s="7">
        <f>IF(P933="G",M933,IF(P933="PT",0,ERR))</f>
        <v>1217157.3156599733</v>
      </c>
      <c r="R933" s="7">
        <f>IF(P933="PT",M933,IF(P933="G",0,ERR))</f>
        <v>0</v>
      </c>
      <c r="S933" s="126" t="s">
        <v>510</v>
      </c>
      <c r="T933" s="7">
        <f>IF(S933="G",N933,IF(S933="PT",0,ERR))</f>
        <v>37942.464340026781</v>
      </c>
      <c r="U933" s="7">
        <f>IF(S933="PT",N933,IF(S933="G",0,ERR))</f>
        <v>0</v>
      </c>
      <c r="V933" s="124"/>
      <c r="W933" s="7">
        <f>HLOOKUP($W$9,'ROR-Model'!$Q$10:$U$1273,Y933)</f>
        <v>1217157.3156599733</v>
      </c>
      <c r="X933" s="139"/>
      <c r="Y933" s="3">
        <f t="shared" si="56"/>
        <v>924</v>
      </c>
      <c r="AA933" s="7">
        <v>-287352.52616940817</v>
      </c>
      <c r="AC933" s="7">
        <f t="shared" si="57"/>
        <v>1504509.8418293814</v>
      </c>
      <c r="AE933" s="42">
        <f t="shared" si="58"/>
        <v>-5.2357634084010121</v>
      </c>
      <c r="AG933" s="162"/>
      <c r="AH933" s="10"/>
      <c r="AI933" s="10" t="s">
        <v>544</v>
      </c>
      <c r="AJ933" s="10"/>
    </row>
    <row r="934" spans="1:36">
      <c r="A934" s="136"/>
      <c r="B934" s="47"/>
      <c r="C934" s="47" t="s">
        <v>549</v>
      </c>
      <c r="D934" s="47"/>
      <c r="E934" s="140">
        <f>+G934-Adjustments!G934</f>
        <v>0</v>
      </c>
      <c r="F934" s="140">
        <f>SUM(F930:F933)</f>
        <v>26718468.590000004</v>
      </c>
      <c r="G934" s="140">
        <f>SUM(G930:G933)</f>
        <v>0</v>
      </c>
      <c r="H934" s="140">
        <f>SUM(H930:H933)</f>
        <v>0</v>
      </c>
      <c r="I934" s="140">
        <f>SUM(I930:I933)</f>
        <v>26718468.590000004</v>
      </c>
      <c r="J934" s="7">
        <f>+I934-'ROR-Model'!I934</f>
        <v>0</v>
      </c>
      <c r="K934" s="7"/>
      <c r="L934" s="140"/>
      <c r="M934" s="140">
        <f>SUM(M930:M933)</f>
        <v>25460396.375659976</v>
      </c>
      <c r="N934" s="140">
        <f>SUM(N930:N933)</f>
        <v>1258072.2143400267</v>
      </c>
      <c r="O934" s="120"/>
      <c r="P934" s="201"/>
      <c r="Q934" s="140">
        <f>SUM(Q930:Q933)</f>
        <v>25460396.375659976</v>
      </c>
      <c r="R934" s="140">
        <f>SUM(R930:R933)</f>
        <v>0</v>
      </c>
      <c r="S934" s="201"/>
      <c r="T934" s="140">
        <f>SUM(T930:T933)</f>
        <v>1258072.2143400267</v>
      </c>
      <c r="U934" s="140">
        <f>SUM(U930:U933)</f>
        <v>0</v>
      </c>
      <c r="V934" s="124"/>
      <c r="W934" s="140">
        <f>HLOOKUP($W$9,'ROR-Model'!$Q$10:$U$1273,Y934)</f>
        <v>25460396.375659976</v>
      </c>
      <c r="X934" s="139"/>
      <c r="Y934" s="3">
        <f t="shared" si="56"/>
        <v>925</v>
      </c>
      <c r="AA934" s="140">
        <v>23183811.403830592</v>
      </c>
      <c r="AC934" s="140">
        <f t="shared" si="57"/>
        <v>2276584.9718293846</v>
      </c>
      <c r="AE934" s="42">
        <f t="shared" si="58"/>
        <v>9.8197183033210456E-2</v>
      </c>
      <c r="AG934" s="162"/>
      <c r="AH934" s="10"/>
      <c r="AI934" s="10" t="s">
        <v>549</v>
      </c>
      <c r="AJ934" s="10"/>
    </row>
    <row r="935" spans="1:36">
      <c r="A935" s="136"/>
      <c r="B935" s="47"/>
      <c r="C935" s="47"/>
      <c r="D935" s="47"/>
      <c r="E935" s="7">
        <f>+G935-Adjustments!G935</f>
        <v>0</v>
      </c>
      <c r="F935" s="7"/>
      <c r="G935" s="7"/>
      <c r="H935" s="7"/>
      <c r="I935" s="7"/>
      <c r="J935" s="7">
        <f>+I935-'ROR-Model'!I935</f>
        <v>0</v>
      </c>
      <c r="K935" s="7"/>
      <c r="L935" s="7"/>
      <c r="M935" s="7"/>
      <c r="N935" s="7"/>
      <c r="O935" s="120"/>
      <c r="P935" s="126"/>
      <c r="Q935" s="7"/>
      <c r="R935" s="7"/>
      <c r="S935" s="126"/>
      <c r="T935" s="7"/>
      <c r="U935" s="7"/>
      <c r="V935" s="124"/>
      <c r="W935" s="7"/>
      <c r="X935" s="139"/>
      <c r="Y935" s="3">
        <f t="shared" si="56"/>
        <v>926</v>
      </c>
      <c r="AA935" s="7"/>
      <c r="AC935" s="7" t="str">
        <f t="shared" si="57"/>
        <v/>
      </c>
      <c r="AE935" s="42" t="str">
        <f t="shared" si="58"/>
        <v/>
      </c>
      <c r="AG935" s="162"/>
      <c r="AH935" s="10"/>
      <c r="AI935" s="10"/>
      <c r="AJ935" s="10"/>
    </row>
    <row r="936" spans="1:36">
      <c r="A936" s="137">
        <v>4090</v>
      </c>
      <c r="B936" s="47" t="s">
        <v>551</v>
      </c>
      <c r="C936" s="47"/>
      <c r="D936" s="47"/>
      <c r="E936" s="7">
        <f>+G936-Adjustments!G936</f>
        <v>-1941116.1887180505</v>
      </c>
      <c r="F936" s="7">
        <f>EXPENSES!F411</f>
        <v>-49778191.43999999</v>
      </c>
      <c r="G936" s="7">
        <f>+Adjustments!V923</f>
        <v>-1790215.7069625775</v>
      </c>
      <c r="H936" s="7">
        <f>Taxes!C39</f>
        <v>5679930.2182409316</v>
      </c>
      <c r="I936" s="7">
        <f>SUM($F$936:$H$936)</f>
        <v>-45888476.928721637</v>
      </c>
      <c r="J936" s="7">
        <f>+I936-'ROR-Model'!I936</f>
        <v>0</v>
      </c>
      <c r="K936" s="7"/>
      <c r="L936" s="7"/>
      <c r="M936" s="7">
        <f>Taxes!D35</f>
        <v>39723816.367047831</v>
      </c>
      <c r="N936" s="7">
        <f>Taxes!E35</f>
        <v>-39345720.723170802</v>
      </c>
      <c r="O936" s="120"/>
      <c r="P936" s="192" t="s">
        <v>510</v>
      </c>
      <c r="Q936" s="29">
        <f>IF(P936="G",M936,IF(P936="PT",0,ERR))</f>
        <v>39723816.367047831</v>
      </c>
      <c r="R936" s="7">
        <f>((R512)-(R640+R905+R926+R934-R938))*Taxes!$L$23</f>
        <v>2.9389394773977996E-8</v>
      </c>
      <c r="S936" s="126" t="s">
        <v>510</v>
      </c>
      <c r="T936" s="29">
        <f>IF(S936="G",N936,IF(N936="PT",0,ERR))</f>
        <v>-39345720.723170802</v>
      </c>
      <c r="U936" s="7">
        <f>((U512)-(U640+U905+U926+U934-U938))*Taxes!$L$23</f>
        <v>28736.087582070406</v>
      </c>
      <c r="V936" s="124"/>
      <c r="W936" s="7">
        <f>HLOOKUP($W$9,'ROR-Model'!$Q$10:$U$1273,Y936)</f>
        <v>39723816.367047831</v>
      </c>
      <c r="X936" s="139"/>
      <c r="Y936" s="3">
        <f t="shared" si="56"/>
        <v>927</v>
      </c>
      <c r="AA936" s="7">
        <v>24259827.548772767</v>
      </c>
      <c r="AC936" s="7">
        <f t="shared" si="57"/>
        <v>15463988.818275064</v>
      </c>
      <c r="AE936" s="42">
        <f t="shared" si="58"/>
        <v>0.63743193504511708</v>
      </c>
      <c r="AG936" s="162">
        <v>4090</v>
      </c>
      <c r="AH936" s="10" t="s">
        <v>551</v>
      </c>
      <c r="AI936" s="10"/>
      <c r="AJ936" s="10"/>
    </row>
    <row r="937" spans="1:36">
      <c r="A937" s="137"/>
      <c r="B937" s="47"/>
      <c r="C937" s="47"/>
      <c r="D937" s="47"/>
      <c r="E937" s="7">
        <f>+G937-Adjustments!G937</f>
        <v>0</v>
      </c>
      <c r="F937" s="7"/>
      <c r="G937" s="7"/>
      <c r="H937" s="7"/>
      <c r="I937" s="7"/>
      <c r="J937" s="7">
        <f>+I937-'ROR-Model'!I937</f>
        <v>0</v>
      </c>
      <c r="K937" s="7"/>
      <c r="L937" s="7"/>
      <c r="M937" s="29"/>
      <c r="N937" s="29"/>
      <c r="O937" s="120"/>
      <c r="P937" s="126"/>
      <c r="Q937" s="7"/>
      <c r="R937" s="7"/>
      <c r="S937" s="126"/>
      <c r="T937" s="7"/>
      <c r="U937" s="7"/>
      <c r="V937" s="124"/>
      <c r="W937" s="7"/>
      <c r="X937" s="139"/>
      <c r="Y937" s="3">
        <f t="shared" si="56"/>
        <v>928</v>
      </c>
      <c r="AA937" s="7"/>
      <c r="AC937" s="7" t="str">
        <f t="shared" si="57"/>
        <v/>
      </c>
      <c r="AE937" s="42" t="str">
        <f t="shared" si="58"/>
        <v/>
      </c>
      <c r="AG937" s="162"/>
      <c r="AH937" s="10"/>
      <c r="AI937" s="10"/>
      <c r="AJ937" s="10"/>
    </row>
    <row r="938" spans="1:36">
      <c r="A938" s="137">
        <v>4091</v>
      </c>
      <c r="B938" s="47" t="s">
        <v>552</v>
      </c>
      <c r="C938" s="47"/>
      <c r="D938" s="47"/>
      <c r="E938" s="7">
        <f>+G938-Adjustments!G938</f>
        <v>0</v>
      </c>
      <c r="F938" s="7">
        <f>EXPENSES!F413</f>
        <v>-11201269.889999997</v>
      </c>
      <c r="G938" s="7">
        <f>+Adjustments!V925</f>
        <v>0</v>
      </c>
      <c r="H938" s="7"/>
      <c r="I938" s="7">
        <f>SUM($F$938:$H$938)</f>
        <v>-11201269.889999997</v>
      </c>
      <c r="J938" s="7">
        <f>+I938-'ROR-Model'!I938</f>
        <v>0</v>
      </c>
      <c r="K938" s="7"/>
      <c r="L938" s="7"/>
      <c r="M938" s="7"/>
      <c r="N938" s="29"/>
      <c r="O938" s="120"/>
      <c r="P938" s="192" t="s">
        <v>510</v>
      </c>
      <c r="Q938" s="7">
        <f>IF(P938="G",M938,IF(P938="PT",0,ERR))</f>
        <v>0</v>
      </c>
      <c r="R938" s="7">
        <f>IF(P938="PT",M938,IF(P938="G",0,ERR))</f>
        <v>0</v>
      </c>
      <c r="S938" s="126" t="s">
        <v>510</v>
      </c>
      <c r="T938" s="7">
        <f>IF(S938="G",N938,IF(S938="PT",0,ERR))</f>
        <v>0</v>
      </c>
      <c r="U938" s="7">
        <f>IF(S938="PT",N938,IF(S938="G",0,ERR))</f>
        <v>0</v>
      </c>
      <c r="V938" s="124"/>
      <c r="W938" s="7">
        <f>HLOOKUP($W$9,'ROR-Model'!$Q$10:$U$1273,Y938)</f>
        <v>0</v>
      </c>
      <c r="X938" s="139"/>
      <c r="Y938" s="3">
        <f t="shared" si="56"/>
        <v>929</v>
      </c>
      <c r="AA938" s="7">
        <v>0</v>
      </c>
      <c r="AC938" s="7" t="str">
        <f t="shared" si="57"/>
        <v/>
      </c>
      <c r="AE938" s="42" t="str">
        <f t="shared" si="58"/>
        <v/>
      </c>
      <c r="AG938" s="162">
        <v>4091</v>
      </c>
      <c r="AH938" s="10" t="s">
        <v>552</v>
      </c>
      <c r="AI938" s="10"/>
      <c r="AJ938" s="10"/>
    </row>
    <row r="939" spans="1:36">
      <c r="A939" s="137"/>
      <c r="B939" s="47"/>
      <c r="C939" s="47"/>
      <c r="D939" s="47"/>
      <c r="E939" s="7">
        <f>+G939-Adjustments!G939</f>
        <v>26692958.048244525</v>
      </c>
      <c r="F939" s="7"/>
      <c r="G939" s="7"/>
      <c r="H939" s="7"/>
      <c r="I939" s="7"/>
      <c r="J939" s="7">
        <f>+I939-'ROR-Model'!I939</f>
        <v>0</v>
      </c>
      <c r="K939" s="7"/>
      <c r="L939" s="7"/>
      <c r="M939" s="7"/>
      <c r="N939" s="7"/>
      <c r="O939" s="120"/>
      <c r="P939" s="126"/>
      <c r="Q939" s="7"/>
      <c r="R939" s="7"/>
      <c r="S939" s="126"/>
      <c r="T939" s="7"/>
      <c r="U939" s="7"/>
      <c r="V939" s="124"/>
      <c r="W939" s="7"/>
      <c r="X939" s="139"/>
      <c r="Y939" s="3">
        <f t="shared" si="56"/>
        <v>930</v>
      </c>
      <c r="AA939" s="7"/>
      <c r="AC939" s="7" t="str">
        <f t="shared" si="57"/>
        <v/>
      </c>
      <c r="AE939" s="42" t="str">
        <f t="shared" si="58"/>
        <v/>
      </c>
      <c r="AG939" s="162"/>
      <c r="AH939" s="10"/>
      <c r="AI939" s="10"/>
      <c r="AJ939" s="10"/>
    </row>
    <row r="940" spans="1:36">
      <c r="A940" s="137">
        <v>4101</v>
      </c>
      <c r="B940" s="47" t="s">
        <v>553</v>
      </c>
      <c r="C940" s="47"/>
      <c r="D940" s="47"/>
      <c r="E940" s="7">
        <f>+G940-Adjustments!G940</f>
        <v>0</v>
      </c>
      <c r="F940" s="7">
        <f>EXPENSES!F415</f>
        <v>81953891.75</v>
      </c>
      <c r="G940" s="7">
        <f>+Adjustments!V927</f>
        <v>0</v>
      </c>
      <c r="H940" s="7"/>
      <c r="I940" s="7">
        <f>SUM($F$940:$H$940)</f>
        <v>81953891.75</v>
      </c>
      <c r="J940" s="7">
        <f>+I940-'ROR-Model'!I940</f>
        <v>0</v>
      </c>
      <c r="K940" s="7"/>
      <c r="L940" s="7"/>
      <c r="M940" s="7"/>
      <c r="N940" s="7"/>
      <c r="O940" s="120"/>
      <c r="P940" s="192" t="s">
        <v>510</v>
      </c>
      <c r="Q940" s="7">
        <f>IF(P940="G",M940,IF(P940="PT",0,ERR))</f>
        <v>0</v>
      </c>
      <c r="R940" s="7">
        <f>IF(P940="PT",M940,IF(P940="G",0,ERR))</f>
        <v>0</v>
      </c>
      <c r="S940" s="126" t="s">
        <v>510</v>
      </c>
      <c r="T940" s="7">
        <f>IF(S940="G",N940,IF(S940="PT",0,ERR))</f>
        <v>0</v>
      </c>
      <c r="U940" s="7">
        <f>IF(S940="PT",N940,IF(S940="G",0,ERR))</f>
        <v>0</v>
      </c>
      <c r="V940" s="124"/>
      <c r="W940" s="7">
        <f>HLOOKUP($W$9,'ROR-Model'!$Q$10:$U$1273,Y940)</f>
        <v>0</v>
      </c>
      <c r="X940" s="139"/>
      <c r="Y940" s="3">
        <f t="shared" si="56"/>
        <v>931</v>
      </c>
      <c r="AA940" s="7">
        <v>0</v>
      </c>
      <c r="AC940" s="7" t="str">
        <f t="shared" si="57"/>
        <v/>
      </c>
      <c r="AE940" s="42" t="str">
        <f t="shared" si="58"/>
        <v/>
      </c>
      <c r="AG940" s="162">
        <v>4101</v>
      </c>
      <c r="AH940" s="10" t="s">
        <v>553</v>
      </c>
      <c r="AI940" s="10"/>
      <c r="AJ940" s="10"/>
    </row>
    <row r="941" spans="1:36">
      <c r="A941" s="137"/>
      <c r="B941" s="47"/>
      <c r="C941" s="47"/>
      <c r="D941" s="47"/>
      <c r="E941" s="7">
        <f>+G941-Adjustments!G941</f>
        <v>0</v>
      </c>
      <c r="F941" s="7"/>
      <c r="G941" s="7"/>
      <c r="H941" s="7"/>
      <c r="I941" s="7"/>
      <c r="J941" s="7">
        <f>+I941-'ROR-Model'!I941</f>
        <v>0</v>
      </c>
      <c r="K941" s="7"/>
      <c r="L941" s="7"/>
      <c r="M941" s="7"/>
      <c r="N941" s="7"/>
      <c r="O941" s="120"/>
      <c r="P941" s="126"/>
      <c r="Q941" s="7"/>
      <c r="R941" s="7"/>
      <c r="S941" s="126"/>
      <c r="T941" s="7"/>
      <c r="U941" s="7"/>
      <c r="V941" s="124"/>
      <c r="W941" s="7"/>
      <c r="X941" s="139"/>
      <c r="Y941" s="3">
        <f t="shared" si="56"/>
        <v>932</v>
      </c>
      <c r="AA941" s="7"/>
      <c r="AC941" s="7" t="str">
        <f t="shared" si="57"/>
        <v/>
      </c>
      <c r="AE941" s="42" t="str">
        <f t="shared" si="58"/>
        <v/>
      </c>
      <c r="AG941" s="162"/>
      <c r="AH941" s="10"/>
      <c r="AI941" s="10"/>
      <c r="AJ941" s="10"/>
    </row>
    <row r="942" spans="1:36">
      <c r="A942" s="137">
        <v>4111</v>
      </c>
      <c r="B942" s="47" t="s">
        <v>554</v>
      </c>
      <c r="C942" s="47"/>
      <c r="D942" s="47"/>
      <c r="E942" s="7">
        <f>+G942-Adjustments!G942</f>
        <v>0</v>
      </c>
      <c r="F942" s="7">
        <f>EXPENSES!F417</f>
        <v>15614362.33</v>
      </c>
      <c r="G942" s="7">
        <f>+Adjustments!V929</f>
        <v>0</v>
      </c>
      <c r="H942" s="7"/>
      <c r="I942" s="7">
        <f>SUM($F$942:$H$942)</f>
        <v>15614362.33</v>
      </c>
      <c r="J942" s="7">
        <f>+I942-'ROR-Model'!I942</f>
        <v>0</v>
      </c>
      <c r="K942" s="7"/>
      <c r="L942" s="7"/>
      <c r="M942" s="7"/>
      <c r="N942" s="7"/>
      <c r="O942" s="120"/>
      <c r="P942" s="192" t="s">
        <v>510</v>
      </c>
      <c r="Q942" s="7">
        <f>IF(P942="G",M942,IF(P942="PT",0,ERR))</f>
        <v>0</v>
      </c>
      <c r="R942" s="7">
        <f>IF(P942="PT",M942,IF(P942="G",0,ERR))</f>
        <v>0</v>
      </c>
      <c r="S942" s="126" t="s">
        <v>510</v>
      </c>
      <c r="T942" s="7">
        <f>IF(S942="G",N942,IF(S942="PT",0,ERR))</f>
        <v>0</v>
      </c>
      <c r="U942" s="7">
        <f>IF(S942="PT",N942,IF(S942="G",0,ERR))</f>
        <v>0</v>
      </c>
      <c r="V942" s="124"/>
      <c r="W942" s="7">
        <f>HLOOKUP($W$9,'ROR-Model'!$Q$10:$U$1273,Y942)</f>
        <v>0</v>
      </c>
      <c r="X942" s="139"/>
      <c r="Y942" s="3">
        <f t="shared" si="56"/>
        <v>933</v>
      </c>
      <c r="AA942" s="7">
        <v>0</v>
      </c>
      <c r="AC942" s="7" t="str">
        <f t="shared" si="57"/>
        <v/>
      </c>
      <c r="AE942" s="42" t="str">
        <f t="shared" si="58"/>
        <v/>
      </c>
      <c r="AG942" s="162">
        <v>4111</v>
      </c>
      <c r="AH942" s="10" t="s">
        <v>554</v>
      </c>
      <c r="AI942" s="10"/>
      <c r="AJ942" s="10"/>
    </row>
    <row r="943" spans="1:36">
      <c r="A943" s="137"/>
      <c r="B943" s="47"/>
      <c r="C943" s="47"/>
      <c r="D943" s="47"/>
      <c r="E943" s="7">
        <f>+G943-Adjustments!G943</f>
        <v>0</v>
      </c>
      <c r="F943" s="7"/>
      <c r="G943" s="7"/>
      <c r="H943" s="7"/>
      <c r="I943" s="7"/>
      <c r="J943" s="7">
        <f>+I943-'ROR-Model'!I943</f>
        <v>0</v>
      </c>
      <c r="K943" s="7"/>
      <c r="L943" s="7"/>
      <c r="M943" s="7"/>
      <c r="N943" s="7"/>
      <c r="O943" s="120"/>
      <c r="P943" s="126"/>
      <c r="Q943" s="7"/>
      <c r="R943" s="7"/>
      <c r="S943" s="126"/>
      <c r="T943" s="7"/>
      <c r="U943" s="7"/>
      <c r="V943" s="124"/>
      <c r="W943" s="7"/>
      <c r="X943" s="139"/>
      <c r="Y943" s="3">
        <f t="shared" si="56"/>
        <v>934</v>
      </c>
      <c r="AA943" s="7"/>
      <c r="AC943" s="7" t="str">
        <f t="shared" si="57"/>
        <v/>
      </c>
      <c r="AE943" s="42" t="str">
        <f t="shared" si="58"/>
        <v/>
      </c>
      <c r="AG943" s="162"/>
      <c r="AH943" s="10"/>
      <c r="AI943" s="10"/>
      <c r="AJ943" s="10"/>
    </row>
    <row r="944" spans="1:36">
      <c r="A944" s="137">
        <v>4114</v>
      </c>
      <c r="B944" s="47" t="s">
        <v>555</v>
      </c>
      <c r="C944" s="47"/>
      <c r="D944" s="47"/>
      <c r="E944" s="7">
        <f>+G944-Adjustments!G944</f>
        <v>0</v>
      </c>
      <c r="F944" s="7">
        <f>EXPENSES!F419</f>
        <v>0</v>
      </c>
      <c r="G944" s="7">
        <f>+Adjustments!V931</f>
        <v>0</v>
      </c>
      <c r="H944" s="7"/>
      <c r="I944" s="7">
        <f>SUM($F$944:$H$944)</f>
        <v>0</v>
      </c>
      <c r="J944" s="7">
        <f>+I944-'ROR-Model'!I944</f>
        <v>0</v>
      </c>
      <c r="K944" s="7"/>
      <c r="L944" s="7"/>
      <c r="M944" s="7"/>
      <c r="N944" s="7"/>
      <c r="O944" s="120"/>
      <c r="P944" s="192" t="s">
        <v>510</v>
      </c>
      <c r="Q944" s="7">
        <f>IF(P944="G",M944,IF(P944="PT",0,ERR))</f>
        <v>0</v>
      </c>
      <c r="R944" s="7">
        <f>IF(P944="PT",M944,IF(P944="G",0,ERR))</f>
        <v>0</v>
      </c>
      <c r="S944" s="126" t="s">
        <v>510</v>
      </c>
      <c r="T944" s="7">
        <f>IF(S944="G",N944,IF(S944="PT",0,ERR))</f>
        <v>0</v>
      </c>
      <c r="U944" s="7">
        <f>IF(S944="PT",N944,IF(S944="G",0,ERR))</f>
        <v>0</v>
      </c>
      <c r="V944" s="124"/>
      <c r="W944" s="7">
        <f>HLOOKUP($W$9,'ROR-Model'!$Q$10:$U$1273,Y944)</f>
        <v>0</v>
      </c>
      <c r="X944" s="139"/>
      <c r="Y944" s="3">
        <f t="shared" si="56"/>
        <v>935</v>
      </c>
      <c r="AA944" s="7">
        <v>0</v>
      </c>
      <c r="AC944" s="7" t="str">
        <f t="shared" si="57"/>
        <v/>
      </c>
      <c r="AE944" s="42" t="str">
        <f t="shared" si="58"/>
        <v/>
      </c>
      <c r="AG944" s="162">
        <v>4114</v>
      </c>
      <c r="AH944" s="10" t="s">
        <v>555</v>
      </c>
      <c r="AI944" s="10"/>
      <c r="AJ944" s="10"/>
    </row>
    <row r="945" spans="1:36">
      <c r="A945" s="137"/>
      <c r="B945" s="47"/>
      <c r="C945" s="47"/>
      <c r="D945" s="47"/>
      <c r="E945" s="7">
        <f>+G945-Adjustments!G945</f>
        <v>0</v>
      </c>
      <c r="F945" s="7"/>
      <c r="G945" s="7"/>
      <c r="H945" s="7"/>
      <c r="I945" s="7"/>
      <c r="J945" s="7">
        <f>+I945-'ROR-Model'!I945</f>
        <v>0</v>
      </c>
      <c r="K945" s="7"/>
      <c r="L945" s="7"/>
      <c r="M945" s="7"/>
      <c r="N945" s="7"/>
      <c r="O945" s="120"/>
      <c r="P945" s="126"/>
      <c r="Q945" s="7"/>
      <c r="R945" s="7"/>
      <c r="S945" s="126"/>
      <c r="T945" s="7"/>
      <c r="U945" s="7"/>
      <c r="V945" s="124"/>
      <c r="W945" s="7"/>
      <c r="X945" s="139"/>
      <c r="Y945" s="3">
        <f t="shared" si="56"/>
        <v>936</v>
      </c>
      <c r="AA945" s="7"/>
      <c r="AC945" s="7" t="str">
        <f t="shared" si="57"/>
        <v/>
      </c>
      <c r="AE945" s="42" t="str">
        <f t="shared" si="58"/>
        <v/>
      </c>
      <c r="AG945" s="162"/>
      <c r="AH945" s="10"/>
      <c r="AI945" s="10"/>
      <c r="AJ945" s="10"/>
    </row>
    <row r="946" spans="1:36">
      <c r="A946" s="136"/>
      <c r="B946" s="47"/>
      <c r="C946" s="47"/>
      <c r="D946" s="47"/>
      <c r="E946" s="7">
        <f>+G946-Adjustments!G946</f>
        <v>0</v>
      </c>
      <c r="F946" s="7"/>
      <c r="G946" s="7"/>
      <c r="H946" s="7"/>
      <c r="I946" s="7"/>
      <c r="J946" s="7">
        <f>+I946-'ROR-Model'!I946</f>
        <v>0</v>
      </c>
      <c r="K946" s="7"/>
      <c r="L946" s="7"/>
      <c r="M946" s="7"/>
      <c r="N946" s="7"/>
      <c r="O946" s="120"/>
      <c r="P946" s="192"/>
      <c r="Q946" s="7"/>
      <c r="R946" s="7"/>
      <c r="S946" s="126"/>
      <c r="T946" s="7"/>
      <c r="U946" s="7"/>
      <c r="V946" s="124"/>
      <c r="W946" s="7"/>
      <c r="X946" s="139"/>
      <c r="Y946" s="3">
        <f t="shared" si="56"/>
        <v>937</v>
      </c>
      <c r="AA946" s="7"/>
      <c r="AC946" s="7" t="str">
        <f t="shared" si="57"/>
        <v/>
      </c>
      <c r="AE946" s="42" t="str">
        <f t="shared" si="58"/>
        <v/>
      </c>
      <c r="AG946" s="162"/>
      <c r="AH946" s="10"/>
      <c r="AI946" s="10"/>
      <c r="AJ946" s="10"/>
    </row>
    <row r="947" spans="1:36">
      <c r="A947" s="136"/>
      <c r="B947" s="47"/>
      <c r="C947" s="47"/>
      <c r="D947" s="47"/>
      <c r="E947" s="7">
        <f>+G947-Adjustments!G947</f>
        <v>0</v>
      </c>
      <c r="F947" s="7"/>
      <c r="G947" s="7"/>
      <c r="H947" s="7"/>
      <c r="I947" s="7"/>
      <c r="J947" s="7">
        <f>+I947-'ROR-Model'!I947</f>
        <v>0</v>
      </c>
      <c r="K947" s="7"/>
      <c r="L947" s="7"/>
      <c r="M947" s="7"/>
      <c r="N947" s="7"/>
      <c r="O947" s="120"/>
      <c r="P947" s="126"/>
      <c r="Q947" s="7"/>
      <c r="R947" s="7"/>
      <c r="S947" s="126"/>
      <c r="T947" s="7"/>
      <c r="U947" s="7"/>
      <c r="V947" s="124"/>
      <c r="W947" s="7"/>
      <c r="X947" s="139"/>
      <c r="Y947" s="3">
        <f t="shared" si="56"/>
        <v>938</v>
      </c>
      <c r="AA947" s="7"/>
      <c r="AC947" s="7" t="str">
        <f t="shared" si="57"/>
        <v/>
      </c>
      <c r="AE947" s="42" t="str">
        <f t="shared" si="58"/>
        <v/>
      </c>
      <c r="AG947" s="162"/>
      <c r="AH947" s="10"/>
      <c r="AI947" s="10"/>
      <c r="AJ947" s="10"/>
    </row>
    <row r="948" spans="1:36">
      <c r="A948" s="136"/>
      <c r="B948" s="47"/>
      <c r="C948" s="47"/>
      <c r="D948" s="47"/>
      <c r="E948" s="7">
        <f>+G948-Adjustments!G948</f>
        <v>0</v>
      </c>
      <c r="F948" s="7"/>
      <c r="G948" s="7"/>
      <c r="H948" s="7"/>
      <c r="I948" s="7"/>
      <c r="J948" s="7">
        <f>+I948-'ROR-Model'!I948</f>
        <v>0</v>
      </c>
      <c r="K948" s="7"/>
      <c r="L948" s="7"/>
      <c r="M948" s="7"/>
      <c r="N948" s="7"/>
      <c r="O948" s="120"/>
      <c r="P948" s="192"/>
      <c r="Q948" s="7"/>
      <c r="R948" s="7"/>
      <c r="S948" s="126"/>
      <c r="T948" s="7"/>
      <c r="U948" s="7"/>
      <c r="V948" s="124"/>
      <c r="W948" s="7"/>
      <c r="X948" s="139"/>
      <c r="Y948" s="3">
        <f t="shared" si="56"/>
        <v>939</v>
      </c>
      <c r="AA948" s="7"/>
      <c r="AC948" s="7" t="str">
        <f t="shared" si="57"/>
        <v/>
      </c>
      <c r="AE948" s="42" t="str">
        <f t="shared" si="58"/>
        <v/>
      </c>
      <c r="AG948" s="162"/>
      <c r="AH948" s="10"/>
      <c r="AI948" s="10"/>
      <c r="AJ948" s="10"/>
    </row>
    <row r="949" spans="1:36" ht="13.5" thickBot="1">
      <c r="A949" s="136"/>
      <c r="B949" s="47"/>
      <c r="C949" s="47"/>
      <c r="D949" s="47"/>
      <c r="E949" s="154">
        <f>+G949-Adjustments!G949</f>
        <v>0</v>
      </c>
      <c r="F949" s="154"/>
      <c r="G949" s="154"/>
      <c r="H949" s="154"/>
      <c r="I949" s="154"/>
      <c r="J949" s="7">
        <f>+I949-'ROR-Model'!I949</f>
        <v>0</v>
      </c>
      <c r="K949" s="7"/>
      <c r="L949" s="154"/>
      <c r="M949" s="154"/>
      <c r="N949" s="154"/>
      <c r="O949" s="120"/>
      <c r="P949" s="204"/>
      <c r="Q949" s="154"/>
      <c r="R949" s="154"/>
      <c r="S949" s="204"/>
      <c r="T949" s="154"/>
      <c r="U949" s="154"/>
      <c r="V949" s="124"/>
      <c r="W949" s="154"/>
      <c r="X949" s="139"/>
      <c r="Y949" s="3">
        <f t="shared" si="56"/>
        <v>940</v>
      </c>
      <c r="AA949" s="154"/>
      <c r="AC949" s="154" t="str">
        <f t="shared" si="57"/>
        <v/>
      </c>
      <c r="AE949" s="42" t="str">
        <f t="shared" si="58"/>
        <v/>
      </c>
      <c r="AG949" s="162"/>
      <c r="AH949" s="10"/>
      <c r="AI949" s="10"/>
      <c r="AJ949" s="10"/>
    </row>
    <row r="950" spans="1:36">
      <c r="A950" s="136"/>
      <c r="B950" s="141" t="s">
        <v>604</v>
      </c>
      <c r="C950" s="47"/>
      <c r="D950" s="47"/>
      <c r="E950" s="7">
        <f>+G950-Adjustments!G950</f>
        <v>-1790215.7069625775</v>
      </c>
      <c r="F950" s="7">
        <f>F934+F936+F938+F940+F942+F944+F946+F948</f>
        <v>63307261.340000018</v>
      </c>
      <c r="G950" s="7">
        <f>G934+G936+G938+G940+G942+G944+G946+G948</f>
        <v>-1790215.7069625775</v>
      </c>
      <c r="H950" s="7">
        <f>H934+H936+H938+H940+H942+H944+H946+H948</f>
        <v>5679930.2182409316</v>
      </c>
      <c r="I950" s="7">
        <f>I934+I936+I938+I940+I942+I944+I946+I948</f>
        <v>67196975.851278365</v>
      </c>
      <c r="J950" s="7">
        <f>+I950-'ROR-Model'!I950</f>
        <v>0</v>
      </c>
      <c r="K950" s="7"/>
      <c r="L950" s="7"/>
      <c r="M950" s="7">
        <f>M934+M936+M938+M940+M942+M944+M946+M948</f>
        <v>65184212.742707804</v>
      </c>
      <c r="N950" s="7">
        <f>N934+N936+N938+N940+N942+N944+N946+N948</f>
        <v>-38087648.508830778</v>
      </c>
      <c r="O950" s="120"/>
      <c r="P950" s="126"/>
      <c r="Q950" s="7">
        <f>Q934+Q936+Q938+Q940+Q942+Q944+Q946+Q948</f>
        <v>65184212.742707804</v>
      </c>
      <c r="R950" s="7">
        <f>R934+R936+R938+R940+R942+R944+R946+R948</f>
        <v>2.9389394773977996E-8</v>
      </c>
      <c r="S950" s="126"/>
      <c r="T950" s="7">
        <f>T934+T936+T938+T940+T942+T944+T946+T948</f>
        <v>-38087648.508830778</v>
      </c>
      <c r="U950" s="7">
        <f>U934+U936+U938+U940+U942+U944+U946+U948</f>
        <v>28736.087582070406</v>
      </c>
      <c r="V950" s="124"/>
      <c r="W950" s="7">
        <f>HLOOKUP($W$9,'ROR-Model'!$Q$10:$U$1273,Y950)</f>
        <v>65184212.742707804</v>
      </c>
      <c r="X950" s="139"/>
      <c r="Y950" s="3">
        <f t="shared" si="56"/>
        <v>941</v>
      </c>
      <c r="AA950" s="7">
        <v>47443638.952603355</v>
      </c>
      <c r="AC950" s="7">
        <f t="shared" si="57"/>
        <v>17740573.790104449</v>
      </c>
      <c r="AE950" s="42">
        <f t="shared" si="58"/>
        <v>0.37392944937945105</v>
      </c>
      <c r="AG950" s="162"/>
      <c r="AH950" t="s">
        <v>604</v>
      </c>
      <c r="AI950" s="10"/>
      <c r="AJ950" s="10"/>
    </row>
    <row r="951" spans="1:36" ht="13.5" thickBot="1">
      <c r="A951" s="136"/>
      <c r="B951" s="47"/>
      <c r="C951" s="47"/>
      <c r="D951" s="47"/>
      <c r="E951" s="24">
        <f>+G951-Adjustments!G951</f>
        <v>0</v>
      </c>
      <c r="F951" s="24"/>
      <c r="G951" s="24"/>
      <c r="H951" s="24"/>
      <c r="I951" s="24"/>
      <c r="J951" s="7">
        <f>+I951-'ROR-Model'!I951</f>
        <v>0</v>
      </c>
      <c r="K951" s="7"/>
      <c r="L951" s="24"/>
      <c r="M951" s="24"/>
      <c r="N951" s="24"/>
      <c r="O951" s="120"/>
      <c r="P951" s="202"/>
      <c r="Q951" s="24"/>
      <c r="R951" s="24"/>
      <c r="S951" s="202"/>
      <c r="T951" s="24"/>
      <c r="U951" s="24"/>
      <c r="V951" s="124"/>
      <c r="W951" s="24"/>
      <c r="X951" s="139"/>
      <c r="Y951" s="3">
        <f t="shared" si="56"/>
        <v>942</v>
      </c>
      <c r="AA951" s="24"/>
      <c r="AC951" s="24" t="str">
        <f t="shared" si="57"/>
        <v/>
      </c>
      <c r="AE951" s="42" t="str">
        <f t="shared" si="58"/>
        <v/>
      </c>
      <c r="AG951" s="162"/>
      <c r="AH951" s="10"/>
      <c r="AI951" s="10"/>
      <c r="AJ951" s="10"/>
    </row>
    <row r="952" spans="1:36" ht="13.5" thickTop="1">
      <c r="A952" s="136"/>
      <c r="B952" s="47"/>
      <c r="C952" s="47"/>
      <c r="D952" s="47"/>
      <c r="E952" s="7">
        <f>+G952-Adjustments!G952</f>
        <v>0</v>
      </c>
      <c r="F952" s="7"/>
      <c r="G952" s="7"/>
      <c r="H952" s="7"/>
      <c r="I952" s="7"/>
      <c r="J952" s="7">
        <f>+I952-'ROR-Model'!I952</f>
        <v>0</v>
      </c>
      <c r="K952" s="7"/>
      <c r="L952" s="7"/>
      <c r="M952" s="7"/>
      <c r="N952" s="7"/>
      <c r="O952" s="120"/>
      <c r="P952" s="126"/>
      <c r="Q952" s="7"/>
      <c r="R952" s="7"/>
      <c r="S952" s="126"/>
      <c r="T952" s="7"/>
      <c r="U952" s="7"/>
      <c r="V952" s="124"/>
      <c r="W952" s="7"/>
      <c r="X952" s="139"/>
      <c r="Y952" s="3">
        <f t="shared" si="56"/>
        <v>943</v>
      </c>
      <c r="AA952" s="7"/>
      <c r="AC952" s="7" t="str">
        <f t="shared" si="57"/>
        <v/>
      </c>
      <c r="AE952" s="42" t="str">
        <f t="shared" si="58"/>
        <v/>
      </c>
      <c r="AG952" s="162"/>
      <c r="AH952" s="10"/>
      <c r="AI952" s="10"/>
      <c r="AJ952" s="10"/>
    </row>
    <row r="953" spans="1:36">
      <c r="A953" s="116"/>
      <c r="B953" s="141" t="s">
        <v>601</v>
      </c>
      <c r="C953" s="47"/>
      <c r="D953" s="47"/>
      <c r="E953" s="7">
        <f>+G953-Adjustments!G953</f>
        <v>-1790215.7069625775</v>
      </c>
      <c r="F953" s="7">
        <f>F926+F950</f>
        <v>158826271.72000003</v>
      </c>
      <c r="G953" s="7">
        <f>G926+G950</f>
        <v>-1790215.7069625775</v>
      </c>
      <c r="H953" s="7">
        <f>H926+H950</f>
        <v>5679930.2182409316</v>
      </c>
      <c r="I953" s="7">
        <f>I926+I950</f>
        <v>162715986.23127836</v>
      </c>
      <c r="J953" s="7">
        <f>+I953-'ROR-Model'!I953</f>
        <v>0</v>
      </c>
      <c r="K953" s="7"/>
      <c r="L953" s="7"/>
      <c r="M953" s="7">
        <f>M926+M950</f>
        <v>157920199.13289055</v>
      </c>
      <c r="N953" s="7">
        <f>N926+N950</f>
        <v>-35304624.519013532</v>
      </c>
      <c r="O953" s="120"/>
      <c r="P953" s="126"/>
      <c r="Q953" s="7">
        <f>Q926+Q950</f>
        <v>157920199.13289055</v>
      </c>
      <c r="R953" s="7">
        <f>R926+R950</f>
        <v>2.9389394773977996E-8</v>
      </c>
      <c r="S953" s="126"/>
      <c r="T953" s="7">
        <f>T926+T950</f>
        <v>-35326389.604682945</v>
      </c>
      <c r="U953" s="7">
        <f>U926+U950</f>
        <v>50501.173251485197</v>
      </c>
      <c r="V953" s="124"/>
      <c r="W953" s="7">
        <f>HLOOKUP($W$9,'ROR-Model'!$Q$10:$U$1273,Y953)</f>
        <v>157920199.13289055</v>
      </c>
      <c r="X953" s="139"/>
      <c r="Y953" s="3">
        <f t="shared" si="56"/>
        <v>944</v>
      </c>
      <c r="AA953" s="7">
        <v>118634493.96717043</v>
      </c>
      <c r="AC953" s="7">
        <f t="shared" si="57"/>
        <v>39285705.16572012</v>
      </c>
      <c r="AE953" s="42">
        <f t="shared" si="58"/>
        <v>0.33114909375844431</v>
      </c>
      <c r="AG953" s="162"/>
      <c r="AH953" t="s">
        <v>601</v>
      </c>
      <c r="AI953" s="10"/>
      <c r="AJ953" s="10"/>
    </row>
    <row r="954" spans="1:36" ht="13.5" thickBot="1">
      <c r="A954" s="136"/>
      <c r="B954" s="47"/>
      <c r="C954" s="47"/>
      <c r="D954" s="47"/>
      <c r="E954" s="24">
        <f>+G954-Adjustments!G954</f>
        <v>0</v>
      </c>
      <c r="F954" s="24"/>
      <c r="G954" s="24"/>
      <c r="H954" s="24"/>
      <c r="I954" s="24"/>
      <c r="J954" s="7">
        <f>+I954-'ROR-Model'!I954</f>
        <v>0</v>
      </c>
      <c r="K954" s="7"/>
      <c r="L954" s="24"/>
      <c r="M954" s="24"/>
      <c r="N954" s="24"/>
      <c r="O954" s="120"/>
      <c r="P954" s="202"/>
      <c r="Q954" s="24"/>
      <c r="R954" s="24"/>
      <c r="S954" s="202"/>
      <c r="T954" s="24"/>
      <c r="U954" s="24"/>
      <c r="V954" s="124"/>
      <c r="W954" s="24"/>
      <c r="X954" s="139"/>
      <c r="Y954" s="3">
        <f t="shared" si="56"/>
        <v>945</v>
      </c>
      <c r="AA954" s="24"/>
      <c r="AC954" s="24" t="str">
        <f t="shared" si="57"/>
        <v/>
      </c>
      <c r="AE954" s="42" t="str">
        <f t="shared" si="58"/>
        <v/>
      </c>
      <c r="AG954" s="162"/>
      <c r="AH954" s="10"/>
      <c r="AI954" s="10"/>
      <c r="AJ954" s="10"/>
    </row>
    <row r="955" spans="1:36" ht="13.5" thickTop="1">
      <c r="A955" s="136"/>
      <c r="B955" s="47"/>
      <c r="C955" s="47"/>
      <c r="D955" s="47"/>
      <c r="E955" s="7">
        <f>+G955-Adjustments!G955</f>
        <v>0</v>
      </c>
      <c r="F955" s="7"/>
      <c r="G955" s="7"/>
      <c r="H955" s="7"/>
      <c r="I955" s="7"/>
      <c r="J955" s="7">
        <f>+I955-'ROR-Model'!I955</f>
        <v>0</v>
      </c>
      <c r="K955" s="7"/>
      <c r="L955" s="7"/>
      <c r="M955" s="7"/>
      <c r="N955" s="7"/>
      <c r="O955" s="120"/>
      <c r="P955" s="126"/>
      <c r="Q955" s="7"/>
      <c r="R955" s="7"/>
      <c r="S955" s="126"/>
      <c r="T955" s="7"/>
      <c r="U955" s="7"/>
      <c r="V955" s="124"/>
      <c r="W955" s="7"/>
      <c r="X955" s="139"/>
      <c r="Y955" s="3">
        <f t="shared" si="56"/>
        <v>946</v>
      </c>
      <c r="AA955" s="7"/>
      <c r="AC955" s="7" t="str">
        <f t="shared" si="57"/>
        <v/>
      </c>
      <c r="AE955" s="42" t="str">
        <f t="shared" si="58"/>
        <v/>
      </c>
      <c r="AG955" s="162"/>
      <c r="AH955" s="10"/>
      <c r="AI955" s="10"/>
      <c r="AJ955" s="10"/>
    </row>
    <row r="956" spans="1:36">
      <c r="A956" s="116" t="s">
        <v>600</v>
      </c>
      <c r="B956" s="47"/>
      <c r="C956" s="47"/>
      <c r="D956" s="47"/>
      <c r="E956" s="7">
        <f>+G956-Adjustments!G956</f>
        <v>-20760517.004083294</v>
      </c>
      <c r="F956" s="7">
        <f>F640+F905+F953</f>
        <v>1410362007.7255569</v>
      </c>
      <c r="G956" s="7">
        <f>G640+G905+G953</f>
        <v>-20760517.004083294</v>
      </c>
      <c r="H956" s="7">
        <f>H640+H905+H953</f>
        <v>5679930.2182409316</v>
      </c>
      <c r="I956" s="7">
        <f>I640+I905+I953</f>
        <v>1395281420.9397144</v>
      </c>
      <c r="J956" s="7">
        <f>+I956-'ROR-Model'!I956</f>
        <v>0</v>
      </c>
      <c r="K956" s="7"/>
      <c r="L956" s="7"/>
      <c r="M956" s="155">
        <f>M640+M905+M953</f>
        <v>1351300263.8521302</v>
      </c>
      <c r="N956" s="155">
        <f>N640+N905+N953</f>
        <v>3880745.4701826647</v>
      </c>
      <c r="O956" s="120"/>
      <c r="P956" s="126"/>
      <c r="Q956" s="7">
        <f>Q640+Q905+Q953</f>
        <v>293118654.83952999</v>
      </c>
      <c r="R956" s="7">
        <f>R640+R905+R953</f>
        <v>1058181609.0126004</v>
      </c>
      <c r="S956" s="126"/>
      <c r="T956" s="7">
        <f>T640+T905+T953</f>
        <v>-30070199.68844305</v>
      </c>
      <c r="U956" s="7">
        <f>U640+U905+U953</f>
        <v>33979681.246207789</v>
      </c>
      <c r="V956" s="124"/>
      <c r="W956" s="7">
        <f>HLOOKUP($W$9,'ROR-Model'!$Q$10:$U$1273,Y956)</f>
        <v>293118654.83952999</v>
      </c>
      <c r="X956" s="139"/>
      <c r="Y956" s="3">
        <f t="shared" si="56"/>
        <v>947</v>
      </c>
      <c r="AA956" s="7">
        <v>234822787.76838714</v>
      </c>
      <c r="AC956" s="7">
        <f t="shared" si="57"/>
        <v>58295867.071142852</v>
      </c>
      <c r="AE956" s="42">
        <f t="shared" si="58"/>
        <v>0.24825472700137535</v>
      </c>
      <c r="AG956" s="162" t="s">
        <v>600</v>
      </c>
      <c r="AH956" s="10"/>
      <c r="AI956" s="10"/>
      <c r="AJ956" s="10"/>
    </row>
    <row r="957" spans="1:36">
      <c r="A957" s="136"/>
      <c r="B957" s="47"/>
      <c r="C957" s="47"/>
      <c r="D957" s="47"/>
      <c r="E957" s="7">
        <f>+G957-Adjustments!G957</f>
        <v>0</v>
      </c>
      <c r="F957" s="7"/>
      <c r="G957" s="7"/>
      <c r="H957" s="7"/>
      <c r="I957" s="7"/>
      <c r="J957" s="7">
        <f>+I957-'ROR-Model'!I957</f>
        <v>0</v>
      </c>
      <c r="K957" s="7"/>
      <c r="L957" s="7"/>
      <c r="M957" s="7"/>
      <c r="N957" s="7"/>
      <c r="O957" s="120"/>
      <c r="P957" s="126"/>
      <c r="Q957" s="7"/>
      <c r="R957" s="7"/>
      <c r="S957" s="126"/>
      <c r="T957" s="7"/>
      <c r="U957" s="7"/>
      <c r="V957" s="124"/>
      <c r="W957" s="7"/>
      <c r="X957" s="139"/>
      <c r="Y957" s="3">
        <f t="shared" si="56"/>
        <v>948</v>
      </c>
      <c r="AA957" s="7"/>
      <c r="AC957" s="7" t="str">
        <f t="shared" si="57"/>
        <v/>
      </c>
      <c r="AE957" s="42" t="str">
        <f t="shared" si="58"/>
        <v/>
      </c>
      <c r="AG957" s="162"/>
      <c r="AH957" s="10"/>
      <c r="AI957" s="10"/>
      <c r="AJ957" s="10"/>
    </row>
    <row r="958" spans="1:36">
      <c r="A958" s="116"/>
      <c r="B958" s="53"/>
      <c r="C958" s="53"/>
      <c r="D958" s="53"/>
      <c r="E958" s="4">
        <f>+G958-Adjustments!G958</f>
        <v>0</v>
      </c>
      <c r="F958" s="4"/>
      <c r="G958" s="4"/>
      <c r="H958" s="4"/>
      <c r="I958" s="4"/>
      <c r="J958" s="7">
        <f>+I958-'ROR-Model'!I958</f>
        <v>0</v>
      </c>
      <c r="K958" s="4"/>
      <c r="L958" s="4"/>
      <c r="M958" s="4"/>
      <c r="N958" s="4"/>
      <c r="O958" s="123"/>
      <c r="P958" s="4"/>
      <c r="Q958" s="4"/>
      <c r="R958" s="4"/>
      <c r="S958" s="4"/>
      <c r="T958" s="4"/>
      <c r="U958" s="4"/>
      <c r="V958" s="124"/>
      <c r="W958" s="4"/>
      <c r="X958" s="139"/>
      <c r="Y958" s="3">
        <f t="shared" si="56"/>
        <v>949</v>
      </c>
      <c r="AA958" s="4"/>
      <c r="AC958" s="4" t="str">
        <f t="shared" si="57"/>
        <v/>
      </c>
      <c r="AE958" s="42" t="str">
        <f t="shared" si="58"/>
        <v/>
      </c>
      <c r="AG958" s="162"/>
      <c r="AH958" s="10"/>
      <c r="AI958" s="10"/>
      <c r="AJ958" s="10"/>
    </row>
    <row r="959" spans="1:36">
      <c r="A959" s="1109" t="s">
        <v>263</v>
      </c>
      <c r="B959" s="1109"/>
      <c r="C959" s="1109"/>
      <c r="D959" s="1109"/>
      <c r="E959" s="7">
        <f>+G959-Adjustments!G959</f>
        <v>0</v>
      </c>
      <c r="F959" s="7"/>
      <c r="G959" s="7"/>
      <c r="H959" s="7"/>
      <c r="I959" s="7"/>
      <c r="J959" s="7">
        <f>+I959-'ROR-Model'!I959</f>
        <v>0</v>
      </c>
      <c r="K959" s="7"/>
      <c r="L959" s="7"/>
      <c r="M959" s="7"/>
      <c r="N959" s="7"/>
      <c r="O959" s="120"/>
      <c r="P959" s="126"/>
      <c r="Q959" s="7"/>
      <c r="R959" s="7"/>
      <c r="S959" s="126"/>
      <c r="T959" s="7"/>
      <c r="U959" s="7"/>
      <c r="V959" s="124"/>
      <c r="W959" s="7"/>
      <c r="X959" s="139"/>
      <c r="Y959" s="3">
        <f t="shared" si="56"/>
        <v>950</v>
      </c>
      <c r="AA959" s="7"/>
      <c r="AC959" s="7" t="str">
        <f t="shared" si="57"/>
        <v/>
      </c>
      <c r="AE959" s="42" t="str">
        <f t="shared" si="58"/>
        <v/>
      </c>
      <c r="AG959" s="162" t="s">
        <v>263</v>
      </c>
      <c r="AH959" s="162"/>
      <c r="AI959" s="162"/>
      <c r="AJ959" s="162"/>
    </row>
    <row r="960" spans="1:36">
      <c r="A960" s="740"/>
      <c r="B960" s="740"/>
      <c r="C960" s="740"/>
      <c r="D960" s="740"/>
      <c r="E960" s="7">
        <f>+G960-Adjustments!G960</f>
        <v>0</v>
      </c>
      <c r="F960" s="7"/>
      <c r="G960" s="7"/>
      <c r="H960" s="7"/>
      <c r="I960" s="7"/>
      <c r="J960" s="7">
        <f>+I960-'ROR-Model'!I960</f>
        <v>0</v>
      </c>
      <c r="K960" s="7"/>
      <c r="L960" s="7"/>
      <c r="M960" s="7"/>
      <c r="N960" s="7"/>
      <c r="O960" s="120"/>
      <c r="P960" s="126"/>
      <c r="Q960" s="7"/>
      <c r="R960" s="7"/>
      <c r="S960" s="126"/>
      <c r="T960" s="7"/>
      <c r="U960" s="7"/>
      <c r="V960" s="124"/>
      <c r="W960" s="7"/>
      <c r="X960" s="139"/>
      <c r="Y960" s="3">
        <f t="shared" si="56"/>
        <v>951</v>
      </c>
      <c r="AA960" s="7"/>
      <c r="AC960" s="7" t="str">
        <f t="shared" si="57"/>
        <v/>
      </c>
      <c r="AE960" s="42" t="str">
        <f t="shared" si="58"/>
        <v/>
      </c>
      <c r="AG960" s="162"/>
      <c r="AH960" s="162"/>
      <c r="AI960" s="162"/>
      <c r="AJ960" s="162"/>
    </row>
    <row r="961" spans="1:36">
      <c r="A961" s="116" t="s">
        <v>267</v>
      </c>
      <c r="B961" s="47"/>
      <c r="C961" s="47"/>
      <c r="D961" s="47"/>
      <c r="E961" s="7">
        <f>+G961-Adjustments!G961</f>
        <v>0</v>
      </c>
      <c r="F961" s="7"/>
      <c r="G961" s="7"/>
      <c r="H961" s="7"/>
      <c r="I961" s="7"/>
      <c r="J961" s="7">
        <f>+I961-'ROR-Model'!I961</f>
        <v>0</v>
      </c>
      <c r="K961" s="7"/>
      <c r="L961" s="7"/>
      <c r="M961" s="7"/>
      <c r="N961" s="7"/>
      <c r="O961" s="120"/>
      <c r="P961" s="126"/>
      <c r="Q961" s="7"/>
      <c r="R961" s="7"/>
      <c r="S961" s="126"/>
      <c r="T961" s="7"/>
      <c r="U961" s="7"/>
      <c r="V961" s="124"/>
      <c r="W961" s="7"/>
      <c r="X961" s="139"/>
      <c r="Y961" s="3">
        <f t="shared" si="56"/>
        <v>952</v>
      </c>
      <c r="AA961" s="7"/>
      <c r="AC961" s="7" t="str">
        <f t="shared" si="57"/>
        <v/>
      </c>
      <c r="AE961" s="42" t="str">
        <f t="shared" si="58"/>
        <v/>
      </c>
      <c r="AG961" s="162" t="s">
        <v>267</v>
      </c>
      <c r="AH961" s="10"/>
      <c r="AI961" s="10"/>
      <c r="AJ961" s="10"/>
    </row>
    <row r="962" spans="1:36">
      <c r="A962" s="116"/>
      <c r="B962" s="47"/>
      <c r="C962" s="47"/>
      <c r="D962" s="47"/>
      <c r="E962" s="7">
        <f>+G962-Adjustments!G962</f>
        <v>0</v>
      </c>
      <c r="F962" s="7"/>
      <c r="G962" s="7"/>
      <c r="H962" s="7"/>
      <c r="I962" s="7"/>
      <c r="J962" s="7">
        <f>+I962-'ROR-Model'!I962</f>
        <v>0</v>
      </c>
      <c r="K962" s="7"/>
      <c r="L962" s="7"/>
      <c r="M962" s="7"/>
      <c r="N962" s="7"/>
      <c r="O962" s="120"/>
      <c r="P962" s="126"/>
      <c r="Q962" s="7"/>
      <c r="R962" s="7"/>
      <c r="S962" s="126"/>
      <c r="T962" s="7"/>
      <c r="U962" s="7"/>
      <c r="V962" s="124"/>
      <c r="W962" s="7"/>
      <c r="X962" s="139"/>
      <c r="Y962" s="3">
        <f t="shared" si="56"/>
        <v>953</v>
      </c>
      <c r="AA962" s="7"/>
      <c r="AC962" s="7" t="str">
        <f t="shared" si="57"/>
        <v/>
      </c>
      <c r="AE962" s="42" t="str">
        <f t="shared" si="58"/>
        <v/>
      </c>
      <c r="AG962" s="162"/>
      <c r="AH962" s="10"/>
      <c r="AI962" s="10"/>
      <c r="AJ962" s="10"/>
    </row>
    <row r="963" spans="1:36">
      <c r="A963" s="152" t="s">
        <v>659</v>
      </c>
      <c r="B963" s="47"/>
      <c r="C963" s="47"/>
      <c r="E963" s="7">
        <f>+G963-Adjustments!G963</f>
        <v>0</v>
      </c>
      <c r="F963" s="7"/>
      <c r="G963" s="7"/>
      <c r="H963" s="7"/>
      <c r="I963" s="7"/>
      <c r="J963" s="7">
        <f>+I963-'ROR-Model'!I963</f>
        <v>0</v>
      </c>
      <c r="K963" s="7"/>
      <c r="L963" s="7"/>
      <c r="M963" s="7"/>
      <c r="N963" s="7"/>
      <c r="O963" s="120"/>
      <c r="P963" s="126"/>
      <c r="Q963" s="7"/>
      <c r="R963" s="7"/>
      <c r="S963" s="126"/>
      <c r="T963" s="7"/>
      <c r="U963" s="7"/>
      <c r="V963" s="124"/>
      <c r="W963" s="7"/>
      <c r="X963" s="139"/>
      <c r="Y963" s="3">
        <f t="shared" si="56"/>
        <v>954</v>
      </c>
      <c r="AA963" s="7"/>
      <c r="AC963" s="7" t="str">
        <f t="shared" si="57"/>
        <v/>
      </c>
      <c r="AE963" s="42" t="str">
        <f t="shared" si="58"/>
        <v/>
      </c>
      <c r="AG963" s="10" t="s">
        <v>659</v>
      </c>
      <c r="AH963" s="10"/>
      <c r="AI963" s="10"/>
    </row>
    <row r="964" spans="1:36">
      <c r="A964" s="47" t="s">
        <v>186</v>
      </c>
      <c r="C964" s="47"/>
      <c r="E964" s="7">
        <f>+G964-Adjustments!G964</f>
        <v>0</v>
      </c>
      <c r="F964" s="7"/>
      <c r="G964" s="7"/>
      <c r="H964" s="7"/>
      <c r="I964" s="7"/>
      <c r="J964" s="7">
        <f>+I964-'ROR-Model'!I964</f>
        <v>0</v>
      </c>
      <c r="K964" s="7"/>
      <c r="L964" s="7"/>
      <c r="M964" s="7"/>
      <c r="N964" s="7"/>
      <c r="O964" s="120"/>
      <c r="P964" s="126"/>
      <c r="Q964" s="7"/>
      <c r="R964" s="7"/>
      <c r="S964" s="126"/>
      <c r="T964" s="7"/>
      <c r="U964" s="7"/>
      <c r="V964" s="124"/>
      <c r="W964" s="7"/>
      <c r="X964" s="139"/>
      <c r="Y964" s="3">
        <f t="shared" si="56"/>
        <v>955</v>
      </c>
      <c r="AA964" s="7"/>
      <c r="AC964" s="7" t="str">
        <f t="shared" si="57"/>
        <v/>
      </c>
      <c r="AE964" s="42" t="str">
        <f t="shared" si="58"/>
        <v/>
      </c>
      <c r="AG964" s="10" t="s">
        <v>186</v>
      </c>
      <c r="AI964" s="10"/>
    </row>
    <row r="965" spans="1:36">
      <c r="B965" s="47" t="s">
        <v>187</v>
      </c>
      <c r="C965" s="47" t="s">
        <v>188</v>
      </c>
      <c r="E965" s="7">
        <f>+G965-Adjustments!G965</f>
        <v>0</v>
      </c>
      <c r="F965" s="7"/>
      <c r="G965" s="7"/>
      <c r="H965" s="7"/>
      <c r="I965" s="7"/>
      <c r="J965" s="7">
        <f>+I965-'ROR-Model'!I965</f>
        <v>0</v>
      </c>
      <c r="K965" s="7"/>
      <c r="L965" s="7"/>
      <c r="M965" s="7"/>
      <c r="N965" s="7"/>
      <c r="O965" s="120"/>
      <c r="P965" s="126"/>
      <c r="Q965" s="7"/>
      <c r="R965" s="7"/>
      <c r="S965" s="126"/>
      <c r="T965" s="7"/>
      <c r="U965" s="7"/>
      <c r="V965" s="124"/>
      <c r="W965" s="7"/>
      <c r="X965" s="139"/>
      <c r="Y965" s="3">
        <f t="shared" si="56"/>
        <v>956</v>
      </c>
      <c r="AA965" s="7"/>
      <c r="AC965" s="7" t="str">
        <f t="shared" si="57"/>
        <v/>
      </c>
      <c r="AE965" s="42" t="str">
        <f t="shared" si="58"/>
        <v/>
      </c>
      <c r="AH965" s="10" t="s">
        <v>187</v>
      </c>
      <c r="AI965" s="10" t="s">
        <v>188</v>
      </c>
    </row>
    <row r="966" spans="1:36">
      <c r="B966" s="47"/>
      <c r="C966" s="47" t="s">
        <v>542</v>
      </c>
      <c r="E966" s="7">
        <f>+G966-Adjustments!G966</f>
        <v>0</v>
      </c>
      <c r="F966" s="7">
        <f>'Rate Base'!$T$15</f>
        <v>10883.08</v>
      </c>
      <c r="G966" s="7">
        <f>+Adjustments!V950</f>
        <v>0</v>
      </c>
      <c r="H966" s="7"/>
      <c r="I966" s="7">
        <f>SUM(F966:H966)</f>
        <v>10883.08</v>
      </c>
      <c r="J966" s="7">
        <f>+I966-'ROR-Model'!I966</f>
        <v>0</v>
      </c>
      <c r="K966" s="7"/>
      <c r="L966" s="7" t="s">
        <v>23</v>
      </c>
      <c r="M966" s="7">
        <f>VLOOKUP($L966,$L$2:$N$7,2,FALSE)*I966</f>
        <v>0</v>
      </c>
      <c r="N966" s="7">
        <f>VLOOKUP($L966,$L$2:$N$7,3,FALSE)*I966</f>
        <v>10883.08</v>
      </c>
      <c r="O966" s="120"/>
      <c r="P966" s="192" t="s">
        <v>510</v>
      </c>
      <c r="Q966" s="7">
        <f>IF(P966="G",M966,IF(P966="PT",0,ERR))</f>
        <v>0</v>
      </c>
      <c r="R966" s="7">
        <f>IF(P966="PT",M966,IF(P966="G",0,ERR))</f>
        <v>0</v>
      </c>
      <c r="S966" s="126" t="s">
        <v>510</v>
      </c>
      <c r="T966" s="7">
        <f>IF(S966="G",N966,IF(S966="PT",0,ERR))</f>
        <v>10883.08</v>
      </c>
      <c r="U966" s="7">
        <f>IF(S966="PT",N966,IF(S966="G",0,ERR))</f>
        <v>0</v>
      </c>
      <c r="V966" s="124"/>
      <c r="W966" s="7">
        <f>HLOOKUP($W$9,'ROR-Model'!$Q$10:$U$1273,Y966)</f>
        <v>0</v>
      </c>
      <c r="X966" s="139"/>
      <c r="Y966" s="3">
        <f t="shared" si="56"/>
        <v>957</v>
      </c>
      <c r="AA966" s="7">
        <v>0</v>
      </c>
      <c r="AC966" s="7" t="str">
        <f t="shared" si="57"/>
        <v/>
      </c>
      <c r="AE966" s="42" t="str">
        <f t="shared" si="58"/>
        <v/>
      </c>
      <c r="AH966" s="10"/>
      <c r="AI966" s="10" t="s">
        <v>542</v>
      </c>
    </row>
    <row r="967" spans="1:36">
      <c r="B967" s="47"/>
      <c r="C967" s="47" t="s">
        <v>543</v>
      </c>
      <c r="E967" s="7">
        <f>+G967-Adjustments!G977</f>
        <v>-2661697.8016666663</v>
      </c>
      <c r="F967" s="7">
        <f>'Rate Base'!$T$16</f>
        <v>5145474.16</v>
      </c>
      <c r="G967" s="7">
        <f>+Adjustments!V951</f>
        <v>-2661697.8016666663</v>
      </c>
      <c r="H967" s="7"/>
      <c r="I967" s="7">
        <f>SUM(F967:H967)</f>
        <v>2483776.3583333339</v>
      </c>
      <c r="J967" s="7">
        <f>+I967-'ROR-Model'!I967</f>
        <v>0</v>
      </c>
      <c r="K967" s="7"/>
      <c r="L967" s="7" t="s">
        <v>12</v>
      </c>
      <c r="M967" s="7">
        <f>VLOOKUP($L967,$L$2:$N$7,2,FALSE)*I967</f>
        <v>2483776.3583333339</v>
      </c>
      <c r="N967" s="7">
        <f>VLOOKUP($L967,$L$2:$N$7,3,FALSE)*I967</f>
        <v>0</v>
      </c>
      <c r="O967" s="120"/>
      <c r="P967" s="192" t="s">
        <v>510</v>
      </c>
      <c r="Q967" s="7">
        <f>IF(P967="G",M967,IF(P967="PT",0,ERR))</f>
        <v>2483776.3583333339</v>
      </c>
      <c r="R967" s="7">
        <f>IF(P967="PT",M967,IF(P967="G",0,ERR))</f>
        <v>0</v>
      </c>
      <c r="S967" s="126" t="s">
        <v>510</v>
      </c>
      <c r="T967" s="7">
        <f>IF(S967="G",N967,IF(S967="PT",0,ERR))</f>
        <v>0</v>
      </c>
      <c r="U967" s="7">
        <f>IF(S967="PT",N967,IF(S967="G",0,ERR))</f>
        <v>0</v>
      </c>
      <c r="V967" s="124"/>
      <c r="W967" s="7">
        <f>HLOOKUP($W$9,'ROR-Model'!$Q$10:$U$1273,Y967)</f>
        <v>2483776.3583333339</v>
      </c>
      <c r="X967" s="139"/>
      <c r="Y967" s="3">
        <f t="shared" si="56"/>
        <v>958</v>
      </c>
      <c r="AA967" s="7">
        <v>58742.879999999997</v>
      </c>
      <c r="AC967" s="7">
        <f t="shared" si="57"/>
        <v>2425033.478333334</v>
      </c>
      <c r="AE967" s="42">
        <f t="shared" si="58"/>
        <v>41.282168636153592</v>
      </c>
      <c r="AH967" s="10"/>
      <c r="AI967" s="10" t="s">
        <v>543</v>
      </c>
    </row>
    <row r="968" spans="1:36">
      <c r="B968" s="53"/>
      <c r="C968" s="265" t="s">
        <v>1501</v>
      </c>
      <c r="E968" s="7">
        <f>+G968-Adjustments!G978</f>
        <v>-1538680.8762500002</v>
      </c>
      <c r="F968" s="7">
        <f>'Rate Base'!$T$17</f>
        <v>2304347.89</v>
      </c>
      <c r="G968" s="7">
        <f>+Adjustments!V952</f>
        <v>-1538680.8762500002</v>
      </c>
      <c r="H968" s="7"/>
      <c r="I968" s="7">
        <f>SUM(F968:H968)</f>
        <v>765667.01374999993</v>
      </c>
      <c r="J968" s="7">
        <f>+I968-'ROR-Model'!I968</f>
        <v>0</v>
      </c>
      <c r="K968" s="7"/>
      <c r="L968" s="301" t="s">
        <v>429</v>
      </c>
      <c r="M968" s="7">
        <f>VLOOKUP($L968,$L$2:$N$7,2,FALSE)*I968</f>
        <v>742520.41311435634</v>
      </c>
      <c r="N968" s="7">
        <f>VLOOKUP($L968,$L$2:$N$7,3,FALSE)*I968</f>
        <v>23146.600635643619</v>
      </c>
      <c r="O968" s="120"/>
      <c r="P968" s="192" t="s">
        <v>510</v>
      </c>
      <c r="Q968" s="7">
        <f>IF(P968="G",M968,IF(P968="PT",0,ERR))</f>
        <v>742520.41311435634</v>
      </c>
      <c r="R968" s="7">
        <f>IF(P968="PT",M968,IF(P968="G",0,ERR))</f>
        <v>0</v>
      </c>
      <c r="S968" s="126" t="s">
        <v>510</v>
      </c>
      <c r="T968" s="7">
        <f>IF(S968="G",N968,IF(S968="PT",0,ERR))</f>
        <v>23146.600635643619</v>
      </c>
      <c r="U968" s="7">
        <f>IF(S968="PT",N968,IF(S968="G",0,ERR))</f>
        <v>0</v>
      </c>
      <c r="V968" s="124"/>
      <c r="W968" s="7">
        <f>HLOOKUP($W$9,'ROR-Model'!$Q$10:$U$1273,Y968)</f>
        <v>742520.41311435634</v>
      </c>
      <c r="X968" s="139"/>
      <c r="Y968" s="3">
        <f t="shared" si="56"/>
        <v>959</v>
      </c>
      <c r="AA968" s="7"/>
      <c r="AC968" s="7" t="str">
        <f t="shared" si="57"/>
        <v/>
      </c>
      <c r="AE968" s="42" t="str">
        <f t="shared" si="58"/>
        <v/>
      </c>
      <c r="AH968" s="10"/>
      <c r="AI968" s="10"/>
    </row>
    <row r="969" spans="1:36">
      <c r="B969" s="47"/>
      <c r="C969" s="47" t="s">
        <v>189</v>
      </c>
      <c r="E969" s="7">
        <f>+G969-Adjustments!G979</f>
        <v>-4200378.6779166665</v>
      </c>
      <c r="F969" s="7">
        <f>SUM(F966:F968)</f>
        <v>7460705.1300000008</v>
      </c>
      <c r="G969" s="7">
        <f>SUM(G966:G968)</f>
        <v>-4200378.6779166665</v>
      </c>
      <c r="H969" s="7"/>
      <c r="I969" s="7">
        <f>SUM(I966:I968)</f>
        <v>3260326.4520833339</v>
      </c>
      <c r="J969" s="7">
        <f>+I969-'ROR-Model'!I969</f>
        <v>0</v>
      </c>
      <c r="K969" s="7"/>
      <c r="L969" s="7"/>
      <c r="M969" s="7">
        <f>SUM(M966:M968)</f>
        <v>3226296.7714476902</v>
      </c>
      <c r="N969" s="7">
        <f>SUM(N966:N968)</f>
        <v>34029.680635643621</v>
      </c>
      <c r="O969" s="120"/>
      <c r="P969" s="126"/>
      <c r="Q969" s="7">
        <f>SUM(Q966:Q968)</f>
        <v>3226296.7714476902</v>
      </c>
      <c r="R969" s="7">
        <f>SUM(R966:R968)</f>
        <v>0</v>
      </c>
      <c r="S969" s="126"/>
      <c r="T969" s="7">
        <f>SUM(T966:T968)</f>
        <v>34029.680635643621</v>
      </c>
      <c r="U969" s="7">
        <f>SUM(U966:U967)</f>
        <v>0</v>
      </c>
      <c r="V969" s="124"/>
      <c r="W969" s="7">
        <f>SUM(W966:W968)</f>
        <v>3226296.7714476902</v>
      </c>
      <c r="X969" s="139"/>
      <c r="Y969" s="3">
        <f t="shared" si="56"/>
        <v>960</v>
      </c>
      <c r="AA969" s="7">
        <v>58742.879999999997</v>
      </c>
      <c r="AC969" s="7">
        <f t="shared" si="57"/>
        <v>3167553.8914476903</v>
      </c>
      <c r="AE969" s="42">
        <f t="shared" si="58"/>
        <v>53.922345847661717</v>
      </c>
      <c r="AH969" s="10"/>
      <c r="AI969" s="10" t="s">
        <v>189</v>
      </c>
    </row>
    <row r="970" spans="1:36">
      <c r="A970" s="47"/>
      <c r="B970" s="47"/>
      <c r="C970" s="47"/>
      <c r="E970" s="7">
        <f>+G970-Adjustments!G980</f>
        <v>0</v>
      </c>
      <c r="F970" s="7"/>
      <c r="G970" s="7"/>
      <c r="H970" s="7"/>
      <c r="I970" s="7"/>
      <c r="J970" s="7">
        <f>+I970-'ROR-Model'!I970</f>
        <v>0</v>
      </c>
      <c r="K970" s="7"/>
      <c r="L970" s="7"/>
      <c r="M970" s="7"/>
      <c r="N970" s="7"/>
      <c r="O970" s="120"/>
      <c r="P970" s="126"/>
      <c r="Q970" s="7"/>
      <c r="R970" s="7"/>
      <c r="S970" s="126"/>
      <c r="T970" s="7"/>
      <c r="U970" s="7"/>
      <c r="V970" s="124"/>
      <c r="W970" s="7"/>
      <c r="X970" s="139"/>
      <c r="Y970" s="3">
        <f t="shared" si="56"/>
        <v>961</v>
      </c>
      <c r="AA970" s="7"/>
      <c r="AC970" s="7" t="str">
        <f t="shared" si="57"/>
        <v/>
      </c>
      <c r="AE970" s="42" t="str">
        <f t="shared" si="58"/>
        <v/>
      </c>
      <c r="AG970" s="10"/>
      <c r="AH970" s="10"/>
      <c r="AI970" s="10"/>
    </row>
    <row r="971" spans="1:36">
      <c r="A971" s="47" t="s">
        <v>190</v>
      </c>
      <c r="C971" s="47"/>
      <c r="E971" s="7">
        <f>+G971-Adjustments!G981</f>
        <v>0</v>
      </c>
      <c r="F971" s="7"/>
      <c r="G971" s="7"/>
      <c r="H971" s="7"/>
      <c r="I971" s="7"/>
      <c r="J971" s="7">
        <f>+I971-'ROR-Model'!I971</f>
        <v>0</v>
      </c>
      <c r="K971" s="7"/>
      <c r="L971" s="7"/>
      <c r="M971" s="7"/>
      <c r="N971" s="7"/>
      <c r="O971" s="120"/>
      <c r="P971" s="126"/>
      <c r="Q971" s="7"/>
      <c r="R971" s="7"/>
      <c r="S971" s="126"/>
      <c r="T971" s="7"/>
      <c r="U971" s="7"/>
      <c r="V971" s="124"/>
      <c r="W971" s="7"/>
      <c r="X971" s="139"/>
      <c r="Y971" s="3">
        <f t="shared" si="56"/>
        <v>962</v>
      </c>
      <c r="AA971" s="7"/>
      <c r="AC971" s="7" t="str">
        <f t="shared" si="57"/>
        <v/>
      </c>
      <c r="AE971" s="42" t="str">
        <f t="shared" si="58"/>
        <v/>
      </c>
      <c r="AG971" s="10" t="s">
        <v>190</v>
      </c>
      <c r="AI971" s="10"/>
    </row>
    <row r="972" spans="1:36">
      <c r="B972" s="47" t="s">
        <v>191</v>
      </c>
      <c r="C972" s="47" t="s">
        <v>192</v>
      </c>
      <c r="E972" s="7">
        <f>+G972-Adjustments!G982</f>
        <v>-394806.15342000005</v>
      </c>
      <c r="F972" s="7">
        <f>'Rate Base'!$T$21</f>
        <v>6266764.3399999999</v>
      </c>
      <c r="G972" s="7">
        <f>+Adjustments!V956</f>
        <v>-394806.15342000005</v>
      </c>
      <c r="H972" s="7"/>
      <c r="I972" s="7">
        <f t="shared" ref="I972:I978" si="60">SUM(F972:H972)</f>
        <v>5871958.1865799995</v>
      </c>
      <c r="J972" s="7">
        <f>+I972-'ROR-Model'!I972</f>
        <v>0</v>
      </c>
      <c r="K972" s="7"/>
      <c r="L972" s="7" t="s">
        <v>637</v>
      </c>
      <c r="M972" s="7">
        <f t="shared" ref="M972:M978" si="61">VLOOKUP($L972,$L$2:$N$7,2,FALSE)*I972</f>
        <v>5683274.8223316297</v>
      </c>
      <c r="N972" s="7">
        <f t="shared" ref="N972:N978" si="62">VLOOKUP($L972,$L$2:$N$7,3,FALSE)*I972</f>
        <v>188683.36424836941</v>
      </c>
      <c r="O972" s="120"/>
      <c r="P972" s="192" t="s">
        <v>510</v>
      </c>
      <c r="Q972" s="7">
        <f t="shared" ref="Q972:Q978" si="63">IF(P972="G",M972,IF(P972="PT",0,ERR))</f>
        <v>5683274.8223316297</v>
      </c>
      <c r="R972" s="7">
        <f t="shared" ref="R972:R978" si="64">IF(P972="PT",M972,IF(P972="G",0,ERR))</f>
        <v>0</v>
      </c>
      <c r="S972" s="126" t="s">
        <v>509</v>
      </c>
      <c r="T972" s="7">
        <f t="shared" ref="T972:T978" si="65">IF(S972="G",N972,IF(S972="PT",0,ERR))</f>
        <v>0</v>
      </c>
      <c r="U972" s="7">
        <f t="shared" ref="U972:U978" si="66">IF(S972="PT",N972,IF(S972="G",0,ERR))</f>
        <v>188683.36424836941</v>
      </c>
      <c r="V972" s="124"/>
      <c r="W972" s="7">
        <f>HLOOKUP($W$9,'ROR-Model'!$Q$10:$U$1273,Y972)</f>
        <v>5683274.8223316297</v>
      </c>
      <c r="X972" s="139"/>
      <c r="Y972" s="3">
        <f t="shared" si="56"/>
        <v>963</v>
      </c>
      <c r="AA972" s="7">
        <v>5665676.2239305032</v>
      </c>
      <c r="AC972" s="7">
        <f t="shared" si="57"/>
        <v>17598.598401126452</v>
      </c>
      <c r="AE972" s="42">
        <f t="shared" si="58"/>
        <v>3.1061779222035404E-3</v>
      </c>
      <c r="AH972" s="10" t="s">
        <v>191</v>
      </c>
      <c r="AI972" s="10" t="s">
        <v>192</v>
      </c>
    </row>
    <row r="973" spans="1:36">
      <c r="B973" s="47" t="s">
        <v>193</v>
      </c>
      <c r="C973" s="47" t="s">
        <v>194</v>
      </c>
      <c r="E973" s="7">
        <f>+G973-Adjustments!G983</f>
        <v>-90575.373420000004</v>
      </c>
      <c r="F973" s="7">
        <f>'Rate Base'!$T$22</f>
        <v>1437704.3400000003</v>
      </c>
      <c r="G973" s="7">
        <f>+Adjustments!V957</f>
        <v>-90575.373420000004</v>
      </c>
      <c r="H973" s="7"/>
      <c r="I973" s="7">
        <f t="shared" si="60"/>
        <v>1347128.9665800002</v>
      </c>
      <c r="J973" s="7">
        <f>+I973-'ROR-Model'!I973</f>
        <v>0</v>
      </c>
      <c r="K973" s="7"/>
      <c r="L973" s="7" t="s">
        <v>637</v>
      </c>
      <c r="M973" s="7">
        <f t="shared" si="61"/>
        <v>1303841.733017667</v>
      </c>
      <c r="N973" s="7">
        <f t="shared" si="62"/>
        <v>43287.23356233332</v>
      </c>
      <c r="O973" s="120"/>
      <c r="P973" s="192" t="s">
        <v>510</v>
      </c>
      <c r="Q973" s="7">
        <f t="shared" si="63"/>
        <v>1303841.733017667</v>
      </c>
      <c r="R973" s="7">
        <f t="shared" si="64"/>
        <v>0</v>
      </c>
      <c r="S973" s="126" t="s">
        <v>509</v>
      </c>
      <c r="T973" s="7">
        <f t="shared" si="65"/>
        <v>0</v>
      </c>
      <c r="U973" s="7">
        <f t="shared" si="66"/>
        <v>43287.23356233332</v>
      </c>
      <c r="V973" s="124"/>
      <c r="W973" s="7">
        <f>HLOOKUP($W$9,'ROR-Model'!$Q$10:$U$1273,Y973)</f>
        <v>1303841.733017667</v>
      </c>
      <c r="X973" s="139"/>
      <c r="Y973" s="3">
        <f t="shared" si="56"/>
        <v>964</v>
      </c>
      <c r="AA973" s="7">
        <v>1299797.9948898621</v>
      </c>
      <c r="AC973" s="7">
        <f t="shared" si="57"/>
        <v>4043.7381278048269</v>
      </c>
      <c r="AE973" s="42">
        <f t="shared" si="58"/>
        <v>3.1110512123443241E-3</v>
      </c>
      <c r="AH973" s="10" t="s">
        <v>193</v>
      </c>
      <c r="AI973" s="10" t="s">
        <v>194</v>
      </c>
    </row>
    <row r="974" spans="1:36">
      <c r="B974" s="47" t="s">
        <v>195</v>
      </c>
      <c r="C974" s="47" t="s">
        <v>196</v>
      </c>
      <c r="E974" s="7">
        <f>+G974-Adjustments!G984</f>
        <v>-3287043.51003</v>
      </c>
      <c r="F974" s="7">
        <f>'Rate Base'!$T$23</f>
        <v>52175293.810000002</v>
      </c>
      <c r="G974" s="7">
        <f>+Adjustments!V958</f>
        <v>-3287043.51003</v>
      </c>
      <c r="H974" s="7"/>
      <c r="I974" s="7">
        <f t="shared" si="60"/>
        <v>48888250.299970001</v>
      </c>
      <c r="J974" s="7">
        <f>+I974-'ROR-Model'!I974</f>
        <v>0</v>
      </c>
      <c r="K974" s="7"/>
      <c r="L974" s="7" t="s">
        <v>637</v>
      </c>
      <c r="M974" s="7">
        <f t="shared" si="61"/>
        <v>47317326.385713167</v>
      </c>
      <c r="N974" s="7">
        <f t="shared" si="62"/>
        <v>1570923.9142568307</v>
      </c>
      <c r="O974" s="120"/>
      <c r="P974" s="192" t="s">
        <v>510</v>
      </c>
      <c r="Q974" s="7">
        <f t="shared" si="63"/>
        <v>47317326.385713167</v>
      </c>
      <c r="R974" s="7">
        <f t="shared" si="64"/>
        <v>0</v>
      </c>
      <c r="S974" s="126" t="s">
        <v>509</v>
      </c>
      <c r="T974" s="7">
        <f t="shared" si="65"/>
        <v>0</v>
      </c>
      <c r="U974" s="7">
        <f t="shared" si="66"/>
        <v>1570923.9142568307</v>
      </c>
      <c r="V974" s="124"/>
      <c r="W974" s="7">
        <f>HLOOKUP($W$9,'ROR-Model'!$Q$10:$U$1273,Y974)</f>
        <v>47317326.385713167</v>
      </c>
      <c r="X974" s="139"/>
      <c r="Y974" s="3">
        <f t="shared" ref="Y974:Y1045" si="67">Y973+1</f>
        <v>965</v>
      </c>
      <c r="AA974" s="7">
        <v>47170762.707667045</v>
      </c>
      <c r="AC974" s="7">
        <f t="shared" si="57"/>
        <v>146563.67804612219</v>
      </c>
      <c r="AE974" s="42">
        <f t="shared" si="58"/>
        <v>3.1070873064831749E-3</v>
      </c>
      <c r="AH974" s="10" t="s">
        <v>195</v>
      </c>
      <c r="AI974" s="10" t="s">
        <v>196</v>
      </c>
    </row>
    <row r="975" spans="1:36">
      <c r="B975" s="47" t="s">
        <v>197</v>
      </c>
      <c r="C975" s="47" t="s">
        <v>198</v>
      </c>
      <c r="E975" s="7">
        <f>+G975-Adjustments!G985</f>
        <v>-1084630.4311500003</v>
      </c>
      <c r="F975" s="7">
        <f>'Rate Base'!$T$24</f>
        <v>17216356.050000001</v>
      </c>
      <c r="G975" s="7">
        <f>+Adjustments!V959</f>
        <v>-1084630.4311500003</v>
      </c>
      <c r="H975" s="7"/>
      <c r="I975" s="7">
        <f t="shared" si="60"/>
        <v>16131725.61885</v>
      </c>
      <c r="J975" s="7">
        <f>+I975-'ROR-Model'!I975</f>
        <v>0</v>
      </c>
      <c r="K975" s="7"/>
      <c r="L975" s="7" t="s">
        <v>637</v>
      </c>
      <c r="M975" s="7">
        <f t="shared" si="61"/>
        <v>15613365.61624429</v>
      </c>
      <c r="N975" s="7">
        <f t="shared" si="62"/>
        <v>518360.00260570971</v>
      </c>
      <c r="O975" s="120"/>
      <c r="P975" s="192" t="s">
        <v>510</v>
      </c>
      <c r="Q975" s="7">
        <f t="shared" si="63"/>
        <v>15613365.61624429</v>
      </c>
      <c r="R975" s="7">
        <f t="shared" si="64"/>
        <v>0</v>
      </c>
      <c r="S975" s="126" t="s">
        <v>509</v>
      </c>
      <c r="T975" s="7">
        <f t="shared" si="65"/>
        <v>0</v>
      </c>
      <c r="U975" s="7">
        <f t="shared" si="66"/>
        <v>518360.00260570971</v>
      </c>
      <c r="V975" s="124"/>
      <c r="W975" s="7">
        <f>HLOOKUP($W$9,'ROR-Model'!$Q$10:$U$1273,Y975)</f>
        <v>15613365.61624429</v>
      </c>
      <c r="X975" s="139"/>
      <c r="Y975" s="3">
        <f t="shared" si="67"/>
        <v>966</v>
      </c>
      <c r="AA975" s="7">
        <v>15565003.790541336</v>
      </c>
      <c r="AC975" s="7">
        <f t="shared" si="57"/>
        <v>48361.825702954084</v>
      </c>
      <c r="AE975" s="42">
        <f t="shared" si="58"/>
        <v>3.1070873064832131E-3</v>
      </c>
      <c r="AH975" s="10" t="s">
        <v>197</v>
      </c>
      <c r="AI975" s="10" t="s">
        <v>198</v>
      </c>
    </row>
    <row r="976" spans="1:36">
      <c r="B976" s="47" t="s">
        <v>199</v>
      </c>
      <c r="C976" s="47" t="s">
        <v>200</v>
      </c>
      <c r="E976" s="7">
        <f>+G976-Adjustments!G986</f>
        <v>-169710.41556000002</v>
      </c>
      <c r="F976" s="7">
        <f>'Rate Base'!$T$25</f>
        <v>2693816.12</v>
      </c>
      <c r="G976" s="7">
        <f>+Adjustments!V960</f>
        <v>-169710.41556000002</v>
      </c>
      <c r="H976" s="7"/>
      <c r="I976" s="7">
        <f t="shared" si="60"/>
        <v>2524105.70444</v>
      </c>
      <c r="J976" s="7">
        <f>+I976-'ROR-Model'!I976</f>
        <v>0</v>
      </c>
      <c r="K976" s="7"/>
      <c r="L976" s="7" t="s">
        <v>637</v>
      </c>
      <c r="M976" s="7">
        <f t="shared" si="61"/>
        <v>2442998.7311102687</v>
      </c>
      <c r="N976" s="7">
        <f t="shared" si="62"/>
        <v>81106.973329730987</v>
      </c>
      <c r="O976" s="120"/>
      <c r="P976" s="192" t="s">
        <v>510</v>
      </c>
      <c r="Q976" s="7">
        <f t="shared" si="63"/>
        <v>2442998.7311102687</v>
      </c>
      <c r="R976" s="7">
        <f t="shared" si="64"/>
        <v>0</v>
      </c>
      <c r="S976" s="126" t="s">
        <v>509</v>
      </c>
      <c r="T976" s="7">
        <f t="shared" si="65"/>
        <v>0</v>
      </c>
      <c r="U976" s="7">
        <f t="shared" si="66"/>
        <v>81106.973329730987</v>
      </c>
      <c r="V976" s="124"/>
      <c r="W976" s="7">
        <f>HLOOKUP($W$9,'ROR-Model'!$Q$10:$U$1273,Y976)</f>
        <v>2442998.7311102687</v>
      </c>
      <c r="X976" s="139"/>
      <c r="Y976" s="3">
        <f t="shared" si="67"/>
        <v>967</v>
      </c>
      <c r="AA976" s="7">
        <v>2435431.6323994328</v>
      </c>
      <c r="AC976" s="7">
        <f t="shared" si="57"/>
        <v>7567.0987108359113</v>
      </c>
      <c r="AE976" s="42">
        <f t="shared" si="58"/>
        <v>3.1070873064831897E-3</v>
      </c>
      <c r="AH976" s="10" t="s">
        <v>199</v>
      </c>
      <c r="AI976" s="10" t="s">
        <v>200</v>
      </c>
    </row>
    <row r="977" spans="1:36">
      <c r="B977" s="47" t="s">
        <v>201</v>
      </c>
      <c r="C977" s="47" t="s">
        <v>202</v>
      </c>
      <c r="E977" s="7">
        <f>+G977-Adjustments!G987</f>
        <v>-3591.9267300000001</v>
      </c>
      <c r="F977" s="7">
        <f>'Rate Base'!$T$26</f>
        <v>57014.71</v>
      </c>
      <c r="G977" s="7">
        <f>+Adjustments!V961</f>
        <v>-3591.9267300000001</v>
      </c>
      <c r="H977" s="7"/>
      <c r="I977" s="7">
        <f t="shared" si="60"/>
        <v>53422.78327</v>
      </c>
      <c r="J977" s="7">
        <f>+I977-'ROR-Model'!I977</f>
        <v>0</v>
      </c>
      <c r="K977" s="7"/>
      <c r="L977" s="7" t="s">
        <v>637</v>
      </c>
      <c r="M977" s="7">
        <f t="shared" si="61"/>
        <v>51706.151414900567</v>
      </c>
      <c r="N977" s="7">
        <f t="shared" si="62"/>
        <v>1716.6318550994292</v>
      </c>
      <c r="O977" s="120"/>
      <c r="P977" s="192" t="s">
        <v>510</v>
      </c>
      <c r="Q977" s="7">
        <f t="shared" si="63"/>
        <v>51706.151414900567</v>
      </c>
      <c r="R977" s="7">
        <f t="shared" si="64"/>
        <v>0</v>
      </c>
      <c r="S977" s="126" t="s">
        <v>509</v>
      </c>
      <c r="T977" s="7">
        <f t="shared" si="65"/>
        <v>0</v>
      </c>
      <c r="U977" s="7">
        <f t="shared" si="66"/>
        <v>1716.6318550994292</v>
      </c>
      <c r="V977" s="124"/>
      <c r="W977" s="7">
        <f>HLOOKUP($W$9,'ROR-Model'!$Q$10:$U$1273,Y977)</f>
        <v>51706.151414900567</v>
      </c>
      <c r="X977" s="139"/>
      <c r="Y977" s="3">
        <f t="shared" si="67"/>
        <v>968</v>
      </c>
      <c r="AA977" s="7">
        <v>51545.993512757013</v>
      </c>
      <c r="AC977" s="7">
        <f t="shared" ref="AC977:AC1045" si="68">IF(ABS(AA977)&gt;0,W977-AA977,"")</f>
        <v>160.15790214355366</v>
      </c>
      <c r="AE977" s="42">
        <f t="shared" si="58"/>
        <v>3.1070873064832187E-3</v>
      </c>
      <c r="AH977" s="10" t="s">
        <v>201</v>
      </c>
      <c r="AI977" s="10" t="s">
        <v>202</v>
      </c>
    </row>
    <row r="978" spans="1:36">
      <c r="B978" s="47" t="s">
        <v>203</v>
      </c>
      <c r="C978" s="47" t="s">
        <v>204</v>
      </c>
      <c r="E978" s="7">
        <f>+G978-Adjustments!G988</f>
        <v>-7634.7576899999976</v>
      </c>
      <c r="F978" s="7">
        <f>'Rate Base'!$T$27</f>
        <v>121186.63</v>
      </c>
      <c r="G978" s="7">
        <f>+Adjustments!V962</f>
        <v>-7634.7576899999976</v>
      </c>
      <c r="H978" s="7"/>
      <c r="I978" s="7">
        <f t="shared" si="60"/>
        <v>113551.87231000001</v>
      </c>
      <c r="J978" s="7">
        <f>+I978-'ROR-Model'!I978</f>
        <v>0</v>
      </c>
      <c r="K978" s="7"/>
      <c r="L978" s="7" t="s">
        <v>637</v>
      </c>
      <c r="M978" s="7">
        <f t="shared" si="61"/>
        <v>109903.11518275779</v>
      </c>
      <c r="N978" s="7">
        <f t="shared" si="62"/>
        <v>3648.7571272422178</v>
      </c>
      <c r="O978" s="120"/>
      <c r="P978" s="192" t="s">
        <v>510</v>
      </c>
      <c r="Q978" s="7">
        <f t="shared" si="63"/>
        <v>109903.11518275779</v>
      </c>
      <c r="R978" s="7">
        <f t="shared" si="64"/>
        <v>0</v>
      </c>
      <c r="S978" s="126" t="s">
        <v>509</v>
      </c>
      <c r="T978" s="7">
        <f t="shared" si="65"/>
        <v>0</v>
      </c>
      <c r="U978" s="7">
        <f t="shared" si="66"/>
        <v>3648.7571272422178</v>
      </c>
      <c r="V978" s="124"/>
      <c r="W978" s="7">
        <f>HLOOKUP($W$9,'ROR-Model'!$Q$10:$U$1273,Y978)</f>
        <v>109903.11518275779</v>
      </c>
      <c r="X978" s="139"/>
      <c r="Y978" s="3">
        <f t="shared" si="67"/>
        <v>969</v>
      </c>
      <c r="AA978" s="7">
        <v>109562.69432595352</v>
      </c>
      <c r="AC978" s="7">
        <f t="shared" si="68"/>
        <v>340.4208568042668</v>
      </c>
      <c r="AE978" s="42">
        <f t="shared" ref="AE978:AE1046" si="69">IF(ABS(AA978)&gt;0,AC978/AA978,"")</f>
        <v>3.1070873064831792E-3</v>
      </c>
      <c r="AH978" s="10" t="s">
        <v>203</v>
      </c>
      <c r="AI978" s="10" t="s">
        <v>204</v>
      </c>
    </row>
    <row r="979" spans="1:36">
      <c r="A979" s="53"/>
      <c r="B979" s="47"/>
      <c r="C979" s="47"/>
      <c r="E979" s="7">
        <f>+G979-Adjustments!G989</f>
        <v>0</v>
      </c>
      <c r="F979" s="7"/>
      <c r="G979" s="7"/>
      <c r="H979" s="7"/>
      <c r="I979" s="7"/>
      <c r="J979" s="7">
        <f>+I979-'ROR-Model'!I979</f>
        <v>0</v>
      </c>
      <c r="K979" s="7"/>
      <c r="L979" s="7"/>
      <c r="M979" s="7"/>
      <c r="N979" s="7"/>
      <c r="O979" s="120"/>
      <c r="P979" s="126"/>
      <c r="Q979" s="7"/>
      <c r="R979" s="7"/>
      <c r="S979" s="126"/>
      <c r="T979" s="7"/>
      <c r="U979" s="7"/>
      <c r="V979" s="124"/>
      <c r="W979" s="7"/>
      <c r="X979" s="139"/>
      <c r="Y979" s="3">
        <f t="shared" si="67"/>
        <v>970</v>
      </c>
      <c r="AA979" s="7"/>
      <c r="AC979" s="7" t="str">
        <f t="shared" si="68"/>
        <v/>
      </c>
      <c r="AE979" s="42" t="str">
        <f t="shared" si="69"/>
        <v/>
      </c>
      <c r="AG979" s="10"/>
      <c r="AH979" s="10"/>
      <c r="AI979" s="10"/>
    </row>
    <row r="980" spans="1:36">
      <c r="A980" s="47"/>
      <c r="B980" s="47" t="s">
        <v>205</v>
      </c>
      <c r="C980" s="47"/>
      <c r="E980" s="7">
        <f>+G980-Adjustments!G990</f>
        <v>-5037992.5680000009</v>
      </c>
      <c r="F980" s="7">
        <f>SUM(F972:F978)</f>
        <v>79968136</v>
      </c>
      <c r="G980" s="7">
        <f>SUM(G972:G978)</f>
        <v>-5037992.5680000009</v>
      </c>
      <c r="H980" s="7"/>
      <c r="I980" s="7">
        <f>SUM(I972:I978)</f>
        <v>74930143.431999996</v>
      </c>
      <c r="J980" s="7">
        <f>+I980-'ROR-Model'!I980</f>
        <v>0</v>
      </c>
      <c r="K980" s="7"/>
      <c r="L980" s="7"/>
      <c r="M980" s="7">
        <f>SUM(M972:M978)</f>
        <v>72522416.555014685</v>
      </c>
      <c r="N980" s="7">
        <f>SUM(N972:N978)</f>
        <v>2407726.8769853157</v>
      </c>
      <c r="O980" s="120"/>
      <c r="P980" s="126"/>
      <c r="Q980" s="7">
        <f>SUM(Q972:Q978)</f>
        <v>72522416.555014685</v>
      </c>
      <c r="R980" s="7">
        <f>SUM(R972:R978)</f>
        <v>0</v>
      </c>
      <c r="S980" s="126"/>
      <c r="T980" s="7">
        <f>SUM(T972:T978)</f>
        <v>0</v>
      </c>
      <c r="U980" s="7">
        <f>SUM(U972:U978)</f>
        <v>2407726.8769853157</v>
      </c>
      <c r="V980" s="124"/>
      <c r="W980" s="7">
        <f>SUM(W972:W978)</f>
        <v>72522416.555014685</v>
      </c>
      <c r="X980" s="139"/>
      <c r="Y980" s="3">
        <f t="shared" si="67"/>
        <v>971</v>
      </c>
      <c r="AA980" s="7">
        <v>72297781.03726688</v>
      </c>
      <c r="AC980" s="7">
        <f t="shared" si="68"/>
        <v>224635.51774780452</v>
      </c>
      <c r="AE980" s="42">
        <f t="shared" si="69"/>
        <v>3.1070873064833492E-3</v>
      </c>
      <c r="AG980" s="10"/>
      <c r="AH980" s="10" t="s">
        <v>205</v>
      </c>
      <c r="AI980" s="10"/>
    </row>
    <row r="981" spans="1:36">
      <c r="A981" s="47"/>
      <c r="B981" s="47"/>
      <c r="C981" s="47"/>
      <c r="E981" s="7">
        <f>+G981-Adjustments!G991</f>
        <v>0</v>
      </c>
      <c r="F981" s="7"/>
      <c r="G981" s="7"/>
      <c r="H981" s="7"/>
      <c r="I981" s="7"/>
      <c r="J981" s="7">
        <f>+I981-'ROR-Model'!I981</f>
        <v>0</v>
      </c>
      <c r="K981" s="7"/>
      <c r="L981" s="7"/>
      <c r="M981" s="7"/>
      <c r="N981" s="7"/>
      <c r="O981" s="120"/>
      <c r="P981" s="126"/>
      <c r="Q981" s="7"/>
      <c r="R981" s="7"/>
      <c r="S981" s="126"/>
      <c r="T981" s="7"/>
      <c r="U981" s="7"/>
      <c r="V981" s="124"/>
      <c r="W981" s="7"/>
      <c r="X981" s="139"/>
      <c r="Y981" s="3">
        <f t="shared" si="67"/>
        <v>972</v>
      </c>
      <c r="AA981" s="7"/>
      <c r="AC981" s="7" t="str">
        <f t="shared" si="68"/>
        <v/>
      </c>
      <c r="AE981" s="42" t="str">
        <f t="shared" si="69"/>
        <v/>
      </c>
      <c r="AG981" s="10"/>
      <c r="AH981" s="10"/>
      <c r="AI981" s="10"/>
    </row>
    <row r="982" spans="1:36">
      <c r="A982" s="47" t="s">
        <v>206</v>
      </c>
      <c r="C982" s="47"/>
      <c r="E982" s="7">
        <f>+G982-Adjustments!G992</f>
        <v>0</v>
      </c>
      <c r="F982" s="7"/>
      <c r="G982" s="7"/>
      <c r="H982" s="7"/>
      <c r="I982" s="7"/>
      <c r="J982" s="7">
        <f>+I982-'ROR-Model'!I982</f>
        <v>0</v>
      </c>
      <c r="K982" s="7"/>
      <c r="L982" s="7"/>
      <c r="M982" s="7"/>
      <c r="N982" s="7"/>
      <c r="O982" s="120"/>
      <c r="P982" s="126"/>
      <c r="Q982" s="7"/>
      <c r="R982" s="7"/>
      <c r="S982" s="126"/>
      <c r="T982" s="7"/>
      <c r="U982" s="7"/>
      <c r="V982" s="124"/>
      <c r="W982" s="7"/>
      <c r="X982" s="139"/>
      <c r="Y982" s="3">
        <f t="shared" si="67"/>
        <v>973</v>
      </c>
      <c r="AA982" s="7"/>
      <c r="AC982" s="7" t="str">
        <f t="shared" si="68"/>
        <v/>
      </c>
      <c r="AE982" s="42" t="str">
        <f t="shared" si="69"/>
        <v/>
      </c>
      <c r="AG982" s="10" t="s">
        <v>206</v>
      </c>
      <c r="AI982" s="10"/>
    </row>
    <row r="983" spans="1:36">
      <c r="A983" s="47"/>
      <c r="B983" s="1057" t="s">
        <v>1260</v>
      </c>
      <c r="C983" s="265" t="s">
        <v>1261</v>
      </c>
      <c r="D983" s="265"/>
      <c r="E983" s="265"/>
      <c r="F983" s="7"/>
      <c r="G983" s="7"/>
      <c r="H983" s="7"/>
      <c r="I983" s="7"/>
      <c r="J983" s="7">
        <f>+I983-'ROR-Model'!I983</f>
        <v>0</v>
      </c>
      <c r="K983" s="7"/>
      <c r="L983" s="7"/>
      <c r="M983" s="7"/>
      <c r="N983" s="7"/>
      <c r="O983" s="120"/>
      <c r="P983" s="126"/>
      <c r="Q983" s="7"/>
      <c r="R983" s="7"/>
      <c r="S983" s="126"/>
      <c r="T983" s="7"/>
      <c r="U983" s="7"/>
      <c r="V983" s="124"/>
      <c r="W983" s="7"/>
      <c r="X983" s="139"/>
      <c r="Y983" s="3">
        <f t="shared" si="67"/>
        <v>974</v>
      </c>
      <c r="AA983" s="7"/>
      <c r="AC983" s="7"/>
      <c r="AE983" s="42"/>
      <c r="AG983" s="10"/>
      <c r="AH983" s="1057" t="s">
        <v>1260</v>
      </c>
      <c r="AI983" s="265" t="s">
        <v>1261</v>
      </c>
      <c r="AJ983" s="265"/>
    </row>
    <row r="984" spans="1:36">
      <c r="A984" s="47"/>
      <c r="B984" s="265"/>
      <c r="C984" s="265"/>
      <c r="D984" s="265" t="s">
        <v>23</v>
      </c>
      <c r="E984" s="265"/>
      <c r="F984" s="7" t="e">
        <f>'Rate Base'!#REF!</f>
        <v>#REF!</v>
      </c>
      <c r="G984" s="7">
        <f>+Adjustments!V968</f>
        <v>0</v>
      </c>
      <c r="H984" s="7"/>
      <c r="I984" s="7" t="e">
        <f t="shared" ref="I984:I986" si="70">SUM(F984:H984)</f>
        <v>#REF!</v>
      </c>
      <c r="J984" s="7" t="e">
        <f>+I984-'ROR-Model'!I984</f>
        <v>#REF!</v>
      </c>
      <c r="K984" s="7"/>
      <c r="L984" s="265" t="s">
        <v>23</v>
      </c>
      <c r="M984" s="7" t="e">
        <f t="shared" ref="M984:M985" si="71">VLOOKUP($L984,$L$2:$N$7,2,FALSE)*I984</f>
        <v>#REF!</v>
      </c>
      <c r="N984" s="7" t="e">
        <f t="shared" ref="N984:N985" si="72">VLOOKUP($L984,$L$2:$N$7,3,FALSE)*I984</f>
        <v>#REF!</v>
      </c>
      <c r="O984" s="120"/>
      <c r="P984" s="192" t="s">
        <v>510</v>
      </c>
      <c r="Q984" s="7" t="e">
        <f>IF(P984="G",M984,IF(P984="PT",0,ERR))</f>
        <v>#REF!</v>
      </c>
      <c r="R984" s="7">
        <f>IF(P984="PT",M984,IF(P984="G",0,ERR))</f>
        <v>0</v>
      </c>
      <c r="S984" s="126" t="s">
        <v>510</v>
      </c>
      <c r="T984" s="7" t="e">
        <f>IF(S984="G",N984,IF(S984="PT",0,ERR))</f>
        <v>#REF!</v>
      </c>
      <c r="U984" s="7">
        <f>IF(S984="PT",N984,IF(S984="G",0,ERR))</f>
        <v>0</v>
      </c>
      <c r="V984" s="124"/>
      <c r="W984" s="7" t="e">
        <f>HLOOKUP($W$9,'ROR-Model'!$Q$10:$U$1273,Y984)</f>
        <v>#REF!</v>
      </c>
      <c r="X984" s="139"/>
      <c r="Y984" s="3">
        <f t="shared" si="67"/>
        <v>975</v>
      </c>
      <c r="AA984" s="7"/>
      <c r="AC984" s="7"/>
      <c r="AE984" s="42"/>
      <c r="AG984" s="10"/>
      <c r="AH984" s="265"/>
      <c r="AI984" s="265"/>
      <c r="AJ984" s="265" t="s">
        <v>23</v>
      </c>
    </row>
    <row r="985" spans="1:36">
      <c r="A985" s="47"/>
      <c r="B985" s="265"/>
      <c r="C985" s="265"/>
      <c r="D985" s="265" t="s">
        <v>12</v>
      </c>
      <c r="E985" s="265"/>
      <c r="F985" s="1062" t="e">
        <f>'Rate Base'!#REF!</f>
        <v>#REF!</v>
      </c>
      <c r="G985" s="1062">
        <f>+Adjustments!V969</f>
        <v>0</v>
      </c>
      <c r="H985" s="7"/>
      <c r="I985" s="7" t="e">
        <f t="shared" si="70"/>
        <v>#REF!</v>
      </c>
      <c r="J985" s="7" t="e">
        <f>+I985-'ROR-Model'!I985</f>
        <v>#REF!</v>
      </c>
      <c r="K985" s="7"/>
      <c r="L985" s="265" t="s">
        <v>12</v>
      </c>
      <c r="M985" s="7" t="e">
        <f t="shared" si="71"/>
        <v>#REF!</v>
      </c>
      <c r="N985" s="7" t="e">
        <f t="shared" si="72"/>
        <v>#REF!</v>
      </c>
      <c r="O985" s="120"/>
      <c r="P985" s="192" t="s">
        <v>510</v>
      </c>
      <c r="Q985" s="7" t="e">
        <f>IF(P985="G",M985,IF(P985="PT",0,ERR))</f>
        <v>#REF!</v>
      </c>
      <c r="R985" s="7">
        <f>IF(P985="PT",M985,IF(P985="G",0,ERR))</f>
        <v>0</v>
      </c>
      <c r="S985" s="126" t="s">
        <v>510</v>
      </c>
      <c r="T985" s="7" t="e">
        <f>IF(S985="G",N985,IF(S985="PT",0,ERR))</f>
        <v>#REF!</v>
      </c>
      <c r="U985" s="7">
        <f>IF(S985="PT",N985,IF(S985="G",0,ERR))</f>
        <v>0</v>
      </c>
      <c r="V985" s="124"/>
      <c r="W985" s="7" t="e">
        <f>HLOOKUP($W$9,'ROR-Model'!$Q$10:$U$1273,Y985)</f>
        <v>#REF!</v>
      </c>
      <c r="X985" s="139"/>
      <c r="Y985" s="3">
        <f t="shared" si="67"/>
        <v>976</v>
      </c>
      <c r="AA985" s="7"/>
      <c r="AC985" s="7"/>
      <c r="AE985" s="42"/>
      <c r="AG985" s="10"/>
      <c r="AH985" s="265"/>
      <c r="AI985" s="265"/>
      <c r="AJ985" s="265" t="s">
        <v>12</v>
      </c>
    </row>
    <row r="986" spans="1:36">
      <c r="A986" s="47"/>
      <c r="B986" s="265"/>
      <c r="C986" s="265"/>
      <c r="D986" s="265" t="s">
        <v>145</v>
      </c>
      <c r="E986" s="265"/>
      <c r="F986" s="7" t="e">
        <f>'Rate Base'!#REF!</f>
        <v>#REF!</v>
      </c>
      <c r="G986" s="7">
        <f>+Adjustments!V970</f>
        <v>0</v>
      </c>
      <c r="H986" s="7"/>
      <c r="I986" s="7" t="e">
        <f t="shared" si="70"/>
        <v>#REF!</v>
      </c>
      <c r="J986" s="7" t="e">
        <f>+I986-'ROR-Model'!I986</f>
        <v>#REF!</v>
      </c>
      <c r="K986" s="7"/>
      <c r="L986" s="7"/>
      <c r="M986" s="7"/>
      <c r="N986" s="7"/>
      <c r="O986" s="120"/>
      <c r="P986" s="126"/>
      <c r="Q986" s="7"/>
      <c r="R986" s="7"/>
      <c r="S986" s="126"/>
      <c r="T986" s="7"/>
      <c r="U986" s="7"/>
      <c r="V986" s="124"/>
      <c r="W986" s="7"/>
      <c r="X986" s="139"/>
      <c r="Y986" s="3">
        <f t="shared" si="67"/>
        <v>977</v>
      </c>
      <c r="AA986" s="7"/>
      <c r="AC986" s="7"/>
      <c r="AE986" s="42"/>
      <c r="AG986" s="10"/>
      <c r="AH986" s="265"/>
      <c r="AI986" s="265"/>
      <c r="AJ986" s="265" t="s">
        <v>145</v>
      </c>
    </row>
    <row r="987" spans="1:36">
      <c r="A987" s="47"/>
      <c r="B987" s="265"/>
      <c r="C987" s="265"/>
      <c r="D987" s="265"/>
      <c r="E987" s="265"/>
      <c r="F987" s="7"/>
      <c r="G987" s="7"/>
      <c r="H987" s="7"/>
      <c r="I987" s="7"/>
      <c r="J987" s="7">
        <f>+I987-'ROR-Model'!I987</f>
        <v>0</v>
      </c>
      <c r="K987" s="7"/>
      <c r="L987" s="7"/>
      <c r="M987" s="7"/>
      <c r="N987" s="7"/>
      <c r="O987" s="120"/>
      <c r="P987" s="126"/>
      <c r="Q987" s="7"/>
      <c r="R987" s="7"/>
      <c r="S987" s="126"/>
      <c r="T987" s="7"/>
      <c r="U987" s="7"/>
      <c r="V987" s="124"/>
      <c r="W987" s="7"/>
      <c r="X987" s="139"/>
      <c r="Y987" s="3">
        <f t="shared" si="67"/>
        <v>978</v>
      </c>
      <c r="AA987" s="7"/>
      <c r="AC987" s="7"/>
      <c r="AE987" s="42"/>
      <c r="AG987" s="10"/>
      <c r="AH987" s="265"/>
      <c r="AI987" s="265"/>
      <c r="AJ987" s="265"/>
    </row>
    <row r="988" spans="1:36">
      <c r="A988" s="47"/>
      <c r="B988" s="1057" t="s">
        <v>1262</v>
      </c>
      <c r="C988" s="265" t="s">
        <v>1263</v>
      </c>
      <c r="D988" s="265"/>
      <c r="E988" s="265"/>
      <c r="F988" s="7"/>
      <c r="G988" s="7"/>
      <c r="H988" s="7"/>
      <c r="I988" s="7"/>
      <c r="J988" s="7">
        <f>+I988-'ROR-Model'!I988</f>
        <v>0</v>
      </c>
      <c r="K988" s="7"/>
      <c r="L988" s="7"/>
      <c r="M988" s="7"/>
      <c r="N988" s="7"/>
      <c r="O988" s="120"/>
      <c r="P988" s="126"/>
      <c r="Q988" s="7"/>
      <c r="R988" s="7"/>
      <c r="S988" s="126"/>
      <c r="T988" s="7"/>
      <c r="U988" s="7"/>
      <c r="V988" s="124"/>
      <c r="W988" s="7"/>
      <c r="X988" s="139"/>
      <c r="Y988" s="3">
        <f t="shared" si="67"/>
        <v>979</v>
      </c>
      <c r="AA988" s="7"/>
      <c r="AC988" s="7"/>
      <c r="AE988" s="42"/>
      <c r="AG988" s="10"/>
      <c r="AH988" s="1057" t="s">
        <v>1262</v>
      </c>
      <c r="AI988" s="265" t="s">
        <v>1263</v>
      </c>
      <c r="AJ988" s="265"/>
    </row>
    <row r="989" spans="1:36">
      <c r="A989" s="47"/>
      <c r="B989" s="265"/>
      <c r="C989" s="265"/>
      <c r="D989" s="265" t="s">
        <v>23</v>
      </c>
      <c r="E989" s="265"/>
      <c r="F989" s="7" t="e">
        <f>'Rate Base'!#REF!</f>
        <v>#REF!</v>
      </c>
      <c r="G989" s="7">
        <f>+Adjustments!V973</f>
        <v>0</v>
      </c>
      <c r="H989" s="7"/>
      <c r="I989" s="7" t="e">
        <f t="shared" ref="I989:I991" si="73">SUM(F989:H989)</f>
        <v>#REF!</v>
      </c>
      <c r="J989" s="7" t="e">
        <f>+I989-'ROR-Model'!I989</f>
        <v>#REF!</v>
      </c>
      <c r="K989" s="7"/>
      <c r="L989" s="265" t="s">
        <v>23</v>
      </c>
      <c r="M989" s="7" t="e">
        <f t="shared" ref="M989:M990" si="74">VLOOKUP($L989,$L$2:$N$7,2,FALSE)*I989</f>
        <v>#REF!</v>
      </c>
      <c r="N989" s="7" t="e">
        <f t="shared" ref="N989:N990" si="75">VLOOKUP($L989,$L$2:$N$7,3,FALSE)*I989</f>
        <v>#REF!</v>
      </c>
      <c r="O989" s="120"/>
      <c r="P989" s="192" t="s">
        <v>510</v>
      </c>
      <c r="Q989" s="7" t="e">
        <f>IF(P989="G",M989,IF(P989="PT",0,ERR))</f>
        <v>#REF!</v>
      </c>
      <c r="R989" s="7">
        <f>IF(P989="PT",M989,IF(P989="G",0,ERR))</f>
        <v>0</v>
      </c>
      <c r="S989" s="126" t="s">
        <v>510</v>
      </c>
      <c r="T989" s="7" t="e">
        <f>IF(S989="G",N989,IF(S989="PT",0,ERR))</f>
        <v>#REF!</v>
      </c>
      <c r="U989" s="7">
        <f>IF(S989="PT",N989,IF(S989="G",0,ERR))</f>
        <v>0</v>
      </c>
      <c r="V989" s="124"/>
      <c r="W989" s="7" t="e">
        <f>HLOOKUP($W$9,'ROR-Model'!$Q$10:$U$1273,Y989)</f>
        <v>#REF!</v>
      </c>
      <c r="X989" s="139"/>
      <c r="Y989" s="3">
        <f t="shared" si="67"/>
        <v>980</v>
      </c>
      <c r="AA989" s="7"/>
      <c r="AC989" s="7"/>
      <c r="AE989" s="42"/>
      <c r="AG989" s="10"/>
      <c r="AH989" s="265"/>
      <c r="AI989" s="265"/>
      <c r="AJ989" s="265" t="s">
        <v>23</v>
      </c>
    </row>
    <row r="990" spans="1:36">
      <c r="A990" s="47"/>
      <c r="B990" s="265"/>
      <c r="C990" s="265"/>
      <c r="D990" s="265" t="s">
        <v>12</v>
      </c>
      <c r="E990" s="265"/>
      <c r="F990" s="1062" t="e">
        <f>'Rate Base'!#REF!</f>
        <v>#REF!</v>
      </c>
      <c r="G990" s="1062">
        <f>+Adjustments!V974</f>
        <v>0</v>
      </c>
      <c r="H990" s="7"/>
      <c r="I990" s="7" t="e">
        <f t="shared" si="73"/>
        <v>#REF!</v>
      </c>
      <c r="J990" s="7" t="e">
        <f>+I990-'ROR-Model'!I990</f>
        <v>#REF!</v>
      </c>
      <c r="K990" s="7"/>
      <c r="L990" s="265" t="s">
        <v>12</v>
      </c>
      <c r="M990" s="7" t="e">
        <f t="shared" si="74"/>
        <v>#REF!</v>
      </c>
      <c r="N990" s="7" t="e">
        <f t="shared" si="75"/>
        <v>#REF!</v>
      </c>
      <c r="O990" s="120"/>
      <c r="P990" s="192" t="s">
        <v>510</v>
      </c>
      <c r="Q990" s="7" t="e">
        <f>IF(P990="G",M990,IF(P990="PT",0,ERR))</f>
        <v>#REF!</v>
      </c>
      <c r="R990" s="7">
        <f>IF(P990="PT",M990,IF(P990="G",0,ERR))</f>
        <v>0</v>
      </c>
      <c r="S990" s="126" t="s">
        <v>510</v>
      </c>
      <c r="T990" s="7" t="e">
        <f>IF(S990="G",N990,IF(S990="PT",0,ERR))</f>
        <v>#REF!</v>
      </c>
      <c r="U990" s="7">
        <f>IF(S990="PT",N990,IF(S990="G",0,ERR))</f>
        <v>0</v>
      </c>
      <c r="V990" s="124"/>
      <c r="W990" s="7" t="e">
        <f>HLOOKUP($W$9,'ROR-Model'!$Q$10:$U$1273,Y990)</f>
        <v>#REF!</v>
      </c>
      <c r="X990" s="139"/>
      <c r="Y990" s="3">
        <f t="shared" si="67"/>
        <v>981</v>
      </c>
      <c r="AA990" s="7"/>
      <c r="AC990" s="7"/>
      <c r="AE990" s="42"/>
      <c r="AG990" s="10"/>
      <c r="AH990" s="265"/>
      <c r="AI990" s="265"/>
      <c r="AJ990" s="265" t="s">
        <v>12</v>
      </c>
    </row>
    <row r="991" spans="1:36">
      <c r="A991" s="47"/>
      <c r="B991" s="265"/>
      <c r="C991" s="265"/>
      <c r="D991" s="265" t="s">
        <v>145</v>
      </c>
      <c r="E991" s="265"/>
      <c r="F991" s="7" t="e">
        <f>'Rate Base'!#REF!</f>
        <v>#REF!</v>
      </c>
      <c r="G991" s="7">
        <f>+Adjustments!V975</f>
        <v>0</v>
      </c>
      <c r="H991" s="7"/>
      <c r="I991" s="7" t="e">
        <f t="shared" si="73"/>
        <v>#REF!</v>
      </c>
      <c r="J991" s="7" t="e">
        <f>+I991-'ROR-Model'!I991</f>
        <v>#REF!</v>
      </c>
      <c r="K991" s="7"/>
      <c r="L991" s="7"/>
      <c r="M991" s="7"/>
      <c r="N991" s="7"/>
      <c r="O991" s="120"/>
      <c r="P991" s="126"/>
      <c r="Q991" s="7"/>
      <c r="R991" s="7"/>
      <c r="S991" s="126"/>
      <c r="T991" s="7"/>
      <c r="U991" s="7"/>
      <c r="V991" s="124"/>
      <c r="W991" s="7"/>
      <c r="X991" s="139"/>
      <c r="Y991" s="3">
        <f t="shared" si="67"/>
        <v>982</v>
      </c>
      <c r="AA991" s="7"/>
      <c r="AC991" s="7"/>
      <c r="AE991" s="42"/>
      <c r="AG991" s="10"/>
      <c r="AH991" s="265"/>
      <c r="AI991" s="265"/>
      <c r="AJ991" s="265" t="s">
        <v>145</v>
      </c>
    </row>
    <row r="992" spans="1:36">
      <c r="A992" s="47"/>
      <c r="C992" s="47"/>
      <c r="E992" s="7"/>
      <c r="F992" s="7"/>
      <c r="G992" s="7"/>
      <c r="H992" s="7"/>
      <c r="I992" s="7"/>
      <c r="J992" s="7">
        <f>+I992-'ROR-Model'!I992</f>
        <v>0</v>
      </c>
      <c r="K992" s="7"/>
      <c r="L992" s="7"/>
      <c r="M992" s="7"/>
      <c r="N992" s="7"/>
      <c r="O992" s="120"/>
      <c r="P992" s="126"/>
      <c r="Q992" s="7"/>
      <c r="R992" s="7"/>
      <c r="S992" s="126"/>
      <c r="T992" s="7"/>
      <c r="U992" s="7"/>
      <c r="V992" s="124"/>
      <c r="W992" s="7"/>
      <c r="X992" s="139"/>
      <c r="Y992" s="3">
        <f t="shared" si="67"/>
        <v>983</v>
      </c>
      <c r="AA992" s="7"/>
      <c r="AC992" s="7"/>
      <c r="AE992" s="42"/>
      <c r="AG992" s="10"/>
      <c r="AI992" s="10"/>
    </row>
    <row r="993" spans="1:36">
      <c r="B993" s="47" t="s">
        <v>207</v>
      </c>
      <c r="C993" s="47" t="s">
        <v>192</v>
      </c>
      <c r="D993" s="47"/>
      <c r="E993" s="7">
        <f>+G993-Adjustments!G993</f>
        <v>0</v>
      </c>
      <c r="F993" s="7"/>
      <c r="G993" s="7"/>
      <c r="H993" s="7"/>
      <c r="I993" s="7"/>
      <c r="J993" s="7">
        <f>+I993-'ROR-Model'!I993</f>
        <v>0</v>
      </c>
      <c r="K993" s="7"/>
      <c r="L993" s="7"/>
      <c r="M993" s="7"/>
      <c r="N993" s="7"/>
      <c r="O993" s="120"/>
      <c r="P993" s="126"/>
      <c r="Q993" s="7"/>
      <c r="R993" s="7"/>
      <c r="S993" s="126"/>
      <c r="T993" s="7"/>
      <c r="U993" s="7"/>
      <c r="V993" s="124"/>
      <c r="W993" s="7"/>
      <c r="X993" s="139"/>
      <c r="Y993" s="3">
        <f t="shared" si="67"/>
        <v>984</v>
      </c>
      <c r="AA993" s="7"/>
      <c r="AC993" s="7" t="str">
        <f t="shared" si="68"/>
        <v/>
      </c>
      <c r="AE993" s="42" t="str">
        <f t="shared" si="69"/>
        <v/>
      </c>
      <c r="AH993" s="10" t="s">
        <v>207</v>
      </c>
      <c r="AI993" s="10" t="s">
        <v>192</v>
      </c>
      <c r="AJ993" s="10"/>
    </row>
    <row r="994" spans="1:36">
      <c r="B994" s="47"/>
      <c r="C994" s="47"/>
      <c r="D994" s="47" t="s">
        <v>23</v>
      </c>
      <c r="E994" s="7">
        <f>+G994-Adjustments!G994</f>
        <v>0</v>
      </c>
      <c r="F994" s="7">
        <f>'Rate Base'!$T$33</f>
        <v>451318.04000000004</v>
      </c>
      <c r="G994" s="7">
        <f>+Adjustments!V978</f>
        <v>0</v>
      </c>
      <c r="H994" s="7"/>
      <c r="I994" s="7">
        <f>SUM(F994:H994)</f>
        <v>451318.04000000004</v>
      </c>
      <c r="J994" s="7">
        <f>+I994-'ROR-Model'!I994</f>
        <v>0</v>
      </c>
      <c r="K994" s="7"/>
      <c r="L994" s="7" t="s">
        <v>23</v>
      </c>
      <c r="M994" s="7">
        <f>VLOOKUP($L994,$L$2:$N$7,2,FALSE)*I994</f>
        <v>0</v>
      </c>
      <c r="N994" s="7">
        <f>VLOOKUP($L994,$L$2:$N$7,3,FALSE)*I994</f>
        <v>451318.04000000004</v>
      </c>
      <c r="O994" s="120"/>
      <c r="P994" s="192" t="s">
        <v>510</v>
      </c>
      <c r="Q994" s="7">
        <f>IF(P994="G",M994,IF(P994="PT",0,ERR))</f>
        <v>0</v>
      </c>
      <c r="R994" s="7">
        <f>IF(P994="PT",M994,IF(P994="G",0,ERR))</f>
        <v>0</v>
      </c>
      <c r="S994" s="126" t="s">
        <v>510</v>
      </c>
      <c r="T994" s="7">
        <f>IF(S994="G",N994,IF(S994="PT",0,ERR))</f>
        <v>451318.04000000004</v>
      </c>
      <c r="U994" s="7">
        <f>IF(S994="PT",N994,IF(S994="G",0,ERR))</f>
        <v>0</v>
      </c>
      <c r="V994" s="124"/>
      <c r="W994" s="7">
        <f>HLOOKUP($W$9,'ROR-Model'!$Q$10:$U$1273,Y994)</f>
        <v>0</v>
      </c>
      <c r="X994" s="139"/>
      <c r="Y994" s="3">
        <f t="shared" si="67"/>
        <v>985</v>
      </c>
      <c r="AA994" s="7">
        <v>0</v>
      </c>
      <c r="AC994" s="7" t="str">
        <f t="shared" si="68"/>
        <v/>
      </c>
      <c r="AE994" s="42" t="str">
        <f t="shared" si="69"/>
        <v/>
      </c>
      <c r="AH994" s="10"/>
      <c r="AI994" s="10"/>
      <c r="AJ994" s="10" t="s">
        <v>23</v>
      </c>
    </row>
    <row r="995" spans="1:36">
      <c r="B995" s="47"/>
      <c r="C995" s="47"/>
      <c r="D995" s="47" t="s">
        <v>12</v>
      </c>
      <c r="E995" s="7">
        <f>+G995-Adjustments!G995</f>
        <v>-471623.1950000003</v>
      </c>
      <c r="F995" s="7">
        <f>'Rate Base'!$T$34</f>
        <v>25055539.260000002</v>
      </c>
      <c r="G995" s="7">
        <f>+Adjustments!V979</f>
        <v>-471623.1950000003</v>
      </c>
      <c r="H995" s="7"/>
      <c r="I995" s="7">
        <f>SUM(F995:H995)</f>
        <v>24583916.065000001</v>
      </c>
      <c r="J995" s="7">
        <f>+I995-'ROR-Model'!I995</f>
        <v>0</v>
      </c>
      <c r="K995" s="7"/>
      <c r="L995" s="7" t="s">
        <v>12</v>
      </c>
      <c r="M995" s="7">
        <f>VLOOKUP($L995,$L$2:$N$7,2,FALSE)*I995</f>
        <v>24583916.065000001</v>
      </c>
      <c r="N995" s="7">
        <f>VLOOKUP($L995,$L$2:$N$7,3,FALSE)*I995</f>
        <v>0</v>
      </c>
      <c r="O995" s="120"/>
      <c r="P995" s="192" t="s">
        <v>510</v>
      </c>
      <c r="Q995" s="7">
        <f>IF(P995="G",M995,IF(P995="PT",0,ERR))</f>
        <v>24583916.065000001</v>
      </c>
      <c r="R995" s="7">
        <f>IF(P995="PT",M995,IF(P995="G",0,ERR))</f>
        <v>0</v>
      </c>
      <c r="S995" s="126" t="s">
        <v>510</v>
      </c>
      <c r="T995" s="7">
        <f>IF(S995="G",N995,IF(S995="PT",0,ERR))</f>
        <v>0</v>
      </c>
      <c r="U995" s="7">
        <f>IF(S995="PT",N995,IF(S995="G",0,ERR))</f>
        <v>0</v>
      </c>
      <c r="V995" s="124"/>
      <c r="W995" s="7">
        <f>HLOOKUP($W$9,'ROR-Model'!$Q$10:$U$1273,Y995)</f>
        <v>24583916.065000001</v>
      </c>
      <c r="X995" s="139"/>
      <c r="Y995" s="3">
        <f t="shared" si="67"/>
        <v>986</v>
      </c>
      <c r="AA995" s="7">
        <v>20021263.099166665</v>
      </c>
      <c r="AC995" s="7">
        <f t="shared" si="68"/>
        <v>4562652.9658333361</v>
      </c>
      <c r="AE995" s="42">
        <f t="shared" si="69"/>
        <v>0.22789036551960826</v>
      </c>
      <c r="AH995" s="10"/>
      <c r="AI995" s="10"/>
      <c r="AJ995" s="10" t="s">
        <v>12</v>
      </c>
    </row>
    <row r="996" spans="1:36">
      <c r="B996" s="47"/>
      <c r="C996" s="47"/>
      <c r="D996" s="47" t="s">
        <v>145</v>
      </c>
      <c r="E996" s="140">
        <f>+G996-Adjustments!G996</f>
        <v>-471623.1950000003</v>
      </c>
      <c r="F996" s="140">
        <f>SUM(F994:F995)</f>
        <v>25506857.300000001</v>
      </c>
      <c r="G996" s="140">
        <f>SUM(G994:G995)</f>
        <v>-471623.1950000003</v>
      </c>
      <c r="H996" s="140"/>
      <c r="I996" s="140">
        <f>SUM(I994:I995)</f>
        <v>25035234.105</v>
      </c>
      <c r="J996" s="7">
        <f>+I996-'ROR-Model'!I996</f>
        <v>0</v>
      </c>
      <c r="K996" s="7"/>
      <c r="L996" s="140"/>
      <c r="M996" s="140">
        <f>SUM(M994:M995)</f>
        <v>24583916.065000001</v>
      </c>
      <c r="N996" s="140">
        <f>SUM(N994:N995)</f>
        <v>451318.04000000004</v>
      </c>
      <c r="O996" s="120"/>
      <c r="P996" s="201"/>
      <c r="Q996" s="140">
        <f>SUM(Q994:Q995)</f>
        <v>24583916.065000001</v>
      </c>
      <c r="R996" s="140">
        <f>SUM(R994:R995)</f>
        <v>0</v>
      </c>
      <c r="S996" s="201"/>
      <c r="T996" s="140">
        <f>SUM(T994:T995)</f>
        <v>451318.04000000004</v>
      </c>
      <c r="U996" s="140">
        <f>SUM(U994:U995)</f>
        <v>0</v>
      </c>
      <c r="V996" s="124"/>
      <c r="W996" s="140">
        <f>SUM(W994:W995)</f>
        <v>24583916.065000001</v>
      </c>
      <c r="X996" s="139"/>
      <c r="Y996" s="3">
        <f t="shared" si="67"/>
        <v>987</v>
      </c>
      <c r="AA996" s="140">
        <v>20021263.099166665</v>
      </c>
      <c r="AC996" s="140">
        <f t="shared" si="68"/>
        <v>4562652.9658333361</v>
      </c>
      <c r="AE996" s="42">
        <f t="shared" si="69"/>
        <v>0.22789036551960826</v>
      </c>
      <c r="AH996" s="10"/>
      <c r="AI996" s="10"/>
      <c r="AJ996" s="10" t="s">
        <v>145</v>
      </c>
    </row>
    <row r="997" spans="1:36">
      <c r="A997" s="47"/>
      <c r="B997" s="47"/>
      <c r="C997" s="47"/>
      <c r="E997" s="7">
        <f>+G997-Adjustments!G997</f>
        <v>0</v>
      </c>
      <c r="F997" s="7"/>
      <c r="G997" s="7"/>
      <c r="H997" s="7"/>
      <c r="I997" s="7"/>
      <c r="J997" s="7">
        <f>+I997-'ROR-Model'!I997</f>
        <v>0</v>
      </c>
      <c r="K997" s="7"/>
      <c r="L997" s="7"/>
      <c r="M997" s="7"/>
      <c r="N997" s="7"/>
      <c r="O997" s="120"/>
      <c r="P997" s="126"/>
      <c r="Q997" s="7"/>
      <c r="R997" s="7"/>
      <c r="S997" s="126"/>
      <c r="T997" s="7"/>
      <c r="U997" s="7"/>
      <c r="V997" s="124"/>
      <c r="W997" s="7"/>
      <c r="X997" s="139"/>
      <c r="Y997" s="3">
        <f t="shared" si="67"/>
        <v>988</v>
      </c>
      <c r="AA997" s="7"/>
      <c r="AC997" s="7" t="str">
        <f t="shared" si="68"/>
        <v/>
      </c>
      <c r="AE997" s="42" t="str">
        <f t="shared" si="69"/>
        <v/>
      </c>
      <c r="AG997" s="10"/>
      <c r="AH997" s="10"/>
      <c r="AI997" s="10"/>
    </row>
    <row r="998" spans="1:36">
      <c r="B998" s="47" t="s">
        <v>208</v>
      </c>
      <c r="C998" s="47" t="s">
        <v>209</v>
      </c>
      <c r="D998" s="47"/>
      <c r="E998" s="7">
        <f>+G998-Adjustments!G998</f>
        <v>0</v>
      </c>
      <c r="F998" s="7"/>
      <c r="G998" s="7"/>
      <c r="H998" s="7"/>
      <c r="I998" s="7"/>
      <c r="J998" s="7">
        <f>+I998-'ROR-Model'!I998</f>
        <v>0</v>
      </c>
      <c r="K998" s="7"/>
      <c r="L998" s="7"/>
      <c r="M998" s="7"/>
      <c r="N998" s="7"/>
      <c r="O998" s="120"/>
      <c r="P998" s="126"/>
      <c r="Q998" s="7"/>
      <c r="R998" s="7"/>
      <c r="S998" s="126"/>
      <c r="T998" s="7"/>
      <c r="U998" s="7"/>
      <c r="V998" s="124"/>
      <c r="W998" s="7"/>
      <c r="X998" s="139"/>
      <c r="Y998" s="3">
        <f t="shared" si="67"/>
        <v>989</v>
      </c>
      <c r="AA998" s="7"/>
      <c r="AC998" s="7" t="str">
        <f t="shared" si="68"/>
        <v/>
      </c>
      <c r="AE998" s="42" t="str">
        <f t="shared" si="69"/>
        <v/>
      </c>
      <c r="AH998" s="10" t="s">
        <v>208</v>
      </c>
      <c r="AI998" s="10" t="s">
        <v>209</v>
      </c>
      <c r="AJ998" s="10"/>
    </row>
    <row r="999" spans="1:36">
      <c r="B999" s="47"/>
      <c r="C999" s="47"/>
      <c r="D999" s="47" t="s">
        <v>23</v>
      </c>
      <c r="E999" s="7">
        <f>+G999-Adjustments!G999</f>
        <v>0</v>
      </c>
      <c r="F999" s="7">
        <f>'Rate Base'!$T$38</f>
        <v>1730202.8399999999</v>
      </c>
      <c r="G999" s="7">
        <f>+Adjustments!V983</f>
        <v>0</v>
      </c>
      <c r="H999" s="7"/>
      <c r="I999" s="7">
        <f>SUM(F999:H999)</f>
        <v>1730202.8399999999</v>
      </c>
      <c r="J999" s="7">
        <f>+I999-'ROR-Model'!I999</f>
        <v>0</v>
      </c>
      <c r="K999" s="7"/>
      <c r="L999" s="7" t="s">
        <v>23</v>
      </c>
      <c r="M999" s="7">
        <f>VLOOKUP($L999,$L$2:$N$7,2,FALSE)*I999</f>
        <v>0</v>
      </c>
      <c r="N999" s="7">
        <f>VLOOKUP($L999,$L$2:$N$7,3,FALSE)*I999</f>
        <v>1730202.8399999999</v>
      </c>
      <c r="O999" s="120"/>
      <c r="P999" s="192" t="s">
        <v>510</v>
      </c>
      <c r="Q999" s="7">
        <f>IF(P999="G",M999,IF(P999="PT",0,ERR))</f>
        <v>0</v>
      </c>
      <c r="R999" s="7">
        <f>IF(P999="PT",M999,IF(P999="G",0,ERR))</f>
        <v>0</v>
      </c>
      <c r="S999" s="126" t="s">
        <v>510</v>
      </c>
      <c r="T999" s="7">
        <f>IF(S999="G",N999,IF(S999="PT",0,ERR))</f>
        <v>1730202.8399999999</v>
      </c>
      <c r="U999" s="7">
        <f>IF(S999="PT",N999,IF(S999="G",0,ERR))</f>
        <v>0</v>
      </c>
      <c r="V999" s="124"/>
      <c r="W999" s="7">
        <f>HLOOKUP($W$9,'ROR-Model'!$Q$10:$U$1273,Y999)</f>
        <v>0</v>
      </c>
      <c r="X999" s="139"/>
      <c r="Y999" s="3">
        <f t="shared" si="67"/>
        <v>990</v>
      </c>
      <c r="AA999" s="7">
        <v>0</v>
      </c>
      <c r="AC999" s="7" t="str">
        <f t="shared" si="68"/>
        <v/>
      </c>
      <c r="AE999" s="42" t="str">
        <f t="shared" si="69"/>
        <v/>
      </c>
      <c r="AH999" s="10"/>
      <c r="AI999" s="10"/>
      <c r="AJ999" s="10" t="s">
        <v>23</v>
      </c>
    </row>
    <row r="1000" spans="1:36">
      <c r="B1000" s="47"/>
      <c r="C1000" s="47"/>
      <c r="D1000" s="47" t="s">
        <v>12</v>
      </c>
      <c r="E1000" s="7">
        <f>+G1000-Adjustments!G1000</f>
        <v>-264978.67750000209</v>
      </c>
      <c r="F1000" s="7">
        <f>'Rate Base'!$T$39</f>
        <v>19123777.989999991</v>
      </c>
      <c r="G1000" s="7">
        <f>+Adjustments!V984</f>
        <v>-264978.67750000209</v>
      </c>
      <c r="H1000" s="7"/>
      <c r="I1000" s="7">
        <f>SUM(F1000:H1000)</f>
        <v>18858799.312499989</v>
      </c>
      <c r="J1000" s="7">
        <f>+I1000-'ROR-Model'!I1000</f>
        <v>0</v>
      </c>
      <c r="K1000" s="7"/>
      <c r="L1000" s="7" t="s">
        <v>12</v>
      </c>
      <c r="M1000" s="7">
        <f>VLOOKUP($L1000,$L$2:$N$7,2,FALSE)*I1000</f>
        <v>18858799.312499989</v>
      </c>
      <c r="N1000" s="7">
        <f>VLOOKUP($L1000,$L$2:$N$7,3,FALSE)*I1000</f>
        <v>0</v>
      </c>
      <c r="O1000" s="120"/>
      <c r="P1000" s="192" t="s">
        <v>510</v>
      </c>
      <c r="Q1000" s="7">
        <f>IF(P1000="G",M1000,IF(P1000="PT",0,ERR))</f>
        <v>18858799.312499989</v>
      </c>
      <c r="R1000" s="7">
        <f>IF(P1000="PT",M1000,IF(P1000="G",0,ERR))</f>
        <v>0</v>
      </c>
      <c r="S1000" s="126" t="s">
        <v>510</v>
      </c>
      <c r="T1000" s="7">
        <f>IF(S1000="G",N1000,IF(S1000="PT",0,ERR))</f>
        <v>0</v>
      </c>
      <c r="U1000" s="7">
        <f>IF(S1000="PT",N1000,IF(S1000="G",0,ERR))</f>
        <v>0</v>
      </c>
      <c r="V1000" s="124"/>
      <c r="W1000" s="7">
        <f>HLOOKUP($W$9,'ROR-Model'!$Q$10:$U$1273,Y1000)</f>
        <v>18858799.312499989</v>
      </c>
      <c r="X1000" s="139"/>
      <c r="Y1000" s="3">
        <f t="shared" si="67"/>
        <v>991</v>
      </c>
      <c r="AA1000" s="7">
        <v>15468748.642916664</v>
      </c>
      <c r="AC1000" s="7">
        <f t="shared" si="68"/>
        <v>3390050.6695833243</v>
      </c>
      <c r="AE1000" s="42">
        <f t="shared" si="69"/>
        <v>0.21915480998753389</v>
      </c>
      <c r="AH1000" s="10"/>
      <c r="AI1000" s="10"/>
      <c r="AJ1000" s="10" t="s">
        <v>12</v>
      </c>
    </row>
    <row r="1001" spans="1:36">
      <c r="B1001" s="47"/>
      <c r="C1001" s="47"/>
      <c r="D1001" s="47" t="s">
        <v>145</v>
      </c>
      <c r="E1001" s="140">
        <f>+G1001-Adjustments!G1001</f>
        <v>-264978.67750000209</v>
      </c>
      <c r="F1001" s="140">
        <f>SUM(F999:F1000)</f>
        <v>20853980.829999991</v>
      </c>
      <c r="G1001" s="140">
        <f>SUM(G999:G1000)</f>
        <v>-264978.67750000209</v>
      </c>
      <c r="H1001" s="140"/>
      <c r="I1001" s="140">
        <f>SUM(I999:I1000)</f>
        <v>20589002.152499989</v>
      </c>
      <c r="J1001" s="7">
        <f>+I1001-'ROR-Model'!I1001</f>
        <v>0</v>
      </c>
      <c r="K1001" s="7"/>
      <c r="L1001" s="140"/>
      <c r="M1001" s="140">
        <f>SUM(M999:M1000)</f>
        <v>18858799.312499989</v>
      </c>
      <c r="N1001" s="140">
        <f>SUM(N999:N1000)</f>
        <v>1730202.8399999999</v>
      </c>
      <c r="O1001" s="120"/>
      <c r="P1001" s="201"/>
      <c r="Q1001" s="140">
        <f>SUM(Q999:Q1000)</f>
        <v>18858799.312499989</v>
      </c>
      <c r="R1001" s="140">
        <f>SUM(R999:R1000)</f>
        <v>0</v>
      </c>
      <c r="S1001" s="201"/>
      <c r="T1001" s="140">
        <f>SUM(T999:T1000)</f>
        <v>1730202.8399999999</v>
      </c>
      <c r="U1001" s="140">
        <f>SUM(U999:U1000)</f>
        <v>0</v>
      </c>
      <c r="V1001" s="124"/>
      <c r="W1001" s="140">
        <f>SUM(W999:W1000)</f>
        <v>18858799.312499989</v>
      </c>
      <c r="X1001" s="139"/>
      <c r="Y1001" s="3">
        <f t="shared" si="67"/>
        <v>992</v>
      </c>
      <c r="AA1001" s="140">
        <v>15468748.642916664</v>
      </c>
      <c r="AC1001" s="140">
        <f t="shared" si="68"/>
        <v>3390050.6695833243</v>
      </c>
      <c r="AE1001" s="42">
        <f t="shared" si="69"/>
        <v>0.21915480998753389</v>
      </c>
      <c r="AH1001" s="10"/>
      <c r="AI1001" s="10"/>
      <c r="AJ1001" s="10" t="s">
        <v>145</v>
      </c>
    </row>
    <row r="1002" spans="1:36">
      <c r="B1002" s="47"/>
      <c r="C1002" s="47"/>
      <c r="D1002" s="47"/>
      <c r="E1002" s="7">
        <f>+G1002-Adjustments!G1002</f>
        <v>0</v>
      </c>
      <c r="F1002" s="7"/>
      <c r="G1002" s="7"/>
      <c r="H1002" s="7"/>
      <c r="I1002" s="7"/>
      <c r="J1002" s="7">
        <f>+I1002-'ROR-Model'!I1002</f>
        <v>0</v>
      </c>
      <c r="K1002" s="7"/>
      <c r="L1002" s="7"/>
      <c r="M1002" s="7"/>
      <c r="N1002" s="7"/>
      <c r="O1002" s="120"/>
      <c r="P1002" s="126"/>
      <c r="Q1002" s="7"/>
      <c r="R1002" s="7"/>
      <c r="S1002" s="126"/>
      <c r="T1002" s="7"/>
      <c r="U1002" s="7"/>
      <c r="V1002" s="124"/>
      <c r="W1002" s="7"/>
      <c r="X1002" s="139"/>
      <c r="Y1002" s="3">
        <f t="shared" si="67"/>
        <v>993</v>
      </c>
      <c r="AA1002" s="7"/>
      <c r="AC1002" s="7" t="str">
        <f t="shared" si="68"/>
        <v/>
      </c>
      <c r="AE1002" s="42" t="str">
        <f t="shared" si="69"/>
        <v/>
      </c>
      <c r="AH1002" s="10"/>
      <c r="AI1002" s="10"/>
      <c r="AJ1002" s="10"/>
    </row>
    <row r="1003" spans="1:36">
      <c r="B1003" s="47" t="s">
        <v>213</v>
      </c>
      <c r="C1003" s="47" t="s">
        <v>214</v>
      </c>
      <c r="D1003" s="47"/>
      <c r="E1003" s="7">
        <f>+G1003-Adjustments!G1003</f>
        <v>0</v>
      </c>
      <c r="F1003" s="7"/>
      <c r="G1003" s="7"/>
      <c r="H1003" s="7"/>
      <c r="I1003" s="7"/>
      <c r="J1003" s="7">
        <f>+I1003-'ROR-Model'!I1003</f>
        <v>0</v>
      </c>
      <c r="K1003" s="7"/>
      <c r="L1003" s="7"/>
      <c r="M1003" s="7"/>
      <c r="N1003" s="7"/>
      <c r="O1003" s="120"/>
      <c r="P1003" s="126"/>
      <c r="Q1003" s="7"/>
      <c r="R1003" s="7"/>
      <c r="S1003" s="126"/>
      <c r="T1003" s="7"/>
      <c r="U1003" s="7"/>
      <c r="V1003" s="124"/>
      <c r="W1003" s="7"/>
      <c r="X1003" s="139"/>
      <c r="Y1003" s="3">
        <f t="shared" si="67"/>
        <v>994</v>
      </c>
      <c r="AA1003" s="7"/>
      <c r="AC1003" s="7" t="str">
        <f t="shared" si="68"/>
        <v/>
      </c>
      <c r="AE1003" s="42" t="str">
        <f t="shared" si="69"/>
        <v/>
      </c>
      <c r="AH1003" s="10" t="s">
        <v>213</v>
      </c>
      <c r="AI1003" s="10" t="s">
        <v>214</v>
      </c>
      <c r="AJ1003" s="10"/>
    </row>
    <row r="1004" spans="1:36">
      <c r="B1004" s="47"/>
      <c r="C1004" s="47"/>
      <c r="D1004" s="47" t="s">
        <v>54</v>
      </c>
      <c r="E1004" s="7">
        <f>+G1004-Adjustments!G1004</f>
        <v>0</v>
      </c>
      <c r="F1004" s="7"/>
      <c r="G1004" s="7"/>
      <c r="H1004" s="7"/>
      <c r="I1004" s="7"/>
      <c r="J1004" s="7">
        <f>+I1004-'ROR-Model'!I1004</f>
        <v>0</v>
      </c>
      <c r="K1004" s="7"/>
      <c r="L1004" s="7"/>
      <c r="M1004" s="7"/>
      <c r="N1004" s="7"/>
      <c r="O1004" s="120"/>
      <c r="P1004" s="126"/>
      <c r="Q1004" s="7"/>
      <c r="R1004" s="7"/>
      <c r="S1004" s="126"/>
      <c r="T1004" s="7"/>
      <c r="U1004" s="7"/>
      <c r="V1004" s="124"/>
      <c r="W1004" s="7"/>
      <c r="X1004" s="139"/>
      <c r="Y1004" s="3">
        <f t="shared" si="67"/>
        <v>995</v>
      </c>
      <c r="AA1004" s="7"/>
      <c r="AC1004" s="7" t="str">
        <f t="shared" si="68"/>
        <v/>
      </c>
      <c r="AE1004" s="42" t="str">
        <f t="shared" si="69"/>
        <v/>
      </c>
      <c r="AH1004" s="10"/>
      <c r="AI1004" s="10"/>
      <c r="AJ1004" s="10" t="s">
        <v>54</v>
      </c>
    </row>
    <row r="1005" spans="1:36">
      <c r="B1005" s="47"/>
      <c r="C1005" s="47"/>
      <c r="D1005" s="47" t="s">
        <v>482</v>
      </c>
      <c r="E1005" s="7">
        <f>+G1005-Adjustments!G1005</f>
        <v>0</v>
      </c>
      <c r="F1005" s="7"/>
      <c r="G1005" s="7"/>
      <c r="H1005" s="7"/>
      <c r="I1005" s="7"/>
      <c r="J1005" s="7">
        <f>+I1005-'ROR-Model'!I1005</f>
        <v>0</v>
      </c>
      <c r="K1005" s="7"/>
      <c r="L1005" s="7"/>
      <c r="M1005" s="7"/>
      <c r="N1005" s="7"/>
      <c r="O1005" s="120"/>
      <c r="P1005" s="126"/>
      <c r="Q1005" s="7"/>
      <c r="R1005" s="7"/>
      <c r="S1005" s="126"/>
      <c r="T1005" s="7"/>
      <c r="U1005" s="7"/>
      <c r="V1005" s="124"/>
      <c r="W1005" s="7"/>
      <c r="X1005" s="139"/>
      <c r="Y1005" s="3">
        <f t="shared" si="67"/>
        <v>996</v>
      </c>
      <c r="AA1005" s="7"/>
      <c r="AC1005" s="7" t="str">
        <f t="shared" si="68"/>
        <v/>
      </c>
      <c r="AE1005" s="42" t="str">
        <f t="shared" si="69"/>
        <v/>
      </c>
      <c r="AH1005" s="10"/>
      <c r="AI1005" s="10"/>
      <c r="AJ1005" s="10" t="s">
        <v>482</v>
      </c>
    </row>
    <row r="1006" spans="1:36">
      <c r="B1006" s="47"/>
      <c r="C1006" s="47"/>
      <c r="D1006" s="47" t="s">
        <v>483</v>
      </c>
      <c r="E1006" s="7">
        <f>+G1006-Adjustments!G1006</f>
        <v>0</v>
      </c>
      <c r="F1006" s="7"/>
      <c r="G1006" s="7"/>
      <c r="H1006" s="7"/>
      <c r="I1006" s="7"/>
      <c r="J1006" s="7">
        <f>+I1006-'ROR-Model'!I1006</f>
        <v>0</v>
      </c>
      <c r="K1006" s="7"/>
      <c r="L1006" s="7"/>
      <c r="M1006" s="7"/>
      <c r="N1006" s="7"/>
      <c r="O1006" s="120"/>
      <c r="P1006" s="126"/>
      <c r="Q1006" s="7"/>
      <c r="R1006" s="7"/>
      <c r="S1006" s="126"/>
      <c r="T1006" s="7"/>
      <c r="U1006" s="7"/>
      <c r="V1006" s="124"/>
      <c r="W1006" s="7"/>
      <c r="X1006" s="139"/>
      <c r="Y1006" s="3">
        <f t="shared" si="67"/>
        <v>997</v>
      </c>
      <c r="AA1006" s="7"/>
      <c r="AC1006" s="7" t="str">
        <f t="shared" si="68"/>
        <v/>
      </c>
      <c r="AE1006" s="42" t="str">
        <f t="shared" si="69"/>
        <v/>
      </c>
      <c r="AH1006" s="10"/>
      <c r="AI1006" s="10"/>
      <c r="AJ1006" s="10" t="s">
        <v>483</v>
      </c>
    </row>
    <row r="1007" spans="1:36">
      <c r="B1007" s="47"/>
      <c r="C1007" s="47"/>
      <c r="D1007" s="47" t="s">
        <v>484</v>
      </c>
      <c r="E1007" s="140">
        <f>+G1007-Adjustments!G1007</f>
        <v>-914514.73541666567</v>
      </c>
      <c r="F1007" s="140">
        <f>'Rate Base'!$T$46</f>
        <v>62370692.479999997</v>
      </c>
      <c r="G1007" s="140">
        <f>+Adjustments!V991</f>
        <v>-914514.73541666567</v>
      </c>
      <c r="H1007" s="140"/>
      <c r="I1007" s="140">
        <f>SUM(F1007:H1007)</f>
        <v>61456177.744583331</v>
      </c>
      <c r="J1007" s="7">
        <f>+I1007-'ROR-Model'!I1007</f>
        <v>0</v>
      </c>
      <c r="K1007" s="7"/>
      <c r="L1007" s="140" t="s">
        <v>23</v>
      </c>
      <c r="M1007" s="140">
        <f>VLOOKUP($L1007,$L$2:$N$7,2,FALSE)*I1007</f>
        <v>0</v>
      </c>
      <c r="N1007" s="140">
        <f>VLOOKUP($L1007,$L$2:$N$7,3,FALSE)*I1007</f>
        <v>61456177.744583331</v>
      </c>
      <c r="O1007" s="120"/>
      <c r="P1007" s="201" t="s">
        <v>510</v>
      </c>
      <c r="Q1007" s="140">
        <f>IF(P1007="G",M1007,IF(P1007="PT",0,ERR))</f>
        <v>0</v>
      </c>
      <c r="R1007" s="140">
        <f>IF(P1007="PT",M1007,IF(P1007="G",0,ERR))</f>
        <v>0</v>
      </c>
      <c r="S1007" s="201" t="s">
        <v>510</v>
      </c>
      <c r="T1007" s="140">
        <f>IF(S1007="G",N1007,IF(S1007="PT",0,ERR))</f>
        <v>61456177.744583331</v>
      </c>
      <c r="U1007" s="140">
        <f>IF(S1007="PT",N1007,IF(S1007="G",0,ERR))</f>
        <v>0</v>
      </c>
      <c r="V1007" s="124"/>
      <c r="W1007" s="140">
        <f>HLOOKUP($W$9,'ROR-Model'!$Q$10:$U$1273,Y1007)</f>
        <v>0</v>
      </c>
      <c r="X1007" s="139"/>
      <c r="Y1007" s="3">
        <f t="shared" si="67"/>
        <v>998</v>
      </c>
      <c r="AA1007" s="140">
        <v>0</v>
      </c>
      <c r="AC1007" s="140" t="str">
        <f t="shared" si="68"/>
        <v/>
      </c>
      <c r="AE1007" s="42" t="str">
        <f t="shared" si="69"/>
        <v/>
      </c>
      <c r="AH1007" s="10"/>
      <c r="AI1007" s="10"/>
      <c r="AJ1007" s="10" t="s">
        <v>484</v>
      </c>
    </row>
    <row r="1008" spans="1:36">
      <c r="B1008" s="47"/>
      <c r="C1008" s="47"/>
      <c r="D1008" s="47" t="s">
        <v>485</v>
      </c>
      <c r="E1008" s="7">
        <f>+G1008-Adjustments!G1008</f>
        <v>0</v>
      </c>
      <c r="F1008" s="7"/>
      <c r="G1008" s="7"/>
      <c r="H1008" s="7"/>
      <c r="I1008" s="7"/>
      <c r="J1008" s="7">
        <f>+I1008-'ROR-Model'!I1008</f>
        <v>0</v>
      </c>
      <c r="K1008" s="7"/>
      <c r="L1008" s="7"/>
      <c r="M1008" s="7"/>
      <c r="N1008" s="7"/>
      <c r="O1008" s="120"/>
      <c r="P1008" s="126"/>
      <c r="Q1008" s="7"/>
      <c r="R1008" s="7"/>
      <c r="S1008" s="126"/>
      <c r="T1008" s="7"/>
      <c r="U1008" s="7"/>
      <c r="V1008" s="124"/>
      <c r="W1008" s="7"/>
      <c r="X1008" s="139"/>
      <c r="Y1008" s="3">
        <f t="shared" si="67"/>
        <v>999</v>
      </c>
      <c r="AA1008" s="7"/>
      <c r="AC1008" s="7" t="str">
        <f t="shared" si="68"/>
        <v/>
      </c>
      <c r="AE1008" s="42" t="str">
        <f t="shared" si="69"/>
        <v/>
      </c>
      <c r="AH1008" s="10"/>
      <c r="AI1008" s="10"/>
      <c r="AJ1008" s="10" t="s">
        <v>485</v>
      </c>
    </row>
    <row r="1009" spans="1:36">
      <c r="B1009" s="47"/>
      <c r="C1009" s="47"/>
      <c r="D1009" s="47" t="s">
        <v>486</v>
      </c>
      <c r="E1009" s="7">
        <f>+G1009-Adjustments!G1009</f>
        <v>0</v>
      </c>
      <c r="F1009" s="7"/>
      <c r="G1009" s="7"/>
      <c r="H1009" s="7"/>
      <c r="I1009" s="7"/>
      <c r="J1009" s="7">
        <f>+I1009-'ROR-Model'!I1009</f>
        <v>0</v>
      </c>
      <c r="K1009" s="7"/>
      <c r="L1009" s="7"/>
      <c r="M1009" s="7"/>
      <c r="N1009" s="7"/>
      <c r="O1009" s="120"/>
      <c r="P1009" s="126"/>
      <c r="Q1009" s="7"/>
      <c r="R1009" s="7"/>
      <c r="S1009" s="126"/>
      <c r="T1009" s="7"/>
      <c r="U1009" s="7"/>
      <c r="V1009" s="124"/>
      <c r="W1009" s="7"/>
      <c r="X1009" s="139"/>
      <c r="Y1009" s="3">
        <f t="shared" si="67"/>
        <v>1000</v>
      </c>
      <c r="AA1009" s="7"/>
      <c r="AC1009" s="7" t="str">
        <f t="shared" si="68"/>
        <v/>
      </c>
      <c r="AE1009" s="42" t="str">
        <f t="shared" si="69"/>
        <v/>
      </c>
      <c r="AH1009" s="10"/>
      <c r="AI1009" s="10"/>
      <c r="AJ1009" s="10" t="s">
        <v>486</v>
      </c>
    </row>
    <row r="1010" spans="1:36">
      <c r="B1010" s="47"/>
      <c r="C1010" s="47"/>
      <c r="D1010" s="47" t="s">
        <v>487</v>
      </c>
      <c r="E1010" s="7">
        <f>+G1010-Adjustments!G1010</f>
        <v>0</v>
      </c>
      <c r="F1010" s="7"/>
      <c r="G1010" s="7"/>
      <c r="H1010" s="7"/>
      <c r="I1010" s="7"/>
      <c r="J1010" s="7">
        <f>+I1010-'ROR-Model'!I1010</f>
        <v>0</v>
      </c>
      <c r="K1010" s="7"/>
      <c r="L1010" s="7"/>
      <c r="M1010" s="7"/>
      <c r="N1010" s="7"/>
      <c r="O1010" s="120"/>
      <c r="P1010" s="126"/>
      <c r="Q1010" s="7"/>
      <c r="R1010" s="7"/>
      <c r="S1010" s="126"/>
      <c r="T1010" s="7"/>
      <c r="U1010" s="7"/>
      <c r="V1010" s="124"/>
      <c r="W1010" s="7"/>
      <c r="X1010" s="139"/>
      <c r="Y1010" s="3">
        <f t="shared" si="67"/>
        <v>1001</v>
      </c>
      <c r="AA1010" s="7"/>
      <c r="AC1010" s="7" t="str">
        <f t="shared" si="68"/>
        <v/>
      </c>
      <c r="AE1010" s="42" t="str">
        <f t="shared" si="69"/>
        <v/>
      </c>
      <c r="AH1010" s="10"/>
      <c r="AI1010" s="10"/>
      <c r="AJ1010" s="10" t="s">
        <v>487</v>
      </c>
    </row>
    <row r="1011" spans="1:36">
      <c r="B1011" s="47"/>
      <c r="C1011" s="47"/>
      <c r="D1011" s="47" t="s">
        <v>488</v>
      </c>
      <c r="E1011" s="140">
        <f>+G1011-Adjustments!G1011</f>
        <v>-73904316.760833263</v>
      </c>
      <c r="F1011" s="140">
        <f>'Rate Base'!$T$50</f>
        <v>2237739480.999999</v>
      </c>
      <c r="G1011" s="140">
        <f>+Adjustments!V995</f>
        <v>-73904316.760833263</v>
      </c>
      <c r="H1011" s="140"/>
      <c r="I1011" s="140">
        <f>SUM(F1011:H1011)</f>
        <v>2163835164.2391658</v>
      </c>
      <c r="J1011" s="7">
        <f>+I1011-'ROR-Model'!I1011</f>
        <v>0</v>
      </c>
      <c r="K1011" s="7"/>
      <c r="L1011" s="140" t="s">
        <v>12</v>
      </c>
      <c r="M1011" s="140">
        <f>VLOOKUP($L1011,$L$2:$N$7,2,FALSE)*I1011</f>
        <v>2163835164.2391658</v>
      </c>
      <c r="N1011" s="140">
        <f>VLOOKUP($L1011,$L$2:$N$7,3,FALSE)*I1011</f>
        <v>0</v>
      </c>
      <c r="O1011" s="120"/>
      <c r="P1011" s="201" t="s">
        <v>510</v>
      </c>
      <c r="Q1011" s="140">
        <f>IF(P1011="G",M1011,IF(P1011="PT",0,ERR))</f>
        <v>2163835164.2391658</v>
      </c>
      <c r="R1011" s="140">
        <f>IF(P1011="PT",M1011,IF(P1011="G",0,ERR))</f>
        <v>0</v>
      </c>
      <c r="S1011" s="201" t="s">
        <v>510</v>
      </c>
      <c r="T1011" s="140">
        <f>IF(S1011="G",N1011,IF(S1011="PT",0,ERR))</f>
        <v>0</v>
      </c>
      <c r="U1011" s="140">
        <f>IF(S1011="PT",N1011,IF(S1011="G",0,ERR))</f>
        <v>0</v>
      </c>
      <c r="V1011" s="124"/>
      <c r="W1011" s="140">
        <f>HLOOKUP($W$9,'ROR-Model'!$Q$10:$U$1273,Y1011)</f>
        <v>2163835164.2391658</v>
      </c>
      <c r="X1011" s="139"/>
      <c r="Y1011" s="3">
        <f t="shared" si="67"/>
        <v>1002</v>
      </c>
      <c r="AA1011" s="140">
        <v>1575433643.1791666</v>
      </c>
      <c r="AC1011" s="140">
        <f t="shared" si="68"/>
        <v>588401521.05999923</v>
      </c>
      <c r="AE1011" s="42">
        <f t="shared" si="69"/>
        <v>0.37348543596709466</v>
      </c>
      <c r="AH1011" s="10"/>
      <c r="AI1011" s="10"/>
      <c r="AJ1011" s="10" t="s">
        <v>488</v>
      </c>
    </row>
    <row r="1012" spans="1:36">
      <c r="B1012" s="47"/>
      <c r="C1012" s="47"/>
      <c r="D1012" s="47" t="s">
        <v>657</v>
      </c>
      <c r="E1012" s="7">
        <f>+G1012-Adjustments!G1012</f>
        <v>-74818831.496249929</v>
      </c>
      <c r="F1012" s="7">
        <f>F1011+F1007</f>
        <v>2300110173.4799991</v>
      </c>
      <c r="G1012" s="7">
        <f>G1011+G1007</f>
        <v>-74818831.496249929</v>
      </c>
      <c r="H1012" s="7">
        <f>H1011+H1007</f>
        <v>0</v>
      </c>
      <c r="I1012" s="7">
        <f>I1011+I1007</f>
        <v>2225291341.9837489</v>
      </c>
      <c r="J1012" s="7">
        <f>+I1012-'ROR-Model'!I1012</f>
        <v>0</v>
      </c>
      <c r="K1012" s="7"/>
      <c r="L1012" s="7"/>
      <c r="M1012" s="7">
        <f>M1011+M1007</f>
        <v>2163835164.2391658</v>
      </c>
      <c r="N1012" s="7">
        <f>N1011+N1007</f>
        <v>61456177.744583331</v>
      </c>
      <c r="O1012" s="120"/>
      <c r="P1012" s="126" t="s">
        <v>510</v>
      </c>
      <c r="Q1012" s="7">
        <f>Q1011+Q1007</f>
        <v>2163835164.2391658</v>
      </c>
      <c r="R1012" s="7">
        <f>R1011+R1007</f>
        <v>0</v>
      </c>
      <c r="S1012" s="126" t="s">
        <v>510</v>
      </c>
      <c r="T1012" s="7">
        <f>T1011+T1007</f>
        <v>61456177.744583331</v>
      </c>
      <c r="U1012" s="7">
        <f>U1011+U1007</f>
        <v>0</v>
      </c>
      <c r="V1012" s="124"/>
      <c r="W1012" s="7">
        <f>W1011+W1007</f>
        <v>2163835164.2391658</v>
      </c>
      <c r="X1012" s="139"/>
      <c r="Y1012" s="3">
        <f t="shared" si="67"/>
        <v>1003</v>
      </c>
      <c r="AA1012" s="7">
        <v>1575433643.1791666</v>
      </c>
      <c r="AC1012" s="7">
        <f t="shared" si="68"/>
        <v>588401521.05999923</v>
      </c>
      <c r="AE1012" s="42">
        <f t="shared" si="69"/>
        <v>0.37348543596709466</v>
      </c>
      <c r="AH1012" s="10"/>
      <c r="AI1012" s="10"/>
      <c r="AJ1012" s="10" t="s">
        <v>657</v>
      </c>
    </row>
    <row r="1013" spans="1:36">
      <c r="A1013" s="47"/>
      <c r="B1013" s="47"/>
      <c r="C1013" s="47"/>
      <c r="E1013" s="7">
        <f>+G1013-Adjustments!G1013</f>
        <v>0</v>
      </c>
      <c r="F1013" s="7"/>
      <c r="G1013" s="7"/>
      <c r="H1013" s="7"/>
      <c r="I1013" s="7"/>
      <c r="J1013" s="7">
        <f>+I1013-'ROR-Model'!I1013</f>
        <v>0</v>
      </c>
      <c r="K1013" s="7"/>
      <c r="L1013" s="7"/>
      <c r="M1013" s="7"/>
      <c r="N1013" s="7"/>
      <c r="O1013" s="120"/>
      <c r="P1013" s="126"/>
      <c r="Q1013" s="7"/>
      <c r="R1013" s="7"/>
      <c r="S1013" s="126"/>
      <c r="T1013" s="7"/>
      <c r="U1013" s="7"/>
      <c r="V1013" s="124"/>
      <c r="W1013" s="7"/>
      <c r="X1013" s="139"/>
      <c r="Y1013" s="3">
        <f t="shared" si="67"/>
        <v>1004</v>
      </c>
      <c r="AA1013" s="7"/>
      <c r="AC1013" s="7" t="str">
        <f t="shared" si="68"/>
        <v/>
      </c>
      <c r="AE1013" s="42" t="str">
        <f t="shared" si="69"/>
        <v/>
      </c>
      <c r="AG1013" s="10"/>
      <c r="AH1013" s="10"/>
      <c r="AI1013" s="10"/>
    </row>
    <row r="1014" spans="1:36">
      <c r="B1014" s="47" t="s">
        <v>215</v>
      </c>
      <c r="C1014" s="47" t="s">
        <v>217</v>
      </c>
      <c r="D1014" s="47"/>
      <c r="E1014" s="7">
        <f>+G1014-Adjustments!G1014</f>
        <v>0</v>
      </c>
      <c r="F1014" s="7"/>
      <c r="G1014" s="7"/>
      <c r="H1014" s="7"/>
      <c r="I1014" s="7"/>
      <c r="J1014" s="7">
        <f>+I1014-'ROR-Model'!I1014</f>
        <v>0</v>
      </c>
      <c r="K1014" s="7"/>
      <c r="L1014" s="7"/>
      <c r="M1014" s="7"/>
      <c r="N1014" s="7"/>
      <c r="O1014" s="120"/>
      <c r="P1014" s="126"/>
      <c r="Q1014" s="7"/>
      <c r="R1014" s="7"/>
      <c r="S1014" s="126"/>
      <c r="T1014" s="7"/>
      <c r="U1014" s="7"/>
      <c r="V1014" s="124"/>
      <c r="W1014" s="7"/>
      <c r="X1014" s="139"/>
      <c r="Y1014" s="3">
        <f t="shared" si="67"/>
        <v>1005</v>
      </c>
      <c r="AA1014" s="7"/>
      <c r="AC1014" s="7" t="str">
        <f t="shared" si="68"/>
        <v/>
      </c>
      <c r="AE1014" s="42" t="str">
        <f t="shared" si="69"/>
        <v/>
      </c>
      <c r="AH1014" s="10" t="s">
        <v>215</v>
      </c>
      <c r="AI1014" s="10" t="s">
        <v>217</v>
      </c>
      <c r="AJ1014" s="10"/>
    </row>
    <row r="1015" spans="1:36">
      <c r="B1015" s="47"/>
      <c r="C1015" s="47"/>
      <c r="D1015" s="47" t="s">
        <v>23</v>
      </c>
      <c r="E1015" s="7">
        <f>+G1015-Adjustments!G1015</f>
        <v>-12465.696249999994</v>
      </c>
      <c r="F1015" s="7">
        <f>'Rate Base'!$T$54</f>
        <v>99725.57</v>
      </c>
      <c r="G1015" s="7">
        <f>+Adjustments!V999</f>
        <v>-12465.696249999994</v>
      </c>
      <c r="H1015" s="7"/>
      <c r="I1015" s="7">
        <f>SUM(F1015:H1015)</f>
        <v>87259.873750000013</v>
      </c>
      <c r="J1015" s="7">
        <f>+I1015-'ROR-Model'!I1015</f>
        <v>0</v>
      </c>
      <c r="K1015" s="7"/>
      <c r="L1015" s="7" t="s">
        <v>23</v>
      </c>
      <c r="M1015" s="7">
        <f>VLOOKUP($L1015,$L$2:$N$7,2,FALSE)*I1015</f>
        <v>0</v>
      </c>
      <c r="N1015" s="7">
        <f>VLOOKUP($L1015,$L$2:$N$7,3,FALSE)*I1015</f>
        <v>87259.873750000013</v>
      </c>
      <c r="O1015" s="120"/>
      <c r="P1015" s="192" t="s">
        <v>510</v>
      </c>
      <c r="Q1015" s="7">
        <f>IF(P1015="G",M1015,IF(P1015="PT",0,ERR))</f>
        <v>0</v>
      </c>
      <c r="R1015" s="7">
        <f>IF(P1015="PT",M1015,IF(P1015="G",0,ERR))</f>
        <v>0</v>
      </c>
      <c r="S1015" s="126" t="s">
        <v>510</v>
      </c>
      <c r="T1015" s="7">
        <f>IF(S1015="G",N1015,IF(S1015="PT",0,ERR))</f>
        <v>87259.873750000013</v>
      </c>
      <c r="U1015" s="7">
        <f>IF(S1015="PT",N1015,IF(S1015="G",0,ERR))</f>
        <v>0</v>
      </c>
      <c r="V1015" s="124"/>
      <c r="W1015" s="7">
        <f>HLOOKUP($W$9,'ROR-Model'!$Q$10:$U$1273,Y1015)</f>
        <v>0</v>
      </c>
      <c r="X1015" s="139"/>
      <c r="Y1015" s="3">
        <f t="shared" si="67"/>
        <v>1006</v>
      </c>
      <c r="AA1015" s="7">
        <v>0</v>
      </c>
      <c r="AC1015" s="7" t="str">
        <f t="shared" si="68"/>
        <v/>
      </c>
      <c r="AE1015" s="42" t="str">
        <f t="shared" si="69"/>
        <v/>
      </c>
      <c r="AH1015" s="10"/>
      <c r="AI1015" s="10"/>
      <c r="AJ1015" s="10" t="s">
        <v>23</v>
      </c>
    </row>
    <row r="1016" spans="1:36">
      <c r="B1016" s="47"/>
      <c r="C1016" s="47"/>
      <c r="D1016" s="47" t="s">
        <v>12</v>
      </c>
      <c r="E1016" s="7">
        <f>+G1016-Adjustments!G1016</f>
        <v>-18528.987500000745</v>
      </c>
      <c r="F1016" s="7">
        <f>'Rate Base'!$T$55</f>
        <v>16297329.370000001</v>
      </c>
      <c r="G1016" s="7">
        <f>+Adjustments!V1000</f>
        <v>-18528.987500000745</v>
      </c>
      <c r="H1016" s="7"/>
      <c r="I1016" s="7">
        <f>SUM(F1016:H1016)</f>
        <v>16278800.3825</v>
      </c>
      <c r="J1016" s="7">
        <f>+I1016-'ROR-Model'!I1016</f>
        <v>0</v>
      </c>
      <c r="K1016" s="7"/>
      <c r="L1016" s="7" t="s">
        <v>12</v>
      </c>
      <c r="M1016" s="7">
        <f>VLOOKUP($L1016,$L$2:$N$7,2,FALSE)*I1016</f>
        <v>16278800.3825</v>
      </c>
      <c r="N1016" s="7">
        <f>VLOOKUP($L1016,$L$2:$N$7,3,FALSE)*I1016</f>
        <v>0</v>
      </c>
      <c r="O1016" s="120"/>
      <c r="P1016" s="192" t="s">
        <v>510</v>
      </c>
      <c r="Q1016" s="7">
        <f>IF(P1016="G",M1016,IF(P1016="PT",0,ERR))</f>
        <v>16278800.3825</v>
      </c>
      <c r="R1016" s="7">
        <f>IF(P1016="PT",M1016,IF(P1016="G",0,ERR))</f>
        <v>0</v>
      </c>
      <c r="S1016" s="126" t="s">
        <v>510</v>
      </c>
      <c r="T1016" s="7">
        <f>IF(S1016="G",N1016,IF(S1016="PT",0,ERR))</f>
        <v>0</v>
      </c>
      <c r="U1016" s="7">
        <f>IF(S1016="PT",N1016,IF(S1016="G",0,ERR))</f>
        <v>0</v>
      </c>
      <c r="V1016" s="124"/>
      <c r="W1016" s="7">
        <f>HLOOKUP($W$9,'ROR-Model'!$Q$10:$U$1273,Y1016)</f>
        <v>16278800.3825</v>
      </c>
      <c r="X1016" s="139"/>
      <c r="Y1016" s="3">
        <f t="shared" si="67"/>
        <v>1007</v>
      </c>
      <c r="AA1016" s="7">
        <v>14439964.693333333</v>
      </c>
      <c r="AC1016" s="7">
        <f t="shared" si="68"/>
        <v>1838835.6891666669</v>
      </c>
      <c r="AE1016" s="42">
        <f t="shared" si="69"/>
        <v>0.12734350313305293</v>
      </c>
      <c r="AH1016" s="10"/>
      <c r="AI1016" s="10"/>
      <c r="AJ1016" s="10" t="s">
        <v>12</v>
      </c>
    </row>
    <row r="1017" spans="1:36">
      <c r="B1017" s="47"/>
      <c r="C1017" s="47"/>
      <c r="D1017" s="47" t="s">
        <v>145</v>
      </c>
      <c r="E1017" s="140">
        <f>+G1017-Adjustments!G1017</f>
        <v>-30994.683750000739</v>
      </c>
      <c r="F1017" s="140">
        <f>SUM(F1015:F1016)</f>
        <v>16397054.940000001</v>
      </c>
      <c r="G1017" s="140">
        <f>SUM(G1015:G1016)</f>
        <v>-30994.683750000739</v>
      </c>
      <c r="H1017" s="140"/>
      <c r="I1017" s="140">
        <f>SUM(I1015:I1016)</f>
        <v>16366060.25625</v>
      </c>
      <c r="J1017" s="7">
        <f>+I1017-'ROR-Model'!I1017</f>
        <v>0</v>
      </c>
      <c r="K1017" s="7"/>
      <c r="L1017" s="140"/>
      <c r="M1017" s="140">
        <f>SUM(M1015:M1016)</f>
        <v>16278800.3825</v>
      </c>
      <c r="N1017" s="140">
        <f>SUM(N1015:N1016)</f>
        <v>87259.873750000013</v>
      </c>
      <c r="O1017" s="120"/>
      <c r="P1017" s="201"/>
      <c r="Q1017" s="140">
        <f>SUM(Q1015:Q1016)</f>
        <v>16278800.3825</v>
      </c>
      <c r="R1017" s="140">
        <f>SUM(R1015:R1016)</f>
        <v>0</v>
      </c>
      <c r="S1017" s="201"/>
      <c r="T1017" s="140">
        <f>SUM(T1015:T1016)</f>
        <v>87259.873750000013</v>
      </c>
      <c r="U1017" s="140">
        <f>SUM(U1015:U1016)</f>
        <v>0</v>
      </c>
      <c r="V1017" s="124"/>
      <c r="W1017" s="140">
        <f>SUM(W1015:W1016)</f>
        <v>16278800.3825</v>
      </c>
      <c r="X1017" s="139"/>
      <c r="Y1017" s="3">
        <f t="shared" si="67"/>
        <v>1008</v>
      </c>
      <c r="AA1017" s="140">
        <v>14439964.693333333</v>
      </c>
      <c r="AC1017" s="140">
        <f t="shared" si="68"/>
        <v>1838835.6891666669</v>
      </c>
      <c r="AE1017" s="42">
        <f t="shared" si="69"/>
        <v>0.12734350313305293</v>
      </c>
      <c r="AH1017" s="10"/>
      <c r="AI1017" s="10"/>
      <c r="AJ1017" s="10" t="s">
        <v>145</v>
      </c>
    </row>
    <row r="1018" spans="1:36">
      <c r="A1018" s="47"/>
      <c r="B1018" s="47"/>
      <c r="C1018" s="47"/>
      <c r="E1018" s="7">
        <f>+G1018-Adjustments!G1018</f>
        <v>0</v>
      </c>
      <c r="F1018" s="7"/>
      <c r="G1018" s="7"/>
      <c r="H1018" s="7"/>
      <c r="I1018" s="7"/>
      <c r="J1018" s="7">
        <f>+I1018-'ROR-Model'!I1018</f>
        <v>0</v>
      </c>
      <c r="K1018" s="7"/>
      <c r="L1018" s="7"/>
      <c r="M1018" s="7"/>
      <c r="N1018" s="7"/>
      <c r="O1018" s="120"/>
      <c r="P1018" s="126"/>
      <c r="Q1018" s="7"/>
      <c r="R1018" s="7"/>
      <c r="S1018" s="126"/>
      <c r="T1018" s="7"/>
      <c r="U1018" s="7"/>
      <c r="V1018" s="124"/>
      <c r="W1018" s="7"/>
      <c r="X1018" s="139"/>
      <c r="Y1018" s="3">
        <f t="shared" si="67"/>
        <v>1009</v>
      </c>
      <c r="AA1018" s="7"/>
      <c r="AC1018" s="7" t="str">
        <f t="shared" si="68"/>
        <v/>
      </c>
      <c r="AE1018" s="42" t="str">
        <f t="shared" si="69"/>
        <v/>
      </c>
      <c r="AG1018" s="10"/>
      <c r="AH1018" s="10"/>
      <c r="AI1018" s="10"/>
    </row>
    <row r="1019" spans="1:36">
      <c r="B1019" s="47" t="s">
        <v>218</v>
      </c>
      <c r="C1019" s="47" t="s">
        <v>219</v>
      </c>
      <c r="D1019" s="47"/>
      <c r="E1019" s="7">
        <f>+G1019-Adjustments!G1019</f>
        <v>0</v>
      </c>
      <c r="F1019" s="7"/>
      <c r="G1019" s="7"/>
      <c r="H1019" s="7"/>
      <c r="I1019" s="7"/>
      <c r="J1019" s="7">
        <f>+I1019-'ROR-Model'!I1019</f>
        <v>0</v>
      </c>
      <c r="K1019" s="7"/>
      <c r="L1019" s="7"/>
      <c r="M1019" s="7"/>
      <c r="N1019" s="7"/>
      <c r="O1019" s="120"/>
      <c r="P1019" s="126"/>
      <c r="Q1019" s="7"/>
      <c r="R1019" s="7"/>
      <c r="S1019" s="126"/>
      <c r="T1019" s="7"/>
      <c r="U1019" s="7"/>
      <c r="V1019" s="124"/>
      <c r="W1019" s="7"/>
      <c r="X1019" s="139"/>
      <c r="Y1019" s="3">
        <f t="shared" si="67"/>
        <v>1010</v>
      </c>
      <c r="AA1019" s="7"/>
      <c r="AC1019" s="7" t="str">
        <f t="shared" si="68"/>
        <v/>
      </c>
      <c r="AE1019" s="42" t="str">
        <f t="shared" si="69"/>
        <v/>
      </c>
      <c r="AH1019" s="10" t="s">
        <v>218</v>
      </c>
      <c r="AI1019" s="10" t="s">
        <v>219</v>
      </c>
      <c r="AJ1019" s="10"/>
    </row>
    <row r="1020" spans="1:36">
      <c r="B1020" s="47"/>
      <c r="C1020" s="47"/>
      <c r="D1020" s="47" t="s">
        <v>23</v>
      </c>
      <c r="E1020" s="7">
        <f>+G1020-Adjustments!G1020</f>
        <v>-130857.92500000075</v>
      </c>
      <c r="F1020" s="7">
        <f>'Rate Base'!$T$59</f>
        <v>9440989.0399999991</v>
      </c>
      <c r="G1020" s="7">
        <f>+Adjustments!V1004</f>
        <v>-130857.92500000075</v>
      </c>
      <c r="H1020" s="7"/>
      <c r="I1020" s="7">
        <f>SUM(F1020:H1020)</f>
        <v>9310131.1149999984</v>
      </c>
      <c r="J1020" s="7">
        <f>+I1020-'ROR-Model'!I1020</f>
        <v>0</v>
      </c>
      <c r="K1020" s="7"/>
      <c r="L1020" s="7" t="s">
        <v>23</v>
      </c>
      <c r="M1020" s="7">
        <f>VLOOKUP($L1020,$L$2:$N$7,2,FALSE)*I1020</f>
        <v>0</v>
      </c>
      <c r="N1020" s="7">
        <f>VLOOKUP($L1020,$L$2:$N$7,3,FALSE)*I1020</f>
        <v>9310131.1149999984</v>
      </c>
      <c r="O1020" s="120"/>
      <c r="P1020" s="192" t="s">
        <v>510</v>
      </c>
      <c r="Q1020" s="7">
        <f>IF(P1020="G",M1020,IF(P1020="PT",0,ERR))</f>
        <v>0</v>
      </c>
      <c r="R1020" s="7">
        <f>IF(P1020="PT",M1020,IF(P1020="G",0,ERR))</f>
        <v>0</v>
      </c>
      <c r="S1020" s="126" t="s">
        <v>510</v>
      </c>
      <c r="T1020" s="7">
        <f>IF(S1020="G",N1020,IF(S1020="PT",0,ERR))</f>
        <v>9310131.1149999984</v>
      </c>
      <c r="U1020" s="7">
        <f>IF(S1020="PT",N1020,IF(S1020="G",0,ERR))</f>
        <v>0</v>
      </c>
      <c r="V1020" s="124"/>
      <c r="W1020" s="7">
        <f>HLOOKUP($W$9,'ROR-Model'!$Q$10:$U$1273,Y1020)</f>
        <v>0</v>
      </c>
      <c r="X1020" s="139"/>
      <c r="Y1020" s="3">
        <f t="shared" si="67"/>
        <v>1011</v>
      </c>
      <c r="AA1020" s="7">
        <v>0</v>
      </c>
      <c r="AC1020" s="7" t="str">
        <f t="shared" si="68"/>
        <v/>
      </c>
      <c r="AE1020" s="42" t="str">
        <f t="shared" si="69"/>
        <v/>
      </c>
      <c r="AH1020" s="10"/>
      <c r="AI1020" s="10"/>
      <c r="AJ1020" s="10" t="s">
        <v>23</v>
      </c>
    </row>
    <row r="1021" spans="1:36">
      <c r="B1021" s="47"/>
      <c r="C1021" s="47"/>
      <c r="D1021" s="47" t="s">
        <v>12</v>
      </c>
      <c r="E1021" s="7">
        <f>+G1021-Adjustments!G1021</f>
        <v>-8482431.651249975</v>
      </c>
      <c r="F1021" s="7">
        <f>'Rate Base'!$T$60</f>
        <v>155535743.92999995</v>
      </c>
      <c r="G1021" s="7">
        <f>+Adjustments!V1005</f>
        <v>-8482431.651249975</v>
      </c>
      <c r="H1021" s="7"/>
      <c r="I1021" s="7">
        <f>SUM(F1021:H1021)</f>
        <v>147053312.27874997</v>
      </c>
      <c r="J1021" s="7">
        <f>+I1021-'ROR-Model'!I1021</f>
        <v>0</v>
      </c>
      <c r="K1021" s="7"/>
      <c r="L1021" s="7" t="s">
        <v>12</v>
      </c>
      <c r="M1021" s="7">
        <f>VLOOKUP($L1021,$L$2:$N$7,2,FALSE)*I1021</f>
        <v>147053312.27874997</v>
      </c>
      <c r="N1021" s="7">
        <f>VLOOKUP($L1021,$L$2:$N$7,3,FALSE)*I1021</f>
        <v>0</v>
      </c>
      <c r="O1021" s="120"/>
      <c r="P1021" s="192" t="s">
        <v>510</v>
      </c>
      <c r="Q1021" s="7">
        <f>IF(P1021="G",M1021,IF(P1021="PT",0,ERR))</f>
        <v>147053312.27874997</v>
      </c>
      <c r="R1021" s="7">
        <f>IF(P1021="PT",M1021,IF(P1021="G",0,ERR))</f>
        <v>0</v>
      </c>
      <c r="S1021" s="126" t="s">
        <v>510</v>
      </c>
      <c r="T1021" s="7">
        <f>IF(S1021="G",N1021,IF(S1021="PT",0,ERR))</f>
        <v>0</v>
      </c>
      <c r="U1021" s="7">
        <f>IF(S1021="PT",N1021,IF(S1021="G",0,ERR))</f>
        <v>0</v>
      </c>
      <c r="V1021" s="124"/>
      <c r="W1021" s="7">
        <f>HLOOKUP($W$9,'ROR-Model'!$Q$10:$U$1273,Y1021)</f>
        <v>147053312.27874997</v>
      </c>
      <c r="X1021" s="139"/>
      <c r="Y1021" s="3">
        <f t="shared" si="67"/>
        <v>1012</v>
      </c>
      <c r="AA1021" s="7">
        <v>101811716.21583337</v>
      </c>
      <c r="AC1021" s="7">
        <f t="shared" si="68"/>
        <v>45241596.062916607</v>
      </c>
      <c r="AE1021" s="42">
        <f t="shared" si="69"/>
        <v>0.44436532203236556</v>
      </c>
      <c r="AH1021" s="10"/>
      <c r="AI1021" s="10"/>
      <c r="AJ1021" s="10" t="s">
        <v>12</v>
      </c>
    </row>
    <row r="1022" spans="1:36">
      <c r="B1022" s="47"/>
      <c r="C1022" s="47"/>
      <c r="D1022" s="47" t="s">
        <v>145</v>
      </c>
      <c r="E1022" s="140">
        <f>+G1022-Adjustments!G1022</f>
        <v>-8613289.5762499757</v>
      </c>
      <c r="F1022" s="140">
        <f>SUM(F1020:F1021)</f>
        <v>164976732.96999994</v>
      </c>
      <c r="G1022" s="140">
        <f>SUM(G1020:G1021)</f>
        <v>-8613289.5762499757</v>
      </c>
      <c r="H1022" s="140"/>
      <c r="I1022" s="140">
        <f>SUM(I1020:I1021)</f>
        <v>156363443.39374998</v>
      </c>
      <c r="J1022" s="7">
        <f>+I1022-'ROR-Model'!I1022</f>
        <v>0</v>
      </c>
      <c r="K1022" s="7"/>
      <c r="L1022" s="140"/>
      <c r="M1022" s="140">
        <f>SUM(M1020:M1021)</f>
        <v>147053312.27874997</v>
      </c>
      <c r="N1022" s="140">
        <f>SUM(N1020:N1021)</f>
        <v>9310131.1149999984</v>
      </c>
      <c r="O1022" s="120"/>
      <c r="P1022" s="201"/>
      <c r="Q1022" s="140">
        <f>SUM(Q1020:Q1021)</f>
        <v>147053312.27874997</v>
      </c>
      <c r="R1022" s="140">
        <f>SUM(R1020:R1021)</f>
        <v>0</v>
      </c>
      <c r="S1022" s="201"/>
      <c r="T1022" s="140">
        <f>SUM(T1020:T1021)</f>
        <v>9310131.1149999984</v>
      </c>
      <c r="U1022" s="140">
        <f>SUM(U1020:U1021)</f>
        <v>0</v>
      </c>
      <c r="V1022" s="124"/>
      <c r="W1022" s="140">
        <f>SUM(W1020:W1021)</f>
        <v>147053312.27874997</v>
      </c>
      <c r="X1022" s="139"/>
      <c r="Y1022" s="3">
        <f t="shared" si="67"/>
        <v>1013</v>
      </c>
      <c r="AA1022" s="140">
        <v>101811716.21583337</v>
      </c>
      <c r="AC1022" s="140">
        <f t="shared" si="68"/>
        <v>45241596.062916607</v>
      </c>
      <c r="AE1022" s="42">
        <f t="shared" si="69"/>
        <v>0.44436532203236556</v>
      </c>
      <c r="AH1022" s="10"/>
      <c r="AI1022" s="10"/>
      <c r="AJ1022" s="10" t="s">
        <v>145</v>
      </c>
    </row>
    <row r="1023" spans="1:36">
      <c r="B1023" s="47"/>
      <c r="C1023" s="47"/>
      <c r="D1023" s="47"/>
      <c r="E1023" s="7">
        <f>+G1023-Adjustments!G1023</f>
        <v>0</v>
      </c>
      <c r="F1023" s="7"/>
      <c r="G1023" s="7"/>
      <c r="H1023" s="7"/>
      <c r="I1023" s="7"/>
      <c r="J1023" s="7">
        <f>+I1023-'ROR-Model'!I1023</f>
        <v>0</v>
      </c>
      <c r="K1023" s="7"/>
      <c r="L1023" s="7"/>
      <c r="M1023" s="7"/>
      <c r="N1023" s="7"/>
      <c r="O1023" s="120"/>
      <c r="P1023" s="126"/>
      <c r="Q1023" s="7"/>
      <c r="R1023" s="7"/>
      <c r="S1023" s="126"/>
      <c r="T1023" s="7"/>
      <c r="U1023" s="7"/>
      <c r="V1023" s="124"/>
      <c r="W1023" s="7"/>
      <c r="X1023" s="139"/>
      <c r="Y1023" s="3">
        <f t="shared" si="67"/>
        <v>1014</v>
      </c>
      <c r="AA1023" s="7"/>
      <c r="AC1023" s="7" t="str">
        <f t="shared" si="68"/>
        <v/>
      </c>
      <c r="AE1023" s="42" t="str">
        <f t="shared" si="69"/>
        <v/>
      </c>
      <c r="AH1023" s="10"/>
      <c r="AI1023" s="10"/>
      <c r="AJ1023" s="10"/>
    </row>
    <row r="1024" spans="1:36">
      <c r="B1024" s="47" t="s">
        <v>220</v>
      </c>
      <c r="C1024" s="47" t="s">
        <v>722</v>
      </c>
      <c r="D1024" s="47"/>
      <c r="E1024" s="7">
        <f>+G1024-Adjustments!G1024</f>
        <v>0</v>
      </c>
      <c r="F1024" s="7"/>
      <c r="G1024" s="7"/>
      <c r="H1024" s="7"/>
      <c r="I1024" s="7"/>
      <c r="J1024" s="7">
        <f>+I1024-'ROR-Model'!I1024</f>
        <v>0</v>
      </c>
      <c r="K1024" s="7"/>
      <c r="L1024" s="7"/>
      <c r="M1024" s="7"/>
      <c r="N1024" s="7"/>
      <c r="O1024" s="120"/>
      <c r="P1024" s="126"/>
      <c r="Q1024" s="7"/>
      <c r="R1024" s="7"/>
      <c r="S1024" s="126"/>
      <c r="T1024" s="7"/>
      <c r="U1024" s="7"/>
      <c r="V1024" s="124"/>
      <c r="W1024" s="7"/>
      <c r="X1024" s="139"/>
      <c r="Y1024" s="3">
        <f t="shared" si="67"/>
        <v>1015</v>
      </c>
      <c r="AA1024" s="7"/>
      <c r="AC1024" s="7" t="str">
        <f t="shared" si="68"/>
        <v/>
      </c>
      <c r="AE1024" s="42" t="str">
        <f t="shared" si="69"/>
        <v/>
      </c>
      <c r="AH1024" s="10" t="s">
        <v>220</v>
      </c>
      <c r="AI1024" s="10" t="s">
        <v>722</v>
      </c>
      <c r="AJ1024" s="10"/>
    </row>
    <row r="1025" spans="2:36">
      <c r="B1025" s="47"/>
      <c r="C1025" s="47"/>
      <c r="D1025" s="47" t="s">
        <v>23</v>
      </c>
      <c r="E1025" s="7">
        <f>+G1025-Adjustments!G1025</f>
        <v>-79234.015416659415</v>
      </c>
      <c r="F1025" s="7">
        <f>'Rate Base'!$T$64</f>
        <v>22190802.800000001</v>
      </c>
      <c r="G1025" s="7">
        <f>+Adjustments!V1009</f>
        <v>-79234.015416659415</v>
      </c>
      <c r="H1025" s="7"/>
      <c r="I1025" s="7">
        <f>SUM(F1025:H1025)</f>
        <v>22111568.784583341</v>
      </c>
      <c r="J1025" s="7">
        <f>+I1025-'ROR-Model'!I1025</f>
        <v>0</v>
      </c>
      <c r="K1025" s="7"/>
      <c r="L1025" s="7" t="s">
        <v>23</v>
      </c>
      <c r="M1025" s="7">
        <f>VLOOKUP($L1025,$L$2:$N$7,2,FALSE)*I1025</f>
        <v>0</v>
      </c>
      <c r="N1025" s="7">
        <f>VLOOKUP($L1025,$L$2:$N$7,3,FALSE)*I1025</f>
        <v>22111568.784583341</v>
      </c>
      <c r="O1025" s="120"/>
      <c r="P1025" s="192" t="s">
        <v>510</v>
      </c>
      <c r="Q1025" s="7">
        <f>IF(P1025="G",M1025,IF(P1025="PT",0,ERR))</f>
        <v>0</v>
      </c>
      <c r="R1025" s="7">
        <f>IF(P1025="PT",M1025,IF(P1025="G",0,ERR))</f>
        <v>0</v>
      </c>
      <c r="S1025" s="126" t="s">
        <v>510</v>
      </c>
      <c r="T1025" s="7">
        <f>IF(S1025="G",N1025,IF(S1025="PT",0,ERR))</f>
        <v>22111568.784583341</v>
      </c>
      <c r="U1025" s="7">
        <f>IF(S1025="PT",N1025,IF(S1025="G",0,ERR))</f>
        <v>0</v>
      </c>
      <c r="V1025" s="124"/>
      <c r="W1025" s="7">
        <f>HLOOKUP($W$9,'ROR-Model'!$Q$10:$U$1273,Y1025)</f>
        <v>0</v>
      </c>
      <c r="X1025" s="139"/>
      <c r="Y1025" s="3">
        <f t="shared" si="67"/>
        <v>1016</v>
      </c>
      <c r="AA1025" s="7">
        <v>0</v>
      </c>
      <c r="AC1025" s="7" t="str">
        <f t="shared" si="68"/>
        <v/>
      </c>
      <c r="AE1025" s="42" t="str">
        <f t="shared" si="69"/>
        <v/>
      </c>
      <c r="AH1025" s="10"/>
      <c r="AI1025" s="10"/>
      <c r="AJ1025" s="10" t="s">
        <v>23</v>
      </c>
    </row>
    <row r="1026" spans="2:36">
      <c r="B1026" s="47"/>
      <c r="C1026" s="47"/>
      <c r="D1026" s="47" t="s">
        <v>12</v>
      </c>
      <c r="E1026" s="7">
        <f>+G1026-Adjustments!G1026</f>
        <v>106725.6358332634</v>
      </c>
      <c r="F1026" s="7">
        <f>'Rate Base'!$T$65</f>
        <v>420009417.19000012</v>
      </c>
      <c r="G1026" s="7">
        <f>+Adjustments!V1010</f>
        <v>106725.6358332634</v>
      </c>
      <c r="H1026" s="7"/>
      <c r="I1026" s="7">
        <f>SUM(F1026:H1026)</f>
        <v>420116142.82583338</v>
      </c>
      <c r="J1026" s="7">
        <f>+I1026-'ROR-Model'!I1026</f>
        <v>0</v>
      </c>
      <c r="K1026" s="7"/>
      <c r="L1026" s="7" t="s">
        <v>12</v>
      </c>
      <c r="M1026" s="7">
        <f>VLOOKUP($L1026,$L$2:$N$7,2,FALSE)*I1026</f>
        <v>420116142.82583338</v>
      </c>
      <c r="N1026" s="7">
        <f>VLOOKUP($L1026,$L$2:$N$7,3,FALSE)*I1026</f>
        <v>0</v>
      </c>
      <c r="O1026" s="120"/>
      <c r="P1026" s="192" t="s">
        <v>510</v>
      </c>
      <c r="Q1026" s="7">
        <f>IF(P1026="G",M1026,IF(P1026="PT",0,ERR))</f>
        <v>420116142.82583338</v>
      </c>
      <c r="R1026" s="7">
        <f>IF(P1026="PT",M1026,IF(P1026="G",0,ERR))</f>
        <v>0</v>
      </c>
      <c r="S1026" s="126" t="s">
        <v>510</v>
      </c>
      <c r="T1026" s="7">
        <f>IF(S1026="G",N1026,IF(S1026="PT",0,ERR))</f>
        <v>0</v>
      </c>
      <c r="U1026" s="7">
        <f>IF(S1026="PT",N1026,IF(S1026="G",0,ERR))</f>
        <v>0</v>
      </c>
      <c r="V1026" s="124"/>
      <c r="W1026" s="7">
        <f>HLOOKUP($W$9,'ROR-Model'!$Q$10:$U$1273,Y1026)</f>
        <v>420116142.82583338</v>
      </c>
      <c r="X1026" s="139"/>
      <c r="Y1026" s="3">
        <f t="shared" si="67"/>
        <v>1017</v>
      </c>
      <c r="AA1026" s="7">
        <v>402380302.35291672</v>
      </c>
      <c r="AC1026" s="7">
        <f t="shared" si="68"/>
        <v>17735840.472916663</v>
      </c>
      <c r="AE1026" s="42">
        <f t="shared" si="69"/>
        <v>4.407730788313053E-2</v>
      </c>
      <c r="AH1026" s="10"/>
      <c r="AI1026" s="10"/>
      <c r="AJ1026" s="10" t="s">
        <v>12</v>
      </c>
    </row>
    <row r="1027" spans="2:36">
      <c r="B1027" s="47"/>
      <c r="C1027" s="47"/>
      <c r="D1027" s="47" t="s">
        <v>145</v>
      </c>
      <c r="E1027" s="140">
        <f>+G1027-Adjustments!G1027</f>
        <v>27491.620416603982</v>
      </c>
      <c r="F1027" s="140">
        <f>SUM(F1025:F1026)</f>
        <v>442200219.99000013</v>
      </c>
      <c r="G1027" s="140">
        <f>SUM(G1025:G1026)</f>
        <v>27491.620416603982</v>
      </c>
      <c r="H1027" s="140"/>
      <c r="I1027" s="140">
        <f>SUM(I1025:I1026)</f>
        <v>442227711.61041671</v>
      </c>
      <c r="J1027" s="7">
        <f>+I1027-'ROR-Model'!I1027</f>
        <v>0</v>
      </c>
      <c r="K1027" s="7"/>
      <c r="L1027" s="140"/>
      <c r="M1027" s="140">
        <f>SUM(M1025:M1026)</f>
        <v>420116142.82583338</v>
      </c>
      <c r="N1027" s="140">
        <f>SUM(N1025:N1026)</f>
        <v>22111568.784583341</v>
      </c>
      <c r="O1027" s="120"/>
      <c r="P1027" s="201"/>
      <c r="Q1027" s="140">
        <f>SUM(Q1025:Q1026)</f>
        <v>420116142.82583338</v>
      </c>
      <c r="R1027" s="140">
        <f>SUM(R1025:R1026)</f>
        <v>0</v>
      </c>
      <c r="S1027" s="201"/>
      <c r="T1027" s="140">
        <f>SUM(T1025:T1026)</f>
        <v>22111568.784583341</v>
      </c>
      <c r="U1027" s="140">
        <f>SUM(U1025:U1026)</f>
        <v>0</v>
      </c>
      <c r="V1027" s="124"/>
      <c r="W1027" s="140">
        <f>SUM(W1025:W1026)</f>
        <v>420116142.82583338</v>
      </c>
      <c r="X1027" s="139"/>
      <c r="Y1027" s="3">
        <f t="shared" si="67"/>
        <v>1018</v>
      </c>
      <c r="AA1027" s="140">
        <v>402380302.35291672</v>
      </c>
      <c r="AC1027" s="140">
        <f t="shared" si="68"/>
        <v>17735840.472916663</v>
      </c>
      <c r="AE1027" s="42">
        <f t="shared" si="69"/>
        <v>4.407730788313053E-2</v>
      </c>
      <c r="AH1027" s="10"/>
      <c r="AI1027" s="10"/>
      <c r="AJ1027" s="10" t="s">
        <v>145</v>
      </c>
    </row>
    <row r="1028" spans="2:36">
      <c r="B1028" s="47"/>
      <c r="C1028" s="47"/>
      <c r="D1028" s="47"/>
      <c r="E1028" s="7" t="e">
        <f>+G1028-Adjustments!#REF!</f>
        <v>#REF!</v>
      </c>
      <c r="F1028" s="7"/>
      <c r="G1028" s="7"/>
      <c r="H1028" s="7"/>
      <c r="I1028" s="7"/>
      <c r="J1028" s="7">
        <f>+I1028-'ROR-Model'!I1028</f>
        <v>0</v>
      </c>
      <c r="K1028" s="7"/>
      <c r="L1028" s="7"/>
      <c r="M1028" s="7"/>
      <c r="N1028" s="7"/>
      <c r="O1028" s="120"/>
      <c r="P1028" s="126"/>
      <c r="Q1028" s="7"/>
      <c r="R1028" s="7"/>
      <c r="S1028" s="126"/>
      <c r="T1028" s="7"/>
      <c r="U1028" s="7"/>
      <c r="V1028" s="124"/>
      <c r="W1028" s="7"/>
      <c r="X1028" s="139"/>
      <c r="Y1028" s="3">
        <f t="shared" si="67"/>
        <v>1019</v>
      </c>
      <c r="AA1028" s="7"/>
      <c r="AC1028" s="7" t="str">
        <f t="shared" si="68"/>
        <v/>
      </c>
      <c r="AE1028" s="42" t="str">
        <f t="shared" si="69"/>
        <v/>
      </c>
      <c r="AH1028" s="10"/>
      <c r="AI1028" s="10"/>
      <c r="AJ1028" s="10"/>
    </row>
    <row r="1029" spans="2:36">
      <c r="B1029" s="47" t="s">
        <v>221</v>
      </c>
      <c r="C1029" s="47" t="s">
        <v>222</v>
      </c>
      <c r="D1029" s="47"/>
      <c r="E1029" s="7" t="e">
        <f>+G1029-Adjustments!#REF!</f>
        <v>#REF!</v>
      </c>
      <c r="F1029" s="7"/>
      <c r="G1029" s="7"/>
      <c r="H1029" s="7"/>
      <c r="I1029" s="7"/>
      <c r="J1029" s="7">
        <f>+I1029-'ROR-Model'!I1029</f>
        <v>0</v>
      </c>
      <c r="K1029" s="7"/>
      <c r="L1029" s="7"/>
      <c r="M1029" s="7"/>
      <c r="N1029" s="7"/>
      <c r="O1029" s="120"/>
      <c r="P1029" s="126"/>
      <c r="Q1029" s="7"/>
      <c r="R1029" s="7"/>
      <c r="S1029" s="126"/>
      <c r="T1029" s="7"/>
      <c r="U1029" s="7"/>
      <c r="V1029" s="124"/>
      <c r="W1029" s="7"/>
      <c r="X1029" s="139"/>
      <c r="Y1029" s="3">
        <f t="shared" si="67"/>
        <v>1020</v>
      </c>
      <c r="AA1029" s="7"/>
      <c r="AC1029" s="7" t="str">
        <f t="shared" si="68"/>
        <v/>
      </c>
      <c r="AE1029" s="42" t="str">
        <f t="shared" si="69"/>
        <v/>
      </c>
      <c r="AH1029" s="10" t="s">
        <v>221</v>
      </c>
      <c r="AI1029" s="10" t="s">
        <v>222</v>
      </c>
      <c r="AJ1029" s="10"/>
    </row>
    <row r="1030" spans="2:36">
      <c r="B1030" s="47"/>
      <c r="C1030" s="47"/>
      <c r="D1030" s="47" t="s">
        <v>23</v>
      </c>
      <c r="E1030" s="7" t="e">
        <f>+G1030-Adjustments!#REF!</f>
        <v>#REF!</v>
      </c>
      <c r="F1030" s="7">
        <f>'Rate Base'!$T$69</f>
        <v>10371128.219999999</v>
      </c>
      <c r="G1030" s="7">
        <f>+Adjustments!V1014</f>
        <v>2631.0850000008941</v>
      </c>
      <c r="H1030" s="7"/>
      <c r="I1030" s="7">
        <f>SUM(F1030:H1030)</f>
        <v>10373759.305</v>
      </c>
      <c r="J1030" s="7">
        <f>+I1030-'ROR-Model'!I1030</f>
        <v>0</v>
      </c>
      <c r="K1030" s="7"/>
      <c r="L1030" s="7" t="s">
        <v>23</v>
      </c>
      <c r="M1030" s="7">
        <f>VLOOKUP($L1030,$L$2:$N$7,2,FALSE)*I1030</f>
        <v>0</v>
      </c>
      <c r="N1030" s="7">
        <f>VLOOKUP($L1030,$L$2:$N$7,3,FALSE)*I1030</f>
        <v>10373759.305</v>
      </c>
      <c r="O1030" s="120"/>
      <c r="P1030" s="192" t="s">
        <v>510</v>
      </c>
      <c r="Q1030" s="7">
        <f>IF(P1030="G",M1030,IF(P1030="PT",0,ERR))</f>
        <v>0</v>
      </c>
      <c r="R1030" s="7">
        <f>IF(P1030="PT",M1030,IF(P1030="G",0,ERR))</f>
        <v>0</v>
      </c>
      <c r="S1030" s="126" t="s">
        <v>510</v>
      </c>
      <c r="T1030" s="7">
        <f>IF(S1030="G",N1030,IF(S1030="PT",0,ERR))</f>
        <v>10373759.305</v>
      </c>
      <c r="U1030" s="7">
        <f>IF(S1030="PT",N1030,IF(S1030="G",0,ERR))</f>
        <v>0</v>
      </c>
      <c r="V1030" s="124"/>
      <c r="W1030" s="7">
        <f>HLOOKUP($W$9,'ROR-Model'!$Q$10:$U$1273,Y1030)</f>
        <v>0</v>
      </c>
      <c r="X1030" s="139"/>
      <c r="Y1030" s="3">
        <f t="shared" si="67"/>
        <v>1021</v>
      </c>
      <c r="AA1030" s="7">
        <v>0</v>
      </c>
      <c r="AC1030" s="7" t="str">
        <f t="shared" si="68"/>
        <v/>
      </c>
      <c r="AE1030" s="42" t="str">
        <f t="shared" si="69"/>
        <v/>
      </c>
      <c r="AH1030" s="10"/>
      <c r="AI1030" s="10"/>
      <c r="AJ1030" s="10" t="s">
        <v>23</v>
      </c>
    </row>
    <row r="1031" spans="2:36">
      <c r="B1031" s="47"/>
      <c r="C1031" s="47"/>
      <c r="D1031" s="47" t="s">
        <v>12</v>
      </c>
      <c r="E1031" s="7" t="e">
        <f>+G1031-Adjustments!#REF!</f>
        <v>#REF!</v>
      </c>
      <c r="F1031" s="7">
        <f>'Rate Base'!$T$70</f>
        <v>400193989.78957307</v>
      </c>
      <c r="G1031" s="7">
        <f>+Adjustments!V1015</f>
        <v>103114.76083320379</v>
      </c>
      <c r="H1031" s="7"/>
      <c r="I1031" s="7">
        <f>SUM(F1031:H1031)</f>
        <v>400297104.55040628</v>
      </c>
      <c r="J1031" s="7">
        <f>+I1031-'ROR-Model'!I1031</f>
        <v>0</v>
      </c>
      <c r="K1031" s="7"/>
      <c r="L1031" s="7" t="s">
        <v>12</v>
      </c>
      <c r="M1031" s="7">
        <f>VLOOKUP($L1031,$L$2:$N$7,2,FALSE)*I1031</f>
        <v>400297104.55040628</v>
      </c>
      <c r="N1031" s="7">
        <f>VLOOKUP($L1031,$L$2:$N$7,3,FALSE)*I1031</f>
        <v>0</v>
      </c>
      <c r="O1031" s="120"/>
      <c r="P1031" s="192" t="s">
        <v>510</v>
      </c>
      <c r="Q1031" s="7">
        <f>IF(P1031="G",M1031,IF(P1031="PT",0,ERR))</f>
        <v>400297104.55040628</v>
      </c>
      <c r="R1031" s="7">
        <f>IF(P1031="PT",M1031,IF(P1031="G",0,ERR))</f>
        <v>0</v>
      </c>
      <c r="S1031" s="126" t="s">
        <v>510</v>
      </c>
      <c r="T1031" s="7">
        <f>IF(S1031="G",N1031,IF(S1031="PT",0,ERR))</f>
        <v>0</v>
      </c>
      <c r="U1031" s="7">
        <f>IF(S1031="PT",N1031,IF(S1031="G",0,ERR))</f>
        <v>0</v>
      </c>
      <c r="V1031" s="124"/>
      <c r="W1031" s="7">
        <f>HLOOKUP($W$9,'ROR-Model'!$Q$10:$U$1273,Y1031)</f>
        <v>400297104.55040628</v>
      </c>
      <c r="X1031" s="139"/>
      <c r="Y1031" s="3">
        <f t="shared" si="67"/>
        <v>1022</v>
      </c>
      <c r="AA1031" s="7">
        <v>364536956.35316664</v>
      </c>
      <c r="AC1031" s="7">
        <f t="shared" si="68"/>
        <v>35760148.197239637</v>
      </c>
      <c r="AE1031" s="42">
        <f t="shared" si="69"/>
        <v>9.8097456441686229E-2</v>
      </c>
      <c r="AH1031" s="10"/>
      <c r="AI1031" s="10"/>
      <c r="AJ1031" s="10" t="s">
        <v>12</v>
      </c>
    </row>
    <row r="1032" spans="2:36">
      <c r="B1032" s="47"/>
      <c r="C1032" s="47"/>
      <c r="D1032" s="47" t="s">
        <v>145</v>
      </c>
      <c r="E1032" s="140" t="e">
        <f>+G1032-Adjustments!#REF!</f>
        <v>#REF!</v>
      </c>
      <c r="F1032" s="140">
        <f>SUM(F1030:F1031)</f>
        <v>410565118.0095731</v>
      </c>
      <c r="G1032" s="140">
        <f>SUM(G1030:G1031)</f>
        <v>105745.84583320469</v>
      </c>
      <c r="H1032" s="140"/>
      <c r="I1032" s="140">
        <f>SUM(I1030:I1031)</f>
        <v>410670863.85540628</v>
      </c>
      <c r="J1032" s="7">
        <f>+I1032-'ROR-Model'!I1032</f>
        <v>0</v>
      </c>
      <c r="K1032" s="7"/>
      <c r="L1032" s="140"/>
      <c r="M1032" s="140">
        <f>SUM(M1030:M1031)</f>
        <v>400297104.55040628</v>
      </c>
      <c r="N1032" s="140">
        <f>SUM(N1030:N1031)</f>
        <v>10373759.305</v>
      </c>
      <c r="O1032" s="120"/>
      <c r="P1032" s="201"/>
      <c r="Q1032" s="140">
        <f>SUM(Q1030:Q1031)</f>
        <v>400297104.55040628</v>
      </c>
      <c r="R1032" s="140">
        <f>SUM(R1030:R1031)</f>
        <v>0</v>
      </c>
      <c r="S1032" s="201"/>
      <c r="T1032" s="140">
        <f>SUM(T1030:T1031)</f>
        <v>10373759.305</v>
      </c>
      <c r="U1032" s="140">
        <f>SUM(U1030:U1031)</f>
        <v>0</v>
      </c>
      <c r="V1032" s="124"/>
      <c r="W1032" s="140">
        <f>SUM(W1030:W1031)</f>
        <v>400297104.55040628</v>
      </c>
      <c r="X1032" s="139"/>
      <c r="Y1032" s="3">
        <f t="shared" si="67"/>
        <v>1023</v>
      </c>
      <c r="AA1032" s="140">
        <v>364536956.35316664</v>
      </c>
      <c r="AC1032" s="140">
        <f t="shared" si="68"/>
        <v>35760148.197239637</v>
      </c>
      <c r="AE1032" s="42">
        <f t="shared" si="69"/>
        <v>9.8097456441686229E-2</v>
      </c>
      <c r="AH1032" s="10"/>
      <c r="AI1032" s="10"/>
      <c r="AJ1032" s="10" t="s">
        <v>145</v>
      </c>
    </row>
    <row r="1033" spans="2:36">
      <c r="B1033" s="47"/>
      <c r="C1033" s="47"/>
      <c r="D1033" s="47"/>
      <c r="E1033" s="7" t="e">
        <f>+G1033-Adjustments!#REF!</f>
        <v>#REF!</v>
      </c>
      <c r="F1033" s="7"/>
      <c r="G1033" s="7"/>
      <c r="H1033" s="7"/>
      <c r="I1033" s="7"/>
      <c r="J1033" s="7">
        <f>+I1033-'ROR-Model'!I1033</f>
        <v>0</v>
      </c>
      <c r="K1033" s="7"/>
      <c r="L1033" s="7"/>
      <c r="M1033" s="7"/>
      <c r="N1033" s="7"/>
      <c r="O1033" s="120"/>
      <c r="P1033" s="126"/>
      <c r="Q1033" s="7"/>
      <c r="R1033" s="7"/>
      <c r="S1033" s="126"/>
      <c r="T1033" s="7"/>
      <c r="U1033" s="7"/>
      <c r="V1033" s="124"/>
      <c r="W1033" s="7"/>
      <c r="X1033" s="139"/>
      <c r="Y1033" s="3">
        <f t="shared" si="67"/>
        <v>1024</v>
      </c>
      <c r="AA1033" s="7"/>
      <c r="AC1033" s="7" t="str">
        <f t="shared" si="68"/>
        <v/>
      </c>
      <c r="AE1033" s="42" t="str">
        <f t="shared" si="69"/>
        <v/>
      </c>
      <c r="AH1033" s="10"/>
      <c r="AI1033" s="10"/>
      <c r="AJ1033" s="10"/>
    </row>
    <row r="1034" spans="2:36">
      <c r="B1034" s="47" t="s">
        <v>223</v>
      </c>
      <c r="C1034" s="47" t="s">
        <v>224</v>
      </c>
      <c r="D1034" s="47"/>
      <c r="E1034" s="7" t="e">
        <f>+G1034-Adjustments!#REF!</f>
        <v>#REF!</v>
      </c>
      <c r="F1034" s="7"/>
      <c r="G1034" s="7"/>
      <c r="H1034" s="7"/>
      <c r="I1034" s="7"/>
      <c r="J1034" s="7">
        <f>+I1034-'ROR-Model'!I1034</f>
        <v>0</v>
      </c>
      <c r="K1034" s="7"/>
      <c r="L1034" s="7"/>
      <c r="M1034" s="7"/>
      <c r="N1034" s="7"/>
      <c r="O1034" s="120"/>
      <c r="P1034" s="126"/>
      <c r="Q1034" s="7"/>
      <c r="R1034" s="7"/>
      <c r="S1034" s="126"/>
      <c r="T1034" s="7"/>
      <c r="U1034" s="7"/>
      <c r="V1034" s="124"/>
      <c r="W1034" s="7"/>
      <c r="X1034" s="139"/>
      <c r="Y1034" s="3">
        <f t="shared" si="67"/>
        <v>1025</v>
      </c>
      <c r="AA1034" s="7"/>
      <c r="AC1034" s="7" t="str">
        <f t="shared" si="68"/>
        <v/>
      </c>
      <c r="AE1034" s="42" t="str">
        <f t="shared" si="69"/>
        <v/>
      </c>
      <c r="AH1034" s="10" t="s">
        <v>223</v>
      </c>
      <c r="AI1034" s="10" t="s">
        <v>224</v>
      </c>
      <c r="AJ1034" s="10"/>
    </row>
    <row r="1035" spans="2:36">
      <c r="B1035" s="47"/>
      <c r="C1035" s="47"/>
      <c r="D1035" s="47" t="s">
        <v>23</v>
      </c>
      <c r="E1035" s="7" t="e">
        <f>+G1035-Adjustments!#REF!</f>
        <v>#REF!</v>
      </c>
      <c r="F1035" s="7">
        <f>'Rate Base'!$T$74</f>
        <v>440052.27</v>
      </c>
      <c r="G1035" s="7">
        <f>+Adjustments!V1019</f>
        <v>0</v>
      </c>
      <c r="H1035" s="7"/>
      <c r="I1035" s="7">
        <f>SUM(F1035:H1035)</f>
        <v>440052.27</v>
      </c>
      <c r="J1035" s="7">
        <f>+I1035-'ROR-Model'!I1035</f>
        <v>0</v>
      </c>
      <c r="K1035" s="7"/>
      <c r="L1035" s="7" t="s">
        <v>23</v>
      </c>
      <c r="M1035" s="7">
        <f>VLOOKUP($L1035,$L$2:$N$7,2,FALSE)*I1035</f>
        <v>0</v>
      </c>
      <c r="N1035" s="7">
        <f>VLOOKUP($L1035,$L$2:$N$7,3,FALSE)*I1035</f>
        <v>440052.27</v>
      </c>
      <c r="O1035" s="120"/>
      <c r="P1035" s="192" t="s">
        <v>510</v>
      </c>
      <c r="Q1035" s="7">
        <f>IF(P1035="G",M1035,IF(P1035="PT",0,ERR))</f>
        <v>0</v>
      </c>
      <c r="R1035" s="7">
        <f>IF(P1035="PT",M1035,IF(P1035="G",0,ERR))</f>
        <v>0</v>
      </c>
      <c r="S1035" s="126" t="s">
        <v>510</v>
      </c>
      <c r="T1035" s="7">
        <f>IF(S1035="G",N1035,IF(S1035="PT",0,ERR))</f>
        <v>440052.27</v>
      </c>
      <c r="U1035" s="7">
        <f>IF(S1035="PT",N1035,IF(S1035="G",0,ERR))</f>
        <v>0</v>
      </c>
      <c r="V1035" s="124"/>
      <c r="W1035" s="7">
        <f>HLOOKUP($W$9,'ROR-Model'!$Q$10:$U$1273,Y1035)</f>
        <v>0</v>
      </c>
      <c r="X1035" s="139"/>
      <c r="Y1035" s="3">
        <f t="shared" si="67"/>
        <v>1026</v>
      </c>
      <c r="AA1035" s="7">
        <v>0</v>
      </c>
      <c r="AC1035" s="7" t="str">
        <f t="shared" si="68"/>
        <v/>
      </c>
      <c r="AE1035" s="42" t="str">
        <f t="shared" si="69"/>
        <v/>
      </c>
      <c r="AH1035" s="10"/>
      <c r="AI1035" s="10"/>
      <c r="AJ1035" s="10" t="s">
        <v>23</v>
      </c>
    </row>
    <row r="1036" spans="2:36">
      <c r="B1036" s="47"/>
      <c r="C1036" s="47"/>
      <c r="D1036" s="47" t="s">
        <v>12</v>
      </c>
      <c r="E1036" s="7">
        <f>+G1036-Adjustments!G1028</f>
        <v>0</v>
      </c>
      <c r="F1036" s="7">
        <f>'Rate Base'!$T$75</f>
        <v>14227956.720000001</v>
      </c>
      <c r="G1036" s="7">
        <f>+Adjustments!V1020</f>
        <v>0</v>
      </c>
      <c r="H1036" s="7"/>
      <c r="I1036" s="7">
        <f>SUM(F1036:H1036)</f>
        <v>14227956.720000001</v>
      </c>
      <c r="J1036" s="7">
        <f>+I1036-'ROR-Model'!I1036</f>
        <v>0</v>
      </c>
      <c r="K1036" s="7"/>
      <c r="L1036" s="7" t="s">
        <v>12</v>
      </c>
      <c r="M1036" s="7">
        <f>VLOOKUP($L1036,$L$2:$N$7,2,FALSE)*I1036</f>
        <v>14227956.720000001</v>
      </c>
      <c r="N1036" s="7">
        <f>VLOOKUP($L1036,$L$2:$N$7,3,FALSE)*I1036</f>
        <v>0</v>
      </c>
      <c r="O1036" s="120"/>
      <c r="P1036" s="192" t="s">
        <v>510</v>
      </c>
      <c r="Q1036" s="7">
        <f>IF(P1036="G",M1036,IF(P1036="PT",0,ERR))</f>
        <v>14227956.720000001</v>
      </c>
      <c r="R1036" s="7">
        <f>IF(P1036="PT",M1036,IF(P1036="G",0,ERR))</f>
        <v>0</v>
      </c>
      <c r="S1036" s="126" t="s">
        <v>510</v>
      </c>
      <c r="T1036" s="7">
        <f>IF(S1036="G",N1036,IF(S1036="PT",0,ERR))</f>
        <v>0</v>
      </c>
      <c r="U1036" s="7">
        <f>IF(S1036="PT",N1036,IF(S1036="G",0,ERR))</f>
        <v>0</v>
      </c>
      <c r="V1036" s="124"/>
      <c r="W1036" s="7">
        <f>HLOOKUP($W$9,'ROR-Model'!$Q$10:$U$1273,Y1036)</f>
        <v>14227956.720000001</v>
      </c>
      <c r="X1036" s="139"/>
      <c r="Y1036" s="3">
        <f t="shared" si="67"/>
        <v>1027</v>
      </c>
      <c r="AA1036" s="7">
        <v>14195013.312083334</v>
      </c>
      <c r="AC1036" s="7">
        <f t="shared" si="68"/>
        <v>32943.40791666694</v>
      </c>
      <c r="AE1036" s="42">
        <f t="shared" si="69"/>
        <v>2.3207733020316553E-3</v>
      </c>
      <c r="AH1036" s="10"/>
      <c r="AI1036" s="10"/>
      <c r="AJ1036" s="10" t="s">
        <v>12</v>
      </c>
    </row>
    <row r="1037" spans="2:36">
      <c r="B1037" s="47"/>
      <c r="C1037" s="47"/>
      <c r="D1037" s="47" t="s">
        <v>145</v>
      </c>
      <c r="E1037" s="140">
        <f>+G1037-Adjustments!G1029</f>
        <v>0</v>
      </c>
      <c r="F1037" s="140">
        <f>SUM(F1035:F1036)</f>
        <v>14668008.99</v>
      </c>
      <c r="G1037" s="140">
        <f>SUM(G1035:G1036)</f>
        <v>0</v>
      </c>
      <c r="H1037" s="140"/>
      <c r="I1037" s="140">
        <f>SUM(I1035:I1036)</f>
        <v>14668008.99</v>
      </c>
      <c r="J1037" s="7">
        <f>+I1037-'ROR-Model'!I1037</f>
        <v>0</v>
      </c>
      <c r="K1037" s="7"/>
      <c r="L1037" s="140"/>
      <c r="M1037" s="140">
        <f>SUM(M1035:M1036)</f>
        <v>14227956.720000001</v>
      </c>
      <c r="N1037" s="140">
        <f>SUM(N1035:N1036)</f>
        <v>440052.27</v>
      </c>
      <c r="O1037" s="120"/>
      <c r="P1037" s="201"/>
      <c r="Q1037" s="140">
        <f>SUM(Q1035:Q1036)</f>
        <v>14227956.720000001</v>
      </c>
      <c r="R1037" s="140">
        <f>SUM(R1035:R1036)</f>
        <v>0</v>
      </c>
      <c r="S1037" s="201"/>
      <c r="T1037" s="140">
        <f>SUM(T1035:T1036)</f>
        <v>440052.27</v>
      </c>
      <c r="U1037" s="140">
        <f>SUM(U1035:U1036)</f>
        <v>0</v>
      </c>
      <c r="V1037" s="124"/>
      <c r="W1037" s="140">
        <f>SUM(W1035:W1036)</f>
        <v>14227956.720000001</v>
      </c>
      <c r="X1037" s="139"/>
      <c r="Y1037" s="3">
        <f t="shared" si="67"/>
        <v>1028</v>
      </c>
      <c r="AA1037" s="140">
        <v>14195013.312083334</v>
      </c>
      <c r="AC1037" s="140">
        <f t="shared" si="68"/>
        <v>32943.40791666694</v>
      </c>
      <c r="AE1037" s="42">
        <f t="shared" si="69"/>
        <v>2.3207733020316553E-3</v>
      </c>
      <c r="AH1037" s="10"/>
      <c r="AI1037" s="10"/>
      <c r="AJ1037" s="10" t="s">
        <v>145</v>
      </c>
    </row>
    <row r="1038" spans="2:36">
      <c r="B1038" s="47"/>
      <c r="C1038" s="47"/>
      <c r="D1038" s="47"/>
      <c r="E1038" s="7">
        <f>+G1038-Adjustments!G1030</f>
        <v>0</v>
      </c>
      <c r="F1038" s="7"/>
      <c r="G1038" s="7"/>
      <c r="H1038" s="7"/>
      <c r="I1038" s="7"/>
      <c r="J1038" s="7">
        <f>+I1038-'ROR-Model'!I1038</f>
        <v>0</v>
      </c>
      <c r="K1038" s="7"/>
      <c r="L1038" s="7"/>
      <c r="M1038" s="7"/>
      <c r="N1038" s="7"/>
      <c r="O1038" s="120"/>
      <c r="P1038" s="126"/>
      <c r="Q1038" s="7"/>
      <c r="R1038" s="7"/>
      <c r="S1038" s="126"/>
      <c r="T1038" s="7"/>
      <c r="U1038" s="7"/>
      <c r="V1038" s="124"/>
      <c r="W1038" s="7"/>
      <c r="X1038" s="139"/>
      <c r="Y1038" s="3">
        <f t="shared" si="67"/>
        <v>1029</v>
      </c>
      <c r="AA1038" s="7"/>
      <c r="AC1038" s="7" t="str">
        <f t="shared" si="68"/>
        <v/>
      </c>
      <c r="AE1038" s="42" t="str">
        <f t="shared" si="69"/>
        <v/>
      </c>
      <c r="AH1038" s="10"/>
      <c r="AI1038" s="10"/>
      <c r="AJ1038" s="10"/>
    </row>
    <row r="1039" spans="2:36">
      <c r="B1039" s="47" t="s">
        <v>225</v>
      </c>
      <c r="C1039" s="47" t="s">
        <v>204</v>
      </c>
      <c r="D1039" s="47"/>
      <c r="E1039" s="7">
        <f>+G1039-Adjustments!G1031</f>
        <v>0</v>
      </c>
      <c r="F1039" s="7"/>
      <c r="G1039" s="7"/>
      <c r="H1039" s="7"/>
      <c r="I1039" s="7"/>
      <c r="J1039" s="7">
        <f>+I1039-'ROR-Model'!I1039</f>
        <v>0</v>
      </c>
      <c r="K1039" s="7"/>
      <c r="L1039" s="7"/>
      <c r="M1039" s="7"/>
      <c r="N1039" s="7"/>
      <c r="O1039" s="120"/>
      <c r="P1039" s="126"/>
      <c r="Q1039" s="7"/>
      <c r="R1039" s="7"/>
      <c r="S1039" s="126"/>
      <c r="T1039" s="7"/>
      <c r="U1039" s="7"/>
      <c r="V1039" s="124"/>
      <c r="W1039" s="7"/>
      <c r="X1039" s="139"/>
      <c r="Y1039" s="3">
        <f t="shared" si="67"/>
        <v>1030</v>
      </c>
      <c r="AA1039" s="7"/>
      <c r="AC1039" s="7" t="str">
        <f t="shared" si="68"/>
        <v/>
      </c>
      <c r="AE1039" s="42" t="str">
        <f t="shared" si="69"/>
        <v/>
      </c>
      <c r="AH1039" s="10" t="s">
        <v>225</v>
      </c>
      <c r="AI1039" s="10" t="s">
        <v>204</v>
      </c>
      <c r="AJ1039" s="10"/>
    </row>
    <row r="1040" spans="2:36">
      <c r="B1040" s="47"/>
      <c r="C1040" s="47"/>
      <c r="D1040" s="47" t="s">
        <v>23</v>
      </c>
      <c r="E1040" s="7">
        <f>+G1040-Adjustments!G1032</f>
        <v>-430931.9233333334</v>
      </c>
      <c r="F1040" s="7">
        <f>'Rate Base'!$T$79</f>
        <v>810863.27</v>
      </c>
      <c r="G1040" s="7">
        <f>+Adjustments!V1024</f>
        <v>-430931.9233333334</v>
      </c>
      <c r="H1040" s="7"/>
      <c r="I1040" s="7">
        <f>SUM(F1040:H1040)</f>
        <v>379931.34666666662</v>
      </c>
      <c r="J1040" s="7">
        <f>+I1040-'ROR-Model'!I1040</f>
        <v>0</v>
      </c>
      <c r="K1040" s="7"/>
      <c r="L1040" s="7" t="s">
        <v>23</v>
      </c>
      <c r="M1040" s="7">
        <f>VLOOKUP($L1040,$L$2:$N$7,2,FALSE)*I1040</f>
        <v>0</v>
      </c>
      <c r="N1040" s="7">
        <f>VLOOKUP($L1040,$L$2:$N$7,3,FALSE)*I1040</f>
        <v>379931.34666666662</v>
      </c>
      <c r="O1040" s="120"/>
      <c r="P1040" s="192" t="s">
        <v>510</v>
      </c>
      <c r="Q1040" s="7">
        <f>IF(P1040="G",M1040,IF(P1040="PT",0,ERR))</f>
        <v>0</v>
      </c>
      <c r="R1040" s="7">
        <f>IF(P1040="PT",M1040,IF(P1040="G",0,ERR))</f>
        <v>0</v>
      </c>
      <c r="S1040" s="126" t="s">
        <v>510</v>
      </c>
      <c r="T1040" s="7">
        <f>IF(S1040="G",N1040,IF(S1040="PT",0,ERR))</f>
        <v>379931.34666666662</v>
      </c>
      <c r="U1040" s="7">
        <f>IF(S1040="PT",N1040,IF(S1040="G",0,ERR))</f>
        <v>0</v>
      </c>
      <c r="V1040" s="124"/>
      <c r="W1040" s="7">
        <f>HLOOKUP($W$9,'ROR-Model'!$Q$10:$U$1273,Y1040)</f>
        <v>0</v>
      </c>
      <c r="X1040" s="139"/>
      <c r="Y1040" s="3">
        <f t="shared" si="67"/>
        <v>1031</v>
      </c>
      <c r="AA1040" s="7">
        <v>0</v>
      </c>
      <c r="AC1040" s="7" t="str">
        <f t="shared" si="68"/>
        <v/>
      </c>
      <c r="AE1040" s="42" t="str">
        <f t="shared" si="69"/>
        <v/>
      </c>
      <c r="AH1040" s="10"/>
      <c r="AI1040" s="10"/>
      <c r="AJ1040" s="10" t="s">
        <v>23</v>
      </c>
    </row>
    <row r="1041" spans="1:36">
      <c r="B1041" s="47"/>
      <c r="C1041" s="47"/>
      <c r="D1041" s="47" t="s">
        <v>12</v>
      </c>
      <c r="E1041" s="7">
        <f>+G1041-Adjustments!G1033</f>
        <v>-1712562.9841666678</v>
      </c>
      <c r="F1041" s="7">
        <f>'Rate Base'!$T$80</f>
        <v>6213197.9400000013</v>
      </c>
      <c r="G1041" s="7">
        <f>+Adjustments!V1025</f>
        <v>-1712562.9841666678</v>
      </c>
      <c r="H1041" s="7"/>
      <c r="I1041" s="7">
        <f>SUM(F1041:H1041)</f>
        <v>4500634.9558333335</v>
      </c>
      <c r="J1041" s="7">
        <f>+I1041-'ROR-Model'!I1041</f>
        <v>0</v>
      </c>
      <c r="K1041" s="7"/>
      <c r="L1041" s="7" t="s">
        <v>12</v>
      </c>
      <c r="M1041" s="7">
        <f>VLOOKUP($L1041,$L$2:$N$7,2,FALSE)*I1041</f>
        <v>4500634.9558333335</v>
      </c>
      <c r="N1041" s="7">
        <f>VLOOKUP($L1041,$L$2:$N$7,3,FALSE)*I1041</f>
        <v>0</v>
      </c>
      <c r="O1041" s="120"/>
      <c r="P1041" s="192" t="s">
        <v>510</v>
      </c>
      <c r="Q1041" s="7">
        <f>IF(P1041="G",M1041,IF(P1041="PT",0,ERR))</f>
        <v>4500634.9558333335</v>
      </c>
      <c r="R1041" s="7">
        <f>IF(P1041="PT",M1041,IF(P1041="G",0,ERR))</f>
        <v>0</v>
      </c>
      <c r="S1041" s="126" t="s">
        <v>510</v>
      </c>
      <c r="T1041" s="7">
        <f>IF(S1041="G",N1041,IF(S1041="PT",0,ERR))</f>
        <v>0</v>
      </c>
      <c r="U1041" s="7">
        <f>IF(S1041="PT",N1041,IF(S1041="G",0,ERR))</f>
        <v>0</v>
      </c>
      <c r="V1041" s="124"/>
      <c r="W1041" s="7">
        <f>HLOOKUP($W$9,'ROR-Model'!$Q$10:$U$1273,Y1041)</f>
        <v>4500634.9558333335</v>
      </c>
      <c r="X1041" s="139"/>
      <c r="Y1041" s="3">
        <f t="shared" si="67"/>
        <v>1032</v>
      </c>
      <c r="AA1041" s="7">
        <v>1941829.9962499999</v>
      </c>
      <c r="AC1041" s="7">
        <f t="shared" si="68"/>
        <v>2558804.9595833337</v>
      </c>
      <c r="AE1041" s="42">
        <f t="shared" si="69"/>
        <v>1.3177286191503974</v>
      </c>
      <c r="AH1041" s="10"/>
      <c r="AI1041" s="10"/>
      <c r="AJ1041" s="10" t="s">
        <v>12</v>
      </c>
    </row>
    <row r="1042" spans="1:36">
      <c r="B1042" s="47"/>
      <c r="C1042" s="47"/>
      <c r="D1042" s="47" t="s">
        <v>145</v>
      </c>
      <c r="E1042" s="140">
        <f>+G1042-Adjustments!G1034</f>
        <v>-2143494.9075000011</v>
      </c>
      <c r="F1042" s="140">
        <f>SUM(F1040:F1041)</f>
        <v>7024061.2100000009</v>
      </c>
      <c r="G1042" s="140">
        <f>SUM(G1040:G1041)</f>
        <v>-2143494.9075000011</v>
      </c>
      <c r="H1042" s="140"/>
      <c r="I1042" s="140">
        <f>SUM(I1040:I1041)</f>
        <v>4880566.3025000002</v>
      </c>
      <c r="J1042" s="7">
        <f>+I1042-'ROR-Model'!I1042</f>
        <v>0</v>
      </c>
      <c r="K1042" s="7"/>
      <c r="L1042" s="140"/>
      <c r="M1042" s="140">
        <f>SUM(M1040:M1041)</f>
        <v>4500634.9558333335</v>
      </c>
      <c r="N1042" s="140">
        <f>SUM(N1040:N1041)</f>
        <v>379931.34666666662</v>
      </c>
      <c r="O1042" s="120"/>
      <c r="P1042" s="201"/>
      <c r="Q1042" s="140">
        <f>SUM(Q1040:Q1041)</f>
        <v>4500634.9558333335</v>
      </c>
      <c r="R1042" s="140">
        <f>SUM(R1040:R1041)</f>
        <v>0</v>
      </c>
      <c r="S1042" s="201"/>
      <c r="T1042" s="140">
        <f>SUM(T1040:T1041)</f>
        <v>379931.34666666662</v>
      </c>
      <c r="U1042" s="140">
        <f>SUM(U1040:U1041)</f>
        <v>0</v>
      </c>
      <c r="V1042" s="124"/>
      <c r="W1042" s="140">
        <f>SUM(W1040:W1041)</f>
        <v>4500634.9558333335</v>
      </c>
      <c r="X1042" s="139"/>
      <c r="Y1042" s="3">
        <f t="shared" si="67"/>
        <v>1033</v>
      </c>
      <c r="AA1042" s="140">
        <v>1941829.9962499999</v>
      </c>
      <c r="AC1042" s="140">
        <f t="shared" si="68"/>
        <v>2558804.9595833337</v>
      </c>
      <c r="AE1042" s="42">
        <f t="shared" si="69"/>
        <v>1.3177286191503974</v>
      </c>
      <c r="AH1042" s="10"/>
      <c r="AI1042" s="10"/>
      <c r="AJ1042" s="10" t="s">
        <v>145</v>
      </c>
    </row>
    <row r="1043" spans="1:36">
      <c r="A1043" s="53"/>
      <c r="B1043" s="47"/>
      <c r="C1043" s="47"/>
      <c r="E1043" s="7">
        <f>+G1043-Adjustments!G1035</f>
        <v>0</v>
      </c>
      <c r="F1043" s="7"/>
      <c r="G1043" s="7"/>
      <c r="H1043" s="7"/>
      <c r="I1043" s="7"/>
      <c r="J1043" s="7">
        <f>+I1043-'ROR-Model'!I1043</f>
        <v>0</v>
      </c>
      <c r="K1043" s="7"/>
      <c r="L1043" s="7"/>
      <c r="M1043" s="7"/>
      <c r="N1043" s="7"/>
      <c r="O1043" s="120"/>
      <c r="P1043" s="126"/>
      <c r="Q1043" s="7"/>
      <c r="R1043" s="7"/>
      <c r="S1043" s="126"/>
      <c r="T1043" s="7"/>
      <c r="U1043" s="7"/>
      <c r="V1043" s="124"/>
      <c r="W1043" s="7"/>
      <c r="X1043" s="139"/>
      <c r="Y1043" s="3">
        <f t="shared" si="67"/>
        <v>1034</v>
      </c>
      <c r="AA1043" s="7"/>
      <c r="AC1043" s="7" t="str">
        <f t="shared" si="68"/>
        <v/>
      </c>
      <c r="AE1043" s="42" t="str">
        <f t="shared" si="69"/>
        <v/>
      </c>
      <c r="AG1043" s="10"/>
      <c r="AH1043" s="10"/>
      <c r="AI1043" s="10"/>
    </row>
    <row r="1044" spans="1:36">
      <c r="A1044" s="47"/>
      <c r="B1044" s="47" t="s">
        <v>226</v>
      </c>
      <c r="C1044" s="47"/>
      <c r="E1044" s="7">
        <f>+G1044-Adjustments!G1041</f>
        <v>-86209975.070000082</v>
      </c>
      <c r="F1044" s="7">
        <f>F1042+F1037+F1032+F1027+F1022+F1017+F1012+F1001+F996</f>
        <v>3402302207.7195725</v>
      </c>
      <c r="G1044" s="7">
        <f>G1042+G1037+G1032+G1027+G1022+G1017+G1012+G1001+G996</f>
        <v>-86209975.070000082</v>
      </c>
      <c r="H1044" s="7">
        <f>H1042+H1037+H1032+H1027+H1022+H1017+H1012+H1001+H996</f>
        <v>0</v>
      </c>
      <c r="I1044" s="7">
        <f>I1042+I1037+I1032+I1027+I1022+I1017+I1012+I1001+I996</f>
        <v>3316092232.6495719</v>
      </c>
      <c r="J1044" s="7">
        <f>+I1044-'ROR-Model'!I1044</f>
        <v>0</v>
      </c>
      <c r="K1044" s="7"/>
      <c r="L1044" s="7"/>
      <c r="M1044" s="7">
        <f>M1042+M1037+M1032+M1027+M1022+M1017+M1012+M1001+M996</f>
        <v>3209751831.329989</v>
      </c>
      <c r="N1044" s="7">
        <f>N1042+N1037+N1032+N1027+N1022+N1017+N1012+N1001+N996</f>
        <v>106340401.31958334</v>
      </c>
      <c r="O1044" s="120"/>
      <c r="P1044" s="126"/>
      <c r="Q1044" s="7">
        <f>Q1042+Q1037+Q1032+Q1027+Q1022+Q1017+Q1012+Q1001+Q996</f>
        <v>3209751831.329989</v>
      </c>
      <c r="R1044" s="7">
        <f>R1042+R1037+R1032+R1027+R1022+R1017+R1012+R1001+R996</f>
        <v>0</v>
      </c>
      <c r="S1044" s="126"/>
      <c r="T1044" s="7">
        <f>T1042+T1037+T1032+T1027+T1022+T1017+T1012+T1001+T996</f>
        <v>106340401.31958334</v>
      </c>
      <c r="U1044" s="7">
        <f>U1042+U1037+U1032+U1027+U1022+U1017+U1012+U1001+U996</f>
        <v>0</v>
      </c>
      <c r="V1044" s="124"/>
      <c r="W1044" s="7">
        <f>W1042+W1037+W1032+W1027+W1022+W1017+W1012+W1001+W996</f>
        <v>3209751831.329989</v>
      </c>
      <c r="X1044" s="139"/>
      <c r="Y1044" s="3">
        <f t="shared" si="67"/>
        <v>1035</v>
      </c>
      <c r="AA1044" s="7">
        <v>2510229437.8448334</v>
      </c>
      <c r="AC1044" s="7">
        <f t="shared" si="68"/>
        <v>699522393.48515558</v>
      </c>
      <c r="AE1044" s="42">
        <f t="shared" si="69"/>
        <v>0.27866870770415836</v>
      </c>
      <c r="AG1044" s="10"/>
      <c r="AH1044" s="10" t="s">
        <v>226</v>
      </c>
      <c r="AI1044" s="10"/>
    </row>
    <row r="1045" spans="1:36">
      <c r="A1045" s="47"/>
      <c r="B1045" s="47"/>
      <c r="C1045" s="47"/>
      <c r="E1045" s="7">
        <f>+G1045-Adjustments!G1042</f>
        <v>0</v>
      </c>
      <c r="F1045" s="7"/>
      <c r="G1045" s="7"/>
      <c r="H1045" s="7"/>
      <c r="I1045" s="7"/>
      <c r="J1045" s="7">
        <f>+I1045-'ROR-Model'!I1045</f>
        <v>0</v>
      </c>
      <c r="K1045" s="7"/>
      <c r="L1045" s="7"/>
      <c r="M1045" s="7"/>
      <c r="N1045" s="7"/>
      <c r="O1045" s="120"/>
      <c r="P1045" s="126"/>
      <c r="Q1045" s="7"/>
      <c r="R1045" s="7"/>
      <c r="S1045" s="126"/>
      <c r="T1045" s="7"/>
      <c r="U1045" s="7"/>
      <c r="V1045" s="124"/>
      <c r="W1045" s="7"/>
      <c r="X1045" s="139"/>
      <c r="Y1045" s="3">
        <f t="shared" si="67"/>
        <v>1036</v>
      </c>
      <c r="AA1045" s="7"/>
      <c r="AC1045" s="7" t="str">
        <f t="shared" si="68"/>
        <v/>
      </c>
      <c r="AE1045" s="42" t="str">
        <f t="shared" si="69"/>
        <v/>
      </c>
      <c r="AG1045" s="10"/>
      <c r="AH1045" s="10"/>
      <c r="AI1045" s="10"/>
    </row>
    <row r="1046" spans="1:36">
      <c r="A1046" s="47" t="s">
        <v>658</v>
      </c>
      <c r="C1046" s="47"/>
      <c r="E1046" s="7">
        <f>+G1046-Adjustments!G1043</f>
        <v>0</v>
      </c>
      <c r="F1046" s="7"/>
      <c r="G1046" s="7"/>
      <c r="H1046" s="7"/>
      <c r="I1046" s="7"/>
      <c r="J1046" s="7">
        <f>+I1046-'ROR-Model'!I1046</f>
        <v>0</v>
      </c>
      <c r="K1046" s="7"/>
      <c r="L1046" s="7"/>
      <c r="M1046" s="7"/>
      <c r="N1046" s="7"/>
      <c r="O1046" s="120"/>
      <c r="P1046" s="126"/>
      <c r="Q1046" s="7"/>
      <c r="R1046" s="7"/>
      <c r="S1046" s="126"/>
      <c r="T1046" s="7"/>
      <c r="U1046" s="7"/>
      <c r="V1046" s="49"/>
      <c r="W1046" s="7"/>
      <c r="X1046" s="139"/>
      <c r="Y1046" s="3">
        <f t="shared" ref="Y1046:Y1104" si="76">Y1045+1</f>
        <v>1037</v>
      </c>
      <c r="AA1046" s="7"/>
      <c r="AC1046" s="7" t="str">
        <f t="shared" ref="AC1046:AC1103" si="77">IF(ABS(AA1046)&gt;0,W1046-AA1046,"")</f>
        <v/>
      </c>
      <c r="AE1046" s="42" t="str">
        <f t="shared" si="69"/>
        <v/>
      </c>
      <c r="AG1046" s="10" t="s">
        <v>658</v>
      </c>
      <c r="AI1046" s="10"/>
    </row>
    <row r="1047" spans="1:36">
      <c r="B1047" s="47" t="s">
        <v>227</v>
      </c>
      <c r="C1047" s="47" t="s">
        <v>192</v>
      </c>
      <c r="D1047" s="47"/>
      <c r="E1047" s="7">
        <f>+G1047-Adjustments!G1044</f>
        <v>0</v>
      </c>
      <c r="F1047" s="7"/>
      <c r="G1047" s="7"/>
      <c r="H1047" s="7"/>
      <c r="I1047" s="7"/>
      <c r="J1047" s="7">
        <f>+I1047-'ROR-Model'!I1047</f>
        <v>0</v>
      </c>
      <c r="K1047" s="7"/>
      <c r="L1047" s="7"/>
      <c r="M1047" s="7"/>
      <c r="N1047" s="7"/>
      <c r="O1047" s="120"/>
      <c r="P1047" s="192"/>
      <c r="Q1047" s="7"/>
      <c r="R1047" s="7"/>
      <c r="S1047" s="126"/>
      <c r="T1047" s="7"/>
      <c r="U1047" s="7"/>
      <c r="V1047" s="49"/>
      <c r="W1047" s="7"/>
      <c r="X1047" s="139"/>
      <c r="Y1047" s="3">
        <f t="shared" si="76"/>
        <v>1038</v>
      </c>
      <c r="AA1047" s="7"/>
      <c r="AC1047" s="7" t="str">
        <f t="shared" si="77"/>
        <v/>
      </c>
      <c r="AE1047" s="42" t="str">
        <f t="shared" ref="AE1047:AE1104" si="78">IF(ABS(AA1047)&gt;0,AC1047/AA1047,"")</f>
        <v/>
      </c>
      <c r="AH1047" s="10" t="s">
        <v>227</v>
      </c>
      <c r="AI1047" s="10" t="s">
        <v>192</v>
      </c>
      <c r="AJ1047" s="10"/>
    </row>
    <row r="1048" spans="1:36">
      <c r="B1048" s="47"/>
      <c r="C1048" s="47"/>
      <c r="D1048" s="47" t="s">
        <v>23</v>
      </c>
      <c r="E1048" s="7">
        <f>+G1048-Adjustments!G1045</f>
        <v>-1067.3224999999984</v>
      </c>
      <c r="F1048" s="7">
        <f>'Rate Base'!$T$87</f>
        <v>15216.960000000001</v>
      </c>
      <c r="G1048" s="7">
        <f>+Adjustments!V1029</f>
        <v>-1067.3224999999984</v>
      </c>
      <c r="H1048" s="7"/>
      <c r="I1048" s="7">
        <f>SUM(F1048:H1048)</f>
        <v>14149.637500000003</v>
      </c>
      <c r="J1048" s="7">
        <f>+I1048-'ROR-Model'!I1048</f>
        <v>0</v>
      </c>
      <c r="K1048" s="7"/>
      <c r="L1048" s="7" t="s">
        <v>23</v>
      </c>
      <c r="M1048" s="7">
        <f>VLOOKUP($L1048,$L$2:$N$7,2,FALSE)*I1048</f>
        <v>0</v>
      </c>
      <c r="N1048" s="7">
        <f>VLOOKUP($L1048,$L$2:$N$7,3,FALSE)*I1048</f>
        <v>14149.637500000003</v>
      </c>
      <c r="O1048" s="120"/>
      <c r="P1048" s="192" t="s">
        <v>510</v>
      </c>
      <c r="Q1048" s="7">
        <f>IF(P1048="G",M1048,IF(P1048="PT",0,ERR))</f>
        <v>0</v>
      </c>
      <c r="R1048" s="7"/>
      <c r="S1048" s="126" t="s">
        <v>510</v>
      </c>
      <c r="T1048" s="7">
        <f>IF(S1048="G",N1048,IF(S1048="PT",0,ERR))</f>
        <v>14149.637500000003</v>
      </c>
      <c r="U1048" s="7">
        <f>IF(S1048="PT",N1048,IF(S1048="G",0,ERR))</f>
        <v>0</v>
      </c>
      <c r="V1048" s="49"/>
      <c r="W1048" s="7">
        <f>HLOOKUP($W$9,'ROR-Model'!$Q$10:$U$1273,Y1048)</f>
        <v>0</v>
      </c>
      <c r="X1048" s="139"/>
      <c r="Y1048" s="3">
        <f t="shared" si="76"/>
        <v>1039</v>
      </c>
      <c r="AA1048" s="7">
        <v>0</v>
      </c>
      <c r="AC1048" s="7" t="str">
        <f t="shared" si="77"/>
        <v/>
      </c>
      <c r="AE1048" s="42" t="str">
        <f t="shared" si="78"/>
        <v/>
      </c>
      <c r="AH1048" s="10"/>
      <c r="AI1048" s="10"/>
      <c r="AJ1048" s="10" t="s">
        <v>23</v>
      </c>
    </row>
    <row r="1049" spans="1:36">
      <c r="B1049" s="47"/>
      <c r="C1049" s="47"/>
      <c r="D1049" s="47" t="s">
        <v>12</v>
      </c>
      <c r="E1049" s="7">
        <f>+G1049-Adjustments!G1046</f>
        <v>-84743.686249997467</v>
      </c>
      <c r="F1049" s="7">
        <f>'Rate Base'!$T$88</f>
        <v>9913956.6199999955</v>
      </c>
      <c r="G1049" s="7">
        <f>+Adjustments!V1030</f>
        <v>-84743.686249997467</v>
      </c>
      <c r="H1049" s="7"/>
      <c r="I1049" s="7">
        <f>SUM(F1049:H1049)</f>
        <v>9829212.933749998</v>
      </c>
      <c r="J1049" s="7">
        <f>+I1049-'ROR-Model'!I1049</f>
        <v>0</v>
      </c>
      <c r="K1049" s="7"/>
      <c r="L1049" s="7" t="s">
        <v>12</v>
      </c>
      <c r="M1049" s="7">
        <f>VLOOKUP($L1049,$L$2:$N$7,2,FALSE)*I1049</f>
        <v>9829212.933749998</v>
      </c>
      <c r="N1049" s="7">
        <f>VLOOKUP($L1049,$L$2:$N$7,3,FALSE)*I1049</f>
        <v>0</v>
      </c>
      <c r="O1049" s="120"/>
      <c r="P1049" s="192" t="s">
        <v>510</v>
      </c>
      <c r="Q1049" s="7">
        <f>IF(P1049="G",M1049,IF(P1049="PT",0,ERR))</f>
        <v>9829212.933749998</v>
      </c>
      <c r="R1049" s="7"/>
      <c r="S1049" s="126" t="s">
        <v>510</v>
      </c>
      <c r="T1049" s="7">
        <f>IF(S1049="G",N1049,IF(S1049="PT",0,ERR))</f>
        <v>0</v>
      </c>
      <c r="U1049" s="7">
        <f>IF(S1049="PT",N1049,IF(S1049="G",0,ERR))</f>
        <v>0</v>
      </c>
      <c r="V1049" s="49"/>
      <c r="W1049" s="7">
        <f>HLOOKUP($W$9,'ROR-Model'!$Q$10:$U$1273,Y1049)</f>
        <v>9829212.933749998</v>
      </c>
      <c r="X1049" s="139"/>
      <c r="Y1049" s="3">
        <f t="shared" si="76"/>
        <v>1040</v>
      </c>
      <c r="AA1049" s="7">
        <v>3775953.85</v>
      </c>
      <c r="AC1049" s="7">
        <f t="shared" si="77"/>
        <v>6053259.0837499984</v>
      </c>
      <c r="AE1049" s="42">
        <f t="shared" si="78"/>
        <v>1.6031072741394861</v>
      </c>
      <c r="AH1049" s="10"/>
      <c r="AI1049" s="10"/>
      <c r="AJ1049" s="10" t="s">
        <v>12</v>
      </c>
    </row>
    <row r="1050" spans="1:36">
      <c r="B1050" s="47"/>
      <c r="C1050" s="47"/>
      <c r="D1050" s="47" t="s">
        <v>145</v>
      </c>
      <c r="E1050" s="7">
        <f>+G1050-Adjustments!G1047</f>
        <v>-85811.008749999106</v>
      </c>
      <c r="F1050" s="7">
        <f>'Rate Base'!$T$89</f>
        <v>9929173.5799999963</v>
      </c>
      <c r="G1050" s="7">
        <f>+Adjustments!V1031</f>
        <v>-85811.008749999106</v>
      </c>
      <c r="H1050" s="7"/>
      <c r="I1050" s="7">
        <f>SUM(F1050:H1050)</f>
        <v>9843362.5712499972</v>
      </c>
      <c r="J1050" s="7">
        <f>+I1050-'ROR-Model'!I1050</f>
        <v>0</v>
      </c>
      <c r="K1050" s="7"/>
      <c r="L1050" s="7" t="s">
        <v>145</v>
      </c>
      <c r="M1050" s="7">
        <f>SUM(M1048:M1049)</f>
        <v>9829212.933749998</v>
      </c>
      <c r="N1050" s="7">
        <f>SUM(N1048:N1049)</f>
        <v>14149.637500000003</v>
      </c>
      <c r="O1050" s="120"/>
      <c r="P1050" s="192" t="s">
        <v>510</v>
      </c>
      <c r="Q1050" s="7">
        <f>IF(P1050="G",M1050,IF(P1050="PT",0,ERR))</f>
        <v>9829212.933749998</v>
      </c>
      <c r="R1050" s="7"/>
      <c r="S1050" s="126" t="s">
        <v>510</v>
      </c>
      <c r="T1050" s="7">
        <f>IF(S1050="G",N1050,IF(S1050="PT",0,ERR))</f>
        <v>14149.637500000003</v>
      </c>
      <c r="U1050" s="7">
        <f>IF(S1050="PT",N1050,IF(S1050="G",0,ERR))</f>
        <v>0</v>
      </c>
      <c r="V1050" s="49"/>
      <c r="W1050" s="7">
        <f>HLOOKUP($W$9,'ROR-Model'!$Q$10:$U$1273,Y1050)</f>
        <v>9829212.933749998</v>
      </c>
      <c r="X1050" s="139"/>
      <c r="Y1050" s="3">
        <f t="shared" si="76"/>
        <v>1041</v>
      </c>
      <c r="AA1050" s="7">
        <v>3775953.85</v>
      </c>
      <c r="AC1050" s="7">
        <f t="shared" si="77"/>
        <v>6053259.0837499984</v>
      </c>
      <c r="AE1050" s="42">
        <f t="shared" si="78"/>
        <v>1.6031072741394861</v>
      </c>
      <c r="AH1050" s="10"/>
      <c r="AI1050" s="10"/>
      <c r="AJ1050" s="10" t="s">
        <v>145</v>
      </c>
    </row>
    <row r="1051" spans="1:36">
      <c r="B1051" s="47"/>
      <c r="C1051" s="47"/>
      <c r="D1051" s="47"/>
      <c r="E1051" s="7">
        <f>+G1051-Adjustments!G1048</f>
        <v>0</v>
      </c>
      <c r="F1051" s="7"/>
      <c r="G1051" s="7"/>
      <c r="H1051" s="7"/>
      <c r="I1051" s="7"/>
      <c r="J1051" s="7">
        <f>+I1051-'ROR-Model'!I1051</f>
        <v>0</v>
      </c>
      <c r="K1051" s="7"/>
      <c r="L1051" s="7"/>
      <c r="M1051" s="7"/>
      <c r="N1051" s="7"/>
      <c r="O1051" s="120"/>
      <c r="P1051" s="192"/>
      <c r="Q1051" s="7"/>
      <c r="R1051" s="7"/>
      <c r="S1051" s="126"/>
      <c r="T1051" s="7"/>
      <c r="U1051" s="7"/>
      <c r="V1051" s="49"/>
      <c r="W1051" s="7"/>
      <c r="X1051" s="139"/>
      <c r="Y1051" s="3">
        <f t="shared" si="76"/>
        <v>1042</v>
      </c>
      <c r="AA1051" s="7"/>
      <c r="AC1051" s="7" t="str">
        <f t="shared" si="77"/>
        <v/>
      </c>
      <c r="AE1051" s="42" t="str">
        <f t="shared" si="78"/>
        <v/>
      </c>
      <c r="AH1051" s="10"/>
      <c r="AI1051" s="10"/>
      <c r="AJ1051" s="10"/>
    </row>
    <row r="1052" spans="1:36">
      <c r="B1052" s="47" t="s">
        <v>228</v>
      </c>
      <c r="C1052" s="47" t="s">
        <v>209</v>
      </c>
      <c r="D1052" s="47"/>
      <c r="E1052" s="7">
        <f>+G1052-Adjustments!G1049</f>
        <v>0</v>
      </c>
      <c r="F1052" s="7"/>
      <c r="G1052" s="7"/>
      <c r="H1052" s="7"/>
      <c r="I1052" s="7"/>
      <c r="J1052" s="7">
        <f>+I1052-'ROR-Model'!I1052</f>
        <v>0</v>
      </c>
      <c r="K1052" s="7"/>
      <c r="L1052" s="7"/>
      <c r="M1052" s="7"/>
      <c r="N1052" s="7"/>
      <c r="O1052" s="120"/>
      <c r="P1052" s="192"/>
      <c r="Q1052" s="7"/>
      <c r="R1052" s="7"/>
      <c r="S1052" s="126"/>
      <c r="T1052" s="7"/>
      <c r="U1052" s="7"/>
      <c r="V1052" s="49"/>
      <c r="W1052" s="7"/>
      <c r="X1052" s="139"/>
      <c r="Y1052" s="3">
        <f t="shared" si="76"/>
        <v>1043</v>
      </c>
      <c r="AA1052" s="7"/>
      <c r="AC1052" s="7" t="str">
        <f t="shared" si="77"/>
        <v/>
      </c>
      <c r="AE1052" s="42" t="str">
        <f t="shared" si="78"/>
        <v/>
      </c>
      <c r="AH1052" s="10" t="s">
        <v>228</v>
      </c>
      <c r="AI1052" s="10" t="s">
        <v>209</v>
      </c>
      <c r="AJ1052" s="10"/>
    </row>
    <row r="1053" spans="1:36">
      <c r="B1053" s="47"/>
      <c r="C1053" s="47"/>
      <c r="D1053" s="47" t="s">
        <v>23</v>
      </c>
      <c r="E1053" s="7">
        <f>+G1053-Adjustments!G1050</f>
        <v>-559115.27541666664</v>
      </c>
      <c r="F1053" s="7">
        <f>'Rate Base'!$T$92</f>
        <v>7121330.1399999997</v>
      </c>
      <c r="G1053" s="7">
        <f>+Adjustments!V1034</f>
        <v>-559115.27541666664</v>
      </c>
      <c r="H1053" s="7"/>
      <c r="I1053" s="7">
        <f t="shared" ref="I1053:I1102" si="79">SUM(F1053:H1053)</f>
        <v>6562214.864583333</v>
      </c>
      <c r="J1053" s="7">
        <f>+I1053-'ROR-Model'!I1053</f>
        <v>0</v>
      </c>
      <c r="K1053" s="7"/>
      <c r="L1053" s="7" t="s">
        <v>23</v>
      </c>
      <c r="M1053" s="7">
        <f>VLOOKUP($L1053,$L$2:$N$7,2,FALSE)*I1053</f>
        <v>0</v>
      </c>
      <c r="N1053" s="7">
        <f>VLOOKUP($L1053,$L$2:$N$7,3,FALSE)*I1053</f>
        <v>6562214.864583333</v>
      </c>
      <c r="O1053" s="120"/>
      <c r="P1053" s="192" t="s">
        <v>510</v>
      </c>
      <c r="Q1053" s="7">
        <f>IF(P1053="G",M1053,IF(P1053="PT",0,ERR))</f>
        <v>0</v>
      </c>
      <c r="R1053" s="7">
        <f>IF(P1053="PT",M1053,IF(P1053="G",0,ERR))</f>
        <v>0</v>
      </c>
      <c r="S1053" s="126" t="s">
        <v>510</v>
      </c>
      <c r="T1053" s="7">
        <f>IF(S1053="G",N1053,IF(S1053="PT",0,ERR))</f>
        <v>6562214.864583333</v>
      </c>
      <c r="U1053" s="7">
        <f>IF(S1053="PT",N1053,IF(S1053="G",0,ERR))</f>
        <v>0</v>
      </c>
      <c r="V1053" s="49"/>
      <c r="W1053" s="7">
        <f>HLOOKUP($W$9,'ROR-Model'!$Q$10:$U$1273,Y1053)</f>
        <v>0</v>
      </c>
      <c r="X1053" s="139"/>
      <c r="Y1053" s="3">
        <f t="shared" si="76"/>
        <v>1044</v>
      </c>
      <c r="AA1053" s="7">
        <v>0</v>
      </c>
      <c r="AC1053" s="7" t="str">
        <f t="shared" si="77"/>
        <v/>
      </c>
      <c r="AE1053" s="42" t="str">
        <f t="shared" si="78"/>
        <v/>
      </c>
      <c r="AH1053" s="10"/>
      <c r="AI1053" s="10"/>
      <c r="AJ1053" s="10" t="s">
        <v>23</v>
      </c>
    </row>
    <row r="1054" spans="1:36">
      <c r="B1054" s="47"/>
      <c r="C1054" s="47"/>
      <c r="D1054" s="47" t="s">
        <v>12</v>
      </c>
      <c r="E1054" s="7">
        <f>+G1054-Adjustments!G1051</f>
        <v>-1640262.69083336</v>
      </c>
      <c r="F1054" s="7">
        <f>'Rate Base'!$T$93</f>
        <v>48633786.889999963</v>
      </c>
      <c r="G1054" s="7">
        <f>+Adjustments!V1035</f>
        <v>-1640262.69083336</v>
      </c>
      <c r="H1054" s="7"/>
      <c r="I1054" s="7">
        <f t="shared" si="79"/>
        <v>46993524.199166603</v>
      </c>
      <c r="J1054" s="7">
        <f>+I1054-'ROR-Model'!I1054</f>
        <v>0</v>
      </c>
      <c r="K1054" s="7"/>
      <c r="L1054" s="7" t="s">
        <v>12</v>
      </c>
      <c r="M1054" s="7">
        <f>VLOOKUP($L1054,$L$2:$N$7,2,FALSE)*I1054</f>
        <v>46993524.199166603</v>
      </c>
      <c r="N1054" s="7">
        <f>VLOOKUP($L1054,$L$2:$N$7,3,FALSE)*I1054</f>
        <v>0</v>
      </c>
      <c r="O1054" s="120"/>
      <c r="P1054" s="192" t="s">
        <v>510</v>
      </c>
      <c r="Q1054" s="7">
        <f>IF(P1054="G",M1054,IF(P1054="PT",0,ERR))</f>
        <v>46993524.199166603</v>
      </c>
      <c r="R1054" s="7">
        <f>IF(P1054="PT",M1054,IF(P1054="G",0,ERR))</f>
        <v>0</v>
      </c>
      <c r="S1054" s="126" t="s">
        <v>510</v>
      </c>
      <c r="T1054" s="7">
        <f>IF(S1054="G",N1054,IF(S1054="PT",0,ERR))</f>
        <v>0</v>
      </c>
      <c r="U1054" s="7">
        <f>IF(S1054="PT",N1054,IF(S1054="G",0,ERR))</f>
        <v>0</v>
      </c>
      <c r="V1054" s="49"/>
      <c r="W1054" s="7">
        <f>HLOOKUP($W$9,'ROR-Model'!$Q$10:$U$1273,Y1054)</f>
        <v>46993524.199166603</v>
      </c>
      <c r="X1054" s="139"/>
      <c r="Y1054" s="3">
        <f t="shared" si="76"/>
        <v>1045</v>
      </c>
      <c r="AA1054" s="7">
        <v>42676105.429583326</v>
      </c>
      <c r="AC1054" s="7">
        <f t="shared" si="77"/>
        <v>4317418.7695832774</v>
      </c>
      <c r="AE1054" s="42">
        <f t="shared" si="78"/>
        <v>0.10116712211959289</v>
      </c>
      <c r="AH1054" s="10"/>
      <c r="AI1054" s="10"/>
      <c r="AJ1054" s="10" t="s">
        <v>12</v>
      </c>
    </row>
    <row r="1055" spans="1:36">
      <c r="B1055" s="47"/>
      <c r="C1055" s="47"/>
      <c r="D1055" s="265" t="s">
        <v>544</v>
      </c>
      <c r="E1055" s="7">
        <f>+G1055-Adjustments!G1052</f>
        <v>0</v>
      </c>
      <c r="F1055" s="7">
        <f>'Rate Base'!$T$94</f>
        <v>53849849.990000032</v>
      </c>
      <c r="G1055" s="7">
        <f>+Adjustments!V1036</f>
        <v>0</v>
      </c>
      <c r="H1055" s="7"/>
      <c r="I1055" s="7">
        <f t="shared" si="79"/>
        <v>53849849.990000032</v>
      </c>
      <c r="J1055" s="7">
        <f>+I1055-'ROR-Model'!I1055</f>
        <v>0</v>
      </c>
      <c r="K1055" s="7"/>
      <c r="L1055" s="301" t="s">
        <v>429</v>
      </c>
      <c r="M1055" s="7">
        <f>VLOOKUP($L1055,$L$2:$N$7,2,FALSE)*I1055</f>
        <v>52221934.78714551</v>
      </c>
      <c r="N1055" s="7">
        <f>VLOOKUP($L1055,$L$2:$N$7,3,FALSE)*I1055</f>
        <v>1627915.2028545232</v>
      </c>
      <c r="O1055" s="120"/>
      <c r="P1055" s="192" t="s">
        <v>510</v>
      </c>
      <c r="Q1055" s="7">
        <f>IF(P1055="G",M1055,IF(P1055="PT",0,ERR))</f>
        <v>52221934.78714551</v>
      </c>
      <c r="R1055" s="7">
        <f>IF(P1055="PT",M1055,IF(P1055="G",0,ERR))</f>
        <v>0</v>
      </c>
      <c r="S1055" s="126" t="s">
        <v>510</v>
      </c>
      <c r="T1055" s="7">
        <f>IF(S1055="G",N1055,IF(S1055="PT",0,ERR))</f>
        <v>1627915.2028545232</v>
      </c>
      <c r="U1055" s="7">
        <f>IF(S1055="PT",N1055,IF(S1055="G",0,ERR))</f>
        <v>0</v>
      </c>
      <c r="V1055" s="49"/>
      <c r="W1055" s="7">
        <f>HLOOKUP($W$9,'ROR-Model'!$Q$10:$U$1273,Y1055)</f>
        <v>52221934.78714551</v>
      </c>
      <c r="X1055" s="139"/>
      <c r="Y1055" s="3">
        <f t="shared" si="76"/>
        <v>1046</v>
      </c>
      <c r="AA1055" s="7">
        <v>49398484.977824248</v>
      </c>
      <c r="AC1055" s="7">
        <f t="shared" si="77"/>
        <v>2823449.8093212619</v>
      </c>
      <c r="AE1055" s="42">
        <f t="shared" si="78"/>
        <v>5.7156607345119036E-2</v>
      </c>
      <c r="AH1055" s="10"/>
      <c r="AI1055" s="10"/>
      <c r="AJ1055" s="10" t="s">
        <v>544</v>
      </c>
    </row>
    <row r="1056" spans="1:36">
      <c r="B1056" s="47"/>
      <c r="C1056" s="47"/>
      <c r="D1056" s="47" t="s">
        <v>145</v>
      </c>
      <c r="E1056" s="7">
        <f>+G1056-Adjustments!G1053</f>
        <v>-2199377.9662500173</v>
      </c>
      <c r="F1056" s="7">
        <f>'Rate Base'!$T$95</f>
        <v>109604967.02</v>
      </c>
      <c r="G1056" s="7">
        <f>+Adjustments!V1037</f>
        <v>-2199377.9662500173</v>
      </c>
      <c r="H1056" s="7"/>
      <c r="I1056" s="7">
        <f t="shared" si="79"/>
        <v>107405589.05374998</v>
      </c>
      <c r="J1056" s="7">
        <f>+I1056-'ROR-Model'!I1056</f>
        <v>0</v>
      </c>
      <c r="K1056" s="7"/>
      <c r="L1056" s="7" t="s">
        <v>145</v>
      </c>
      <c r="M1056" s="7">
        <f>SUM(M1053:M1055)</f>
        <v>99215458.986312121</v>
      </c>
      <c r="N1056" s="7">
        <f>SUM(N1053:N1055)</f>
        <v>8190130.0674378565</v>
      </c>
      <c r="O1056" s="120"/>
      <c r="P1056" s="192" t="s">
        <v>510</v>
      </c>
      <c r="Q1056" s="7">
        <f>IF(P1056="G",M1056,IF(P1056="PT",0,ERR))</f>
        <v>99215458.986312121</v>
      </c>
      <c r="R1056" s="7">
        <f>IF(P1056="PT",M1056,IF(P1056="G",0,ERR))</f>
        <v>0</v>
      </c>
      <c r="S1056" s="126" t="s">
        <v>510</v>
      </c>
      <c r="T1056" s="7">
        <f>IF(S1056="G",N1056,IF(S1056="PT",0,ERR))</f>
        <v>8190130.0674378565</v>
      </c>
      <c r="U1056" s="7">
        <f>IF(S1056="PT",N1056,IF(S1056="G",0,ERR))</f>
        <v>0</v>
      </c>
      <c r="V1056" s="49"/>
      <c r="W1056" s="7">
        <f>HLOOKUP($W$9,'ROR-Model'!$Q$10:$U$1273,Y1056)</f>
        <v>99215458.986312121</v>
      </c>
      <c r="X1056" s="139"/>
      <c r="Y1056" s="3">
        <f t="shared" si="76"/>
        <v>1047</v>
      </c>
      <c r="AA1056" s="7">
        <v>92074590.407407582</v>
      </c>
      <c r="AC1056" s="7">
        <f t="shared" si="77"/>
        <v>7140868.5789045393</v>
      </c>
      <c r="AE1056" s="42">
        <f t="shared" si="78"/>
        <v>7.7555257615678108E-2</v>
      </c>
      <c r="AH1056" s="10"/>
      <c r="AI1056" s="10"/>
      <c r="AJ1056" s="10" t="s">
        <v>145</v>
      </c>
    </row>
    <row r="1057" spans="2:36">
      <c r="B1057" s="47"/>
      <c r="C1057" s="47"/>
      <c r="D1057" s="47"/>
      <c r="E1057" s="7">
        <f>+G1057-Adjustments!G1054</f>
        <v>0</v>
      </c>
      <c r="F1057" s="7"/>
      <c r="G1057" s="7"/>
      <c r="H1057" s="7"/>
      <c r="I1057" s="7"/>
      <c r="J1057" s="7">
        <f>+I1057-'ROR-Model'!I1057</f>
        <v>0</v>
      </c>
      <c r="K1057" s="7"/>
      <c r="L1057" s="7"/>
      <c r="M1057" s="7"/>
      <c r="N1057" s="7"/>
      <c r="O1057" s="120"/>
      <c r="P1057" s="192"/>
      <c r="Q1057" s="7"/>
      <c r="R1057" s="7"/>
      <c r="S1057" s="126"/>
      <c r="T1057" s="7"/>
      <c r="U1057" s="7"/>
      <c r="V1057" s="49"/>
      <c r="W1057" s="7"/>
      <c r="X1057" s="139"/>
      <c r="Y1057" s="3">
        <f t="shared" si="76"/>
        <v>1048</v>
      </c>
      <c r="AA1057" s="7"/>
      <c r="AC1057" s="7" t="str">
        <f t="shared" si="77"/>
        <v/>
      </c>
      <c r="AE1057" s="42" t="str">
        <f t="shared" si="78"/>
        <v/>
      </c>
      <c r="AH1057" s="10"/>
      <c r="AI1057" s="10"/>
      <c r="AJ1057" s="10"/>
    </row>
    <row r="1058" spans="2:36">
      <c r="B1058" s="47" t="s">
        <v>229</v>
      </c>
      <c r="C1058" s="47" t="s">
        <v>230</v>
      </c>
      <c r="D1058" s="47"/>
      <c r="E1058" s="7">
        <f>+G1058-Adjustments!G1055</f>
        <v>0</v>
      </c>
      <c r="F1058" s="7"/>
      <c r="G1058" s="7"/>
      <c r="H1058" s="7"/>
      <c r="I1058" s="7"/>
      <c r="J1058" s="7">
        <f>+I1058-'ROR-Model'!I1058</f>
        <v>0</v>
      </c>
      <c r="K1058" s="7"/>
      <c r="L1058" s="7"/>
      <c r="M1058" s="7"/>
      <c r="N1058" s="7"/>
      <c r="O1058" s="120"/>
      <c r="P1058" s="192"/>
      <c r="Q1058" s="7"/>
      <c r="R1058" s="7"/>
      <c r="S1058" s="126"/>
      <c r="T1058" s="7"/>
      <c r="U1058" s="7"/>
      <c r="V1058" s="49"/>
      <c r="W1058" s="7"/>
      <c r="X1058" s="139"/>
      <c r="Y1058" s="3">
        <f t="shared" si="76"/>
        <v>1049</v>
      </c>
      <c r="AA1058" s="7"/>
      <c r="AC1058" s="7" t="str">
        <f t="shared" si="77"/>
        <v/>
      </c>
      <c r="AE1058" s="42" t="str">
        <f t="shared" si="78"/>
        <v/>
      </c>
      <c r="AH1058" s="10" t="s">
        <v>229</v>
      </c>
      <c r="AI1058" s="10" t="s">
        <v>230</v>
      </c>
      <c r="AJ1058" s="10"/>
    </row>
    <row r="1059" spans="2:36">
      <c r="B1059" s="47"/>
      <c r="C1059" s="47"/>
      <c r="D1059" s="47" t="s">
        <v>23</v>
      </c>
      <c r="E1059" s="7">
        <f>+G1059-Adjustments!G1056</f>
        <v>-14703.813749999972</v>
      </c>
      <c r="F1059" s="7">
        <f>'Rate Base'!$T$98</f>
        <v>170984.29</v>
      </c>
      <c r="G1059" s="7">
        <f>+Adjustments!V1040</f>
        <v>-14703.813749999972</v>
      </c>
      <c r="H1059" s="7"/>
      <c r="I1059" s="7">
        <f t="shared" si="79"/>
        <v>156280.47625000004</v>
      </c>
      <c r="J1059" s="7">
        <f>+I1059-'ROR-Model'!I1059</f>
        <v>0</v>
      </c>
      <c r="K1059" s="7"/>
      <c r="L1059" s="7" t="s">
        <v>23</v>
      </c>
      <c r="M1059" s="7">
        <f>VLOOKUP($L1059,$L$2:$N$7,2,FALSE)*I1059</f>
        <v>0</v>
      </c>
      <c r="N1059" s="7">
        <f>VLOOKUP($L1059,$L$2:$N$7,3,FALSE)*I1059</f>
        <v>156280.47625000004</v>
      </c>
      <c r="O1059" s="120"/>
      <c r="P1059" s="192" t="s">
        <v>510</v>
      </c>
      <c r="Q1059" s="7">
        <f>IF(P1059="G",M1059,IF(P1059="PT",0,ERR))</f>
        <v>0</v>
      </c>
      <c r="R1059" s="7">
        <f>IF(P1059="PT",M1059,IF(P1059="G",0,ERR))</f>
        <v>0</v>
      </c>
      <c r="S1059" s="126" t="s">
        <v>510</v>
      </c>
      <c r="T1059" s="7">
        <f>IF(S1059="G",N1059,IF(S1059="PT",0,ERR))</f>
        <v>156280.47625000004</v>
      </c>
      <c r="U1059" s="7">
        <f>IF(S1059="PT",N1059,IF(S1059="G",0,ERR))</f>
        <v>0</v>
      </c>
      <c r="V1059" s="49"/>
      <c r="W1059" s="7">
        <f>HLOOKUP($W$9,'ROR-Model'!$Q$10:$U$1273,Y1059)</f>
        <v>0</v>
      </c>
      <c r="X1059" s="139"/>
      <c r="Y1059" s="3">
        <f t="shared" si="76"/>
        <v>1050</v>
      </c>
      <c r="AA1059" s="7">
        <v>0</v>
      </c>
      <c r="AC1059" s="7" t="str">
        <f t="shared" si="77"/>
        <v/>
      </c>
      <c r="AE1059" s="42" t="str">
        <f t="shared" si="78"/>
        <v/>
      </c>
      <c r="AH1059" s="10"/>
      <c r="AI1059" s="10"/>
      <c r="AJ1059" s="10" t="s">
        <v>23</v>
      </c>
    </row>
    <row r="1060" spans="2:36">
      <c r="B1060" s="47"/>
      <c r="C1060" s="47"/>
      <c r="D1060" s="47" t="s">
        <v>12</v>
      </c>
      <c r="E1060" s="7">
        <f>+G1060-Adjustments!G1057</f>
        <v>-2049433.7949999962</v>
      </c>
      <c r="F1060" s="7">
        <f>'Rate Base'!$T$99</f>
        <v>17000678.300000004</v>
      </c>
      <c r="G1060" s="7">
        <f>+Adjustments!V1041</f>
        <v>-2049433.7949999962</v>
      </c>
      <c r="H1060" s="7"/>
      <c r="I1060" s="7">
        <f t="shared" si="79"/>
        <v>14951244.505000008</v>
      </c>
      <c r="J1060" s="7">
        <f>+I1060-'ROR-Model'!I1060</f>
        <v>0</v>
      </c>
      <c r="K1060" s="7"/>
      <c r="L1060" s="7" t="s">
        <v>12</v>
      </c>
      <c r="M1060" s="7">
        <f>VLOOKUP($L1060,$L$2:$N$7,2,FALSE)*I1060</f>
        <v>14951244.505000008</v>
      </c>
      <c r="N1060" s="7">
        <f>VLOOKUP($L1060,$L$2:$N$7,3,FALSE)*I1060</f>
        <v>0</v>
      </c>
      <c r="O1060" s="120"/>
      <c r="P1060" s="192" t="s">
        <v>510</v>
      </c>
      <c r="Q1060" s="7">
        <f>IF(P1060="G",M1060,IF(P1060="PT",0,ERR))</f>
        <v>14951244.505000008</v>
      </c>
      <c r="R1060" s="7">
        <f>IF(P1060="PT",M1060,IF(P1060="G",0,ERR))</f>
        <v>0</v>
      </c>
      <c r="S1060" s="126" t="s">
        <v>510</v>
      </c>
      <c r="T1060" s="7">
        <f>IF(S1060="G",N1060,IF(S1060="PT",0,ERR))</f>
        <v>0</v>
      </c>
      <c r="U1060" s="7">
        <f>IF(S1060="PT",N1060,IF(S1060="G",0,ERR))</f>
        <v>0</v>
      </c>
      <c r="V1060" s="49"/>
      <c r="W1060" s="7">
        <f>HLOOKUP($W$9,'ROR-Model'!$Q$10:$U$1273,Y1060)</f>
        <v>14951244.505000008</v>
      </c>
      <c r="X1060" s="139"/>
      <c r="Y1060" s="3">
        <f t="shared" si="76"/>
        <v>1051</v>
      </c>
      <c r="AA1060" s="7">
        <v>11634017.808750002</v>
      </c>
      <c r="AC1060" s="7">
        <f t="shared" si="77"/>
        <v>3317226.6962500066</v>
      </c>
      <c r="AE1060" s="42">
        <f t="shared" si="78"/>
        <v>0.28513165019870473</v>
      </c>
      <c r="AH1060" s="10"/>
      <c r="AI1060" s="10"/>
      <c r="AJ1060" s="10" t="s">
        <v>12</v>
      </c>
    </row>
    <row r="1061" spans="2:36">
      <c r="B1061" s="47"/>
      <c r="C1061" s="47"/>
      <c r="D1061" s="47" t="s">
        <v>544</v>
      </c>
      <c r="E1061" s="7">
        <f>+G1061-Adjustments!G1058</f>
        <v>-403.05750000104308</v>
      </c>
      <c r="F1061" s="7">
        <f>'Rate Base'!$T$100</f>
        <v>31456142.519999988</v>
      </c>
      <c r="G1061" s="7">
        <f>+Adjustments!V1042</f>
        <v>-403.05750000104308</v>
      </c>
      <c r="H1061" s="7"/>
      <c r="I1061" s="7">
        <f t="shared" si="79"/>
        <v>31455739.462499987</v>
      </c>
      <c r="J1061" s="7">
        <f>+I1061-'ROR-Model'!I1061</f>
        <v>0</v>
      </c>
      <c r="K1061" s="7"/>
      <c r="L1061" s="7" t="s">
        <v>429</v>
      </c>
      <c r="M1061" s="7">
        <f>VLOOKUP($L1061,$L$2:$N$7,2,FALSE)*I1061</f>
        <v>30504812.459034909</v>
      </c>
      <c r="N1061" s="7">
        <f>VLOOKUP($L1061,$L$2:$N$7,3,FALSE)*I1061</f>
        <v>950927.00346507819</v>
      </c>
      <c r="O1061" s="120"/>
      <c r="P1061" s="192" t="s">
        <v>510</v>
      </c>
      <c r="Q1061" s="7">
        <f>IF(P1061="G",M1061,IF(P1061="PT",0,ERR))</f>
        <v>30504812.459034909</v>
      </c>
      <c r="R1061" s="7">
        <f>IF(P1061="PT",M1061,IF(P1061="G",0,ERR))</f>
        <v>0</v>
      </c>
      <c r="S1061" s="126" t="s">
        <v>510</v>
      </c>
      <c r="T1061" s="7">
        <f>IF(S1061="G",N1061,IF(S1061="PT",0,ERR))</f>
        <v>950927.00346507819</v>
      </c>
      <c r="U1061" s="7">
        <f>IF(S1061="PT",N1061,IF(S1061="G",0,ERR))</f>
        <v>0</v>
      </c>
      <c r="V1061" s="49"/>
      <c r="W1061" s="7">
        <f>HLOOKUP($W$9,'ROR-Model'!$Q$10:$U$1273,Y1061)</f>
        <v>30504812.459034909</v>
      </c>
      <c r="X1061" s="139"/>
      <c r="Y1061" s="3">
        <f t="shared" si="76"/>
        <v>1052</v>
      </c>
      <c r="AA1061" s="7">
        <v>39147956.63373588</v>
      </c>
      <c r="AC1061" s="7">
        <f t="shared" si="77"/>
        <v>-8643144.1747009717</v>
      </c>
      <c r="AE1061" s="42">
        <f t="shared" si="78"/>
        <v>-0.22078148945461726</v>
      </c>
      <c r="AH1061" s="10"/>
      <c r="AI1061" s="10"/>
      <c r="AJ1061" s="10" t="s">
        <v>544</v>
      </c>
    </row>
    <row r="1062" spans="2:36">
      <c r="B1062" s="47"/>
      <c r="C1062" s="47"/>
      <c r="D1062" s="47" t="s">
        <v>145</v>
      </c>
      <c r="E1062" s="7">
        <f>+G1062-Adjustments!G1059</f>
        <v>-2064540.6662499979</v>
      </c>
      <c r="F1062" s="7">
        <f>'Rate Base'!$T$101</f>
        <v>48627805.109999992</v>
      </c>
      <c r="G1062" s="7">
        <f>+Adjustments!V1043</f>
        <v>-2064540.6662499979</v>
      </c>
      <c r="H1062" s="7"/>
      <c r="I1062" s="7">
        <f t="shared" si="79"/>
        <v>46563264.443749994</v>
      </c>
      <c r="J1062" s="7">
        <f>+I1062-'ROR-Model'!I1062</f>
        <v>0</v>
      </c>
      <c r="K1062" s="7"/>
      <c r="L1062" s="7" t="s">
        <v>145</v>
      </c>
      <c r="M1062" s="7">
        <f>SUM(M1059:M1061)</f>
        <v>45456056.964034915</v>
      </c>
      <c r="N1062" s="7">
        <f>SUM(N1059:N1061)</f>
        <v>1107207.4797150781</v>
      </c>
      <c r="O1062" s="120"/>
      <c r="P1062" s="192" t="s">
        <v>510</v>
      </c>
      <c r="Q1062" s="7">
        <f>IF(P1062="G",M1062,IF(P1062="PT",0,ERR))</f>
        <v>45456056.964034915</v>
      </c>
      <c r="R1062" s="7">
        <f>IF(P1062="PT",M1062,IF(P1062="G",0,ERR))</f>
        <v>0</v>
      </c>
      <c r="S1062" s="126" t="s">
        <v>510</v>
      </c>
      <c r="T1062" s="7">
        <f>IF(S1062="G",N1062,IF(S1062="PT",0,ERR))</f>
        <v>1107207.4797150781</v>
      </c>
      <c r="U1062" s="7">
        <f>IF(S1062="PT",N1062,IF(S1062="G",0,ERR))</f>
        <v>0</v>
      </c>
      <c r="V1062" s="49"/>
      <c r="W1062" s="7">
        <f>HLOOKUP($W$9,'ROR-Model'!$Q$10:$U$1273,Y1062)</f>
        <v>45456056.964034915</v>
      </c>
      <c r="X1062" s="139"/>
      <c r="Y1062" s="3">
        <f t="shared" si="76"/>
        <v>1053</v>
      </c>
      <c r="AA1062" s="7">
        <v>50781974.442485884</v>
      </c>
      <c r="AC1062" s="7">
        <f t="shared" si="77"/>
        <v>-5325917.4784509689</v>
      </c>
      <c r="AE1062" s="42">
        <f t="shared" si="78"/>
        <v>-0.10487810954422304</v>
      </c>
      <c r="AH1062" s="10"/>
      <c r="AI1062" s="10"/>
      <c r="AJ1062" s="10" t="s">
        <v>145</v>
      </c>
    </row>
    <row r="1063" spans="2:36">
      <c r="B1063" s="47"/>
      <c r="C1063" s="47"/>
      <c r="D1063" s="47"/>
      <c r="E1063" s="7">
        <f>+G1063-Adjustments!G1060</f>
        <v>0</v>
      </c>
      <c r="F1063" s="7"/>
      <c r="G1063" s="7"/>
      <c r="H1063" s="7"/>
      <c r="I1063" s="7"/>
      <c r="J1063" s="7">
        <f>+I1063-'ROR-Model'!I1063</f>
        <v>0</v>
      </c>
      <c r="K1063" s="7"/>
      <c r="L1063" s="7"/>
      <c r="M1063" s="7"/>
      <c r="N1063" s="7"/>
      <c r="O1063" s="120"/>
      <c r="P1063" s="192"/>
      <c r="Q1063" s="7"/>
      <c r="R1063" s="7"/>
      <c r="S1063" s="126"/>
      <c r="T1063" s="7"/>
      <c r="U1063" s="7"/>
      <c r="V1063" s="49"/>
      <c r="W1063" s="7"/>
      <c r="X1063" s="139"/>
      <c r="Y1063" s="3">
        <f t="shared" si="76"/>
        <v>1054</v>
      </c>
      <c r="AA1063" s="7"/>
      <c r="AC1063" s="7" t="str">
        <f t="shared" si="77"/>
        <v/>
      </c>
      <c r="AE1063" s="42" t="str">
        <f t="shared" si="78"/>
        <v/>
      </c>
      <c r="AH1063" s="10"/>
      <c r="AI1063" s="10"/>
      <c r="AJ1063" s="10"/>
    </row>
    <row r="1064" spans="2:36">
      <c r="B1064" s="47" t="s">
        <v>231</v>
      </c>
      <c r="C1064" s="47" t="s">
        <v>232</v>
      </c>
      <c r="D1064" s="47"/>
      <c r="E1064" s="7">
        <f>+G1064-Adjustments!G1061</f>
        <v>0</v>
      </c>
      <c r="F1064" s="7">
        <f>'Rate Base'!$T$107</f>
        <v>66853368.600000024</v>
      </c>
      <c r="G1064" s="7">
        <f>+Adjustments!V1045</f>
        <v>0</v>
      </c>
      <c r="H1064" s="7"/>
      <c r="I1064" s="7">
        <f t="shared" si="79"/>
        <v>66853368.600000024</v>
      </c>
      <c r="J1064" s="7">
        <f>+I1064-'ROR-Model'!I1064</f>
        <v>0</v>
      </c>
      <c r="K1064" s="7"/>
      <c r="L1064" s="7"/>
      <c r="M1064" s="7"/>
      <c r="N1064" s="7"/>
      <c r="O1064" s="120"/>
      <c r="P1064" s="192"/>
      <c r="Q1064" s="7"/>
      <c r="R1064" s="7"/>
      <c r="S1064" s="126"/>
      <c r="T1064" s="7"/>
      <c r="U1064" s="7"/>
      <c r="V1064" s="49"/>
      <c r="W1064" s="7"/>
      <c r="X1064" s="139"/>
      <c r="Y1064" s="3">
        <f t="shared" si="76"/>
        <v>1055</v>
      </c>
      <c r="AA1064" s="7"/>
      <c r="AC1064" s="7" t="str">
        <f t="shared" si="77"/>
        <v/>
      </c>
      <c r="AE1064" s="42" t="str">
        <f t="shared" si="78"/>
        <v/>
      </c>
      <c r="AH1064" s="10" t="s">
        <v>231</v>
      </c>
      <c r="AI1064" s="10" t="s">
        <v>232</v>
      </c>
      <c r="AJ1064" s="10"/>
    </row>
    <row r="1065" spans="2:36">
      <c r="B1065" s="47"/>
      <c r="C1065" s="47"/>
      <c r="D1065" s="47" t="s">
        <v>23</v>
      </c>
      <c r="E1065" s="7">
        <f>+G1065-Adjustments!G1062</f>
        <v>-131883.18541666679</v>
      </c>
      <c r="F1065" s="7">
        <f>'Rate Base'!$T$104</f>
        <v>2856580.39</v>
      </c>
      <c r="G1065" s="7">
        <f>+Adjustments!V1046</f>
        <v>-131883.18541666679</v>
      </c>
      <c r="H1065" s="7"/>
      <c r="I1065" s="7">
        <f t="shared" si="79"/>
        <v>2724697.2045833333</v>
      </c>
      <c r="J1065" s="7">
        <f>+I1065-'ROR-Model'!I1065</f>
        <v>0</v>
      </c>
      <c r="K1065" s="7"/>
      <c r="L1065" s="7" t="s">
        <v>23</v>
      </c>
      <c r="M1065" s="7">
        <f>VLOOKUP($L1065,$L$2:$N$7,2,FALSE)*I1065</f>
        <v>0</v>
      </c>
      <c r="N1065" s="7">
        <f>VLOOKUP($L1065,$L$2:$N$7,3,FALSE)*I1065</f>
        <v>2724697.2045833333</v>
      </c>
      <c r="O1065" s="120"/>
      <c r="P1065" s="192" t="s">
        <v>510</v>
      </c>
      <c r="Q1065" s="7">
        <f>IF(P1065="G",M1065,IF(P1065="PT",0,ERR))</f>
        <v>0</v>
      </c>
      <c r="R1065" s="7">
        <f>IF(P1065="PT",M1065,IF(P1065="G",0,ERR))</f>
        <v>0</v>
      </c>
      <c r="S1065" s="126" t="s">
        <v>510</v>
      </c>
      <c r="T1065" s="7">
        <f>IF(S1065="G",N1065,IF(S1065="PT",0,ERR))</f>
        <v>2724697.2045833333</v>
      </c>
      <c r="U1065" s="7">
        <f>IF(S1065="PT",N1065,IF(S1065="G",0,ERR))</f>
        <v>0</v>
      </c>
      <c r="V1065" s="49"/>
      <c r="W1065" s="7">
        <f>HLOOKUP($W$9,'ROR-Model'!$Q$10:$U$1273,Y1065)</f>
        <v>0</v>
      </c>
      <c r="X1065" s="139"/>
      <c r="Y1065" s="3">
        <f t="shared" si="76"/>
        <v>1056</v>
      </c>
      <c r="AA1065" s="7">
        <v>0</v>
      </c>
      <c r="AC1065" s="7" t="str">
        <f t="shared" si="77"/>
        <v/>
      </c>
      <c r="AE1065" s="42" t="str">
        <f t="shared" si="78"/>
        <v/>
      </c>
      <c r="AH1065" s="10"/>
      <c r="AI1065" s="10"/>
      <c r="AJ1065" s="10" t="s">
        <v>23</v>
      </c>
    </row>
    <row r="1066" spans="2:36">
      <c r="B1066" s="47"/>
      <c r="C1066" s="47"/>
      <c r="D1066" s="47" t="s">
        <v>12</v>
      </c>
      <c r="E1066" s="7">
        <f>+G1066-Adjustments!G1063</f>
        <v>-8090861.9895833284</v>
      </c>
      <c r="F1066" s="7">
        <f>'Rate Base'!$T$105</f>
        <v>63996788.210000023</v>
      </c>
      <c r="G1066" s="7">
        <f>+Adjustments!V1047</f>
        <v>-8090861.9895833284</v>
      </c>
      <c r="H1066" s="7"/>
      <c r="I1066" s="7">
        <f t="shared" si="79"/>
        <v>55905926.220416695</v>
      </c>
      <c r="J1066" s="7">
        <f>+I1066-'ROR-Model'!I1066</f>
        <v>0</v>
      </c>
      <c r="K1066" s="7"/>
      <c r="L1066" s="7" t="s">
        <v>12</v>
      </c>
      <c r="M1066" s="7">
        <f>VLOOKUP($L1066,$L$2:$N$7,2,FALSE)*I1066</f>
        <v>55905926.220416695</v>
      </c>
      <c r="N1066" s="7">
        <f>VLOOKUP($L1066,$L$2:$N$7,3,FALSE)*I1066</f>
        <v>0</v>
      </c>
      <c r="O1066" s="120"/>
      <c r="P1066" s="192" t="s">
        <v>510</v>
      </c>
      <c r="Q1066" s="7">
        <f>IF(P1066="G",M1066,IF(P1066="PT",0,ERR))</f>
        <v>55905926.220416695</v>
      </c>
      <c r="R1066" s="7">
        <f>IF(P1066="PT",M1066,IF(P1066="G",0,ERR))</f>
        <v>0</v>
      </c>
      <c r="S1066" s="126" t="s">
        <v>510</v>
      </c>
      <c r="T1066" s="7">
        <f>IF(S1066="G",N1066,IF(S1066="PT",0,ERR))</f>
        <v>0</v>
      </c>
      <c r="U1066" s="7">
        <f>IF(S1066="PT",N1066,IF(S1066="G",0,ERR))</f>
        <v>0</v>
      </c>
      <c r="V1066" s="49"/>
      <c r="W1066" s="7">
        <f>HLOOKUP($W$9,'ROR-Model'!$Q$10:$U$1273,Y1066)</f>
        <v>55905926.220416695</v>
      </c>
      <c r="X1066" s="139"/>
      <c r="Y1066" s="3">
        <f t="shared" si="76"/>
        <v>1057</v>
      </c>
      <c r="AA1066" s="7">
        <v>45112684.214583337</v>
      </c>
      <c r="AC1066" s="7">
        <f t="shared" si="77"/>
        <v>10793242.005833358</v>
      </c>
      <c r="AE1066" s="42">
        <f t="shared" si="78"/>
        <v>0.23925071615100846</v>
      </c>
      <c r="AH1066" s="10"/>
      <c r="AI1066" s="10"/>
      <c r="AJ1066" s="10" t="s">
        <v>12</v>
      </c>
    </row>
    <row r="1067" spans="2:36">
      <c r="B1067" s="47"/>
      <c r="C1067" s="47"/>
      <c r="D1067" s="47" t="s">
        <v>544</v>
      </c>
      <c r="E1067" s="7">
        <f>+G1067-Adjustments!G1064</f>
        <v>0</v>
      </c>
      <c r="F1067" s="7">
        <f>'Rate Base'!$T$106</f>
        <v>0</v>
      </c>
      <c r="G1067" s="7">
        <f>+Adjustments!V1048</f>
        <v>0</v>
      </c>
      <c r="H1067" s="7"/>
      <c r="I1067" s="7">
        <f t="shared" si="79"/>
        <v>0</v>
      </c>
      <c r="J1067" s="7">
        <f>+I1067-'ROR-Model'!I1067</f>
        <v>0</v>
      </c>
      <c r="K1067" s="7"/>
      <c r="L1067" s="7" t="s">
        <v>429</v>
      </c>
      <c r="M1067" s="7">
        <f>VLOOKUP($L1067,$L$2:$N$7,2,FALSE)*I1067</f>
        <v>0</v>
      </c>
      <c r="N1067" s="7">
        <f>VLOOKUP($L1067,$L$2:$N$7,3,FALSE)*I1067</f>
        <v>0</v>
      </c>
      <c r="O1067" s="120"/>
      <c r="P1067" s="192" t="s">
        <v>510</v>
      </c>
      <c r="Q1067" s="7">
        <f>IF(P1067="G",M1067,IF(P1067="PT",0,ERR))</f>
        <v>0</v>
      </c>
      <c r="R1067" s="7">
        <f>IF(P1067="PT",M1067,IF(P1067="G",0,ERR))</f>
        <v>0</v>
      </c>
      <c r="S1067" s="126" t="s">
        <v>510</v>
      </c>
      <c r="T1067" s="7">
        <f>IF(S1067="G",N1067,IF(S1067="PT",0,ERR))</f>
        <v>0</v>
      </c>
      <c r="U1067" s="7">
        <f>IF(S1067="PT",N1067,IF(S1067="G",0,ERR))</f>
        <v>0</v>
      </c>
      <c r="V1067" s="49"/>
      <c r="W1067" s="7">
        <f>HLOOKUP($W$9,'ROR-Model'!$Q$10:$U$1273,Y1067)</f>
        <v>0</v>
      </c>
      <c r="X1067" s="139"/>
      <c r="Y1067" s="3">
        <f t="shared" si="76"/>
        <v>1058</v>
      </c>
      <c r="AA1067" s="7">
        <v>0</v>
      </c>
      <c r="AC1067" s="7" t="str">
        <f t="shared" si="77"/>
        <v/>
      </c>
      <c r="AE1067" s="42" t="str">
        <f t="shared" si="78"/>
        <v/>
      </c>
      <c r="AH1067" s="10"/>
      <c r="AI1067" s="10"/>
      <c r="AJ1067" s="10" t="s">
        <v>544</v>
      </c>
    </row>
    <row r="1068" spans="2:36">
      <c r="B1068" s="47"/>
      <c r="C1068" s="47"/>
      <c r="D1068" s="47" t="s">
        <v>145</v>
      </c>
      <c r="E1068" s="7">
        <f>+G1068-Adjustments!G1065</f>
        <v>-8222745.1750000119</v>
      </c>
      <c r="F1068" s="7">
        <f>'Rate Base'!$T$107</f>
        <v>66853368.600000024</v>
      </c>
      <c r="G1068" s="7">
        <f>+Adjustments!V1049</f>
        <v>-8222745.1750000119</v>
      </c>
      <c r="H1068" s="7"/>
      <c r="I1068" s="7">
        <f t="shared" si="79"/>
        <v>58630623.425000012</v>
      </c>
      <c r="J1068" s="7">
        <f>+I1068-'ROR-Model'!I1068</f>
        <v>0</v>
      </c>
      <c r="K1068" s="7"/>
      <c r="L1068" s="7" t="s">
        <v>145</v>
      </c>
      <c r="M1068" s="7">
        <f>SUM(M1065:M1067)</f>
        <v>55905926.220416695</v>
      </c>
      <c r="N1068" s="7">
        <f>SUM(N1065:N1067)</f>
        <v>2724697.2045833333</v>
      </c>
      <c r="O1068" s="120"/>
      <c r="P1068" s="192" t="s">
        <v>510</v>
      </c>
      <c r="Q1068" s="7">
        <f>IF(P1068="G",M1068,IF(P1068="PT",0,ERR))</f>
        <v>55905926.220416695</v>
      </c>
      <c r="R1068" s="7">
        <f>IF(P1068="PT",M1068,IF(P1068="G",0,ERR))</f>
        <v>0</v>
      </c>
      <c r="S1068" s="126" t="s">
        <v>510</v>
      </c>
      <c r="T1068" s="7">
        <f>IF(S1068="G",N1068,IF(S1068="PT",0,ERR))</f>
        <v>2724697.2045833333</v>
      </c>
      <c r="U1068" s="7">
        <f>IF(S1068="PT",N1068,IF(S1068="G",0,ERR))</f>
        <v>0</v>
      </c>
      <c r="V1068" s="49"/>
      <c r="W1068" s="7">
        <f>HLOOKUP($W$9,'ROR-Model'!$Q$10:$U$1273,Y1068)</f>
        <v>55905926.220416695</v>
      </c>
      <c r="X1068" s="139"/>
      <c r="Y1068" s="3">
        <f t="shared" si="76"/>
        <v>1059</v>
      </c>
      <c r="AA1068" s="7">
        <v>45112684.214583337</v>
      </c>
      <c r="AC1068" s="7">
        <f t="shared" si="77"/>
        <v>10793242.005833358</v>
      </c>
      <c r="AE1068" s="42">
        <f t="shared" si="78"/>
        <v>0.23925071615100846</v>
      </c>
      <c r="AH1068" s="10"/>
      <c r="AI1068" s="10"/>
      <c r="AJ1068" s="10" t="s">
        <v>145</v>
      </c>
    </row>
    <row r="1069" spans="2:36">
      <c r="B1069" s="47"/>
      <c r="C1069" s="47"/>
      <c r="D1069" s="47"/>
      <c r="E1069" s="7">
        <f>+G1069-Adjustments!G1066</f>
        <v>0</v>
      </c>
      <c r="F1069" s="7"/>
      <c r="G1069" s="7"/>
      <c r="H1069" s="7"/>
      <c r="I1069" s="7"/>
      <c r="J1069" s="7">
        <f>+I1069-'ROR-Model'!I1069</f>
        <v>0</v>
      </c>
      <c r="K1069" s="7"/>
      <c r="L1069" s="7"/>
      <c r="M1069" s="7"/>
      <c r="N1069" s="7"/>
      <c r="O1069" s="120"/>
      <c r="P1069" s="192"/>
      <c r="Q1069" s="7"/>
      <c r="R1069" s="7"/>
      <c r="S1069" s="126"/>
      <c r="T1069" s="7"/>
      <c r="U1069" s="7"/>
      <c r="V1069" s="49"/>
      <c r="W1069" s="7"/>
      <c r="X1069" s="139"/>
      <c r="Y1069" s="3">
        <f t="shared" si="76"/>
        <v>1060</v>
      </c>
      <c r="AA1069" s="7"/>
      <c r="AC1069" s="7" t="str">
        <f t="shared" si="77"/>
        <v/>
      </c>
      <c r="AE1069" s="42" t="str">
        <f t="shared" si="78"/>
        <v/>
      </c>
      <c r="AH1069" s="10"/>
      <c r="AI1069" s="10"/>
      <c r="AJ1069" s="10"/>
    </row>
    <row r="1070" spans="2:36">
      <c r="B1070" s="47" t="s">
        <v>233</v>
      </c>
      <c r="C1070" s="47" t="s">
        <v>234</v>
      </c>
      <c r="D1070" s="47"/>
      <c r="E1070" s="7">
        <f>+G1070-Adjustments!G1067</f>
        <v>0</v>
      </c>
      <c r="F1070" s="7"/>
      <c r="G1070" s="7"/>
      <c r="H1070" s="7"/>
      <c r="I1070" s="7"/>
      <c r="J1070" s="7">
        <f>+I1070-'ROR-Model'!I1070</f>
        <v>0</v>
      </c>
      <c r="K1070" s="7"/>
      <c r="L1070" s="7"/>
      <c r="M1070" s="7"/>
      <c r="N1070" s="7"/>
      <c r="O1070" s="120"/>
      <c r="P1070" s="192"/>
      <c r="Q1070" s="7"/>
      <c r="R1070" s="7"/>
      <c r="S1070" s="126"/>
      <c r="T1070" s="7"/>
      <c r="U1070" s="7"/>
      <c r="V1070" s="49"/>
      <c r="W1070" s="7"/>
      <c r="X1070" s="139"/>
      <c r="Y1070" s="3">
        <f t="shared" si="76"/>
        <v>1061</v>
      </c>
      <c r="AA1070" s="7"/>
      <c r="AC1070" s="7" t="str">
        <f t="shared" si="77"/>
        <v/>
      </c>
      <c r="AE1070" s="42" t="str">
        <f t="shared" si="78"/>
        <v/>
      </c>
      <c r="AH1070" s="10" t="s">
        <v>233</v>
      </c>
      <c r="AI1070" s="10" t="s">
        <v>234</v>
      </c>
      <c r="AJ1070" s="10"/>
    </row>
    <row r="1071" spans="2:36">
      <c r="B1071" s="47"/>
      <c r="C1071" s="47"/>
      <c r="D1071" s="47" t="s">
        <v>23</v>
      </c>
      <c r="E1071" s="7">
        <f>+G1071-Adjustments!G1068</f>
        <v>0</v>
      </c>
      <c r="F1071" s="7">
        <f>'Rate Base'!$T$110</f>
        <v>12371.89</v>
      </c>
      <c r="G1071" s="7">
        <f>+Adjustments!V1052</f>
        <v>0</v>
      </c>
      <c r="H1071" s="7"/>
      <c r="I1071" s="7">
        <f t="shared" si="79"/>
        <v>12371.89</v>
      </c>
      <c r="J1071" s="7">
        <f>+I1071-'ROR-Model'!I1071</f>
        <v>0</v>
      </c>
      <c r="K1071" s="7"/>
      <c r="L1071" s="7" t="s">
        <v>23</v>
      </c>
      <c r="M1071" s="7">
        <f>VLOOKUP($L1071,$L$2:$N$7,2,FALSE)*I1071</f>
        <v>0</v>
      </c>
      <c r="N1071" s="7">
        <f>VLOOKUP($L1071,$L$2:$N$7,3,FALSE)*I1071</f>
        <v>12371.89</v>
      </c>
      <c r="O1071" s="120"/>
      <c r="P1071" s="192" t="s">
        <v>510</v>
      </c>
      <c r="Q1071" s="7">
        <f>IF(P1071="G",M1071,IF(P1071="PT",0,ERR))</f>
        <v>0</v>
      </c>
      <c r="R1071" s="7">
        <f>IF(P1071="PT",M1071,IF(P1071="G",0,ERR))</f>
        <v>0</v>
      </c>
      <c r="S1071" s="126" t="s">
        <v>510</v>
      </c>
      <c r="T1071" s="7">
        <f>IF(S1071="G",N1071,IF(S1071="PT",0,ERR))</f>
        <v>12371.89</v>
      </c>
      <c r="U1071" s="7">
        <f>IF(S1071="PT",N1071,IF(S1071="G",0,ERR))</f>
        <v>0</v>
      </c>
      <c r="V1071" s="49"/>
      <c r="W1071" s="7">
        <f>HLOOKUP($W$9,'ROR-Model'!$Q$10:$U$1273,Y1071)</f>
        <v>0</v>
      </c>
      <c r="X1071" s="139"/>
      <c r="Y1071" s="3">
        <f t="shared" si="76"/>
        <v>1062</v>
      </c>
      <c r="AA1071" s="7">
        <v>0</v>
      </c>
      <c r="AC1071" s="7" t="str">
        <f t="shared" si="77"/>
        <v/>
      </c>
      <c r="AE1071" s="42" t="str">
        <f t="shared" si="78"/>
        <v/>
      </c>
      <c r="AH1071" s="10"/>
      <c r="AI1071" s="10"/>
      <c r="AJ1071" s="10" t="s">
        <v>23</v>
      </c>
    </row>
    <row r="1072" spans="2:36">
      <c r="B1072" s="47"/>
      <c r="C1072" s="47"/>
      <c r="D1072" s="47" t="s">
        <v>12</v>
      </c>
      <c r="E1072" s="7">
        <f>+G1072-Adjustments!G1069</f>
        <v>0</v>
      </c>
      <c r="F1072" s="7">
        <f>'Rate Base'!$T$111</f>
        <v>52487.310000000005</v>
      </c>
      <c r="G1072" s="7">
        <f>+Adjustments!V1053</f>
        <v>0</v>
      </c>
      <c r="H1072" s="7"/>
      <c r="I1072" s="7">
        <f t="shared" si="79"/>
        <v>52487.310000000005</v>
      </c>
      <c r="J1072" s="7">
        <f>+I1072-'ROR-Model'!I1072</f>
        <v>0</v>
      </c>
      <c r="K1072" s="7"/>
      <c r="L1072" s="7" t="s">
        <v>12</v>
      </c>
      <c r="M1072" s="7">
        <f>VLOOKUP($L1072,$L$2:$N$7,2,FALSE)*I1072</f>
        <v>52487.310000000005</v>
      </c>
      <c r="N1072" s="7">
        <f>VLOOKUP($L1072,$L$2:$N$7,3,FALSE)*I1072</f>
        <v>0</v>
      </c>
      <c r="O1072" s="120"/>
      <c r="P1072" s="192" t="s">
        <v>510</v>
      </c>
      <c r="Q1072" s="7">
        <f>IF(P1072="G",M1072,IF(P1072="PT",0,ERR))</f>
        <v>52487.310000000005</v>
      </c>
      <c r="R1072" s="7">
        <f>IF(P1072="PT",M1072,IF(P1072="G",0,ERR))</f>
        <v>0</v>
      </c>
      <c r="S1072" s="126" t="s">
        <v>510</v>
      </c>
      <c r="T1072" s="7">
        <f>IF(S1072="G",N1072,IF(S1072="PT",0,ERR))</f>
        <v>0</v>
      </c>
      <c r="U1072" s="7">
        <f>IF(S1072="PT",N1072,IF(S1072="G",0,ERR))</f>
        <v>0</v>
      </c>
      <c r="V1072" s="49"/>
      <c r="W1072" s="7">
        <f>HLOOKUP($W$9,'ROR-Model'!$Q$10:$U$1273,Y1072)</f>
        <v>52487.310000000005</v>
      </c>
      <c r="X1072" s="139"/>
      <c r="Y1072" s="3">
        <f t="shared" si="76"/>
        <v>1063</v>
      </c>
      <c r="AA1072" s="7">
        <v>47202.229583333341</v>
      </c>
      <c r="AC1072" s="7">
        <f t="shared" si="77"/>
        <v>5285.080416666664</v>
      </c>
      <c r="AE1072" s="42">
        <f t="shared" si="78"/>
        <v>0.11196675375971596</v>
      </c>
      <c r="AH1072" s="10"/>
      <c r="AI1072" s="10"/>
      <c r="AJ1072" s="10" t="s">
        <v>12</v>
      </c>
    </row>
    <row r="1073" spans="2:36">
      <c r="B1073" s="47"/>
      <c r="C1073" s="47"/>
      <c r="D1073" s="47" t="s">
        <v>145</v>
      </c>
      <c r="E1073" s="7">
        <f>+G1073-Adjustments!G1070</f>
        <v>0</v>
      </c>
      <c r="F1073" s="7">
        <f>'Rate Base'!$T$112</f>
        <v>64859.200000000004</v>
      </c>
      <c r="G1073" s="7">
        <f>+Adjustments!V1054</f>
        <v>0</v>
      </c>
      <c r="H1073" s="7"/>
      <c r="I1073" s="7">
        <f t="shared" si="79"/>
        <v>64859.200000000004</v>
      </c>
      <c r="J1073" s="7">
        <f>+I1073-'ROR-Model'!I1073</f>
        <v>0</v>
      </c>
      <c r="K1073" s="7"/>
      <c r="L1073" s="7" t="s">
        <v>145</v>
      </c>
      <c r="M1073" s="7">
        <f>SUM(M1071:M1072)</f>
        <v>52487.310000000005</v>
      </c>
      <c r="N1073" s="7">
        <f>SUM(N1071:N1072)</f>
        <v>12371.89</v>
      </c>
      <c r="O1073" s="120"/>
      <c r="P1073" s="192" t="s">
        <v>510</v>
      </c>
      <c r="Q1073" s="7">
        <f>IF(P1073="G",M1073,IF(P1073="PT",0,ERR))</f>
        <v>52487.310000000005</v>
      </c>
      <c r="R1073" s="7">
        <f>IF(P1073="PT",M1073,IF(P1073="G",0,ERR))</f>
        <v>0</v>
      </c>
      <c r="S1073" s="126" t="s">
        <v>510</v>
      </c>
      <c r="T1073" s="7">
        <f>IF(S1073="G",N1073,IF(S1073="PT",0,ERR))</f>
        <v>12371.89</v>
      </c>
      <c r="U1073" s="7">
        <f>IF(S1073="PT",N1073,IF(S1073="G",0,ERR))</f>
        <v>0</v>
      </c>
      <c r="V1073" s="49"/>
      <c r="W1073" s="7">
        <f>HLOOKUP($W$9,'ROR-Model'!$Q$10:$U$1273,Y1073)</f>
        <v>52487.310000000005</v>
      </c>
      <c r="X1073" s="139"/>
      <c r="Y1073" s="3">
        <f t="shared" si="76"/>
        <v>1064</v>
      </c>
      <c r="AA1073" s="7">
        <v>47202.229583333341</v>
      </c>
      <c r="AC1073" s="7">
        <f t="shared" si="77"/>
        <v>5285.080416666664</v>
      </c>
      <c r="AE1073" s="42">
        <f t="shared" si="78"/>
        <v>0.11196675375971596</v>
      </c>
      <c r="AH1073" s="10"/>
      <c r="AI1073" s="10"/>
      <c r="AJ1073" s="10" t="s">
        <v>145</v>
      </c>
    </row>
    <row r="1074" spans="2:36">
      <c r="B1074" s="47"/>
      <c r="C1074" s="47"/>
      <c r="D1074" s="47"/>
      <c r="E1074" s="7">
        <f>+G1074-Adjustments!G1071</f>
        <v>0</v>
      </c>
      <c r="F1074" s="7"/>
      <c r="G1074" s="7"/>
      <c r="H1074" s="7"/>
      <c r="I1074" s="7"/>
      <c r="J1074" s="7">
        <f>+I1074-'ROR-Model'!I1074</f>
        <v>0</v>
      </c>
      <c r="K1074" s="7"/>
      <c r="L1074" s="7"/>
      <c r="M1074" s="7"/>
      <c r="N1074" s="7"/>
      <c r="O1074" s="120"/>
      <c r="P1074" s="192"/>
      <c r="Q1074" s="7"/>
      <c r="R1074" s="7"/>
      <c r="S1074" s="126"/>
      <c r="T1074" s="7"/>
      <c r="U1074" s="7"/>
      <c r="V1074" s="49"/>
      <c r="W1074" s="7"/>
      <c r="X1074" s="139"/>
      <c r="Y1074" s="3">
        <f t="shared" si="76"/>
        <v>1065</v>
      </c>
      <c r="AA1074" s="7"/>
      <c r="AC1074" s="7" t="str">
        <f t="shared" si="77"/>
        <v/>
      </c>
      <c r="AE1074" s="42" t="str">
        <f t="shared" si="78"/>
        <v/>
      </c>
      <c r="AH1074" s="10"/>
      <c r="AI1074" s="10"/>
      <c r="AJ1074" s="10"/>
    </row>
    <row r="1075" spans="2:36">
      <c r="B1075" s="47" t="s">
        <v>235</v>
      </c>
      <c r="C1075" s="47" t="s">
        <v>236</v>
      </c>
      <c r="D1075" s="47"/>
      <c r="E1075" s="7">
        <f>+G1075-Adjustments!G1072</f>
        <v>0</v>
      </c>
      <c r="F1075" s="7"/>
      <c r="G1075" s="7"/>
      <c r="H1075" s="7"/>
      <c r="I1075" s="7"/>
      <c r="J1075" s="7">
        <f>+I1075-'ROR-Model'!I1075</f>
        <v>0</v>
      </c>
      <c r="K1075" s="7"/>
      <c r="L1075" s="7"/>
      <c r="M1075" s="7"/>
      <c r="N1075" s="7"/>
      <c r="O1075" s="120"/>
      <c r="P1075" s="192"/>
      <c r="Q1075" s="7"/>
      <c r="R1075" s="7"/>
      <c r="S1075" s="126"/>
      <c r="T1075" s="7"/>
      <c r="U1075" s="7"/>
      <c r="V1075" s="49"/>
      <c r="W1075" s="7"/>
      <c r="X1075" s="139"/>
      <c r="Y1075" s="3">
        <f t="shared" si="76"/>
        <v>1066</v>
      </c>
      <c r="AA1075" s="7"/>
      <c r="AC1075" s="7" t="str">
        <f t="shared" si="77"/>
        <v/>
      </c>
      <c r="AE1075" s="42" t="str">
        <f t="shared" si="78"/>
        <v/>
      </c>
      <c r="AH1075" s="10" t="s">
        <v>235</v>
      </c>
      <c r="AI1075" s="10" t="s">
        <v>236</v>
      </c>
      <c r="AJ1075" s="10"/>
    </row>
    <row r="1076" spans="2:36">
      <c r="B1076" s="47"/>
      <c r="C1076" s="47"/>
      <c r="D1076" s="47" t="s">
        <v>23</v>
      </c>
      <c r="E1076" s="7">
        <f>+G1076-Adjustments!G1073</f>
        <v>-126091.07624999993</v>
      </c>
      <c r="F1076" s="7">
        <f>'Rate Base'!$T$115</f>
        <v>2238065.4</v>
      </c>
      <c r="G1076" s="7">
        <f>+Adjustments!V1057</f>
        <v>-126091.07624999993</v>
      </c>
      <c r="H1076" s="7"/>
      <c r="I1076" s="7">
        <f t="shared" si="79"/>
        <v>2111974.32375</v>
      </c>
      <c r="J1076" s="7">
        <f>+I1076-'ROR-Model'!I1076</f>
        <v>0</v>
      </c>
      <c r="K1076" s="7"/>
      <c r="L1076" s="7" t="s">
        <v>23</v>
      </c>
      <c r="M1076" s="7">
        <f>VLOOKUP($L1076,$L$2:$N$7,2,FALSE)*I1076</f>
        <v>0</v>
      </c>
      <c r="N1076" s="7">
        <f>VLOOKUP($L1076,$L$2:$N$7,3,FALSE)*I1076</f>
        <v>2111974.32375</v>
      </c>
      <c r="O1076" s="120"/>
      <c r="P1076" s="192" t="s">
        <v>510</v>
      </c>
      <c r="Q1076" s="7">
        <f>IF(P1076="G",M1076,IF(P1076="PT",0,ERR))</f>
        <v>0</v>
      </c>
      <c r="R1076" s="7">
        <f>IF(P1076="PT",M1076,IF(P1076="G",0,ERR))</f>
        <v>0</v>
      </c>
      <c r="S1076" s="126" t="s">
        <v>510</v>
      </c>
      <c r="T1076" s="7">
        <f>IF(S1076="G",N1076,IF(S1076="PT",0,ERR))</f>
        <v>2111974.32375</v>
      </c>
      <c r="U1076" s="7">
        <f>IF(S1076="PT",N1076,IF(S1076="G",0,ERR))</f>
        <v>0</v>
      </c>
      <c r="V1076" s="49"/>
      <c r="W1076" s="7">
        <f>HLOOKUP($W$9,'ROR-Model'!$Q$10:$U$1273,Y1076)</f>
        <v>0</v>
      </c>
      <c r="X1076" s="139"/>
      <c r="Y1076" s="3">
        <f t="shared" si="76"/>
        <v>1067</v>
      </c>
      <c r="AA1076" s="7">
        <v>0</v>
      </c>
      <c r="AC1076" s="7" t="str">
        <f t="shared" si="77"/>
        <v/>
      </c>
      <c r="AE1076" s="42" t="str">
        <f t="shared" si="78"/>
        <v/>
      </c>
      <c r="AH1076" s="10"/>
      <c r="AI1076" s="10"/>
      <c r="AJ1076" s="10" t="s">
        <v>23</v>
      </c>
    </row>
    <row r="1077" spans="2:36">
      <c r="B1077" s="47"/>
      <c r="C1077" s="47"/>
      <c r="D1077" s="47" t="s">
        <v>12</v>
      </c>
      <c r="E1077" s="7">
        <f>+G1077-Adjustments!G1074</f>
        <v>-1690897.8345833346</v>
      </c>
      <c r="F1077" s="7">
        <f>'Rate Base'!$T$116</f>
        <v>30743194.490000002</v>
      </c>
      <c r="G1077" s="7">
        <f>+Adjustments!V1058</f>
        <v>-1690897.8345833346</v>
      </c>
      <c r="H1077" s="7"/>
      <c r="I1077" s="7">
        <f t="shared" si="79"/>
        <v>29052296.655416667</v>
      </c>
      <c r="J1077" s="7">
        <f>+I1077-'ROR-Model'!I1077</f>
        <v>0</v>
      </c>
      <c r="K1077" s="7"/>
      <c r="L1077" s="7" t="s">
        <v>12</v>
      </c>
      <c r="M1077" s="7">
        <f>VLOOKUP($L1077,$L$2:$N$7,2,FALSE)*I1077</f>
        <v>29052296.655416667</v>
      </c>
      <c r="N1077" s="7">
        <f>VLOOKUP($L1077,$L$2:$N$7,3,FALSE)*I1077</f>
        <v>0</v>
      </c>
      <c r="O1077" s="120"/>
      <c r="P1077" s="192" t="s">
        <v>510</v>
      </c>
      <c r="Q1077" s="7">
        <f>IF(P1077="G",M1077,IF(P1077="PT",0,ERR))</f>
        <v>29052296.655416667</v>
      </c>
      <c r="R1077" s="7">
        <f>IF(P1077="PT",M1077,IF(P1077="G",0,ERR))</f>
        <v>0</v>
      </c>
      <c r="S1077" s="126" t="s">
        <v>510</v>
      </c>
      <c r="T1077" s="7">
        <f>IF(S1077="G",N1077,IF(S1077="PT",0,ERR))</f>
        <v>0</v>
      </c>
      <c r="U1077" s="7">
        <f>IF(S1077="PT",N1077,IF(S1077="G",0,ERR))</f>
        <v>0</v>
      </c>
      <c r="V1077" s="49"/>
      <c r="W1077" s="7">
        <f>HLOOKUP($W$9,'ROR-Model'!$Q$10:$U$1273,Y1077)</f>
        <v>29052296.655416667</v>
      </c>
      <c r="X1077" s="139"/>
      <c r="Y1077" s="3">
        <f t="shared" si="76"/>
        <v>1068</v>
      </c>
      <c r="AA1077" s="7">
        <v>29563641.919999998</v>
      </c>
      <c r="AC1077" s="7">
        <f t="shared" si="77"/>
        <v>-511345.2645833306</v>
      </c>
      <c r="AE1077" s="42">
        <f t="shared" si="78"/>
        <v>-1.7296423288005059E-2</v>
      </c>
      <c r="AH1077" s="10"/>
      <c r="AI1077" s="10"/>
      <c r="AJ1077" s="10" t="s">
        <v>12</v>
      </c>
    </row>
    <row r="1078" spans="2:36">
      <c r="B1078" s="47"/>
      <c r="C1078" s="47"/>
      <c r="D1078" s="47" t="s">
        <v>544</v>
      </c>
      <c r="E1078" s="7">
        <f>+G1078-Adjustments!G1075</f>
        <v>0</v>
      </c>
      <c r="F1078" s="7">
        <f>'Rate Base'!$T$117</f>
        <v>0</v>
      </c>
      <c r="G1078" s="7">
        <f>+Adjustments!V1059</f>
        <v>0</v>
      </c>
      <c r="H1078" s="7"/>
      <c r="I1078" s="7">
        <f t="shared" si="79"/>
        <v>0</v>
      </c>
      <c r="J1078" s="7">
        <f>+I1078-'ROR-Model'!I1078</f>
        <v>0</v>
      </c>
      <c r="K1078" s="7"/>
      <c r="L1078" s="7" t="s">
        <v>429</v>
      </c>
      <c r="M1078" s="7">
        <f>VLOOKUP($L1078,$L$2:$N$7,2,FALSE)*I1078</f>
        <v>0</v>
      </c>
      <c r="N1078" s="7">
        <f>VLOOKUP($L1078,$L$2:$N$7,3,FALSE)*I1078</f>
        <v>0</v>
      </c>
      <c r="O1078" s="120"/>
      <c r="P1078" s="192" t="s">
        <v>510</v>
      </c>
      <c r="Q1078" s="7">
        <f>IF(P1078="G",M1078,IF(P1078="PT",0,ERR))</f>
        <v>0</v>
      </c>
      <c r="R1078" s="7">
        <f>IF(P1078="PT",M1078,IF(P1078="G",0,ERR))</f>
        <v>0</v>
      </c>
      <c r="S1078" s="126" t="s">
        <v>510</v>
      </c>
      <c r="T1078" s="7">
        <f>IF(S1078="G",N1078,IF(S1078="PT",0,ERR))</f>
        <v>0</v>
      </c>
      <c r="U1078" s="7">
        <f>IF(S1078="PT",N1078,IF(S1078="G",0,ERR))</f>
        <v>0</v>
      </c>
      <c r="V1078" s="49"/>
      <c r="W1078" s="7">
        <f>HLOOKUP($W$9,'ROR-Model'!$Q$10:$U$1273,Y1078)</f>
        <v>0</v>
      </c>
      <c r="X1078" s="139"/>
      <c r="Y1078" s="3">
        <f t="shared" si="76"/>
        <v>1069</v>
      </c>
      <c r="AA1078" s="7">
        <v>0</v>
      </c>
      <c r="AC1078" s="7" t="str">
        <f t="shared" si="77"/>
        <v/>
      </c>
      <c r="AE1078" s="42" t="str">
        <f t="shared" si="78"/>
        <v/>
      </c>
      <c r="AH1078" s="10"/>
      <c r="AI1078" s="10"/>
      <c r="AJ1078" s="10" t="s">
        <v>544</v>
      </c>
    </row>
    <row r="1079" spans="2:36">
      <c r="B1079" s="47"/>
      <c r="C1079" s="47"/>
      <c r="D1079" s="47" t="s">
        <v>145</v>
      </c>
      <c r="E1079" s="7">
        <f>+G1079-Adjustments!G1076</f>
        <v>-1816988.9108333327</v>
      </c>
      <c r="F1079" s="7">
        <f>'Rate Base'!$T$118</f>
        <v>32981259.890000001</v>
      </c>
      <c r="G1079" s="7">
        <f>+Adjustments!V1060</f>
        <v>-1816988.9108333327</v>
      </c>
      <c r="H1079" s="7"/>
      <c r="I1079" s="7">
        <f t="shared" si="79"/>
        <v>31164270.979166668</v>
      </c>
      <c r="J1079" s="7">
        <f>+I1079-'ROR-Model'!I1079</f>
        <v>0</v>
      </c>
      <c r="K1079" s="7"/>
      <c r="L1079" s="7"/>
      <c r="M1079" s="7">
        <f>SUM(M1076:M1078)</f>
        <v>29052296.655416667</v>
      </c>
      <c r="N1079" s="7">
        <f>SUM(N1076:N1078)</f>
        <v>2111974.32375</v>
      </c>
      <c r="O1079" s="120"/>
      <c r="P1079" s="192" t="s">
        <v>510</v>
      </c>
      <c r="Q1079" s="7">
        <f>IF(P1079="G",M1079,IF(P1079="PT",0,ERR))</f>
        <v>29052296.655416667</v>
      </c>
      <c r="R1079" s="7">
        <f>IF(P1079="PT",M1079,IF(P1079="G",0,ERR))</f>
        <v>0</v>
      </c>
      <c r="S1079" s="126" t="s">
        <v>510</v>
      </c>
      <c r="T1079" s="7">
        <f>IF(S1079="G",N1079,IF(S1079="PT",0,ERR))</f>
        <v>2111974.32375</v>
      </c>
      <c r="U1079" s="7">
        <f>IF(S1079="PT",N1079,IF(S1079="G",0,ERR))</f>
        <v>0</v>
      </c>
      <c r="V1079" s="49"/>
      <c r="W1079" s="7">
        <f>HLOOKUP($W$9,'ROR-Model'!$Q$10:$U$1273,Y1079)</f>
        <v>29052296.655416667</v>
      </c>
      <c r="X1079" s="139"/>
      <c r="Y1079" s="3">
        <f t="shared" si="76"/>
        <v>1070</v>
      </c>
      <c r="AA1079" s="7">
        <v>29563641.919999998</v>
      </c>
      <c r="AC1079" s="7">
        <f t="shared" si="77"/>
        <v>-511345.2645833306</v>
      </c>
      <c r="AE1079" s="42">
        <f t="shared" si="78"/>
        <v>-1.7296423288005059E-2</v>
      </c>
      <c r="AH1079" s="10"/>
      <c r="AI1079" s="10"/>
      <c r="AJ1079" s="10" t="s">
        <v>145</v>
      </c>
    </row>
    <row r="1080" spans="2:36">
      <c r="B1080" s="47"/>
      <c r="C1080" s="47"/>
      <c r="D1080" s="47"/>
      <c r="E1080" s="7">
        <f>+G1080-Adjustments!G1077</f>
        <v>0</v>
      </c>
      <c r="F1080" s="7"/>
      <c r="G1080" s="7"/>
      <c r="H1080" s="7"/>
      <c r="I1080" s="7"/>
      <c r="J1080" s="7">
        <f>+I1080-'ROR-Model'!I1080</f>
        <v>0</v>
      </c>
      <c r="K1080" s="7"/>
      <c r="L1080" s="7"/>
      <c r="M1080" s="7"/>
      <c r="N1080" s="7"/>
      <c r="O1080" s="120"/>
      <c r="P1080" s="192"/>
      <c r="Q1080" s="7"/>
      <c r="R1080" s="7"/>
      <c r="S1080" s="126"/>
      <c r="T1080" s="7"/>
      <c r="U1080" s="7"/>
      <c r="V1080" s="49"/>
      <c r="W1080" s="7"/>
      <c r="X1080" s="139"/>
      <c r="Y1080" s="3">
        <f t="shared" si="76"/>
        <v>1071</v>
      </c>
      <c r="AA1080" s="7"/>
      <c r="AC1080" s="7" t="str">
        <f t="shared" si="77"/>
        <v/>
      </c>
      <c r="AE1080" s="42" t="str">
        <f t="shared" si="78"/>
        <v/>
      </c>
      <c r="AH1080" s="10"/>
      <c r="AI1080" s="10"/>
      <c r="AJ1080" s="10"/>
    </row>
    <row r="1081" spans="2:36">
      <c r="B1081" s="47" t="s">
        <v>237</v>
      </c>
      <c r="C1081" s="47" t="s">
        <v>238</v>
      </c>
      <c r="D1081" s="47"/>
      <c r="E1081" s="7">
        <f>+G1081-Adjustments!G1078</f>
        <v>0</v>
      </c>
      <c r="F1081" s="7"/>
      <c r="G1081" s="7"/>
      <c r="H1081" s="7"/>
      <c r="I1081" s="7"/>
      <c r="J1081" s="7">
        <f>+I1081-'ROR-Model'!I1081</f>
        <v>0</v>
      </c>
      <c r="K1081" s="7"/>
      <c r="L1081" s="7"/>
      <c r="M1081" s="7"/>
      <c r="N1081" s="7"/>
      <c r="O1081" s="120"/>
      <c r="P1081" s="192"/>
      <c r="Q1081" s="7"/>
      <c r="R1081" s="7"/>
      <c r="S1081" s="126"/>
      <c r="T1081" s="7"/>
      <c r="U1081" s="7"/>
      <c r="V1081" s="49"/>
      <c r="W1081" s="7"/>
      <c r="X1081" s="139"/>
      <c r="Y1081" s="3">
        <f t="shared" si="76"/>
        <v>1072</v>
      </c>
      <c r="AA1081" s="7"/>
      <c r="AC1081" s="7" t="str">
        <f t="shared" si="77"/>
        <v/>
      </c>
      <c r="AE1081" s="42" t="str">
        <f t="shared" si="78"/>
        <v/>
      </c>
      <c r="AH1081" s="10" t="s">
        <v>237</v>
      </c>
      <c r="AI1081" s="10" t="s">
        <v>238</v>
      </c>
      <c r="AJ1081" s="10"/>
    </row>
    <row r="1082" spans="2:36">
      <c r="B1082" s="47"/>
      <c r="C1082" s="47"/>
      <c r="D1082" s="47" t="s">
        <v>23</v>
      </c>
      <c r="E1082" s="7">
        <f>+G1082-Adjustments!G1079</f>
        <v>0</v>
      </c>
      <c r="F1082" s="7">
        <f>'Rate Base'!$T$121</f>
        <v>0</v>
      </c>
      <c r="G1082" s="7">
        <f>+Adjustments!V1063</f>
        <v>0</v>
      </c>
      <c r="H1082" s="7"/>
      <c r="I1082" s="7">
        <f t="shared" si="79"/>
        <v>0</v>
      </c>
      <c r="J1082" s="7">
        <f>+I1082-'ROR-Model'!I1082</f>
        <v>0</v>
      </c>
      <c r="K1082" s="7"/>
      <c r="L1082" s="7" t="s">
        <v>23</v>
      </c>
      <c r="M1082" s="7">
        <f>VLOOKUP($L1082,$L$2:$N$7,2,FALSE)*I1082</f>
        <v>0</v>
      </c>
      <c r="N1082" s="7">
        <f>VLOOKUP($L1082,$L$2:$N$7,3,FALSE)*I1082</f>
        <v>0</v>
      </c>
      <c r="O1082" s="120"/>
      <c r="P1082" s="192" t="s">
        <v>510</v>
      </c>
      <c r="Q1082" s="7">
        <f>IF(P1082="G",M1082,IF(P1082="PT",0,ERR))</f>
        <v>0</v>
      </c>
      <c r="R1082" s="7">
        <f>IF(P1082="PT",M1082,IF(P1082="G",0,ERR))</f>
        <v>0</v>
      </c>
      <c r="S1082" s="126" t="s">
        <v>510</v>
      </c>
      <c r="T1082" s="7">
        <f>IF(S1082="G",N1082,IF(S1082="PT",0,ERR))</f>
        <v>0</v>
      </c>
      <c r="U1082" s="7">
        <f>IF(S1082="PT",N1082,IF(S1082="G",0,ERR))</f>
        <v>0</v>
      </c>
      <c r="V1082" s="49"/>
      <c r="W1082" s="7">
        <f>HLOOKUP($W$9,'ROR-Model'!$Q$10:$U$1273,Y1082)</f>
        <v>0</v>
      </c>
      <c r="X1082" s="139"/>
      <c r="Y1082" s="3">
        <f t="shared" si="76"/>
        <v>1073</v>
      </c>
      <c r="AA1082" s="7">
        <v>0</v>
      </c>
      <c r="AC1082" s="7" t="str">
        <f t="shared" si="77"/>
        <v/>
      </c>
      <c r="AE1082" s="42" t="str">
        <f t="shared" si="78"/>
        <v/>
      </c>
      <c r="AH1082" s="10"/>
      <c r="AI1082" s="10"/>
      <c r="AJ1082" s="10" t="s">
        <v>23</v>
      </c>
    </row>
    <row r="1083" spans="2:36">
      <c r="B1083" s="47"/>
      <c r="C1083" s="47"/>
      <c r="D1083" s="47" t="s">
        <v>12</v>
      </c>
      <c r="E1083" s="7">
        <f>+G1083-Adjustments!G1080</f>
        <v>0</v>
      </c>
      <c r="F1083" s="7">
        <f>'Rate Base'!$T$122</f>
        <v>3.637978807091713E-12</v>
      </c>
      <c r="G1083" s="7">
        <f>+Adjustments!V1064</f>
        <v>0</v>
      </c>
      <c r="H1083" s="7"/>
      <c r="I1083" s="7">
        <f t="shared" si="79"/>
        <v>3.637978807091713E-12</v>
      </c>
      <c r="J1083" s="7">
        <f>+I1083-'ROR-Model'!I1083</f>
        <v>0</v>
      </c>
      <c r="K1083" s="7"/>
      <c r="L1083" s="7" t="s">
        <v>12</v>
      </c>
      <c r="M1083" s="7">
        <f>VLOOKUP($L1083,$L$2:$N$7,2,FALSE)*I1083</f>
        <v>3.637978807091713E-12</v>
      </c>
      <c r="N1083" s="7">
        <f>VLOOKUP($L1083,$L$2:$N$7,3,FALSE)*I1083</f>
        <v>0</v>
      </c>
      <c r="O1083" s="120"/>
      <c r="P1083" s="192" t="s">
        <v>510</v>
      </c>
      <c r="Q1083" s="7">
        <f>IF(P1083="G",M1083,IF(P1083="PT",0,ERR))</f>
        <v>3.637978807091713E-12</v>
      </c>
      <c r="R1083" s="7">
        <f>IF(P1083="PT",M1083,IF(P1083="G",0,ERR))</f>
        <v>0</v>
      </c>
      <c r="S1083" s="126" t="s">
        <v>510</v>
      </c>
      <c r="T1083" s="7">
        <f>IF(S1083="G",N1083,IF(S1083="PT",0,ERR))</f>
        <v>0</v>
      </c>
      <c r="U1083" s="7">
        <f>IF(S1083="PT",N1083,IF(S1083="G",0,ERR))</f>
        <v>0</v>
      </c>
      <c r="V1083" s="49"/>
      <c r="W1083" s="7">
        <f>HLOOKUP($W$9,'ROR-Model'!$Q$10:$U$1273,Y1083)</f>
        <v>3.637978807091713E-12</v>
      </c>
      <c r="X1083" s="139"/>
      <c r="Y1083" s="3">
        <f t="shared" si="76"/>
        <v>1074</v>
      </c>
      <c r="AA1083" s="7">
        <v>61117.83</v>
      </c>
      <c r="AC1083" s="7">
        <f t="shared" si="77"/>
        <v>-61117.83</v>
      </c>
      <c r="AE1083" s="42">
        <f t="shared" si="78"/>
        <v>-1</v>
      </c>
      <c r="AH1083" s="10"/>
      <c r="AI1083" s="10"/>
      <c r="AJ1083" s="10" t="s">
        <v>12</v>
      </c>
    </row>
    <row r="1084" spans="2:36">
      <c r="B1084" s="47"/>
      <c r="C1084" s="47"/>
      <c r="D1084" s="47" t="s">
        <v>544</v>
      </c>
      <c r="E1084" s="7">
        <f>+G1084-Adjustments!G1081</f>
        <v>0</v>
      </c>
      <c r="F1084" s="7">
        <f>'Rate Base'!$T$123</f>
        <v>0</v>
      </c>
      <c r="G1084" s="7">
        <f>+Adjustments!V1065</f>
        <v>0</v>
      </c>
      <c r="H1084" s="7"/>
      <c r="I1084" s="7">
        <f t="shared" si="79"/>
        <v>0</v>
      </c>
      <c r="J1084" s="7">
        <f>+I1084-'ROR-Model'!I1084</f>
        <v>0</v>
      </c>
      <c r="K1084" s="7"/>
      <c r="L1084" s="7" t="s">
        <v>429</v>
      </c>
      <c r="M1084" s="7">
        <f>VLOOKUP($L1084,$L$2:$N$7,2,FALSE)*I1084</f>
        <v>0</v>
      </c>
      <c r="N1084" s="7">
        <f>VLOOKUP($L1084,$L$2:$N$7,3,FALSE)*I1084</f>
        <v>0</v>
      </c>
      <c r="O1084" s="120"/>
      <c r="P1084" s="192" t="s">
        <v>510</v>
      </c>
      <c r="Q1084" s="7">
        <f>IF(P1084="G",M1084,IF(P1084="PT",0,ERR))</f>
        <v>0</v>
      </c>
      <c r="R1084" s="7">
        <f>IF(P1084="PT",M1084,IF(P1084="G",0,ERR))</f>
        <v>0</v>
      </c>
      <c r="S1084" s="126" t="s">
        <v>510</v>
      </c>
      <c r="T1084" s="7">
        <f>IF(S1084="G",N1084,IF(S1084="PT",0,ERR))</f>
        <v>0</v>
      </c>
      <c r="U1084" s="7">
        <f>IF(S1084="PT",N1084,IF(S1084="G",0,ERR))</f>
        <v>0</v>
      </c>
      <c r="V1084" s="49"/>
      <c r="W1084" s="7">
        <f>HLOOKUP($W$9,'ROR-Model'!$Q$10:$U$1273,Y1084)</f>
        <v>0</v>
      </c>
      <c r="X1084" s="139"/>
      <c r="Y1084" s="3">
        <f t="shared" si="76"/>
        <v>1075</v>
      </c>
      <c r="AA1084" s="7">
        <v>0</v>
      </c>
      <c r="AC1084" s="7" t="str">
        <f t="shared" si="77"/>
        <v/>
      </c>
      <c r="AE1084" s="42" t="str">
        <f t="shared" si="78"/>
        <v/>
      </c>
      <c r="AH1084" s="10"/>
      <c r="AI1084" s="10"/>
      <c r="AJ1084" s="10" t="s">
        <v>544</v>
      </c>
    </row>
    <row r="1085" spans="2:36">
      <c r="B1085" s="47"/>
      <c r="C1085" s="47"/>
      <c r="D1085" s="47" t="s">
        <v>145</v>
      </c>
      <c r="E1085" s="7">
        <f>+G1085-Adjustments!G1082</f>
        <v>0</v>
      </c>
      <c r="F1085" s="7">
        <f>'Rate Base'!$T$124</f>
        <v>3.637978807091713E-12</v>
      </c>
      <c r="G1085" s="7">
        <f>+Adjustments!V1066</f>
        <v>0</v>
      </c>
      <c r="H1085" s="7"/>
      <c r="I1085" s="7">
        <f t="shared" si="79"/>
        <v>3.637978807091713E-12</v>
      </c>
      <c r="J1085" s="7">
        <f>+I1085-'ROR-Model'!I1085</f>
        <v>0</v>
      </c>
      <c r="K1085" s="7"/>
      <c r="L1085" s="7" t="s">
        <v>145</v>
      </c>
      <c r="M1085" s="7">
        <f>SUM(M1082:M1084)</f>
        <v>3.637978807091713E-12</v>
      </c>
      <c r="N1085" s="7">
        <f>SUM(N1082:N1084)</f>
        <v>0</v>
      </c>
      <c r="O1085" s="120"/>
      <c r="P1085" s="192" t="s">
        <v>510</v>
      </c>
      <c r="Q1085" s="7">
        <f>IF(P1085="G",M1085,IF(P1085="PT",0,ERR))</f>
        <v>3.637978807091713E-12</v>
      </c>
      <c r="R1085" s="7">
        <f>IF(P1085="PT",M1085,IF(P1085="G",0,ERR))</f>
        <v>0</v>
      </c>
      <c r="S1085" s="126" t="s">
        <v>510</v>
      </c>
      <c r="T1085" s="7">
        <f>IF(S1085="G",N1085,IF(S1085="PT",0,ERR))</f>
        <v>0</v>
      </c>
      <c r="U1085" s="7">
        <f>IF(S1085="PT",N1085,IF(S1085="G",0,ERR))</f>
        <v>0</v>
      </c>
      <c r="V1085" s="49"/>
      <c r="W1085" s="7">
        <f>HLOOKUP($W$9,'ROR-Model'!$Q$10:$U$1273,Y1085)</f>
        <v>3.637978807091713E-12</v>
      </c>
      <c r="X1085" s="139"/>
      <c r="Y1085" s="3">
        <f t="shared" si="76"/>
        <v>1076</v>
      </c>
      <c r="AA1085" s="7">
        <v>61117.83</v>
      </c>
      <c r="AC1085" s="7">
        <f t="shared" si="77"/>
        <v>-61117.83</v>
      </c>
      <c r="AE1085" s="42">
        <f t="shared" si="78"/>
        <v>-1</v>
      </c>
      <c r="AH1085" s="10"/>
      <c r="AI1085" s="10"/>
      <c r="AJ1085" s="10" t="s">
        <v>145</v>
      </c>
    </row>
    <row r="1086" spans="2:36">
      <c r="B1086" s="47"/>
      <c r="C1086" s="47"/>
      <c r="D1086" s="47"/>
      <c r="E1086" s="7">
        <f>+G1086-Adjustments!G1083</f>
        <v>0</v>
      </c>
      <c r="F1086" s="7"/>
      <c r="G1086" s="7"/>
      <c r="H1086" s="7"/>
      <c r="I1086" s="7"/>
      <c r="J1086" s="7">
        <f>+I1086-'ROR-Model'!I1086</f>
        <v>0</v>
      </c>
      <c r="K1086" s="7"/>
      <c r="L1086" s="7"/>
      <c r="M1086" s="7"/>
      <c r="N1086" s="7"/>
      <c r="O1086" s="120"/>
      <c r="P1086" s="192"/>
      <c r="Q1086" s="7"/>
      <c r="R1086" s="7"/>
      <c r="S1086" s="126"/>
      <c r="T1086" s="7"/>
      <c r="U1086" s="7"/>
      <c r="V1086" s="49"/>
      <c r="W1086" s="7"/>
      <c r="X1086" s="139"/>
      <c r="Y1086" s="3">
        <f t="shared" si="76"/>
        <v>1077</v>
      </c>
      <c r="AA1086" s="7"/>
      <c r="AC1086" s="7" t="str">
        <f t="shared" si="77"/>
        <v/>
      </c>
      <c r="AE1086" s="42" t="str">
        <f t="shared" si="78"/>
        <v/>
      </c>
      <c r="AH1086" s="10"/>
      <c r="AI1086" s="10"/>
      <c r="AJ1086" s="10"/>
    </row>
    <row r="1087" spans="2:36">
      <c r="B1087" s="47" t="s">
        <v>239</v>
      </c>
      <c r="C1087" s="47" t="s">
        <v>240</v>
      </c>
      <c r="D1087" s="47"/>
      <c r="E1087" s="7">
        <f>+G1087-Adjustments!G1084</f>
        <v>0</v>
      </c>
      <c r="F1087" s="7"/>
      <c r="G1087" s="7"/>
      <c r="H1087" s="7"/>
      <c r="I1087" s="7"/>
      <c r="J1087" s="7">
        <f>+I1087-'ROR-Model'!I1087</f>
        <v>0</v>
      </c>
      <c r="K1087" s="7"/>
      <c r="L1087" s="7"/>
      <c r="M1087" s="7"/>
      <c r="N1087" s="7"/>
      <c r="O1087" s="120"/>
      <c r="P1087" s="192"/>
      <c r="Q1087" s="7"/>
      <c r="R1087" s="7"/>
      <c r="S1087" s="126"/>
      <c r="T1087" s="7"/>
      <c r="U1087" s="7"/>
      <c r="V1087" s="49"/>
      <c r="W1087" s="7"/>
      <c r="X1087" s="139"/>
      <c r="Y1087" s="3">
        <f t="shared" si="76"/>
        <v>1078</v>
      </c>
      <c r="AA1087" s="7"/>
      <c r="AC1087" s="7" t="str">
        <f t="shared" si="77"/>
        <v/>
      </c>
      <c r="AE1087" s="42" t="str">
        <f t="shared" si="78"/>
        <v/>
      </c>
      <c r="AH1087" s="10" t="s">
        <v>239</v>
      </c>
      <c r="AI1087" s="10" t="s">
        <v>240</v>
      </c>
      <c r="AJ1087" s="10"/>
    </row>
    <row r="1088" spans="2:36">
      <c r="B1088" s="47"/>
      <c r="C1088" s="47"/>
      <c r="D1088" s="47" t="s">
        <v>23</v>
      </c>
      <c r="E1088" s="7" t="e">
        <f>+G1088-Adjustments!#REF!</f>
        <v>#REF!</v>
      </c>
      <c r="F1088" s="7">
        <f>'Rate Base'!$T$127</f>
        <v>1276486.77</v>
      </c>
      <c r="G1088" s="7">
        <f>+Adjustments!V1069</f>
        <v>14263.354166666279</v>
      </c>
      <c r="H1088" s="7"/>
      <c r="I1088" s="7">
        <f t="shared" si="79"/>
        <v>1290750.1241666663</v>
      </c>
      <c r="J1088" s="7">
        <f>+I1088-'ROR-Model'!I1088</f>
        <v>0</v>
      </c>
      <c r="K1088" s="7"/>
      <c r="L1088" s="7" t="s">
        <v>23</v>
      </c>
      <c r="M1088" s="7">
        <f>VLOOKUP($L1088,$L$2:$N$7,2,FALSE)*I1088</f>
        <v>0</v>
      </c>
      <c r="N1088" s="7">
        <f>VLOOKUP($L1088,$L$2:$N$7,3,FALSE)*I1088</f>
        <v>1290750.1241666663</v>
      </c>
      <c r="O1088" s="120"/>
      <c r="P1088" s="192" t="s">
        <v>510</v>
      </c>
      <c r="Q1088" s="7">
        <f>IF(P1088="G",M1088,IF(P1088="PT",0,ERR))</f>
        <v>0</v>
      </c>
      <c r="R1088" s="7">
        <f>IF(P1088="PT",M1088,IF(P1088="G",0,ERR))</f>
        <v>0</v>
      </c>
      <c r="S1088" s="126" t="s">
        <v>510</v>
      </c>
      <c r="T1088" s="7">
        <f>IF(S1088="G",N1088,IF(S1088="PT",0,ERR))</f>
        <v>1290750.1241666663</v>
      </c>
      <c r="U1088" s="7">
        <f>IF(S1088="PT",N1088,IF(S1088="G",0,ERR))</f>
        <v>0</v>
      </c>
      <c r="V1088" s="124"/>
      <c r="W1088" s="7">
        <f>HLOOKUP($W$9,'ROR-Model'!$Q$10:$U$1273,Y1088)</f>
        <v>0</v>
      </c>
      <c r="X1088" s="139"/>
      <c r="Y1088" s="3">
        <f t="shared" si="76"/>
        <v>1079</v>
      </c>
      <c r="AA1088" s="7">
        <v>0</v>
      </c>
      <c r="AC1088" s="7" t="str">
        <f t="shared" si="77"/>
        <v/>
      </c>
      <c r="AE1088" s="42" t="str">
        <f t="shared" si="78"/>
        <v/>
      </c>
      <c r="AH1088" s="10"/>
      <c r="AI1088" s="10"/>
      <c r="AJ1088" s="10" t="s">
        <v>23</v>
      </c>
    </row>
    <row r="1089" spans="1:36">
      <c r="B1089" s="47"/>
      <c r="C1089" s="47"/>
      <c r="D1089" s="47" t="s">
        <v>12</v>
      </c>
      <c r="E1089" s="7" t="e">
        <f>+G1089-Adjustments!#REF!</f>
        <v>#REF!</v>
      </c>
      <c r="F1089" s="7">
        <f>'Rate Base'!$T$128</f>
        <v>16580901.280000001</v>
      </c>
      <c r="G1089" s="7">
        <f>+Adjustments!V1070</f>
        <v>-565556.20458333381</v>
      </c>
      <c r="H1089" s="7"/>
      <c r="I1089" s="7">
        <f t="shared" si="79"/>
        <v>16015345.075416667</v>
      </c>
      <c r="J1089" s="7">
        <f>+I1089-'ROR-Model'!I1089</f>
        <v>0</v>
      </c>
      <c r="K1089" s="7"/>
      <c r="L1089" s="7" t="s">
        <v>12</v>
      </c>
      <c r="M1089" s="7">
        <f>VLOOKUP($L1089,$L$2:$N$7,2,FALSE)*I1089</f>
        <v>16015345.075416667</v>
      </c>
      <c r="N1089" s="7">
        <f>VLOOKUP($L1089,$L$2:$N$7,3,FALSE)*I1089</f>
        <v>0</v>
      </c>
      <c r="O1089" s="120"/>
      <c r="P1089" s="192" t="s">
        <v>510</v>
      </c>
      <c r="Q1089" s="7">
        <f>IF(P1089="G",M1089,IF(P1089="PT",0,ERR))</f>
        <v>16015345.075416667</v>
      </c>
      <c r="R1089" s="7">
        <f>IF(P1089="PT",M1089,IF(P1089="G",0,ERR))</f>
        <v>0</v>
      </c>
      <c r="S1089" s="126" t="s">
        <v>510</v>
      </c>
      <c r="T1089" s="7">
        <f>IF(S1089="G",N1089,IF(S1089="PT",0,ERR))</f>
        <v>0</v>
      </c>
      <c r="U1089" s="7">
        <f>IF(S1089="PT",N1089,IF(S1089="G",0,ERR))</f>
        <v>0</v>
      </c>
      <c r="V1089" s="124"/>
      <c r="W1089" s="7">
        <f>HLOOKUP($W$9,'ROR-Model'!$Q$10:$U$1273,Y1089)</f>
        <v>16015345.075416667</v>
      </c>
      <c r="X1089" s="139"/>
      <c r="Y1089" s="3">
        <f t="shared" si="76"/>
        <v>1080</v>
      </c>
      <c r="AA1089" s="7">
        <v>11107304.725</v>
      </c>
      <c r="AC1089" s="7">
        <f t="shared" si="77"/>
        <v>4908040.3504166678</v>
      </c>
      <c r="AE1089" s="42">
        <f t="shared" si="78"/>
        <v>0.44187500675747132</v>
      </c>
      <c r="AH1089" s="10"/>
      <c r="AI1089" s="10"/>
      <c r="AJ1089" s="10" t="s">
        <v>12</v>
      </c>
    </row>
    <row r="1090" spans="1:36">
      <c r="B1090" s="47"/>
      <c r="C1090" s="47"/>
      <c r="D1090" s="47" t="s">
        <v>544</v>
      </c>
      <c r="E1090" s="7" t="e">
        <f>+G1090-Adjustments!#REF!</f>
        <v>#REF!</v>
      </c>
      <c r="F1090" s="7">
        <f>'Rate Base'!$T$129</f>
        <v>0</v>
      </c>
      <c r="G1090" s="7">
        <f>+Adjustments!V1071</f>
        <v>0</v>
      </c>
      <c r="H1090" s="7"/>
      <c r="I1090" s="7">
        <f t="shared" si="79"/>
        <v>0</v>
      </c>
      <c r="J1090" s="7">
        <f>+I1090-'ROR-Model'!I1090</f>
        <v>0</v>
      </c>
      <c r="K1090" s="7"/>
      <c r="L1090" s="7" t="s">
        <v>429</v>
      </c>
      <c r="M1090" s="7">
        <f>VLOOKUP($L1090,$L$2:$N$7,2,FALSE)*I1090</f>
        <v>0</v>
      </c>
      <c r="N1090" s="7">
        <f>VLOOKUP($L1090,$L$2:$N$7,3,FALSE)*I1090</f>
        <v>0</v>
      </c>
      <c r="O1090" s="120"/>
      <c r="P1090" s="192" t="s">
        <v>510</v>
      </c>
      <c r="Q1090" s="7">
        <f>IF(P1090="G",M1090,IF(P1090="PT",0,ERR))</f>
        <v>0</v>
      </c>
      <c r="R1090" s="7">
        <f>IF(P1090="PT",M1090,IF(P1090="G",0,ERR))</f>
        <v>0</v>
      </c>
      <c r="S1090" s="126" t="s">
        <v>510</v>
      </c>
      <c r="T1090" s="7">
        <f>IF(S1090="G",N1090,IF(S1090="PT",0,ERR))</f>
        <v>0</v>
      </c>
      <c r="U1090" s="7">
        <f>IF(S1090="PT",N1090,IF(S1090="G",0,ERR))</f>
        <v>0</v>
      </c>
      <c r="V1090" s="124"/>
      <c r="W1090" s="7">
        <f>HLOOKUP($W$9,'ROR-Model'!$Q$10:$U$1273,Y1090)</f>
        <v>0</v>
      </c>
      <c r="X1090" s="139"/>
      <c r="Y1090" s="3">
        <f t="shared" si="76"/>
        <v>1081</v>
      </c>
      <c r="AA1090" s="7">
        <v>0</v>
      </c>
      <c r="AC1090" s="7" t="str">
        <f t="shared" si="77"/>
        <v/>
      </c>
      <c r="AE1090" s="42" t="str">
        <f t="shared" si="78"/>
        <v/>
      </c>
      <c r="AH1090" s="10"/>
      <c r="AI1090" s="10"/>
      <c r="AJ1090" s="10" t="s">
        <v>544</v>
      </c>
    </row>
    <row r="1091" spans="1:36">
      <c r="B1091" s="47"/>
      <c r="C1091" s="47"/>
      <c r="D1091" s="47" t="s">
        <v>145</v>
      </c>
      <c r="E1091" s="7" t="e">
        <f>+G1091-Adjustments!#REF!</f>
        <v>#REF!</v>
      </c>
      <c r="F1091" s="7">
        <f>'Rate Base'!$T$130</f>
        <v>17857388.050000001</v>
      </c>
      <c r="G1091" s="7">
        <f>+Adjustments!V1072</f>
        <v>-551292.85041666776</v>
      </c>
      <c r="H1091" s="7"/>
      <c r="I1091" s="7">
        <f t="shared" si="79"/>
        <v>17306095.199583333</v>
      </c>
      <c r="J1091" s="7">
        <f>+I1091-'ROR-Model'!I1091</f>
        <v>0</v>
      </c>
      <c r="K1091" s="7"/>
      <c r="L1091" s="7"/>
      <c r="M1091" s="7">
        <f>SUM(M1088:M1090)</f>
        <v>16015345.075416667</v>
      </c>
      <c r="N1091" s="7">
        <f>SUM(N1088:N1090)</f>
        <v>1290750.1241666663</v>
      </c>
      <c r="O1091" s="120"/>
      <c r="P1091" s="192" t="s">
        <v>510</v>
      </c>
      <c r="Q1091" s="7">
        <f>IF(P1091="G",M1091,IF(P1091="PT",0,ERR))</f>
        <v>16015345.075416667</v>
      </c>
      <c r="R1091" s="7">
        <f>IF(P1091="PT",M1091,IF(P1091="G",0,ERR))</f>
        <v>0</v>
      </c>
      <c r="S1091" s="126" t="s">
        <v>510</v>
      </c>
      <c r="T1091" s="7">
        <f>IF(S1091="G",N1091,IF(S1091="PT",0,ERR))</f>
        <v>1290750.1241666663</v>
      </c>
      <c r="U1091" s="7">
        <f>IF(S1091="PT",N1091,IF(S1091="G",0,ERR))</f>
        <v>0</v>
      </c>
      <c r="V1091" s="124"/>
      <c r="W1091" s="7">
        <f>HLOOKUP($W$9,'ROR-Model'!$Q$10:$U$1273,Y1091)</f>
        <v>16015345.075416667</v>
      </c>
      <c r="X1091" s="139"/>
      <c r="Y1091" s="3">
        <f t="shared" si="76"/>
        <v>1082</v>
      </c>
      <c r="AA1091" s="7">
        <v>11107304.725</v>
      </c>
      <c r="AC1091" s="7">
        <f t="shared" si="77"/>
        <v>4908040.3504166678</v>
      </c>
      <c r="AE1091" s="42">
        <f t="shared" si="78"/>
        <v>0.44187500675747132</v>
      </c>
      <c r="AH1091" s="10"/>
      <c r="AI1091" s="10"/>
      <c r="AJ1091" s="10" t="s">
        <v>145</v>
      </c>
    </row>
    <row r="1092" spans="1:36">
      <c r="B1092" s="47"/>
      <c r="C1092" s="47"/>
      <c r="D1092" s="47"/>
      <c r="E1092" s="7" t="e">
        <f>+G1092-Adjustments!#REF!</f>
        <v>#REF!</v>
      </c>
      <c r="F1092" s="7"/>
      <c r="G1092" s="7"/>
      <c r="H1092" s="7"/>
      <c r="I1092" s="7"/>
      <c r="J1092" s="7">
        <f>+I1092-'ROR-Model'!I1092</f>
        <v>0</v>
      </c>
      <c r="K1092" s="7"/>
      <c r="L1092" s="7"/>
      <c r="M1092" s="7"/>
      <c r="N1092" s="7"/>
      <c r="O1092" s="120"/>
      <c r="P1092" s="192"/>
      <c r="Q1092" s="7"/>
      <c r="R1092" s="7"/>
      <c r="S1092" s="126"/>
      <c r="T1092" s="7"/>
      <c r="U1092" s="7"/>
      <c r="V1092" s="124"/>
      <c r="W1092" s="7"/>
      <c r="X1092" s="139"/>
      <c r="Y1092" s="3">
        <f t="shared" si="76"/>
        <v>1083</v>
      </c>
      <c r="AA1092" s="7"/>
      <c r="AC1092" s="7" t="str">
        <f t="shared" si="77"/>
        <v/>
      </c>
      <c r="AE1092" s="42" t="str">
        <f t="shared" si="78"/>
        <v/>
      </c>
      <c r="AH1092" s="10"/>
      <c r="AI1092" s="10"/>
      <c r="AJ1092" s="10"/>
    </row>
    <row r="1093" spans="1:36">
      <c r="B1093" s="47" t="s">
        <v>241</v>
      </c>
      <c r="C1093" s="47" t="s">
        <v>242</v>
      </c>
      <c r="D1093" s="47"/>
      <c r="E1093" s="7">
        <f>+G1093-Adjustments!G1085</f>
        <v>0</v>
      </c>
      <c r="F1093" s="7"/>
      <c r="G1093" s="7"/>
      <c r="H1093" s="7"/>
      <c r="I1093" s="7"/>
      <c r="J1093" s="7">
        <f>+I1093-'ROR-Model'!I1093</f>
        <v>0</v>
      </c>
      <c r="K1093" s="7"/>
      <c r="L1093" s="7"/>
      <c r="M1093" s="7"/>
      <c r="N1093" s="7"/>
      <c r="O1093" s="120"/>
      <c r="P1093" s="192"/>
      <c r="Q1093" s="7"/>
      <c r="R1093" s="7"/>
      <c r="S1093" s="126"/>
      <c r="T1093" s="7"/>
      <c r="U1093" s="7"/>
      <c r="V1093" s="124"/>
      <c r="W1093" s="7"/>
      <c r="X1093" s="139"/>
      <c r="Y1093" s="3">
        <f t="shared" si="76"/>
        <v>1084</v>
      </c>
      <c r="AA1093" s="7"/>
      <c r="AC1093" s="7" t="str">
        <f t="shared" si="77"/>
        <v/>
      </c>
      <c r="AE1093" s="42" t="str">
        <f t="shared" si="78"/>
        <v/>
      </c>
      <c r="AH1093" s="10" t="s">
        <v>241</v>
      </c>
      <c r="AI1093" s="10" t="s">
        <v>242</v>
      </c>
      <c r="AJ1093" s="10"/>
    </row>
    <row r="1094" spans="1:36">
      <c r="B1094" s="47"/>
      <c r="C1094" s="47"/>
      <c r="D1094" s="47" t="s">
        <v>23</v>
      </c>
      <c r="E1094" s="7">
        <f>+G1094-Adjustments!G1086</f>
        <v>0</v>
      </c>
      <c r="F1094" s="7">
        <f>'Rate Base'!$T$133</f>
        <v>3108904.31</v>
      </c>
      <c r="G1094" s="7">
        <f>+Adjustments!V1075</f>
        <v>0</v>
      </c>
      <c r="H1094" s="7"/>
      <c r="I1094" s="7">
        <f t="shared" si="79"/>
        <v>3108904.31</v>
      </c>
      <c r="J1094" s="7">
        <f>+I1094-'ROR-Model'!I1094</f>
        <v>0</v>
      </c>
      <c r="K1094" s="7"/>
      <c r="L1094" s="7" t="s">
        <v>23</v>
      </c>
      <c r="M1094" s="7">
        <f>VLOOKUP($L1094,$L$2:$N$7,2,FALSE)*I1094</f>
        <v>0</v>
      </c>
      <c r="N1094" s="7">
        <f>VLOOKUP($L1094,$L$2:$N$7,3,FALSE)*I1094</f>
        <v>3108904.31</v>
      </c>
      <c r="O1094" s="120"/>
      <c r="P1094" s="192" t="s">
        <v>510</v>
      </c>
      <c r="Q1094" s="7">
        <f>IF(P1094="G",M1094,IF(P1094="PT",0,ERR))</f>
        <v>0</v>
      </c>
      <c r="R1094" s="7">
        <f>IF(P1094="PT",M1094,IF(P1094="G",0,ERR))</f>
        <v>0</v>
      </c>
      <c r="S1094" s="126" t="s">
        <v>510</v>
      </c>
      <c r="T1094" s="7">
        <f>IF(S1094="G",N1094,IF(S1094="PT",0,ERR))</f>
        <v>3108904.31</v>
      </c>
      <c r="U1094" s="7">
        <f>IF(S1094="PT",N1094,IF(S1094="G",0,ERR))</f>
        <v>0</v>
      </c>
      <c r="V1094" s="124"/>
      <c r="W1094" s="7">
        <f>HLOOKUP($W$9,'ROR-Model'!$Q$10:$U$1273,Y1094)</f>
        <v>0</v>
      </c>
      <c r="X1094" s="139"/>
      <c r="Y1094" s="3">
        <f t="shared" si="76"/>
        <v>1085</v>
      </c>
      <c r="AA1094" s="7">
        <v>0</v>
      </c>
      <c r="AC1094" s="7" t="str">
        <f t="shared" si="77"/>
        <v/>
      </c>
      <c r="AE1094" s="42" t="str">
        <f t="shared" si="78"/>
        <v/>
      </c>
      <c r="AH1094" s="10"/>
      <c r="AI1094" s="10"/>
      <c r="AJ1094" s="10" t="s">
        <v>23</v>
      </c>
    </row>
    <row r="1095" spans="1:36">
      <c r="B1095" s="47"/>
      <c r="C1095" s="47"/>
      <c r="D1095" s="47" t="s">
        <v>12</v>
      </c>
      <c r="E1095" s="7">
        <f>+G1095-Adjustments!G1087</f>
        <v>-211518.19041666202</v>
      </c>
      <c r="F1095" s="7">
        <f>'Rate Base'!$T$134</f>
        <v>13804510.429999998</v>
      </c>
      <c r="G1095" s="7">
        <f>+Adjustments!V1076</f>
        <v>-211518.19041666202</v>
      </c>
      <c r="H1095" s="7"/>
      <c r="I1095" s="7">
        <f t="shared" si="79"/>
        <v>13592992.239583336</v>
      </c>
      <c r="J1095" s="7">
        <f>+I1095-'ROR-Model'!I1095</f>
        <v>0</v>
      </c>
      <c r="K1095" s="7"/>
      <c r="L1095" s="7" t="s">
        <v>12</v>
      </c>
      <c r="M1095" s="7">
        <f>VLOOKUP($L1095,$L$2:$N$7,2,FALSE)*I1095</f>
        <v>13592992.239583336</v>
      </c>
      <c r="N1095" s="7">
        <f>VLOOKUP($L1095,$L$2:$N$7,3,FALSE)*I1095</f>
        <v>0</v>
      </c>
      <c r="O1095" s="120"/>
      <c r="P1095" s="192" t="s">
        <v>510</v>
      </c>
      <c r="Q1095" s="7">
        <f>IF(P1095="G",M1095,IF(P1095="PT",0,ERR))</f>
        <v>13592992.239583336</v>
      </c>
      <c r="R1095" s="7">
        <f>IF(P1095="PT",M1095,IF(P1095="G",0,ERR))</f>
        <v>0</v>
      </c>
      <c r="S1095" s="126" t="s">
        <v>510</v>
      </c>
      <c r="T1095" s="7">
        <f>IF(S1095="G",N1095,IF(S1095="PT",0,ERR))</f>
        <v>0</v>
      </c>
      <c r="U1095" s="7">
        <f>IF(S1095="PT",N1095,IF(S1095="G",0,ERR))</f>
        <v>0</v>
      </c>
      <c r="V1095" s="124"/>
      <c r="W1095" s="7">
        <f>HLOOKUP($W$9,'ROR-Model'!$Q$10:$U$1273,Y1095)</f>
        <v>13592992.239583336</v>
      </c>
      <c r="X1095" s="139"/>
      <c r="Y1095" s="3">
        <f t="shared" si="76"/>
        <v>1086</v>
      </c>
      <c r="AA1095" s="7">
        <v>11741120.274583332</v>
      </c>
      <c r="AC1095" s="7">
        <f t="shared" si="77"/>
        <v>1851871.9650000036</v>
      </c>
      <c r="AE1095" s="42">
        <f t="shared" si="78"/>
        <v>0.15772532106743303</v>
      </c>
      <c r="AH1095" s="10"/>
      <c r="AI1095" s="10"/>
      <c r="AJ1095" s="10" t="s">
        <v>12</v>
      </c>
    </row>
    <row r="1096" spans="1:36">
      <c r="B1096" s="47"/>
      <c r="C1096" s="47"/>
      <c r="D1096" s="47" t="s">
        <v>145</v>
      </c>
      <c r="E1096" s="7">
        <f>+G1096-Adjustments!G1088</f>
        <v>-211518.19041666202</v>
      </c>
      <c r="F1096" s="7">
        <f>'Rate Base'!$T$135</f>
        <v>16913414.739999998</v>
      </c>
      <c r="G1096" s="7">
        <f>+Adjustments!V1077</f>
        <v>-211518.19041666202</v>
      </c>
      <c r="H1096" s="7"/>
      <c r="I1096" s="7">
        <f t="shared" si="79"/>
        <v>16701896.549583336</v>
      </c>
      <c r="J1096" s="7">
        <f>+I1096-'ROR-Model'!I1096</f>
        <v>0</v>
      </c>
      <c r="K1096" s="7"/>
      <c r="L1096" s="7" t="s">
        <v>145</v>
      </c>
      <c r="M1096" s="7">
        <f>SUM(M1094:M1095)</f>
        <v>13592992.239583336</v>
      </c>
      <c r="N1096" s="7">
        <f>SUM(N1094:N1095)</f>
        <v>3108904.31</v>
      </c>
      <c r="O1096" s="120"/>
      <c r="P1096" s="192" t="s">
        <v>510</v>
      </c>
      <c r="Q1096" s="7">
        <f>IF(P1096="G",M1096,IF(P1096="PT",0,ERR))</f>
        <v>13592992.239583336</v>
      </c>
      <c r="R1096" s="7">
        <f>IF(P1096="PT",M1096,IF(P1096="G",0,ERR))</f>
        <v>0</v>
      </c>
      <c r="S1096" s="126" t="s">
        <v>510</v>
      </c>
      <c r="T1096" s="7">
        <f>IF(S1096="G",N1096,IF(S1096="PT",0,ERR))</f>
        <v>3108904.31</v>
      </c>
      <c r="U1096" s="7">
        <f>IF(S1096="PT",N1096,IF(S1096="G",0,ERR))</f>
        <v>0</v>
      </c>
      <c r="V1096" s="124"/>
      <c r="W1096" s="7">
        <f>HLOOKUP($W$9,'ROR-Model'!$Q$10:$U$1273,Y1096)</f>
        <v>13592992.239583336</v>
      </c>
      <c r="X1096" s="139"/>
      <c r="Y1096" s="3">
        <f t="shared" si="76"/>
        <v>1087</v>
      </c>
      <c r="AA1096" s="7">
        <v>11741120.274583332</v>
      </c>
      <c r="AC1096" s="7">
        <f t="shared" si="77"/>
        <v>1851871.9650000036</v>
      </c>
      <c r="AE1096" s="42">
        <f t="shared" si="78"/>
        <v>0.15772532106743303</v>
      </c>
      <c r="AH1096" s="10"/>
      <c r="AI1096" s="10"/>
      <c r="AJ1096" s="10" t="s">
        <v>145</v>
      </c>
    </row>
    <row r="1097" spans="1:36">
      <c r="B1097" s="47"/>
      <c r="C1097" s="47"/>
      <c r="D1097" s="47"/>
      <c r="E1097" s="7">
        <f>+G1097-Adjustments!G1089</f>
        <v>0</v>
      </c>
      <c r="F1097" s="7"/>
      <c r="G1097" s="7"/>
      <c r="H1097" s="7"/>
      <c r="I1097" s="7"/>
      <c r="J1097" s="7">
        <f>+I1097-'ROR-Model'!I1097</f>
        <v>0</v>
      </c>
      <c r="K1097" s="7"/>
      <c r="L1097" s="7"/>
      <c r="M1097" s="7"/>
      <c r="N1097" s="7"/>
      <c r="O1097" s="120"/>
      <c r="P1097" s="192"/>
      <c r="Q1097" s="7"/>
      <c r="R1097" s="7"/>
      <c r="S1097" s="126"/>
      <c r="T1097" s="7"/>
      <c r="U1097" s="7"/>
      <c r="V1097" s="124"/>
      <c r="W1097" s="7"/>
      <c r="X1097" s="139"/>
      <c r="Y1097" s="3">
        <f t="shared" si="76"/>
        <v>1088</v>
      </c>
      <c r="AA1097" s="7"/>
      <c r="AC1097" s="7" t="str">
        <f t="shared" si="77"/>
        <v/>
      </c>
      <c r="AE1097" s="42" t="str">
        <f t="shared" si="78"/>
        <v/>
      </c>
      <c r="AH1097" s="10"/>
      <c r="AI1097" s="10"/>
      <c r="AJ1097" s="10"/>
    </row>
    <row r="1098" spans="1:36">
      <c r="B1098" s="47" t="s">
        <v>243</v>
      </c>
      <c r="C1098" s="47" t="s">
        <v>244</v>
      </c>
      <c r="D1098" s="47"/>
      <c r="E1098" s="7">
        <f>+G1098-Adjustments!G1090</f>
        <v>0</v>
      </c>
      <c r="F1098" s="7"/>
      <c r="G1098" s="7"/>
      <c r="H1098" s="7"/>
      <c r="I1098" s="7"/>
      <c r="J1098" s="7">
        <f>+I1098-'ROR-Model'!I1098</f>
        <v>0</v>
      </c>
      <c r="K1098" s="7"/>
      <c r="L1098" s="7"/>
      <c r="M1098" s="7"/>
      <c r="N1098" s="7"/>
      <c r="O1098" s="120"/>
      <c r="P1098" s="192"/>
      <c r="Q1098" s="7"/>
      <c r="R1098" s="7"/>
      <c r="S1098" s="126"/>
      <c r="T1098" s="7"/>
      <c r="U1098" s="7"/>
      <c r="V1098" s="124"/>
      <c r="W1098" s="7"/>
      <c r="X1098" s="139"/>
      <c r="Y1098" s="3">
        <f t="shared" si="76"/>
        <v>1089</v>
      </c>
      <c r="AA1098" s="7"/>
      <c r="AC1098" s="7" t="str">
        <f t="shared" si="77"/>
        <v/>
      </c>
      <c r="AE1098" s="42" t="str">
        <f t="shared" si="78"/>
        <v/>
      </c>
      <c r="AH1098" s="10" t="s">
        <v>243</v>
      </c>
      <c r="AI1098" s="10" t="s">
        <v>244</v>
      </c>
      <c r="AJ1098" s="10"/>
    </row>
    <row r="1099" spans="1:36">
      <c r="B1099" s="47"/>
      <c r="C1099" s="47"/>
      <c r="D1099" s="47" t="s">
        <v>23</v>
      </c>
      <c r="E1099" s="7">
        <f>+G1099-Adjustments!G1091</f>
        <v>-367749.53291666671</v>
      </c>
      <c r="F1099" s="7">
        <f>'Rate Base'!$T$138</f>
        <v>700608.93</v>
      </c>
      <c r="G1099" s="7">
        <f>+Adjustments!V1080</f>
        <v>-367749.53291666671</v>
      </c>
      <c r="H1099" s="7"/>
      <c r="I1099" s="7">
        <f t="shared" si="79"/>
        <v>332859.39708333334</v>
      </c>
      <c r="J1099" s="7">
        <f>+I1099-'ROR-Model'!I1099</f>
        <v>0</v>
      </c>
      <c r="K1099" s="7"/>
      <c r="L1099" s="7" t="s">
        <v>23</v>
      </c>
      <c r="M1099" s="7">
        <f>VLOOKUP($L1099,$L$2:$N$7,2,FALSE)*I1099</f>
        <v>0</v>
      </c>
      <c r="N1099" s="7">
        <f>VLOOKUP($L1099,$L$2:$N$7,3,FALSE)*I1099</f>
        <v>332859.39708333334</v>
      </c>
      <c r="O1099" s="120"/>
      <c r="P1099" s="192" t="s">
        <v>510</v>
      </c>
      <c r="Q1099" s="7">
        <f>IF(P1099="G",M1099,IF(P1099="PT",0,ERR))</f>
        <v>0</v>
      </c>
      <c r="R1099" s="7">
        <f>IF(P1099="PT",M1099,IF(P1099="G",0,ERR))</f>
        <v>0</v>
      </c>
      <c r="S1099" s="126" t="s">
        <v>510</v>
      </c>
      <c r="T1099" s="7">
        <f>IF(S1099="G",N1099,IF(S1099="PT",0,ERR))</f>
        <v>332859.39708333334</v>
      </c>
      <c r="U1099" s="7">
        <f>IF(S1099="PT",N1099,IF(S1099="G",0,ERR))</f>
        <v>0</v>
      </c>
      <c r="V1099" s="124"/>
      <c r="W1099" s="7">
        <f>HLOOKUP($W$9,'ROR-Model'!$Q$10:$U$1273,Y1099)</f>
        <v>0</v>
      </c>
      <c r="X1099" s="139"/>
      <c r="Y1099" s="3">
        <f t="shared" si="76"/>
        <v>1090</v>
      </c>
      <c r="AA1099" s="7">
        <v>0</v>
      </c>
      <c r="AC1099" s="7" t="str">
        <f t="shared" si="77"/>
        <v/>
      </c>
      <c r="AE1099" s="42" t="str">
        <f t="shared" si="78"/>
        <v/>
      </c>
      <c r="AH1099" s="10"/>
      <c r="AI1099" s="10"/>
      <c r="AJ1099" s="10" t="s">
        <v>23</v>
      </c>
    </row>
    <row r="1100" spans="1:36">
      <c r="B1100" s="47"/>
      <c r="C1100" s="47"/>
      <c r="D1100" s="47" t="s">
        <v>12</v>
      </c>
      <c r="E1100" s="7">
        <f>+G1100-Adjustments!G1092</f>
        <v>-689064.40124999732</v>
      </c>
      <c r="F1100" s="7">
        <f>'Rate Base'!$T$139</f>
        <v>9424164.3399999961</v>
      </c>
      <c r="G1100" s="7">
        <f>+Adjustments!V1081</f>
        <v>-689064.40124999732</v>
      </c>
      <c r="H1100" s="7"/>
      <c r="I1100" s="7">
        <f t="shared" si="79"/>
        <v>8735099.9387499988</v>
      </c>
      <c r="J1100" s="7">
        <f>+I1100-'ROR-Model'!I1100</f>
        <v>0</v>
      </c>
      <c r="K1100" s="7"/>
      <c r="L1100" s="7" t="s">
        <v>12</v>
      </c>
      <c r="M1100" s="7">
        <f>VLOOKUP($L1100,$L$2:$N$7,2,FALSE)*I1100</f>
        <v>8735099.9387499988</v>
      </c>
      <c r="N1100" s="7">
        <f>VLOOKUP($L1100,$L$2:$N$7,3,FALSE)*I1100</f>
        <v>0</v>
      </c>
      <c r="O1100" s="120"/>
      <c r="P1100" s="192" t="s">
        <v>510</v>
      </c>
      <c r="Q1100" s="7">
        <f>IF(P1100="G",M1100,IF(P1100="PT",0,ERR))</f>
        <v>8735099.9387499988</v>
      </c>
      <c r="R1100" s="7">
        <f>IF(P1100="PT",M1100,IF(P1100="G",0,ERR))</f>
        <v>0</v>
      </c>
      <c r="S1100" s="126" t="s">
        <v>510</v>
      </c>
      <c r="T1100" s="7">
        <f>IF(S1100="G",N1100,IF(S1100="PT",0,ERR))</f>
        <v>0</v>
      </c>
      <c r="U1100" s="7">
        <f>IF(S1100="PT",N1100,IF(S1100="G",0,ERR))</f>
        <v>0</v>
      </c>
      <c r="V1100" s="124"/>
      <c r="W1100" s="7">
        <f>HLOOKUP($W$9,'ROR-Model'!$Q$10:$U$1273,Y1100)</f>
        <v>8735099.9387499988</v>
      </c>
      <c r="X1100" s="139"/>
      <c r="Y1100" s="3">
        <f t="shared" si="76"/>
        <v>1091</v>
      </c>
      <c r="AA1100" s="7">
        <v>368820.42750000005</v>
      </c>
      <c r="AC1100" s="7">
        <f t="shared" si="77"/>
        <v>8366279.5112499986</v>
      </c>
      <c r="AE1100" s="42">
        <f t="shared" si="78"/>
        <v>22.683883232714916</v>
      </c>
      <c r="AH1100" s="10"/>
      <c r="AI1100" s="10"/>
      <c r="AJ1100" s="10" t="s">
        <v>12</v>
      </c>
    </row>
    <row r="1101" spans="1:36">
      <c r="B1101" s="47"/>
      <c r="C1101" s="47"/>
      <c r="D1101" s="47" t="s">
        <v>544</v>
      </c>
      <c r="E1101" s="7">
        <f>+G1101-Adjustments!G1093</f>
        <v>0</v>
      </c>
      <c r="F1101" s="7">
        <f>'Rate Base'!$T$140</f>
        <v>0</v>
      </c>
      <c r="G1101" s="7">
        <f>+Adjustments!V1082</f>
        <v>0</v>
      </c>
      <c r="H1101" s="7"/>
      <c r="I1101" s="7">
        <f t="shared" si="79"/>
        <v>0</v>
      </c>
      <c r="J1101" s="7">
        <f>+I1101-'ROR-Model'!I1101</f>
        <v>0</v>
      </c>
      <c r="K1101" s="7"/>
      <c r="L1101" s="7" t="s">
        <v>429</v>
      </c>
      <c r="M1101" s="7">
        <f>VLOOKUP($L1101,$L$2:$N$7,2,FALSE)*I1101</f>
        <v>0</v>
      </c>
      <c r="N1101" s="7">
        <f>VLOOKUP($L1101,$L$2:$N$7,3,FALSE)*I1101</f>
        <v>0</v>
      </c>
      <c r="O1101" s="120"/>
      <c r="P1101" s="192" t="s">
        <v>510</v>
      </c>
      <c r="Q1101" s="7">
        <f>IF(P1101="G",M1101,IF(P1101="PT",0,ERR))</f>
        <v>0</v>
      </c>
      <c r="R1101" s="7">
        <f>IF(P1101="PT",M1101,IF(P1101="G",0,ERR))</f>
        <v>0</v>
      </c>
      <c r="S1101" s="126" t="s">
        <v>510</v>
      </c>
      <c r="T1101" s="7">
        <f>IF(S1101="G",N1101,IF(S1101="PT",0,ERR))</f>
        <v>0</v>
      </c>
      <c r="U1101" s="7">
        <f>IF(S1101="PT",N1101,IF(S1101="G",0,ERR))</f>
        <v>0</v>
      </c>
      <c r="V1101" s="124"/>
      <c r="W1101" s="7">
        <f>HLOOKUP($W$9,'ROR-Model'!$Q$10:$U$1273,Y1101)</f>
        <v>0</v>
      </c>
      <c r="X1101" s="139"/>
      <c r="Y1101" s="3">
        <f t="shared" si="76"/>
        <v>1092</v>
      </c>
      <c r="AA1101" s="7">
        <v>0</v>
      </c>
      <c r="AC1101" s="7" t="str">
        <f t="shared" si="77"/>
        <v/>
      </c>
      <c r="AE1101" s="42" t="str">
        <f t="shared" si="78"/>
        <v/>
      </c>
      <c r="AH1101" s="10"/>
      <c r="AI1101" s="10"/>
      <c r="AJ1101" s="10" t="s">
        <v>544</v>
      </c>
    </row>
    <row r="1102" spans="1:36">
      <c r="B1102" s="47"/>
      <c r="C1102" s="47"/>
      <c r="D1102" s="47" t="s">
        <v>145</v>
      </c>
      <c r="E1102" s="7">
        <f>+G1102-Adjustments!G1094</f>
        <v>-1056813.9341666643</v>
      </c>
      <c r="F1102" s="7">
        <f>'Rate Base'!$T$141</f>
        <v>10124773.269999996</v>
      </c>
      <c r="G1102" s="7">
        <f>+Adjustments!V1083</f>
        <v>-1056813.9341666643</v>
      </c>
      <c r="H1102" s="7"/>
      <c r="I1102" s="7">
        <f t="shared" si="79"/>
        <v>9067959.3358333316</v>
      </c>
      <c r="J1102" s="7">
        <f>+I1102-'ROR-Model'!I1102</f>
        <v>0</v>
      </c>
      <c r="K1102" s="7"/>
      <c r="L1102" s="7" t="s">
        <v>145</v>
      </c>
      <c r="M1102" s="7">
        <f>SUM(M1099:M1101)</f>
        <v>8735099.9387499988</v>
      </c>
      <c r="N1102" s="7">
        <f>SUM(N1099:N1101)</f>
        <v>332859.39708333334</v>
      </c>
      <c r="O1102" s="120"/>
      <c r="P1102" s="192" t="s">
        <v>510</v>
      </c>
      <c r="Q1102" s="7">
        <f>IF(P1102="G",M1102,IF(P1102="PT",0,ERR))</f>
        <v>8735099.9387499988</v>
      </c>
      <c r="R1102" s="7">
        <f>IF(P1102="PT",M1102,IF(P1102="G",0,ERR))</f>
        <v>0</v>
      </c>
      <c r="S1102" s="126" t="s">
        <v>510</v>
      </c>
      <c r="T1102" s="7">
        <f>IF(S1102="G",N1102,IF(S1102="PT",0,ERR))</f>
        <v>332859.39708333334</v>
      </c>
      <c r="U1102" s="7">
        <f>IF(S1102="PT",N1102,IF(S1102="G",0,ERR))</f>
        <v>0</v>
      </c>
      <c r="V1102" s="124"/>
      <c r="W1102" s="7">
        <f>HLOOKUP($W$9,'ROR-Model'!$Q$10:$U$1273,Y1102)</f>
        <v>8735099.9387499988</v>
      </c>
      <c r="X1102" s="139"/>
      <c r="Y1102" s="3">
        <f t="shared" si="76"/>
        <v>1093</v>
      </c>
      <c r="AA1102" s="7">
        <v>368820.42749999999</v>
      </c>
      <c r="AC1102" s="7">
        <f t="shared" si="77"/>
        <v>8366279.5112499986</v>
      </c>
      <c r="AE1102" s="42">
        <f t="shared" si="78"/>
        <v>22.683883232714919</v>
      </c>
      <c r="AH1102" s="10"/>
      <c r="AI1102" s="10"/>
      <c r="AJ1102" s="10" t="s">
        <v>145</v>
      </c>
    </row>
    <row r="1103" spans="1:36">
      <c r="B1103" s="47"/>
      <c r="C1103" s="47"/>
      <c r="D1103" s="47"/>
      <c r="E1103" s="7">
        <f>+G1103-Adjustments!G1095</f>
        <v>0</v>
      </c>
      <c r="F1103" s="7"/>
      <c r="G1103" s="7"/>
      <c r="H1103" s="7"/>
      <c r="I1103" s="7"/>
      <c r="J1103" s="7">
        <f>+I1103-'ROR-Model'!I1103</f>
        <v>0</v>
      </c>
      <c r="K1103" s="7"/>
      <c r="L1103" s="7"/>
      <c r="M1103" s="7"/>
      <c r="N1103" s="7"/>
      <c r="O1103" s="120"/>
      <c r="P1103" s="192"/>
      <c r="Q1103" s="7"/>
      <c r="R1103" s="7"/>
      <c r="S1103" s="126"/>
      <c r="T1103" s="7"/>
      <c r="U1103" s="7"/>
      <c r="V1103" s="124"/>
      <c r="W1103" s="7"/>
      <c r="X1103" s="139"/>
      <c r="Y1103" s="3">
        <f t="shared" si="76"/>
        <v>1094</v>
      </c>
      <c r="AA1103" s="7"/>
      <c r="AC1103" s="7" t="str">
        <f t="shared" si="77"/>
        <v/>
      </c>
      <c r="AE1103" s="42" t="str">
        <f t="shared" si="78"/>
        <v/>
      </c>
      <c r="AH1103" s="10"/>
      <c r="AI1103" s="10"/>
      <c r="AJ1103" s="10"/>
    </row>
    <row r="1104" spans="1:36">
      <c r="A1104" s="47"/>
      <c r="B1104" s="47" t="s">
        <v>245</v>
      </c>
      <c r="C1104" s="47"/>
      <c r="E1104" s="7">
        <f>+G1104-Adjustments!G1102</f>
        <v>-17747769.578333352</v>
      </c>
      <c r="F1104" s="7">
        <f>F1102+F1096+F1091+F1085+F1079+F1073+F1068+F1062+F1056+F1050+F968</f>
        <v>315261357.34999996</v>
      </c>
      <c r="G1104" s="7">
        <f>G1102+G1096+G1091+G1085+G1079+G1073+G1068+G1062+G1056+G1050+G968</f>
        <v>-17747769.578333352</v>
      </c>
      <c r="H1104" s="7">
        <f>SUM(H1047:H1103)</f>
        <v>0</v>
      </c>
      <c r="I1104" s="7">
        <f>I1102+I1096+I1091+I1085+I1079+I1073+I1068+I1062+I1056+I1050+I968</f>
        <v>297513587.77166671</v>
      </c>
      <c r="J1104" s="7">
        <f>+I1104-'ROR-Model'!I1104</f>
        <v>0</v>
      </c>
      <c r="K1104" s="7"/>
      <c r="L1104" s="7"/>
      <c r="M1104" s="7">
        <f>M1102+M1096+M1091+M1085+M1079+M1073+M1068+M1062+M1056+M1050+M968</f>
        <v>278597396.73679477</v>
      </c>
      <c r="N1104" s="7">
        <f>N1102+N1096+N1091+N1085+N1079+N1073+N1068+N1062+N1056+N1050+N968</f>
        <v>18916191.03487191</v>
      </c>
      <c r="O1104" s="120"/>
      <c r="P1104" s="126"/>
      <c r="Q1104" s="7">
        <f>Q1102+Q1096+Q1091+Q1085+Q1079+Q1073+Q1068+Q1062+Q1056+Q1050+Q968</f>
        <v>278597396.73679477</v>
      </c>
      <c r="R1104" s="7">
        <f>R1102+R1096+R1091+R1085+R1079+R1073+R1068+R1062+R1056+R1050+R968</f>
        <v>0</v>
      </c>
      <c r="S1104" s="126"/>
      <c r="T1104" s="7">
        <f>T1102+T1096+T1091+T1085+T1079+T1073+T1068+T1062+T1056+T1050+T968</f>
        <v>18916191.03487191</v>
      </c>
      <c r="U1104" s="7">
        <f>U1102+U1096+U1091+U1085+U1079+U1073+U1068+U1062+U1056+U1050+U968</f>
        <v>0</v>
      </c>
      <c r="V1104" s="124"/>
      <c r="W1104" s="7">
        <f>W1102+W1096+W1091+W1085+W1079+W1073+W1068+W1062+W1056+W1050+W968</f>
        <v>278597396.73679477</v>
      </c>
      <c r="X1104" s="139"/>
      <c r="Y1104" s="3">
        <f t="shared" si="76"/>
        <v>1095</v>
      </c>
      <c r="AA1104" s="7">
        <v>244634410.32114348</v>
      </c>
      <c r="AC1104" s="7">
        <f t="shared" ref="AC1104:AC1167" si="80">IF(ABS(AA1104)&gt;0,W1104-AA1104,"")</f>
        <v>33962986.415651292</v>
      </c>
      <c r="AE1104" s="42">
        <f t="shared" si="78"/>
        <v>0.13883159924667354</v>
      </c>
      <c r="AG1104" s="10"/>
      <c r="AH1104" s="10" t="s">
        <v>245</v>
      </c>
      <c r="AI1104" s="10"/>
    </row>
    <row r="1105" spans="1:36" ht="13.5" thickBot="1">
      <c r="A1105" s="116"/>
      <c r="B1105" s="53"/>
      <c r="C1105" s="53"/>
      <c r="D1105" s="53"/>
      <c r="E1105" s="24">
        <f>+G1105-Adjustments!G1103</f>
        <v>0</v>
      </c>
      <c r="F1105" s="24"/>
      <c r="G1105" s="24"/>
      <c r="H1105" s="24"/>
      <c r="I1105" s="24"/>
      <c r="J1105" s="7">
        <f>+I1105-'ROR-Model'!I1105</f>
        <v>0</v>
      </c>
      <c r="K1105" s="24"/>
      <c r="L1105" s="24"/>
      <c r="M1105" s="24"/>
      <c r="N1105" s="24"/>
      <c r="O1105" s="120"/>
      <c r="P1105" s="24"/>
      <c r="Q1105" s="24"/>
      <c r="R1105" s="24"/>
      <c r="S1105" s="202"/>
      <c r="T1105" s="24"/>
      <c r="U1105" s="24"/>
      <c r="V1105" s="124"/>
      <c r="W1105" s="24"/>
      <c r="X1105" s="139"/>
      <c r="Y1105" s="3">
        <f t="shared" ref="Y1105:Y1171" si="81">Y1104+1</f>
        <v>1096</v>
      </c>
      <c r="AA1105" s="24"/>
      <c r="AC1105" s="24" t="str">
        <f t="shared" si="80"/>
        <v/>
      </c>
      <c r="AE1105" s="42" t="str">
        <f t="shared" ref="AE1105:AE1168" si="82">IF(ABS(AA1105)&gt;0,AC1105/AA1105,"")</f>
        <v/>
      </c>
      <c r="AG1105" s="162"/>
      <c r="AH1105" s="10"/>
      <c r="AI1105" s="10"/>
      <c r="AJ1105" s="10"/>
    </row>
    <row r="1106" spans="1:36" ht="13.5" thickTop="1">
      <c r="A1106" s="116"/>
      <c r="B1106" s="53"/>
      <c r="C1106" s="53"/>
      <c r="D1106" s="53"/>
      <c r="E1106" s="7">
        <f>+G1106-Adjustments!G1104</f>
        <v>0</v>
      </c>
      <c r="F1106" s="7"/>
      <c r="G1106" s="7"/>
      <c r="H1106" s="7"/>
      <c r="I1106" s="7"/>
      <c r="J1106" s="7">
        <f>+I1106-'ROR-Model'!I1106</f>
        <v>0</v>
      </c>
      <c r="K1106" s="7"/>
      <c r="L1106" s="7"/>
      <c r="M1106" s="7"/>
      <c r="N1106" s="7"/>
      <c r="O1106" s="120"/>
      <c r="P1106" s="7"/>
      <c r="Q1106" s="7"/>
      <c r="R1106" s="7"/>
      <c r="S1106" s="126"/>
      <c r="T1106" s="7"/>
      <c r="U1106" s="7"/>
      <c r="V1106" s="124"/>
      <c r="W1106" s="7"/>
      <c r="X1106" s="139"/>
      <c r="Y1106" s="3">
        <f t="shared" si="81"/>
        <v>1097</v>
      </c>
      <c r="AA1106" s="7"/>
      <c r="AC1106" s="7" t="str">
        <f t="shared" si="80"/>
        <v/>
      </c>
      <c r="AE1106" s="42" t="str">
        <f t="shared" si="82"/>
        <v/>
      </c>
      <c r="AG1106" s="162"/>
      <c r="AH1106" s="10"/>
      <c r="AI1106" s="10"/>
      <c r="AJ1106" s="10"/>
    </row>
    <row r="1107" spans="1:36">
      <c r="A1107" s="173" t="s">
        <v>174</v>
      </c>
      <c r="B1107" s="467" t="s">
        <v>606</v>
      </c>
      <c r="C1107" s="49"/>
      <c r="D1107" s="49"/>
      <c r="E1107" s="7">
        <f>+G1107-Adjustments!G1105</f>
        <v>0</v>
      </c>
      <c r="F1107" s="7"/>
      <c r="G1107" s="7"/>
      <c r="H1107" s="7"/>
      <c r="I1107" s="7"/>
      <c r="J1107" s="7">
        <f>+I1107-'ROR-Model'!I1107</f>
        <v>0</v>
      </c>
      <c r="K1107" s="7"/>
      <c r="L1107" s="7"/>
      <c r="M1107" s="7"/>
      <c r="N1107" s="7"/>
      <c r="O1107" s="120"/>
      <c r="P1107" s="126"/>
      <c r="Q1107" s="7"/>
      <c r="R1107" s="7"/>
      <c r="S1107" s="126"/>
      <c r="T1107" s="7"/>
      <c r="U1107" s="7"/>
      <c r="V1107" s="124"/>
      <c r="W1107" s="7"/>
      <c r="X1107" s="139"/>
      <c r="Y1107" s="3">
        <f t="shared" si="81"/>
        <v>1098</v>
      </c>
      <c r="AA1107" s="7"/>
      <c r="AC1107" s="7" t="str">
        <f t="shared" si="80"/>
        <v/>
      </c>
      <c r="AE1107" s="42" t="str">
        <f t="shared" si="82"/>
        <v/>
      </c>
      <c r="AG1107" s="162" t="s">
        <v>174</v>
      </c>
      <c r="AH1107" s="10" t="s">
        <v>606</v>
      </c>
      <c r="AI1107" s="10"/>
      <c r="AJ1107" s="10"/>
    </row>
    <row r="1108" spans="1:36">
      <c r="A1108" s="173"/>
      <c r="B1108" s="49"/>
      <c r="C1108" s="49" t="s">
        <v>399</v>
      </c>
      <c r="D1108" s="49"/>
      <c r="E1108" s="7">
        <f>+G1108-Adjustments!G1106</f>
        <v>-5037992.5680000009</v>
      </c>
      <c r="F1108" s="7">
        <f>F980</f>
        <v>79968136</v>
      </c>
      <c r="G1108" s="7">
        <f>G980</f>
        <v>-5037992.5680000009</v>
      </c>
      <c r="H1108" s="7">
        <f>H980</f>
        <v>0</v>
      </c>
      <c r="I1108" s="7">
        <f>I980</f>
        <v>74930143.431999996</v>
      </c>
      <c r="J1108" s="7">
        <f>+I1108-'ROR-Model'!I1108</f>
        <v>0</v>
      </c>
      <c r="K1108" s="7"/>
      <c r="L1108" s="7" t="s">
        <v>637</v>
      </c>
      <c r="M1108" s="7">
        <f>M980</f>
        <v>72522416.555014685</v>
      </c>
      <c r="N1108" s="7">
        <f>N980</f>
        <v>2407726.8769853157</v>
      </c>
      <c r="O1108" s="120"/>
      <c r="P1108" s="192" t="s">
        <v>510</v>
      </c>
      <c r="Q1108" s="7">
        <f>Q980</f>
        <v>72522416.555014685</v>
      </c>
      <c r="R1108" s="7">
        <f>R980</f>
        <v>0</v>
      </c>
      <c r="S1108" s="126" t="s">
        <v>509</v>
      </c>
      <c r="T1108" s="7">
        <f>T980</f>
        <v>0</v>
      </c>
      <c r="U1108" s="7">
        <f>U980</f>
        <v>2407726.8769853157</v>
      </c>
      <c r="V1108" s="124"/>
      <c r="W1108" s="7">
        <f>HLOOKUP($W$9,'ROR-Model'!$Q$10:$U$1273,Y1108)</f>
        <v>72522416.555014685</v>
      </c>
      <c r="X1108" s="139"/>
      <c r="Y1108" s="3">
        <f t="shared" si="81"/>
        <v>1099</v>
      </c>
      <c r="AA1108" s="7">
        <v>72297781.03726688</v>
      </c>
      <c r="AC1108" s="7">
        <f t="shared" si="80"/>
        <v>224635.51774780452</v>
      </c>
      <c r="AE1108" s="42">
        <f t="shared" si="82"/>
        <v>3.1070873064833492E-3</v>
      </c>
      <c r="AG1108" s="162"/>
      <c r="AH1108" s="10"/>
      <c r="AI1108" s="10" t="s">
        <v>399</v>
      </c>
      <c r="AJ1108" s="10"/>
    </row>
    <row r="1109" spans="1:36">
      <c r="A1109" s="173"/>
      <c r="B1109" s="49"/>
      <c r="C1109" s="49" t="s">
        <v>542</v>
      </c>
      <c r="D1109" s="49"/>
      <c r="E1109" s="7">
        <f>+G1109-Adjustments!G1107</f>
        <v>-1565373.2104166583</v>
      </c>
      <c r="F1109" s="7">
        <f>F1040+F1035+F1030+F1025+F1020+F1015+F1007+F999+F994+F966</f>
        <v>107916657.61000001</v>
      </c>
      <c r="G1109" s="7">
        <f>G1040+G1035+G1030+G1025+G1020+G1015+G1007+G999+G994+G966</f>
        <v>-1565373.2104166583</v>
      </c>
      <c r="H1109" s="7">
        <f>H1040+H1035+H1030+H1025+H1020+H1015+H1007+H999+H994+H966</f>
        <v>0</v>
      </c>
      <c r="I1109" s="7">
        <f>I1040+I1035+I1030+I1025+I1020+I1015+I1007+I999+I994+I966</f>
        <v>106351284.39958334</v>
      </c>
      <c r="J1109" s="7">
        <f>+I1109-'ROR-Model'!I1109</f>
        <v>0</v>
      </c>
      <c r="K1109" s="7"/>
      <c r="L1109" s="7" t="s">
        <v>23</v>
      </c>
      <c r="M1109" s="7">
        <f>M1040+M1035+M1030+M1025+M1020+M1015+M1007+M999+M994+M966</f>
        <v>0</v>
      </c>
      <c r="N1109" s="7">
        <f>N1040+N1035+N1030+N1025+N1020+N1015+N1007+N999+N994+N966</f>
        <v>106351284.39958334</v>
      </c>
      <c r="O1109" s="120"/>
      <c r="P1109" s="192" t="s">
        <v>510</v>
      </c>
      <c r="Q1109" s="7">
        <f>Q1040+Q1035+Q1030+Q1025+Q1020+Q1015+Q1007+Q999+Q994+Q966</f>
        <v>0</v>
      </c>
      <c r="R1109" s="7">
        <f>R1040+R1035+R1030+R1025+R1020+R1015+R1007+R999+R994+R966</f>
        <v>0</v>
      </c>
      <c r="S1109" s="126" t="s">
        <v>510</v>
      </c>
      <c r="T1109" s="7">
        <f>T1040+T1035+T1030+T1025+T1020+T1015+T1007+T999+T994+T966</f>
        <v>106351284.39958334</v>
      </c>
      <c r="U1109" s="7">
        <f>U1040+U1035+U1030+U1025+U1020+U1015+U1007+U999+U994+U966</f>
        <v>0</v>
      </c>
      <c r="V1109" s="124"/>
      <c r="W1109" s="7">
        <f>HLOOKUP($W$9,'ROR-Model'!$Q$10:$U$1273,Y1109)</f>
        <v>0</v>
      </c>
      <c r="X1109" s="139"/>
      <c r="Y1109" s="3">
        <f t="shared" si="81"/>
        <v>1100</v>
      </c>
      <c r="AA1109" s="7">
        <v>0</v>
      </c>
      <c r="AC1109" s="7" t="str">
        <f t="shared" si="80"/>
        <v/>
      </c>
      <c r="AE1109" s="42" t="str">
        <f t="shared" si="82"/>
        <v/>
      </c>
      <c r="AG1109" s="162"/>
      <c r="AH1109" s="10"/>
      <c r="AI1109" s="10" t="s">
        <v>542</v>
      </c>
      <c r="AJ1109" s="10"/>
    </row>
    <row r="1110" spans="1:36">
      <c r="A1110" s="173"/>
      <c r="B1110" s="49"/>
      <c r="C1110" s="49" t="s">
        <v>543</v>
      </c>
      <c r="D1110" s="49"/>
      <c r="E1110" s="7">
        <f>+G1110-Adjustments!G1108</f>
        <v>-87306299.6612501</v>
      </c>
      <c r="F1110" s="7">
        <f>+F1041+F1036+F1031+F1026+F1021+F1016+F1011+F1000+F995+F967</f>
        <v>3299541907.3495722</v>
      </c>
      <c r="G1110" s="7">
        <f>+G1041+G1036+G1031+G1026+G1021+G1016+G1011+G1000+G995+G967</f>
        <v>-87306299.6612501</v>
      </c>
      <c r="H1110" s="7">
        <f>+H1041+H1036+H1031+H1026+H1021+H1016+H1011+H1000+H995+H967</f>
        <v>0</v>
      </c>
      <c r="I1110" s="7">
        <f>+I1041+I1036+I1031+I1026+I1021+I1016+I1011+I1000+I995+I967</f>
        <v>3212235607.6883221</v>
      </c>
      <c r="J1110" s="7">
        <f>+I1110-'ROR-Model'!I1110</f>
        <v>0</v>
      </c>
      <c r="K1110" s="7"/>
      <c r="L1110" s="7" t="s">
        <v>12</v>
      </c>
      <c r="M1110" s="7">
        <f>+M1041+M1036+M1031+M1026+M1021+M1016+M1011+M1000+M995+M967</f>
        <v>3212235607.6883221</v>
      </c>
      <c r="N1110" s="7">
        <f>+N1041+N1036+N1031+N1026+N1021+N1016+N1011+N1000+N995+N967</f>
        <v>0</v>
      </c>
      <c r="O1110" s="120"/>
      <c r="P1110" s="192" t="s">
        <v>510</v>
      </c>
      <c r="Q1110" s="7">
        <f>+Q1041+Q1036+Q1031+Q1026+Q1021+Q1016+Q1011+Q1000+Q995+Q967</f>
        <v>3212235607.6883221</v>
      </c>
      <c r="R1110" s="7">
        <f>+R1041+R1036+R1031+R1026+R1021+R1016+R1011+R1000+R995+R967</f>
        <v>0</v>
      </c>
      <c r="S1110" s="126" t="s">
        <v>510</v>
      </c>
      <c r="T1110" s="7">
        <f>+T1041+T1036+T1031+T1026+T1021+T1016+T1011+T1000+T995+T967</f>
        <v>0</v>
      </c>
      <c r="U1110" s="7">
        <f>+U1041+U1036+U1031+U1026+U1021+U1016+U1011+U1000+U995+U967</f>
        <v>0</v>
      </c>
      <c r="V1110" s="124"/>
      <c r="W1110" s="7">
        <f>HLOOKUP($W$9,'ROR-Model'!$Q$10:$U$1273,Y1110)</f>
        <v>3212235607.6883221</v>
      </c>
      <c r="X1110" s="139"/>
      <c r="Y1110" s="3">
        <f t="shared" si="81"/>
        <v>1101</v>
      </c>
      <c r="AA1110" s="7">
        <v>2510288180.7248335</v>
      </c>
      <c r="AC1110" s="7">
        <f t="shared" si="80"/>
        <v>701947426.96348858</v>
      </c>
      <c r="AE1110" s="42">
        <f t="shared" si="82"/>
        <v>0.27962822450162061</v>
      </c>
      <c r="AG1110" s="162"/>
      <c r="AH1110" s="10"/>
      <c r="AI1110" s="10" t="s">
        <v>543</v>
      </c>
      <c r="AJ1110" s="10"/>
    </row>
    <row r="1111" spans="1:36">
      <c r="A1111" s="173"/>
      <c r="B1111" s="49"/>
      <c r="C1111" s="49" t="s">
        <v>544</v>
      </c>
      <c r="D1111" s="49"/>
      <c r="E1111" s="7">
        <f>+G1111-Adjustments!G1109</f>
        <v>-17747769.578333352</v>
      </c>
      <c r="F1111" s="7">
        <f>F1104</f>
        <v>315261357.34999996</v>
      </c>
      <c r="G1111" s="7">
        <f>G1104</f>
        <v>-17747769.578333352</v>
      </c>
      <c r="H1111" s="7">
        <f>H1104</f>
        <v>0</v>
      </c>
      <c r="I1111" s="7">
        <f>I1104</f>
        <v>297513587.77166671</v>
      </c>
      <c r="J1111" s="7">
        <f>+I1111-'ROR-Model'!I1111</f>
        <v>0</v>
      </c>
      <c r="K1111" s="7"/>
      <c r="L1111" s="7" t="s">
        <v>429</v>
      </c>
      <c r="M1111" s="7">
        <f>M1104</f>
        <v>278597396.73679477</v>
      </c>
      <c r="N1111" s="7">
        <f>N1104</f>
        <v>18916191.03487191</v>
      </c>
      <c r="O1111" s="120"/>
      <c r="P1111" s="192" t="s">
        <v>510</v>
      </c>
      <c r="Q1111" s="7">
        <f>Q1104</f>
        <v>278597396.73679477</v>
      </c>
      <c r="R1111" s="7">
        <f>R1104</f>
        <v>0</v>
      </c>
      <c r="S1111" s="126" t="s">
        <v>510</v>
      </c>
      <c r="T1111" s="7">
        <f>T1104</f>
        <v>18916191.03487191</v>
      </c>
      <c r="U1111" s="7">
        <f>U1104</f>
        <v>0</v>
      </c>
      <c r="V1111" s="124"/>
      <c r="W1111" s="7">
        <f>HLOOKUP($W$9,'ROR-Model'!$Q$10:$U$1273,Y1111)</f>
        <v>278597396.73679477</v>
      </c>
      <c r="X1111" s="139"/>
      <c r="Y1111" s="3">
        <f t="shared" si="81"/>
        <v>1102</v>
      </c>
      <c r="AA1111" s="7">
        <v>244634410.32114348</v>
      </c>
      <c r="AC1111" s="7">
        <f t="shared" si="80"/>
        <v>33962986.415651292</v>
      </c>
      <c r="AE1111" s="42">
        <f t="shared" si="82"/>
        <v>0.13883159924667354</v>
      </c>
      <c r="AG1111" s="162"/>
      <c r="AH1111" s="10"/>
      <c r="AI1111" s="10" t="s">
        <v>544</v>
      </c>
      <c r="AJ1111" s="10"/>
    </row>
    <row r="1112" spans="1:36">
      <c r="A1112" s="173"/>
      <c r="B1112" s="49"/>
      <c r="C1112" s="277" t="s">
        <v>606</v>
      </c>
      <c r="D1112" s="49"/>
      <c r="E1112" s="140">
        <f>+G1112-Adjustments!G1110</f>
        <v>-111657435.01800011</v>
      </c>
      <c r="F1112" s="140">
        <f>SUM(F1108:F1111)</f>
        <v>3802688058.3095722</v>
      </c>
      <c r="G1112" s="91">
        <f>SUM(G1108:G1111)</f>
        <v>-111657435.01800011</v>
      </c>
      <c r="H1112" s="140">
        <f>SUM(H1108:H1111)</f>
        <v>0</v>
      </c>
      <c r="I1112" s="140">
        <f>SUM(I1108:I1111)</f>
        <v>3691030623.2915721</v>
      </c>
      <c r="J1112" s="7">
        <f>+I1112-'ROR-Model'!I1112</f>
        <v>0</v>
      </c>
      <c r="K1112" s="7"/>
      <c r="L1112" s="140"/>
      <c r="M1112" s="140">
        <f>SUM(M1108:M1111)</f>
        <v>3563355420.9801316</v>
      </c>
      <c r="N1112" s="140">
        <f>SUM(N1108:N1111)</f>
        <v>127675202.31144056</v>
      </c>
      <c r="O1112" s="120"/>
      <c r="P1112" s="201"/>
      <c r="Q1112" s="140">
        <f>SUM(Q1108:Q1111)</f>
        <v>3563355420.9801316</v>
      </c>
      <c r="R1112" s="140">
        <f>SUM(R1108:R1111)</f>
        <v>0</v>
      </c>
      <c r="S1112" s="201"/>
      <c r="T1112" s="140">
        <f>SUM(T1108:T1111)</f>
        <v>125267475.43445525</v>
      </c>
      <c r="U1112" s="140">
        <f>SUM(U1108:U1111)</f>
        <v>2407726.8769853157</v>
      </c>
      <c r="V1112" s="124"/>
      <c r="W1112" s="140">
        <f>HLOOKUP($W$9,'ROR-Model'!$Q$10:$U$1273,Y1112)</f>
        <v>3563355420.9801316</v>
      </c>
      <c r="X1112" s="139"/>
      <c r="Y1112" s="3">
        <f t="shared" si="81"/>
        <v>1103</v>
      </c>
      <c r="AA1112" s="140">
        <v>2827220372.0832438</v>
      </c>
      <c r="AC1112" s="140">
        <f t="shared" si="80"/>
        <v>736135048.89688778</v>
      </c>
      <c r="AE1112" s="42">
        <f t="shared" si="82"/>
        <v>0.26037413148465149</v>
      </c>
      <c r="AG1112" s="162"/>
      <c r="AH1112" s="10"/>
      <c r="AI1112" s="10" t="s">
        <v>606</v>
      </c>
      <c r="AJ1112" s="10"/>
    </row>
    <row r="1113" spans="1:36">
      <c r="A1113" s="173"/>
      <c r="B1113" s="49"/>
      <c r="C1113" s="277"/>
      <c r="D1113" s="49"/>
      <c r="E1113" s="7">
        <f>+G1113-Adjustments!G1111</f>
        <v>0</v>
      </c>
      <c r="F1113" s="7"/>
      <c r="G1113" s="7"/>
      <c r="H1113" s="7"/>
      <c r="I1113" s="7"/>
      <c r="J1113" s="7">
        <f>+I1113-'ROR-Model'!I1113</f>
        <v>0</v>
      </c>
      <c r="K1113" s="7"/>
      <c r="L1113" s="7"/>
      <c r="M1113" s="7"/>
      <c r="N1113" s="7"/>
      <c r="O1113" s="120"/>
      <c r="P1113" s="126"/>
      <c r="Q1113" s="7"/>
      <c r="R1113" s="7"/>
      <c r="S1113" s="126"/>
      <c r="T1113" s="7"/>
      <c r="U1113" s="7"/>
      <c r="V1113" s="124"/>
      <c r="W1113" s="7"/>
      <c r="X1113" s="139"/>
      <c r="Y1113" s="3">
        <f t="shared" si="81"/>
        <v>1104</v>
      </c>
      <c r="AA1113" s="7"/>
      <c r="AC1113" s="7" t="str">
        <f t="shared" si="80"/>
        <v/>
      </c>
      <c r="AE1113" s="42" t="str">
        <f t="shared" si="82"/>
        <v/>
      </c>
      <c r="AG1113" s="162"/>
      <c r="AH1113" s="10"/>
      <c r="AI1113" s="10"/>
      <c r="AJ1113" s="10"/>
    </row>
    <row r="1114" spans="1:36">
      <c r="A1114" s="137">
        <v>105</v>
      </c>
      <c r="B1114" s="47" t="s">
        <v>265</v>
      </c>
      <c r="C1114" s="47"/>
      <c r="D1114" s="47"/>
      <c r="E1114" s="7">
        <f>+G1114-Adjustments!G1112</f>
        <v>0</v>
      </c>
      <c r="F1114" s="7"/>
      <c r="G1114" s="7"/>
      <c r="H1114" s="7"/>
      <c r="I1114" s="7"/>
      <c r="J1114" s="7">
        <f>+I1114-'ROR-Model'!I1114</f>
        <v>0</v>
      </c>
      <c r="K1114" s="7"/>
      <c r="L1114" s="7"/>
      <c r="M1114" s="7"/>
      <c r="N1114" s="7"/>
      <c r="O1114" s="120"/>
      <c r="P1114" s="126"/>
      <c r="Q1114" s="7"/>
      <c r="R1114" s="7"/>
      <c r="S1114" s="126"/>
      <c r="T1114" s="7"/>
      <c r="U1114" s="7"/>
      <c r="V1114" s="124"/>
      <c r="W1114" s="7"/>
      <c r="X1114" s="139"/>
      <c r="Y1114" s="3">
        <f t="shared" si="81"/>
        <v>1105</v>
      </c>
      <c r="AA1114" s="7"/>
      <c r="AC1114" s="7" t="str">
        <f t="shared" si="80"/>
        <v/>
      </c>
      <c r="AE1114" s="42" t="str">
        <f t="shared" si="82"/>
        <v/>
      </c>
      <c r="AG1114" s="162">
        <v>105</v>
      </c>
      <c r="AH1114" s="10" t="s">
        <v>265</v>
      </c>
      <c r="AI1114" s="10"/>
      <c r="AJ1114" s="10"/>
    </row>
    <row r="1115" spans="1:36">
      <c r="A1115" s="137"/>
      <c r="B1115" s="47"/>
      <c r="C1115" s="47" t="s">
        <v>543</v>
      </c>
      <c r="D1115" s="47"/>
      <c r="E1115" s="7">
        <f>+G1115-Adjustments!G1113</f>
        <v>0</v>
      </c>
      <c r="F1115" s="7">
        <f>+'Rate Base'!$T$153</f>
        <v>0</v>
      </c>
      <c r="G1115" s="7">
        <f>+Adjustments!V1095</f>
        <v>0</v>
      </c>
      <c r="H1115" s="7"/>
      <c r="I1115" s="7">
        <f>SUM($F$1115:$H$1115)</f>
        <v>0</v>
      </c>
      <c r="J1115" s="7">
        <f>+I1115-'ROR-Model'!I1115</f>
        <v>0</v>
      </c>
      <c r="K1115" s="7"/>
      <c r="L1115" s="7" t="s">
        <v>12</v>
      </c>
      <c r="M1115" s="7">
        <f>VLOOKUP($L1115,$L$2:$N$7,2,FALSE)*I1115</f>
        <v>0</v>
      </c>
      <c r="N1115" s="7">
        <f>VLOOKUP($L1115,$L$2:$N$7,3,FALSE)*I1115</f>
        <v>0</v>
      </c>
      <c r="O1115" s="120"/>
      <c r="P1115" s="192" t="s">
        <v>510</v>
      </c>
      <c r="Q1115" s="7">
        <f>IF(P1115="G",M1115,IF(P1115="PT",0,ERR))</f>
        <v>0</v>
      </c>
      <c r="R1115" s="7">
        <f>IF(P1115="PT",M1115,IF(P1115="G",0,ERR))</f>
        <v>0</v>
      </c>
      <c r="S1115" s="126" t="s">
        <v>510</v>
      </c>
      <c r="T1115" s="7">
        <f>IF(S1115="G",N1115,IF(S1115="PT",0,ERR))</f>
        <v>0</v>
      </c>
      <c r="U1115" s="7">
        <f>IF(S1115="PT",N1115,IF(S1115="G",0,ERR))</f>
        <v>0</v>
      </c>
      <c r="V1115" s="124"/>
      <c r="W1115" s="7">
        <f>HLOOKUP($W$9,'ROR-Model'!$Q$10:$U$1273,Y1115)</f>
        <v>0</v>
      </c>
      <c r="X1115" s="139"/>
      <c r="Y1115" s="3">
        <f t="shared" si="81"/>
        <v>1106</v>
      </c>
      <c r="AA1115" s="7">
        <v>1888.81125</v>
      </c>
      <c r="AC1115" s="7">
        <f t="shared" si="80"/>
        <v>-1888.81125</v>
      </c>
      <c r="AE1115" s="42">
        <f t="shared" si="82"/>
        <v>-1</v>
      </c>
      <c r="AG1115" s="162"/>
      <c r="AH1115" s="10"/>
      <c r="AI1115" s="10" t="s">
        <v>543</v>
      </c>
      <c r="AJ1115" s="10"/>
    </row>
    <row r="1116" spans="1:36">
      <c r="A1116" s="137"/>
      <c r="B1116" s="47"/>
      <c r="C1116" s="47" t="s">
        <v>145</v>
      </c>
      <c r="D1116" s="47"/>
      <c r="E1116" s="140">
        <f>+G1116-Adjustments!G1114</f>
        <v>0</v>
      </c>
      <c r="F1116" s="140">
        <f>SUM(F1115)</f>
        <v>0</v>
      </c>
      <c r="G1116" s="140">
        <f>SUM(G1115)</f>
        <v>0</v>
      </c>
      <c r="H1116" s="140">
        <f>SUM(H1115)</f>
        <v>0</v>
      </c>
      <c r="I1116" s="140">
        <f>SUM(I1115)</f>
        <v>0</v>
      </c>
      <c r="J1116" s="7">
        <f>+I1116-'ROR-Model'!I1116</f>
        <v>0</v>
      </c>
      <c r="K1116" s="7"/>
      <c r="L1116" s="140"/>
      <c r="M1116" s="140">
        <f>SUM(M1115)</f>
        <v>0</v>
      </c>
      <c r="N1116" s="140">
        <f>SUM(N1115)</f>
        <v>0</v>
      </c>
      <c r="O1116" s="120"/>
      <c r="P1116" s="201"/>
      <c r="Q1116" s="140">
        <f>SUM(Q1115)</f>
        <v>0</v>
      </c>
      <c r="R1116" s="140">
        <f>SUM(R1115)</f>
        <v>0</v>
      </c>
      <c r="S1116" s="201"/>
      <c r="T1116" s="140">
        <f>SUM(T1115)</f>
        <v>0</v>
      </c>
      <c r="U1116" s="140">
        <f>SUM(U1115)</f>
        <v>0</v>
      </c>
      <c r="V1116" s="124"/>
      <c r="W1116" s="140">
        <f>HLOOKUP($W$9,'ROR-Model'!$Q$10:$U$1273,Y1116)</f>
        <v>0</v>
      </c>
      <c r="X1116" s="139"/>
      <c r="Y1116" s="3">
        <f t="shared" si="81"/>
        <v>1107</v>
      </c>
      <c r="AA1116" s="140">
        <v>1888.81125</v>
      </c>
      <c r="AC1116" s="140">
        <f t="shared" si="80"/>
        <v>-1888.81125</v>
      </c>
      <c r="AE1116" s="42">
        <f t="shared" si="82"/>
        <v>-1</v>
      </c>
      <c r="AG1116" s="162"/>
      <c r="AH1116" s="10"/>
      <c r="AI1116" s="10" t="s">
        <v>145</v>
      </c>
      <c r="AJ1116" s="10"/>
    </row>
    <row r="1117" spans="1:36">
      <c r="A1117" s="137"/>
      <c r="B1117" s="47"/>
      <c r="C1117" s="47"/>
      <c r="D1117" s="47"/>
      <c r="E1117" s="7">
        <f>+G1117-Adjustments!G1115</f>
        <v>0</v>
      </c>
      <c r="F1117" s="7"/>
      <c r="G1117" s="7"/>
      <c r="H1117" s="7"/>
      <c r="I1117" s="7"/>
      <c r="J1117" s="7">
        <f>+I1117-'ROR-Model'!I1117</f>
        <v>0</v>
      </c>
      <c r="K1117" s="7"/>
      <c r="L1117" s="7"/>
      <c r="M1117" s="7"/>
      <c r="N1117" s="7"/>
      <c r="O1117" s="120"/>
      <c r="P1117" s="126"/>
      <c r="Q1117" s="7"/>
      <c r="R1117" s="7"/>
      <c r="S1117" s="126"/>
      <c r="T1117" s="7"/>
      <c r="U1117" s="7"/>
      <c r="V1117" s="124"/>
      <c r="W1117" s="7"/>
      <c r="X1117" s="139"/>
      <c r="Y1117" s="3">
        <f t="shared" si="81"/>
        <v>1108</v>
      </c>
      <c r="AA1117" s="7"/>
      <c r="AC1117" s="7" t="str">
        <f t="shared" si="80"/>
        <v/>
      </c>
      <c r="AE1117" s="42" t="str">
        <f t="shared" si="82"/>
        <v/>
      </c>
      <c r="AG1117" s="162"/>
      <c r="AH1117" s="10"/>
      <c r="AI1117" s="10"/>
      <c r="AJ1117" s="10"/>
    </row>
    <row r="1118" spans="1:36">
      <c r="A1118" s="137">
        <v>106</v>
      </c>
      <c r="B1118" s="47" t="s">
        <v>607</v>
      </c>
      <c r="C1118" s="47"/>
      <c r="D1118" s="47"/>
      <c r="E1118" s="7">
        <f>+G1118-Adjustments!G1116</f>
        <v>0</v>
      </c>
      <c r="F1118" s="7"/>
      <c r="G1118" s="7"/>
      <c r="H1118" s="7"/>
      <c r="I1118" s="7"/>
      <c r="J1118" s="7">
        <f>+I1118-'ROR-Model'!I1118</f>
        <v>0</v>
      </c>
      <c r="K1118" s="7"/>
      <c r="L1118" s="7"/>
      <c r="M1118" s="7"/>
      <c r="N1118" s="7"/>
      <c r="O1118" s="120"/>
      <c r="P1118" s="126"/>
      <c r="Q1118" s="7"/>
      <c r="R1118" s="7"/>
      <c r="S1118" s="126"/>
      <c r="T1118" s="7"/>
      <c r="U1118" s="7"/>
      <c r="V1118" s="124"/>
      <c r="W1118" s="7"/>
      <c r="X1118" s="139"/>
      <c r="Y1118" s="3">
        <f t="shared" si="81"/>
        <v>1109</v>
      </c>
      <c r="AA1118" s="7"/>
      <c r="AC1118" s="7" t="str">
        <f t="shared" si="80"/>
        <v/>
      </c>
      <c r="AE1118" s="42" t="str">
        <f t="shared" si="82"/>
        <v/>
      </c>
      <c r="AG1118" s="162">
        <v>106</v>
      </c>
      <c r="AH1118" s="10" t="s">
        <v>607</v>
      </c>
      <c r="AI1118" s="10"/>
      <c r="AJ1118" s="10"/>
    </row>
    <row r="1119" spans="1:36">
      <c r="A1119" s="137"/>
      <c r="B1119" s="47"/>
      <c r="C1119" s="47" t="s">
        <v>399</v>
      </c>
      <c r="D1119" s="47"/>
      <c r="E1119" s="7">
        <f>+G1119-Adjustments!G1117</f>
        <v>0</v>
      </c>
      <c r="F1119" s="7">
        <f>+'Rate Base'!$T$157</f>
        <v>0</v>
      </c>
      <c r="G1119" s="7">
        <f>+Adjustments!V1099</f>
        <v>0</v>
      </c>
      <c r="H1119" s="7"/>
      <c r="I1119" s="7">
        <f>SUM($F$1119:$H$1119)</f>
        <v>0</v>
      </c>
      <c r="J1119" s="7">
        <f>+I1119-'ROR-Model'!I1119</f>
        <v>0</v>
      </c>
      <c r="K1119" s="7"/>
      <c r="L1119" s="7" t="s">
        <v>637</v>
      </c>
      <c r="M1119" s="7">
        <f>VLOOKUP($L1119,$L$2:$N$7,2,FALSE)*I1119</f>
        <v>0</v>
      </c>
      <c r="N1119" s="7">
        <f>VLOOKUP($L1119,$L$2:$N$7,3,FALSE)*I1119</f>
        <v>0</v>
      </c>
      <c r="O1119" s="120"/>
      <c r="P1119" s="192" t="s">
        <v>510</v>
      </c>
      <c r="Q1119" s="7">
        <f>IF(P1119="G",M1119,IF(P1119="PT",0,ERR))</f>
        <v>0</v>
      </c>
      <c r="R1119" s="7">
        <f>IF(P1119="PT",M1119,IF(P1119="G",0,ERR))</f>
        <v>0</v>
      </c>
      <c r="S1119" s="126" t="s">
        <v>510</v>
      </c>
      <c r="T1119" s="7">
        <f>IF(S1119="G",N1119,IF(S1119="PT",0,ERR))</f>
        <v>0</v>
      </c>
      <c r="U1119" s="7">
        <f>IF(S1119="PT",N1119,IF(S1119="G",0,ERR))</f>
        <v>0</v>
      </c>
      <c r="V1119" s="124"/>
      <c r="W1119" s="7">
        <f>HLOOKUP($W$9,'ROR-Model'!$Q$10:$U$1273,Y1119)</f>
        <v>0</v>
      </c>
      <c r="X1119" s="139"/>
      <c r="Y1119" s="3">
        <f t="shared" si="81"/>
        <v>1110</v>
      </c>
      <c r="AA1119" s="7">
        <v>0</v>
      </c>
      <c r="AC1119" s="7" t="str">
        <f t="shared" si="80"/>
        <v/>
      </c>
      <c r="AE1119" s="42" t="str">
        <f t="shared" si="82"/>
        <v/>
      </c>
      <c r="AG1119" s="162"/>
      <c r="AH1119" s="10"/>
      <c r="AI1119" s="10" t="s">
        <v>399</v>
      </c>
      <c r="AJ1119" s="10"/>
    </row>
    <row r="1120" spans="1:36">
      <c r="A1120" s="137"/>
      <c r="B1120" s="47"/>
      <c r="C1120" s="47" t="s">
        <v>542</v>
      </c>
      <c r="D1120" s="47"/>
      <c r="E1120" s="7">
        <f>+G1120-Adjustments!G1118</f>
        <v>-119087.91708333325</v>
      </c>
      <c r="F1120" s="7">
        <f>+'Rate Base'!$T$158</f>
        <v>4597441.42</v>
      </c>
      <c r="G1120" s="7">
        <f>+Adjustments!V1100</f>
        <v>-119087.91708333325</v>
      </c>
      <c r="H1120" s="7"/>
      <c r="I1120" s="7">
        <f>SUM($F$1120:$H$1120)</f>
        <v>4478353.5029166667</v>
      </c>
      <c r="J1120" s="7">
        <f>+I1120-'ROR-Model'!I1120</f>
        <v>0</v>
      </c>
      <c r="K1120" s="7"/>
      <c r="L1120" s="7" t="s">
        <v>23</v>
      </c>
      <c r="M1120" s="7">
        <f>VLOOKUP($L1120,$L$2:$N$7,2,FALSE)*I1120</f>
        <v>0</v>
      </c>
      <c r="N1120" s="7">
        <f>VLOOKUP($L1120,$L$2:$N$7,3,FALSE)*I1120</f>
        <v>4478353.5029166667</v>
      </c>
      <c r="O1120" s="120"/>
      <c r="P1120" s="192" t="s">
        <v>510</v>
      </c>
      <c r="Q1120" s="7">
        <f>IF(P1120="G",M1120,IF(P1120="PT",0,ERR))</f>
        <v>0</v>
      </c>
      <c r="R1120" s="7">
        <f>IF(P1120="PT",M1120,IF(P1120="G",0,ERR))</f>
        <v>0</v>
      </c>
      <c r="S1120" s="126" t="s">
        <v>510</v>
      </c>
      <c r="T1120" s="7">
        <f>IF(S1120="G",N1120,IF(S1120="PT",0,ERR))</f>
        <v>4478353.5029166667</v>
      </c>
      <c r="U1120" s="7">
        <f>IF(S1120="PT",N1120,IF(S1120="G",0,ERR))</f>
        <v>0</v>
      </c>
      <c r="V1120" s="124"/>
      <c r="W1120" s="7">
        <f>HLOOKUP($W$9,'ROR-Model'!$Q$10:$U$1273,Y1120)</f>
        <v>0</v>
      </c>
      <c r="X1120" s="139"/>
      <c r="Y1120" s="3">
        <f t="shared" si="81"/>
        <v>1111</v>
      </c>
      <c r="AA1120" s="7">
        <v>0</v>
      </c>
      <c r="AC1120" s="7" t="str">
        <f t="shared" si="80"/>
        <v/>
      </c>
      <c r="AE1120" s="42" t="str">
        <f t="shared" si="82"/>
        <v/>
      </c>
      <c r="AG1120" s="162"/>
      <c r="AH1120" s="10"/>
      <c r="AI1120" s="10" t="s">
        <v>542</v>
      </c>
      <c r="AJ1120" s="10"/>
    </row>
    <row r="1121" spans="1:36">
      <c r="A1121" s="137"/>
      <c r="B1121" s="47"/>
      <c r="C1121" s="47" t="s">
        <v>543</v>
      </c>
      <c r="D1121" s="47"/>
      <c r="E1121" s="7">
        <f>+G1121-Adjustments!G1126</f>
        <v>-149461609.18666661</v>
      </c>
      <c r="F1121" s="7">
        <f>+'Rate Base'!$T$159</f>
        <v>497248000.40999997</v>
      </c>
      <c r="G1121" s="7">
        <f>+Adjustments!V1101</f>
        <v>-149461609.18666661</v>
      </c>
      <c r="H1121" s="7"/>
      <c r="I1121" s="7">
        <f>SUM($F$1121:$H$1121)</f>
        <v>347786391.22333336</v>
      </c>
      <c r="J1121" s="7">
        <f>+I1121-'ROR-Model'!I1121</f>
        <v>0</v>
      </c>
      <c r="K1121" s="7"/>
      <c r="L1121" s="7" t="s">
        <v>12</v>
      </c>
      <c r="M1121" s="7">
        <f>VLOOKUP($L1121,$L$2:$N$7,2,FALSE)*I1121</f>
        <v>347786391.22333336</v>
      </c>
      <c r="N1121" s="7">
        <f>VLOOKUP($L1121,$L$2:$N$7,3,FALSE)*I1121</f>
        <v>0</v>
      </c>
      <c r="O1121" s="120"/>
      <c r="P1121" s="192" t="s">
        <v>510</v>
      </c>
      <c r="Q1121" s="7">
        <f>IF(P1121="G",M1121,IF(P1121="PT",0,ERR))</f>
        <v>347786391.22333336</v>
      </c>
      <c r="R1121" s="7">
        <f>IF(P1121="PT",M1121,IF(P1121="G",0,ERR))</f>
        <v>0</v>
      </c>
      <c r="S1121" s="126" t="s">
        <v>510</v>
      </c>
      <c r="T1121" s="7">
        <f>IF(S1121="G",N1121,IF(S1121="PT",0,ERR))</f>
        <v>0</v>
      </c>
      <c r="U1121" s="7">
        <f>IF(S1121="PT",N1121,IF(S1121="G",0,ERR))</f>
        <v>0</v>
      </c>
      <c r="V1121" s="124"/>
      <c r="W1121" s="7">
        <f>HLOOKUP($W$9,'ROR-Model'!$Q$10:$U$1273,Y1121)</f>
        <v>347786391.22333336</v>
      </c>
      <c r="X1121" s="139"/>
      <c r="Y1121" s="3">
        <f t="shared" si="81"/>
        <v>1112</v>
      </c>
      <c r="AA1121" s="7">
        <v>29834862.111249998</v>
      </c>
      <c r="AC1121" s="7">
        <f t="shared" si="80"/>
        <v>317951529.11208338</v>
      </c>
      <c r="AE1121" s="42">
        <f t="shared" si="82"/>
        <v>10.657047045382241</v>
      </c>
      <c r="AG1121" s="162"/>
      <c r="AH1121" s="10"/>
      <c r="AI1121" s="10" t="s">
        <v>543</v>
      </c>
      <c r="AJ1121" s="10"/>
    </row>
    <row r="1122" spans="1:36">
      <c r="A1122" s="137"/>
      <c r="B1122" s="47"/>
      <c r="C1122" s="47" t="s">
        <v>544</v>
      </c>
      <c r="D1122" s="47"/>
      <c r="E1122" s="7">
        <f>+G1122-Adjustments!G1127</f>
        <v>3909755.2467900626</v>
      </c>
      <c r="F1122" s="7">
        <f>+'Rate Base'!$T$160</f>
        <v>9897094.6699999999</v>
      </c>
      <c r="G1122" s="7">
        <f>+Adjustments!V1102</f>
        <v>3909755.2467900626</v>
      </c>
      <c r="H1122" s="7"/>
      <c r="I1122" s="7">
        <f>SUM($F$1122:$H$1122)</f>
        <v>13806849.916790063</v>
      </c>
      <c r="J1122" s="7">
        <f>+I1122-'ROR-Model'!I1122</f>
        <v>0</v>
      </c>
      <c r="K1122" s="7"/>
      <c r="L1122" s="7" t="s">
        <v>429</v>
      </c>
      <c r="M1122" s="7">
        <f>VLOOKUP($L1122,$L$2:$N$7,2,FALSE)*I1122</f>
        <v>13389460.065430271</v>
      </c>
      <c r="N1122" s="7">
        <f>VLOOKUP($L1122,$L$2:$N$7,3,FALSE)*I1122</f>
        <v>417389.85135979281</v>
      </c>
      <c r="O1122" s="120"/>
      <c r="P1122" s="192" t="s">
        <v>510</v>
      </c>
      <c r="Q1122" s="7">
        <f>IF(P1122="G",M1122,IF(P1122="PT",0,ERR))</f>
        <v>13389460.065430271</v>
      </c>
      <c r="R1122" s="7">
        <f>IF(P1122="PT",M1122,IF(P1122="G",0,ERR))</f>
        <v>0</v>
      </c>
      <c r="S1122" s="126" t="s">
        <v>510</v>
      </c>
      <c r="T1122" s="7">
        <f>IF(S1122="G",N1122,IF(S1122="PT",0,ERR))</f>
        <v>417389.85135979281</v>
      </c>
      <c r="U1122" s="7">
        <f>IF(S1122="PT",N1122,IF(S1122="G",0,ERR))</f>
        <v>0</v>
      </c>
      <c r="V1122" s="124"/>
      <c r="W1122" s="7">
        <f>HLOOKUP($W$9,'ROR-Model'!$Q$10:$U$1273,Y1122)</f>
        <v>13389460.065430271</v>
      </c>
      <c r="X1122" s="139"/>
      <c r="Y1122" s="3">
        <f t="shared" si="81"/>
        <v>1113</v>
      </c>
      <c r="AA1122" s="7">
        <v>2418358.016575411</v>
      </c>
      <c r="AC1122" s="7">
        <f t="shared" si="80"/>
        <v>10971102.04885486</v>
      </c>
      <c r="AE1122" s="42">
        <f t="shared" si="82"/>
        <v>4.5365913457225906</v>
      </c>
      <c r="AG1122" s="162"/>
      <c r="AH1122" s="10"/>
      <c r="AI1122" s="10" t="s">
        <v>544</v>
      </c>
      <c r="AJ1122" s="10"/>
    </row>
    <row r="1123" spans="1:36">
      <c r="A1123" s="137"/>
      <c r="B1123" s="47"/>
      <c r="C1123" s="47" t="s">
        <v>145</v>
      </c>
      <c r="D1123" s="47"/>
      <c r="E1123" s="140">
        <f>+G1123-Adjustments!G1128</f>
        <v>-145670941.85695988</v>
      </c>
      <c r="F1123" s="140">
        <f>SUM(F1119:F1122)</f>
        <v>511742536.5</v>
      </c>
      <c r="G1123" s="140">
        <f>SUM(G1119:G1122)</f>
        <v>-145670941.85695988</v>
      </c>
      <c r="H1123" s="140">
        <f>SUM(H1119:H1122)</f>
        <v>0</v>
      </c>
      <c r="I1123" s="140">
        <f>SUM(I1119:I1122)</f>
        <v>366071594.64304012</v>
      </c>
      <c r="J1123" s="7">
        <f>+I1123-'ROR-Model'!I1123</f>
        <v>0</v>
      </c>
      <c r="K1123" s="7"/>
      <c r="L1123" s="140"/>
      <c r="M1123" s="140">
        <f>SUM(M1119:M1122)</f>
        <v>361175851.28876364</v>
      </c>
      <c r="N1123" s="140">
        <f>SUM(N1119:N1122)</f>
        <v>4895743.3542764597</v>
      </c>
      <c r="O1123" s="120"/>
      <c r="P1123" s="201"/>
      <c r="Q1123" s="140">
        <f>SUM(Q1119:Q1122)</f>
        <v>361175851.28876364</v>
      </c>
      <c r="R1123" s="140">
        <f>SUM(R1119:R1122)</f>
        <v>0</v>
      </c>
      <c r="S1123" s="201"/>
      <c r="T1123" s="140">
        <f>SUM(T1119:T1122)</f>
        <v>4895743.3542764597</v>
      </c>
      <c r="U1123" s="140">
        <f>SUM(U1119:U1122)</f>
        <v>0</v>
      </c>
      <c r="V1123" s="124"/>
      <c r="W1123" s="140">
        <f>HLOOKUP($W$9,'ROR-Model'!$Q$10:$U$1273,Y1123)</f>
        <v>361175851.28876364</v>
      </c>
      <c r="X1123" s="139"/>
      <c r="Y1123" s="3">
        <f t="shared" si="81"/>
        <v>1114</v>
      </c>
      <c r="AA1123" s="140">
        <v>32253220.127825409</v>
      </c>
      <c r="AC1123" s="140">
        <f t="shared" si="80"/>
        <v>328922631.16093826</v>
      </c>
      <c r="AE1123" s="42">
        <f t="shared" si="82"/>
        <v>10.198133081204224</v>
      </c>
      <c r="AG1123" s="162"/>
      <c r="AH1123" s="10"/>
      <c r="AI1123" s="10" t="s">
        <v>145</v>
      </c>
      <c r="AJ1123" s="10"/>
    </row>
    <row r="1124" spans="1:36">
      <c r="A1124" s="137"/>
      <c r="B1124" s="47"/>
      <c r="C1124" s="47"/>
      <c r="D1124" s="47"/>
      <c r="E1124" s="7">
        <f>+G1124-Adjustments!G1129</f>
        <v>0</v>
      </c>
      <c r="F1124" s="7"/>
      <c r="G1124" s="7"/>
      <c r="H1124" s="7"/>
      <c r="I1124" s="7"/>
      <c r="J1124" s="7">
        <f>+I1124-'ROR-Model'!I1124</f>
        <v>0</v>
      </c>
      <c r="K1124" s="7"/>
      <c r="L1124" s="7"/>
      <c r="M1124" s="7"/>
      <c r="N1124" s="7"/>
      <c r="O1124" s="120"/>
      <c r="P1124" s="126"/>
      <c r="Q1124" s="7"/>
      <c r="R1124" s="7"/>
      <c r="S1124" s="126"/>
      <c r="T1124" s="7"/>
      <c r="U1124" s="7"/>
      <c r="V1124" s="124"/>
      <c r="W1124" s="7"/>
      <c r="X1124" s="139"/>
      <c r="Y1124" s="3">
        <f t="shared" si="81"/>
        <v>1115</v>
      </c>
      <c r="AA1124" s="7"/>
      <c r="AC1124" s="7" t="str">
        <f t="shared" si="80"/>
        <v/>
      </c>
      <c r="AE1124" s="42" t="str">
        <f t="shared" si="82"/>
        <v/>
      </c>
      <c r="AG1124" s="162"/>
      <c r="AH1124" s="10"/>
      <c r="AI1124" s="10"/>
      <c r="AJ1124" s="10"/>
    </row>
    <row r="1125" spans="1:36">
      <c r="A1125" s="137">
        <v>108</v>
      </c>
      <c r="B1125" s="47" t="s">
        <v>608</v>
      </c>
      <c r="C1125" s="47"/>
      <c r="D1125" s="47"/>
      <c r="E1125" s="7">
        <f>+G1125-Adjustments!G1130</f>
        <v>0</v>
      </c>
      <c r="F1125" s="7"/>
      <c r="G1125" s="7"/>
      <c r="H1125" s="7"/>
      <c r="I1125" s="7"/>
      <c r="J1125" s="7">
        <f>+I1125-'ROR-Model'!I1125</f>
        <v>0</v>
      </c>
      <c r="K1125" s="7"/>
      <c r="L1125" s="7"/>
      <c r="M1125" s="7"/>
      <c r="N1125" s="7"/>
      <c r="O1125" s="120"/>
      <c r="P1125" s="126"/>
      <c r="Q1125" s="7"/>
      <c r="R1125" s="7"/>
      <c r="S1125" s="126"/>
      <c r="T1125" s="7"/>
      <c r="U1125" s="7"/>
      <c r="V1125" s="124"/>
      <c r="W1125" s="7"/>
      <c r="X1125" s="139"/>
      <c r="Y1125" s="3">
        <f t="shared" si="81"/>
        <v>1116</v>
      </c>
      <c r="AA1125" s="7"/>
      <c r="AC1125" s="7" t="str">
        <f t="shared" si="80"/>
        <v/>
      </c>
      <c r="AE1125" s="42" t="str">
        <f t="shared" si="82"/>
        <v/>
      </c>
      <c r="AG1125" s="162">
        <v>108</v>
      </c>
      <c r="AH1125" s="10" t="s">
        <v>608</v>
      </c>
      <c r="AI1125" s="10"/>
      <c r="AJ1125" s="10"/>
    </row>
    <row r="1126" spans="1:36">
      <c r="A1126" s="137"/>
      <c r="B1126" s="47"/>
      <c r="C1126" s="47" t="s">
        <v>399</v>
      </c>
      <c r="D1126" s="47"/>
      <c r="E1126" s="7">
        <f>+G1126-Adjustments!G1131</f>
        <v>4891299.9827324944</v>
      </c>
      <c r="F1126" s="7">
        <f>+'Rate Base'!$T$164</f>
        <v>-73013260.939999998</v>
      </c>
      <c r="G1126" s="7">
        <f>+Adjustments!V1106</f>
        <v>4891299.9827324944</v>
      </c>
      <c r="H1126" s="7"/>
      <c r="I1126" s="7">
        <f>SUM($F$1126:$H$1126)</f>
        <v>-68121960.957267508</v>
      </c>
      <c r="J1126" s="7">
        <f>+I1126-'ROR-Model'!I1126</f>
        <v>0</v>
      </c>
      <c r="K1126" s="7"/>
      <c r="L1126" s="7" t="s">
        <v>637</v>
      </c>
      <c r="M1126" s="7">
        <f>VLOOKUP($L1126,$L$2:$N$7,2,FALSE)*I1126</f>
        <v>-65933001.096826203</v>
      </c>
      <c r="N1126" s="7">
        <f>VLOOKUP($L1126,$L$2:$N$7,3,FALSE)*I1126</f>
        <v>-2188959.8604413001</v>
      </c>
      <c r="O1126" s="120"/>
      <c r="P1126" s="192" t="s">
        <v>510</v>
      </c>
      <c r="Q1126" s="7">
        <f>IF(P1126="G",M1126,IF(P1126="PT",0,ERR))</f>
        <v>-65933001.096826203</v>
      </c>
      <c r="R1126" s="7">
        <f>IF(P1126="PT",M1126,IF(P1126="G",0,ERR))</f>
        <v>0</v>
      </c>
      <c r="S1126" s="126" t="s">
        <v>509</v>
      </c>
      <c r="T1126" s="7">
        <f>IF(S1126="G",N1126,IF(S1126="PT",0,ERR))</f>
        <v>0</v>
      </c>
      <c r="U1126" s="7">
        <f>IF(S1126="PT",N1126,IF(S1126="G",0,ERR))</f>
        <v>-2188959.8604413001</v>
      </c>
      <c r="V1126" s="124"/>
      <c r="W1126" s="7">
        <f>HLOOKUP($W$9,'ROR-Model'!$Q$10:$U$1273,Y1126)</f>
        <v>-65933001.096826203</v>
      </c>
      <c r="X1126" s="139"/>
      <c r="Y1126" s="3">
        <f t="shared" si="81"/>
        <v>1117</v>
      </c>
      <c r="AA1126" s="7">
        <v>-63131344.652208008</v>
      </c>
      <c r="AC1126" s="7">
        <f t="shared" si="80"/>
        <v>-2801656.4446181953</v>
      </c>
      <c r="AE1126" s="42">
        <f t="shared" si="82"/>
        <v>4.4378215925109522E-2</v>
      </c>
      <c r="AG1126" s="162"/>
      <c r="AH1126" s="10"/>
      <c r="AI1126" s="10" t="s">
        <v>399</v>
      </c>
      <c r="AJ1126" s="10"/>
    </row>
    <row r="1127" spans="1:36">
      <c r="A1127" s="137"/>
      <c r="B1127" s="47"/>
      <c r="C1127" s="47" t="s">
        <v>542</v>
      </c>
      <c r="D1127" s="47"/>
      <c r="E1127" s="7">
        <f>+G1127-Adjustments!G1132</f>
        <v>875639.9041666612</v>
      </c>
      <c r="F1127" s="7">
        <f>+'Rate Base'!$T$165</f>
        <v>-37555730.060000002</v>
      </c>
      <c r="G1127" s="7">
        <f>+Adjustments!V1107</f>
        <v>875639.9041666612</v>
      </c>
      <c r="H1127" s="7"/>
      <c r="I1127" s="7">
        <f>SUM($F$1127:$H$1127)</f>
        <v>-36680090.155833341</v>
      </c>
      <c r="J1127" s="7">
        <f>+I1127-'ROR-Model'!I1127</f>
        <v>0</v>
      </c>
      <c r="K1127" s="7"/>
      <c r="L1127" s="7" t="s">
        <v>23</v>
      </c>
      <c r="M1127" s="7">
        <f>VLOOKUP($L1127,$L$2:$N$7,2,FALSE)*I1127</f>
        <v>0</v>
      </c>
      <c r="N1127" s="7">
        <f>VLOOKUP($L1127,$L$2:$N$7,3,FALSE)*I1127</f>
        <v>-36680090.155833341</v>
      </c>
      <c r="O1127" s="120"/>
      <c r="P1127" s="192" t="s">
        <v>510</v>
      </c>
      <c r="Q1127" s="7">
        <f>IF(P1127="G",M1127,IF(P1127="PT",0,ERR))</f>
        <v>0</v>
      </c>
      <c r="R1127" s="7">
        <f>IF(P1127="PT",M1127,IF(P1127="G",0,ERR))</f>
        <v>0</v>
      </c>
      <c r="S1127" s="126" t="s">
        <v>510</v>
      </c>
      <c r="T1127" s="7">
        <f>IF(S1127="G",N1127,IF(S1127="PT",0,ERR))</f>
        <v>-36680090.155833341</v>
      </c>
      <c r="U1127" s="7">
        <f>IF(S1127="PT",N1127,IF(S1127="G",0,ERR))</f>
        <v>0</v>
      </c>
      <c r="V1127" s="124"/>
      <c r="W1127" s="7">
        <f>HLOOKUP($W$9,'ROR-Model'!$Q$10:$U$1273,Y1127)</f>
        <v>0</v>
      </c>
      <c r="X1127" s="139"/>
      <c r="Y1127" s="3">
        <f t="shared" si="81"/>
        <v>1118</v>
      </c>
      <c r="AA1127" s="7">
        <v>0</v>
      </c>
      <c r="AC1127" s="7" t="str">
        <f t="shared" si="80"/>
        <v/>
      </c>
      <c r="AE1127" s="42" t="str">
        <f t="shared" si="82"/>
        <v/>
      </c>
      <c r="AG1127" s="162"/>
      <c r="AH1127" s="10"/>
      <c r="AI1127" s="10" t="s">
        <v>542</v>
      </c>
      <c r="AJ1127" s="10"/>
    </row>
    <row r="1128" spans="1:36">
      <c r="A1128" s="137"/>
      <c r="B1128" s="47"/>
      <c r="C1128" s="47" t="s">
        <v>543</v>
      </c>
      <c r="D1128" s="47"/>
      <c r="E1128" s="7">
        <f>+G1128-Adjustments!G1133</f>
        <v>30823806.101249933</v>
      </c>
      <c r="F1128" s="7">
        <f>+'Rate Base'!$T$166</f>
        <v>-749140372.40999997</v>
      </c>
      <c r="G1128" s="7">
        <f>+Adjustments!V1108</f>
        <v>30823806.101249933</v>
      </c>
      <c r="H1128" s="7"/>
      <c r="I1128" s="7">
        <f>SUM($F$1128:$H$1128)</f>
        <v>-718316566.30875003</v>
      </c>
      <c r="J1128" s="7">
        <f>+I1128-'ROR-Model'!I1128</f>
        <v>0</v>
      </c>
      <c r="K1128" s="7"/>
      <c r="L1128" s="7" t="s">
        <v>12</v>
      </c>
      <c r="M1128" s="7">
        <f>VLOOKUP($L1128,$L$2:$N$7,2,FALSE)*I1128</f>
        <v>-718316566.30875003</v>
      </c>
      <c r="N1128" s="7">
        <f>VLOOKUP($L1128,$L$2:$N$7,3,FALSE)*I1128</f>
        <v>0</v>
      </c>
      <c r="O1128" s="120"/>
      <c r="P1128" s="192" t="s">
        <v>510</v>
      </c>
      <c r="Q1128" s="7">
        <f>IF(P1128="G",M1128,IF(P1128="PT",0,ERR))</f>
        <v>-718316566.30875003</v>
      </c>
      <c r="R1128" s="7">
        <f>IF(P1128="PT",M1128,IF(P1128="G",0,ERR))</f>
        <v>0</v>
      </c>
      <c r="S1128" s="126" t="s">
        <v>510</v>
      </c>
      <c r="T1128" s="7">
        <f>IF(S1128="G",N1128,IF(S1128="PT",0,ERR))</f>
        <v>0</v>
      </c>
      <c r="U1128" s="7">
        <f>IF(S1128="PT",N1128,IF(S1128="G",0,ERR))</f>
        <v>0</v>
      </c>
      <c r="V1128" s="124"/>
      <c r="W1128" s="7">
        <f>HLOOKUP($W$9,'ROR-Model'!$Q$10:$U$1273,Y1128)</f>
        <v>-718316566.30875003</v>
      </c>
      <c r="X1128" s="139"/>
      <c r="Y1128" s="3">
        <f t="shared" si="81"/>
        <v>1119</v>
      </c>
      <c r="AA1128" s="7">
        <v>-537496022.06458318</v>
      </c>
      <c r="AC1128" s="7">
        <f t="shared" si="80"/>
        <v>-180820544.24416685</v>
      </c>
      <c r="AE1128" s="42">
        <f t="shared" si="82"/>
        <v>0.33641280460014317</v>
      </c>
      <c r="AG1128" s="162"/>
      <c r="AH1128" s="10"/>
      <c r="AI1128" s="10" t="s">
        <v>543</v>
      </c>
      <c r="AJ1128" s="10"/>
    </row>
    <row r="1129" spans="1:36">
      <c r="A1129" s="137"/>
      <c r="B1129" s="47"/>
      <c r="C1129" s="47" t="s">
        <v>544</v>
      </c>
      <c r="D1129" s="47"/>
      <c r="E1129" s="7">
        <f>+G1129-Adjustments!G1134</f>
        <v>6864743.7445833087</v>
      </c>
      <c r="F1129" s="7">
        <f>+'Rate Base'!$T$167</f>
        <v>-148417722.16</v>
      </c>
      <c r="G1129" s="7">
        <f>+Adjustments!V1109</f>
        <v>6864743.7445833087</v>
      </c>
      <c r="H1129" s="7"/>
      <c r="I1129" s="7">
        <f>SUM($F$1129:$H$1129)</f>
        <v>-141552978.41541669</v>
      </c>
      <c r="J1129" s="7">
        <f>+I1129-'ROR-Model'!I1129</f>
        <v>0</v>
      </c>
      <c r="K1129" s="7"/>
      <c r="L1129" s="7" t="s">
        <v>429</v>
      </c>
      <c r="M1129" s="7">
        <f>VLOOKUP($L1129,$L$2:$N$7,2,FALSE)*I1129</f>
        <v>-137273741.87873948</v>
      </c>
      <c r="N1129" s="7">
        <f>VLOOKUP($L1129,$L$2:$N$7,3,FALSE)*I1129</f>
        <v>-4279236.5366772097</v>
      </c>
      <c r="O1129" s="120"/>
      <c r="P1129" s="192" t="s">
        <v>510</v>
      </c>
      <c r="Q1129" s="7">
        <f>IF(P1129="G",M1129,IF(P1129="PT",0,ERR))</f>
        <v>-137273741.87873948</v>
      </c>
      <c r="R1129" s="7">
        <f>IF(P1129="PT",M1129,IF(P1129="G",0,ERR))</f>
        <v>0</v>
      </c>
      <c r="S1129" s="126" t="s">
        <v>510</v>
      </c>
      <c r="T1129" s="7">
        <f>IF(S1129="G",N1129,IF(S1129="PT",0,ERR))</f>
        <v>-4279236.5366772097</v>
      </c>
      <c r="U1129" s="7">
        <f>IF(S1129="PT",N1129,IF(S1129="G",0,ERR))</f>
        <v>0</v>
      </c>
      <c r="V1129" s="124"/>
      <c r="W1129" s="7">
        <f>HLOOKUP($W$9,'ROR-Model'!$Q$10:$U$1273,Y1129)</f>
        <v>-137273741.87873948</v>
      </c>
      <c r="X1129" s="139"/>
      <c r="Y1129" s="3">
        <f t="shared" si="81"/>
        <v>1120</v>
      </c>
      <c r="AA1129" s="7">
        <v>-126156399.6717511</v>
      </c>
      <c r="AC1129" s="7">
        <f t="shared" si="80"/>
        <v>-11117342.206988379</v>
      </c>
      <c r="AE1129" s="42">
        <f t="shared" si="82"/>
        <v>8.8123489857944728E-2</v>
      </c>
      <c r="AG1129" s="162"/>
      <c r="AH1129" s="10"/>
      <c r="AI1129" s="10" t="s">
        <v>544</v>
      </c>
      <c r="AJ1129" s="10"/>
    </row>
    <row r="1130" spans="1:36">
      <c r="A1130" s="137"/>
      <c r="B1130" s="47"/>
      <c r="C1130" s="47" t="s">
        <v>145</v>
      </c>
      <c r="D1130" s="47"/>
      <c r="E1130" s="140">
        <f>+G1130-Adjustments!G1135</f>
        <v>43455489.7327324</v>
      </c>
      <c r="F1130" s="140">
        <f>SUM(F1126:F1129)</f>
        <v>-1008127085.5699999</v>
      </c>
      <c r="G1130" s="140">
        <f>SUM(G1126:G1129)</f>
        <v>43455489.7327324</v>
      </c>
      <c r="H1130" s="140">
        <f>SUM(H1126:H1129)</f>
        <v>0</v>
      </c>
      <c r="I1130" s="140">
        <f>SUM(I1126:I1129)</f>
        <v>-964671595.83726764</v>
      </c>
      <c r="J1130" s="7">
        <f>+I1130-'ROR-Model'!I1130</f>
        <v>0</v>
      </c>
      <c r="K1130" s="7"/>
      <c r="L1130" s="140"/>
      <c r="M1130" s="140">
        <f>SUM(M1126:M1129)</f>
        <v>-921523309.28431571</v>
      </c>
      <c r="N1130" s="140">
        <f>SUM(N1126:N1129)</f>
        <v>-43148286.55295185</v>
      </c>
      <c r="O1130" s="120"/>
      <c r="P1130" s="201"/>
      <c r="Q1130" s="140">
        <f>SUM(Q1126:Q1129)</f>
        <v>-921523309.28431571</v>
      </c>
      <c r="R1130" s="140">
        <f>SUM(R1126:R1129)</f>
        <v>0</v>
      </c>
      <c r="S1130" s="201"/>
      <c r="T1130" s="140">
        <f>SUM(T1126:T1129)</f>
        <v>-40959326.692510553</v>
      </c>
      <c r="U1130" s="140">
        <f>SUM(U1126:U1129)</f>
        <v>-2188959.8604413001</v>
      </c>
      <c r="V1130" s="124"/>
      <c r="W1130" s="140">
        <f>HLOOKUP($W$9,'ROR-Model'!$Q$10:$U$1273,Y1130)</f>
        <v>-921523309.28431571</v>
      </c>
      <c r="X1130" s="139"/>
      <c r="Y1130" s="3">
        <f t="shared" si="81"/>
        <v>1121</v>
      </c>
      <c r="AA1130" s="140">
        <v>-726783766.38854229</v>
      </c>
      <c r="AC1130" s="140">
        <f t="shared" si="80"/>
        <v>-194739542.89577341</v>
      </c>
      <c r="AE1130" s="42">
        <f t="shared" si="82"/>
        <v>0.26794701794655201</v>
      </c>
      <c r="AG1130" s="162"/>
      <c r="AH1130" s="10"/>
      <c r="AI1130" s="10" t="s">
        <v>145</v>
      </c>
      <c r="AJ1130" s="10"/>
    </row>
    <row r="1131" spans="1:36">
      <c r="A1131" s="137"/>
      <c r="B1131" s="47"/>
      <c r="C1131" s="47"/>
      <c r="D1131" s="47"/>
      <c r="E1131" s="7">
        <f>+G1131-Adjustments!G1136</f>
        <v>0</v>
      </c>
      <c r="F1131" s="7"/>
      <c r="G1131" s="7"/>
      <c r="H1131" s="7"/>
      <c r="I1131" s="7"/>
      <c r="J1131" s="7">
        <f>+I1131-'ROR-Model'!I1131</f>
        <v>0</v>
      </c>
      <c r="K1131" s="7"/>
      <c r="L1131" s="7"/>
      <c r="M1131" s="112"/>
      <c r="N1131" s="7"/>
      <c r="O1131" s="120"/>
      <c r="P1131" s="126"/>
      <c r="Q1131" s="138">
        <f>+Q1130/I1130</f>
        <v>0.95527152790737846</v>
      </c>
      <c r="R1131" s="7"/>
      <c r="S1131" s="126"/>
      <c r="T1131" s="7"/>
      <c r="U1131" s="7"/>
      <c r="V1131" s="124"/>
      <c r="W1131" s="7"/>
      <c r="X1131" s="139"/>
      <c r="Y1131" s="3">
        <f t="shared" si="81"/>
        <v>1122</v>
      </c>
      <c r="AA1131" s="7"/>
      <c r="AC1131" s="7" t="str">
        <f t="shared" si="80"/>
        <v/>
      </c>
      <c r="AE1131" s="42" t="str">
        <f t="shared" si="82"/>
        <v/>
      </c>
      <c r="AG1131" s="162"/>
      <c r="AH1131" s="10"/>
      <c r="AI1131" s="10"/>
      <c r="AJ1131" s="10"/>
    </row>
    <row r="1132" spans="1:36">
      <c r="A1132" s="137">
        <v>111</v>
      </c>
      <c r="B1132" s="47" t="s">
        <v>266</v>
      </c>
      <c r="C1132" s="47"/>
      <c r="D1132" s="47"/>
      <c r="E1132" s="7">
        <f>+G1132-Adjustments!G1137</f>
        <v>0</v>
      </c>
      <c r="F1132" s="7"/>
      <c r="G1132" s="7"/>
      <c r="H1132" s="7"/>
      <c r="I1132" s="7"/>
      <c r="J1132" s="7">
        <f>+I1132-'ROR-Model'!I1132</f>
        <v>0</v>
      </c>
      <c r="K1132" s="7"/>
      <c r="L1132" s="7"/>
      <c r="M1132" s="7"/>
      <c r="N1132" s="7"/>
      <c r="O1132" s="120"/>
      <c r="P1132" s="126"/>
      <c r="Q1132" s="7"/>
      <c r="R1132" s="7"/>
      <c r="S1132" s="126"/>
      <c r="T1132" s="7"/>
      <c r="U1132" s="7"/>
      <c r="V1132" s="124"/>
      <c r="W1132" s="7"/>
      <c r="X1132" s="139"/>
      <c r="Y1132" s="3">
        <f t="shared" si="81"/>
        <v>1123</v>
      </c>
      <c r="AA1132" s="7"/>
      <c r="AC1132" s="7" t="str">
        <f t="shared" si="80"/>
        <v/>
      </c>
      <c r="AE1132" s="42" t="str">
        <f t="shared" si="82"/>
        <v/>
      </c>
      <c r="AG1132" s="162">
        <v>111</v>
      </c>
      <c r="AH1132" s="10" t="s">
        <v>266</v>
      </c>
      <c r="AI1132" s="10"/>
      <c r="AJ1132" s="10"/>
    </row>
    <row r="1133" spans="1:36">
      <c r="A1133" s="136"/>
      <c r="B1133" s="47"/>
      <c r="C1133" s="47" t="s">
        <v>399</v>
      </c>
      <c r="D1133" s="47"/>
      <c r="E1133" s="7">
        <f>+G1133-Adjustments!G1138</f>
        <v>387467.42957999994</v>
      </c>
      <c r="F1133" s="7">
        <f>+'Rate Base'!$T$171</f>
        <v>-6150276.6600000001</v>
      </c>
      <c r="G1133" s="7">
        <f>+Adjustments!V1113</f>
        <v>387467.42957999994</v>
      </c>
      <c r="H1133" s="7"/>
      <c r="I1133" s="7">
        <f>SUM($F$1133:$H$1133)</f>
        <v>-5762809.2304199999</v>
      </c>
      <c r="J1133" s="7">
        <f>+I1133-'ROR-Model'!I1133</f>
        <v>0</v>
      </c>
      <c r="K1133" s="7"/>
      <c r="L1133" s="7" t="s">
        <v>637</v>
      </c>
      <c r="M1133" s="7">
        <f>VLOOKUP($L1133,$L$2:$N$7,2,FALSE)*I1133</f>
        <v>-5577633.1445952971</v>
      </c>
      <c r="N1133" s="7">
        <f>VLOOKUP($L1133,$L$2:$N$7,3,FALSE)*I1133</f>
        <v>-185176.08582470246</v>
      </c>
      <c r="O1133" s="120"/>
      <c r="P1133" s="192" t="s">
        <v>510</v>
      </c>
      <c r="Q1133" s="7">
        <f>IF(P1133="G",M1133,IF(P1133="PT",0,ERR))</f>
        <v>-5577633.1445952971</v>
      </c>
      <c r="R1133" s="7">
        <f>IF(P1133="PT",M1133,IF(P1133="G",0,ERR))</f>
        <v>0</v>
      </c>
      <c r="S1133" s="126" t="s">
        <v>509</v>
      </c>
      <c r="T1133" s="7">
        <f>IF(S1133="G",N1133,IF(S1133="PT",0,ERR))</f>
        <v>0</v>
      </c>
      <c r="U1133" s="7">
        <f>IF(S1133="PT",N1133,IF(S1133="G",0,ERR))</f>
        <v>-185176.08582470246</v>
      </c>
      <c r="V1133" s="124"/>
      <c r="W1133" s="7">
        <f>HLOOKUP($W$9,'ROR-Model'!$Q$10:$U$1273,Y1133)</f>
        <v>-5577633.1445952971</v>
      </c>
      <c r="X1133" s="139"/>
      <c r="Y1133" s="3">
        <f t="shared" si="81"/>
        <v>1124</v>
      </c>
      <c r="AA1133" s="7">
        <v>-5560356.6310873264</v>
      </c>
      <c r="AC1133" s="7">
        <f t="shared" si="80"/>
        <v>-17276.513507970609</v>
      </c>
      <c r="AE1133" s="42">
        <f t="shared" si="82"/>
        <v>3.1070873064831077E-3</v>
      </c>
      <c r="AG1133" s="162"/>
      <c r="AH1133" s="10"/>
      <c r="AI1133" s="10" t="s">
        <v>399</v>
      </c>
      <c r="AJ1133" s="10"/>
    </row>
    <row r="1134" spans="1:36">
      <c r="A1134" s="136"/>
      <c r="B1134" s="47"/>
      <c r="C1134" s="47" t="s">
        <v>542</v>
      </c>
      <c r="D1134" s="47"/>
      <c r="E1134" s="7">
        <f>+G1134-Adjustments!G1139</f>
        <v>0</v>
      </c>
      <c r="F1134" s="7">
        <f>+'Rate Base'!$T$172</f>
        <v>-10883.08</v>
      </c>
      <c r="G1134" s="7">
        <f>+Adjustments!V1114</f>
        <v>0</v>
      </c>
      <c r="H1134" s="7"/>
      <c r="I1134" s="7">
        <f>SUM($F$1134:$H$1134)</f>
        <v>-10883.08</v>
      </c>
      <c r="J1134" s="7">
        <f>+I1134-'ROR-Model'!I1134</f>
        <v>0</v>
      </c>
      <c r="K1134" s="7"/>
      <c r="L1134" s="7" t="s">
        <v>23</v>
      </c>
      <c r="M1134" s="7">
        <f>VLOOKUP($L1134,$L$2:$N$7,2,FALSE)*I1134</f>
        <v>0</v>
      </c>
      <c r="N1134" s="7">
        <f>VLOOKUP($L1134,$L$2:$N$7,3,FALSE)*I1134</f>
        <v>-10883.08</v>
      </c>
      <c r="O1134" s="120"/>
      <c r="P1134" s="192" t="s">
        <v>510</v>
      </c>
      <c r="Q1134" s="7">
        <f>IF(P1134="G",M1134,IF(P1134="PT",0,ERR))</f>
        <v>0</v>
      </c>
      <c r="R1134" s="7">
        <f>IF(P1134="PT",M1134,IF(P1134="G",0,ERR))</f>
        <v>0</v>
      </c>
      <c r="S1134" s="126" t="s">
        <v>510</v>
      </c>
      <c r="T1134" s="7">
        <f>IF(S1134="G",N1134,IF(S1134="PT",0,ERR))</f>
        <v>-10883.08</v>
      </c>
      <c r="U1134" s="7">
        <f>IF(S1134="PT",N1134,IF(S1134="G",0,ERR))</f>
        <v>0</v>
      </c>
      <c r="V1134" s="124"/>
      <c r="W1134" s="7">
        <f>HLOOKUP($W$9,'ROR-Model'!$Q$10:$U$1273,Y1134)</f>
        <v>0</v>
      </c>
      <c r="X1134" s="139"/>
      <c r="Y1134" s="3">
        <f t="shared" si="81"/>
        <v>1125</v>
      </c>
      <c r="AA1134" s="7">
        <v>0</v>
      </c>
      <c r="AC1134" s="7" t="str">
        <f t="shared" si="80"/>
        <v/>
      </c>
      <c r="AE1134" s="42" t="str">
        <f t="shared" si="82"/>
        <v/>
      </c>
      <c r="AG1134" s="162"/>
      <c r="AH1134" s="10"/>
      <c r="AI1134" s="10" t="s">
        <v>542</v>
      </c>
      <c r="AJ1134" s="10"/>
    </row>
    <row r="1135" spans="1:36">
      <c r="A1135" s="136"/>
      <c r="B1135" s="47"/>
      <c r="C1135" s="47" t="s">
        <v>543</v>
      </c>
      <c r="D1135" s="47"/>
      <c r="E1135" s="7">
        <f>+G1135-Adjustments!G1140</f>
        <v>0</v>
      </c>
      <c r="F1135" s="7">
        <f>+'Rate Base'!$T$173</f>
        <v>-58742.89</v>
      </c>
      <c r="G1135" s="7">
        <f>+Adjustments!V1115</f>
        <v>0</v>
      </c>
      <c r="H1135" s="7"/>
      <c r="I1135" s="7">
        <f>SUM($F$1135:$H$1135)</f>
        <v>-58742.89</v>
      </c>
      <c r="J1135" s="7">
        <f>+I1135-'ROR-Model'!I1135</f>
        <v>0</v>
      </c>
      <c r="K1135" s="7"/>
      <c r="L1135" s="7" t="s">
        <v>12</v>
      </c>
      <c r="M1135" s="7">
        <f>VLOOKUP($L1135,$L$2:$N$7,2,FALSE)*I1135</f>
        <v>-58742.89</v>
      </c>
      <c r="N1135" s="7">
        <f>VLOOKUP($L1135,$L$2:$N$7,3,FALSE)*I1135</f>
        <v>0</v>
      </c>
      <c r="O1135" s="120"/>
      <c r="P1135" s="192" t="s">
        <v>510</v>
      </c>
      <c r="Q1135" s="7">
        <f>IF(P1135="G",M1135,IF(P1135="PT",0,ERR))</f>
        <v>-58742.89</v>
      </c>
      <c r="R1135" s="7">
        <f>IF(P1135="PT",M1135,IF(P1135="G",0,ERR))</f>
        <v>0</v>
      </c>
      <c r="S1135" s="126" t="s">
        <v>510</v>
      </c>
      <c r="T1135" s="7">
        <f>IF(S1135="G",N1135,IF(S1135="PT",0,ERR))</f>
        <v>0</v>
      </c>
      <c r="U1135" s="7">
        <f>IF(S1135="PT",N1135,IF(S1135="G",0,ERR))</f>
        <v>0</v>
      </c>
      <c r="V1135" s="124"/>
      <c r="W1135" s="7">
        <f>HLOOKUP($W$9,'ROR-Model'!$Q$10:$U$1273,Y1135)</f>
        <v>-58742.89</v>
      </c>
      <c r="X1135" s="139"/>
      <c r="Y1135" s="3">
        <f t="shared" si="81"/>
        <v>1126</v>
      </c>
      <c r="AA1135" s="7">
        <v>-58742.889583333337</v>
      </c>
      <c r="AC1135" s="7">
        <f t="shared" si="80"/>
        <v>-4.1666666220407933E-4</v>
      </c>
      <c r="AE1135" s="42">
        <f t="shared" si="82"/>
        <v>7.0930569667157967E-9</v>
      </c>
      <c r="AG1135" s="162"/>
      <c r="AH1135" s="10"/>
      <c r="AI1135" s="10" t="s">
        <v>543</v>
      </c>
      <c r="AJ1135" s="10"/>
    </row>
    <row r="1136" spans="1:36">
      <c r="A1136" s="136"/>
      <c r="B1136" s="47"/>
      <c r="C1136" s="47" t="s">
        <v>544</v>
      </c>
      <c r="D1136" s="47"/>
      <c r="E1136" s="7">
        <f>+G1136-Adjustments!G1141</f>
        <v>293044.56791666674</v>
      </c>
      <c r="F1136" s="7">
        <f>+'Rate Base'!$T$174</f>
        <v>-719799.43</v>
      </c>
      <c r="G1136" s="7">
        <f>+Adjustments!V1116</f>
        <v>293044.56791666674</v>
      </c>
      <c r="H1136" s="7"/>
      <c r="I1136" s="7">
        <f>SUM($F$1136:$H$1136)</f>
        <v>-426754.86208333331</v>
      </c>
      <c r="J1136" s="7">
        <f>+I1136-'ROR-Model'!I1136</f>
        <v>0</v>
      </c>
      <c r="K1136" s="7"/>
      <c r="L1136" s="7" t="s">
        <v>429</v>
      </c>
      <c r="M1136" s="7">
        <f>VLOOKUP($L1136,$L$2:$N$7,2,FALSE)*I1136</f>
        <v>-413853.7912724294</v>
      </c>
      <c r="N1136" s="7">
        <f>VLOOKUP($L1136,$L$2:$N$7,3,FALSE)*I1136</f>
        <v>-12901.07081090391</v>
      </c>
      <c r="O1136" s="120"/>
      <c r="P1136" s="192" t="s">
        <v>510</v>
      </c>
      <c r="Q1136" s="7">
        <f>IF(P1136="G",M1136,IF(P1136="PT",0,ERR))</f>
        <v>-413853.7912724294</v>
      </c>
      <c r="R1136" s="7">
        <f>IF(P1136="PT",M1136,IF(P1136="G",0,ERR))</f>
        <v>0</v>
      </c>
      <c r="S1136" s="126" t="s">
        <v>510</v>
      </c>
      <c r="T1136" s="7">
        <f>IF(S1136="G",N1136,IF(S1136="PT",0,ERR))</f>
        <v>-12901.07081090391</v>
      </c>
      <c r="U1136" s="7">
        <f>IF(S1136="PT",N1136,IF(S1136="G",0,ERR))</f>
        <v>0</v>
      </c>
      <c r="V1136" s="124"/>
      <c r="W1136" s="7">
        <f>HLOOKUP($W$9,'ROR-Model'!$Q$10:$U$1273,Y1136)</f>
        <v>-413853.7912724294</v>
      </c>
      <c r="X1136" s="139"/>
      <c r="Y1136" s="3">
        <f t="shared" si="81"/>
        <v>1127</v>
      </c>
      <c r="AA1136" s="7">
        <v>-3084.3249816194316</v>
      </c>
      <c r="AC1136" s="7">
        <f t="shared" si="80"/>
        <v>-410769.46629080997</v>
      </c>
      <c r="AE1136" s="42">
        <f t="shared" si="82"/>
        <v>133.17969693165554</v>
      </c>
      <c r="AG1136" s="162"/>
      <c r="AH1136" s="10"/>
      <c r="AI1136" s="10" t="s">
        <v>544</v>
      </c>
      <c r="AJ1136" s="10"/>
    </row>
    <row r="1137" spans="1:36">
      <c r="A1137" s="136"/>
      <c r="B1137" s="47"/>
      <c r="C1137" s="47" t="s">
        <v>145</v>
      </c>
      <c r="D1137" s="47"/>
      <c r="E1137" s="140">
        <f>+G1137-Adjustments!G1142</f>
        <v>680511.99749666662</v>
      </c>
      <c r="F1137" s="140">
        <f>SUM(F1133:F1136)</f>
        <v>-6939702.0599999996</v>
      </c>
      <c r="G1137" s="140">
        <f>SUM(G1133:G1136)</f>
        <v>680511.99749666662</v>
      </c>
      <c r="H1137" s="140">
        <f>SUM(H1133:H1136)</f>
        <v>0</v>
      </c>
      <c r="I1137" s="140">
        <f>SUM(I1133:I1136)</f>
        <v>-6259190.0625033332</v>
      </c>
      <c r="J1137" s="7">
        <f>+I1137-'ROR-Model'!I1137</f>
        <v>0</v>
      </c>
      <c r="K1137" s="7"/>
      <c r="L1137" s="140"/>
      <c r="M1137" s="140">
        <f>SUM(M1133:M1136)</f>
        <v>-6050229.8258677265</v>
      </c>
      <c r="N1137" s="140">
        <f>SUM(N1133:N1136)</f>
        <v>-208960.23663560636</v>
      </c>
      <c r="O1137" s="120"/>
      <c r="P1137" s="201"/>
      <c r="Q1137" s="140">
        <f>SUM(Q1133:Q1136)</f>
        <v>-6050229.8258677265</v>
      </c>
      <c r="R1137" s="140">
        <f>SUM(R1133:R1136)</f>
        <v>0</v>
      </c>
      <c r="S1137" s="201"/>
      <c r="T1137" s="140">
        <f>SUM(T1133:T1136)</f>
        <v>-23784.15081090391</v>
      </c>
      <c r="U1137" s="140">
        <f>SUM(U1133:U1136)</f>
        <v>-185176.08582470246</v>
      </c>
      <c r="V1137" s="124"/>
      <c r="W1137" s="140">
        <f>HLOOKUP($W$9,'ROR-Model'!$Q$10:$U$1273,Y1137)</f>
        <v>-6050229.8258677265</v>
      </c>
      <c r="X1137" s="139"/>
      <c r="Y1137" s="3">
        <f t="shared" si="81"/>
        <v>1128</v>
      </c>
      <c r="AA1137" s="140">
        <v>-5622183.8456522794</v>
      </c>
      <c r="AC1137" s="140">
        <f t="shared" si="80"/>
        <v>-428045.98021544702</v>
      </c>
      <c r="AE1137" s="42">
        <f t="shared" si="82"/>
        <v>7.6135180201633124E-2</v>
      </c>
      <c r="AG1137" s="162"/>
      <c r="AH1137" s="10"/>
      <c r="AI1137" s="10" t="s">
        <v>145</v>
      </c>
      <c r="AJ1137" s="10"/>
    </row>
    <row r="1138" spans="1:36" ht="13.5" thickBot="1">
      <c r="A1138" s="136"/>
      <c r="B1138" s="47"/>
      <c r="C1138" s="47"/>
      <c r="D1138" s="47"/>
      <c r="E1138" s="24">
        <f>+G1138-Adjustments!G1143</f>
        <v>0</v>
      </c>
      <c r="F1138" s="24"/>
      <c r="G1138" s="24"/>
      <c r="H1138" s="24"/>
      <c r="I1138" s="24"/>
      <c r="J1138" s="7">
        <f>+I1138-'ROR-Model'!I1138</f>
        <v>0</v>
      </c>
      <c r="K1138" s="7"/>
      <c r="L1138" s="24"/>
      <c r="M1138" s="24"/>
      <c r="N1138" s="24"/>
      <c r="O1138" s="120"/>
      <c r="P1138" s="202"/>
      <c r="Q1138" s="24"/>
      <c r="R1138" s="24"/>
      <c r="S1138" s="202"/>
      <c r="T1138" s="24"/>
      <c r="U1138" s="24"/>
      <c r="V1138" s="124"/>
      <c r="W1138" s="24"/>
      <c r="X1138" s="139"/>
      <c r="Y1138" s="3">
        <f t="shared" si="81"/>
        <v>1129</v>
      </c>
      <c r="AA1138" s="24"/>
      <c r="AC1138" s="24" t="str">
        <f t="shared" si="80"/>
        <v/>
      </c>
      <c r="AE1138" s="42" t="str">
        <f t="shared" si="82"/>
        <v/>
      </c>
      <c r="AG1138" s="162"/>
      <c r="AH1138" s="10"/>
      <c r="AI1138" s="10"/>
      <c r="AJ1138" s="10"/>
    </row>
    <row r="1139" spans="1:36" ht="13.5" thickTop="1">
      <c r="A1139" s="327" t="s">
        <v>939</v>
      </c>
      <c r="B1139" s="277" t="s">
        <v>941</v>
      </c>
      <c r="C1139" s="47"/>
      <c r="D1139" s="47"/>
      <c r="E1139" s="7">
        <f>+G1139-Adjustments!G1144</f>
        <v>0</v>
      </c>
      <c r="F1139" s="7"/>
      <c r="G1139" s="7"/>
      <c r="H1139" s="7"/>
      <c r="I1139" s="7"/>
      <c r="J1139" s="7">
        <f>+I1139-'ROR-Model'!I1139</f>
        <v>0</v>
      </c>
      <c r="K1139" s="7"/>
      <c r="L1139" s="7"/>
      <c r="M1139" s="7"/>
      <c r="N1139" s="7"/>
      <c r="O1139" s="120"/>
      <c r="P1139" s="126"/>
      <c r="Q1139" s="7"/>
      <c r="R1139" s="7"/>
      <c r="S1139" s="126"/>
      <c r="T1139" s="7"/>
      <c r="U1139" s="7"/>
      <c r="V1139" s="124"/>
      <c r="W1139" s="7"/>
      <c r="X1139" s="139"/>
      <c r="Y1139" s="3">
        <f t="shared" si="81"/>
        <v>1130</v>
      </c>
      <c r="AA1139" s="7"/>
      <c r="AC1139" s="7" t="str">
        <f t="shared" si="80"/>
        <v/>
      </c>
      <c r="AE1139" s="42" t="str">
        <f t="shared" si="82"/>
        <v/>
      </c>
      <c r="AG1139" s="162" t="s">
        <v>939</v>
      </c>
      <c r="AH1139" s="10" t="s">
        <v>941</v>
      </c>
      <c r="AI1139" s="10"/>
      <c r="AJ1139" s="10"/>
    </row>
    <row r="1140" spans="1:36">
      <c r="A1140" s="136"/>
      <c r="B1140" s="47"/>
      <c r="C1140" s="47" t="s">
        <v>399</v>
      </c>
      <c r="D1140" s="47"/>
      <c r="E1140" s="7">
        <f>+G1140-Adjustments!G1145</f>
        <v>-13148.777083333349</v>
      </c>
      <c r="F1140" s="7">
        <f>'Rate Base'!T178</f>
        <v>170187.76</v>
      </c>
      <c r="G1140" s="7">
        <f>+Adjustments!V1120</f>
        <v>-13148.777083333349</v>
      </c>
      <c r="H1140" s="7"/>
      <c r="I1140" s="7">
        <f>SUM(F1140:H1140)</f>
        <v>157038.98291666666</v>
      </c>
      <c r="J1140" s="7">
        <f>+I1140-'ROR-Model'!I1140</f>
        <v>0</v>
      </c>
      <c r="K1140" s="7"/>
      <c r="L1140" s="7" t="s">
        <v>637</v>
      </c>
      <c r="M1140" s="7">
        <f>VLOOKUP($L1140,$L$2:$N$7,2,FALSE)*I1140</f>
        <v>151992.8564502729</v>
      </c>
      <c r="N1140" s="7">
        <f>VLOOKUP($L1140,$L$2:$N$7,3,FALSE)*I1140</f>
        <v>5046.1264663937654</v>
      </c>
      <c r="O1140" s="120"/>
      <c r="P1140" s="192" t="s">
        <v>510</v>
      </c>
      <c r="Q1140" s="7">
        <f>IF(P1140="G",M1140,IF(P1140="PT",0,ERR))</f>
        <v>151992.8564502729</v>
      </c>
      <c r="R1140" s="7">
        <f>IF(P1140="PT",M1140,IF(P1140="G",0,ERR))</f>
        <v>0</v>
      </c>
      <c r="S1140" s="126" t="s">
        <v>509</v>
      </c>
      <c r="T1140" s="7">
        <f>IF(S1140="G",N1140,IF(S1140="PT",0,ERR))</f>
        <v>0</v>
      </c>
      <c r="U1140" s="7">
        <f>IF(S1140="PT",N1140,IF(S1140="G",0,ERR))</f>
        <v>5046.1264663937654</v>
      </c>
      <c r="V1140" s="124"/>
      <c r="W1140" s="7">
        <f>HLOOKUP($W$9,'ROR-Model'!$Q$10:$U$1273,Y1140)</f>
        <v>151992.8564502729</v>
      </c>
      <c r="X1140" s="139"/>
      <c r="Y1140" s="3">
        <f t="shared" si="81"/>
        <v>1131</v>
      </c>
      <c r="AA1140" s="7">
        <v>0</v>
      </c>
      <c r="AC1140" s="7" t="str">
        <f t="shared" si="80"/>
        <v/>
      </c>
      <c r="AE1140" s="42" t="str">
        <f t="shared" si="82"/>
        <v/>
      </c>
      <c r="AG1140" s="162"/>
      <c r="AH1140" s="10"/>
      <c r="AI1140" s="10" t="s">
        <v>399</v>
      </c>
      <c r="AJ1140" s="10"/>
    </row>
    <row r="1141" spans="1:36">
      <c r="A1141" s="136"/>
      <c r="B1141" s="47"/>
      <c r="C1141" s="47" t="s">
        <v>542</v>
      </c>
      <c r="D1141" s="47"/>
      <c r="E1141" s="7">
        <f>+G1141-Adjustments!G1146</f>
        <v>302818.55624999944</v>
      </c>
      <c r="F1141" s="7">
        <f>'Rate Base'!T179</f>
        <v>-7311522.3600000003</v>
      </c>
      <c r="G1141" s="7">
        <f>+Adjustments!V1121</f>
        <v>302818.55624999944</v>
      </c>
      <c r="H1141" s="7"/>
      <c r="I1141" s="7">
        <f t="shared" ref="I1141:I1143" si="83">SUM(F1141:H1141)</f>
        <v>-7008703.8037500009</v>
      </c>
      <c r="J1141" s="7">
        <f>+I1141-'ROR-Model'!I1141</f>
        <v>0</v>
      </c>
      <c r="K1141" s="7"/>
      <c r="L1141" s="7" t="s">
        <v>23</v>
      </c>
      <c r="M1141" s="7">
        <f>VLOOKUP($L1141,$L$2:$N$7,2,FALSE)*I1141</f>
        <v>0</v>
      </c>
      <c r="N1141" s="7">
        <f>VLOOKUP($L1141,$L$2:$N$7,3,FALSE)*I1141</f>
        <v>-7008703.8037500009</v>
      </c>
      <c r="O1141" s="120"/>
      <c r="P1141" s="192" t="s">
        <v>510</v>
      </c>
      <c r="Q1141" s="7">
        <f>IF(P1141="G",M1141,IF(P1141="PT",0,ERR))</f>
        <v>0</v>
      </c>
      <c r="R1141" s="7">
        <f>IF(P1141="PT",M1141,IF(P1141="G",0,ERR))</f>
        <v>0</v>
      </c>
      <c r="S1141" s="126" t="s">
        <v>510</v>
      </c>
      <c r="T1141" s="7">
        <f>IF(S1141="G",N1141,IF(S1141="PT",0,ERR))</f>
        <v>-7008703.8037500009</v>
      </c>
      <c r="U1141" s="7">
        <f>IF(S1141="PT",N1141,IF(S1141="G",0,ERR))</f>
        <v>0</v>
      </c>
      <c r="V1141" s="124"/>
      <c r="W1141" s="7">
        <f>HLOOKUP($W$9,'ROR-Model'!$Q$10:$U$1273,Y1141)</f>
        <v>0</v>
      </c>
      <c r="X1141" s="139"/>
      <c r="Y1141" s="3">
        <f t="shared" si="81"/>
        <v>1132</v>
      </c>
      <c r="AA1141" s="7">
        <v>0</v>
      </c>
      <c r="AC1141" s="7" t="str">
        <f t="shared" si="80"/>
        <v/>
      </c>
      <c r="AE1141" s="42" t="str">
        <f t="shared" si="82"/>
        <v/>
      </c>
      <c r="AG1141" s="162"/>
      <c r="AH1141" s="10"/>
      <c r="AI1141" s="10" t="s">
        <v>542</v>
      </c>
      <c r="AJ1141" s="10"/>
    </row>
    <row r="1142" spans="1:36">
      <c r="A1142" s="136"/>
      <c r="B1142" s="47"/>
      <c r="C1142" s="47" t="s">
        <v>543</v>
      </c>
      <c r="D1142" s="47"/>
      <c r="E1142" s="7">
        <f>+G1142-Adjustments!G1147</f>
        <v>3492574.4925000072</v>
      </c>
      <c r="F1142" s="7">
        <f>'Rate Base'!T180</f>
        <v>-183219730.84999999</v>
      </c>
      <c r="G1142" s="7">
        <f>+Adjustments!V1122</f>
        <v>3492574.4925000072</v>
      </c>
      <c r="H1142" s="7"/>
      <c r="I1142" s="7">
        <f t="shared" si="83"/>
        <v>-179727156.35749999</v>
      </c>
      <c r="J1142" s="7">
        <f>+I1142-'ROR-Model'!I1142</f>
        <v>0</v>
      </c>
      <c r="K1142" s="7"/>
      <c r="L1142" s="7" t="s">
        <v>12</v>
      </c>
      <c r="M1142" s="7">
        <f>VLOOKUP($L1142,$L$2:$N$7,2,FALSE)*I1142</f>
        <v>-179727156.35749999</v>
      </c>
      <c r="N1142" s="7">
        <f>VLOOKUP($L1142,$L$2:$N$7,3,FALSE)*I1142</f>
        <v>0</v>
      </c>
      <c r="O1142" s="120"/>
      <c r="P1142" s="192" t="s">
        <v>510</v>
      </c>
      <c r="Q1142" s="7">
        <f>IF(P1142="G",M1142,IF(P1142="PT",0,ERR))</f>
        <v>-179727156.35749999</v>
      </c>
      <c r="R1142" s="7">
        <f>IF(P1142="PT",M1142,IF(P1142="G",0,ERR))</f>
        <v>0</v>
      </c>
      <c r="S1142" s="126" t="s">
        <v>510</v>
      </c>
      <c r="T1142" s="7">
        <f>IF(S1142="G",N1142,IF(S1142="PT",0,ERR))</f>
        <v>0</v>
      </c>
      <c r="U1142" s="7">
        <f>IF(S1142="PT",N1142,IF(S1142="G",0,ERR))</f>
        <v>0</v>
      </c>
      <c r="V1142" s="124"/>
      <c r="W1142" s="7">
        <f>HLOOKUP($W$9,'ROR-Model'!$Q$10:$U$1273,Y1142)</f>
        <v>-179727156.35749999</v>
      </c>
      <c r="X1142" s="139"/>
      <c r="Y1142" s="3">
        <f t="shared" si="81"/>
        <v>1133</v>
      </c>
      <c r="AA1142" s="7">
        <v>-189011226.83208334</v>
      </c>
      <c r="AC1142" s="7">
        <f t="shared" si="80"/>
        <v>9284070.4745833576</v>
      </c>
      <c r="AE1142" s="42">
        <f t="shared" si="82"/>
        <v>-4.9119148265363524E-2</v>
      </c>
      <c r="AG1142" s="162"/>
      <c r="AH1142" s="10"/>
      <c r="AI1142" s="10" t="s">
        <v>543</v>
      </c>
      <c r="AJ1142" s="10"/>
    </row>
    <row r="1143" spans="1:36">
      <c r="A1143" s="136"/>
      <c r="B1143" s="47"/>
      <c r="C1143" s="47" t="s">
        <v>544</v>
      </c>
      <c r="D1143" s="47"/>
      <c r="E1143" s="7">
        <f>+G1143-Adjustments!G1148</f>
        <v>-1572420.2833333015</v>
      </c>
      <c r="F1143" s="7">
        <f>'Rate Base'!T181</f>
        <v>-223154902.15000001</v>
      </c>
      <c r="G1143" s="7">
        <f>+Adjustments!V1123</f>
        <v>-1572420.2833333015</v>
      </c>
      <c r="H1143" s="7"/>
      <c r="I1143" s="7">
        <f t="shared" si="83"/>
        <v>-224727322.43333331</v>
      </c>
      <c r="J1143" s="7">
        <f>+I1143-'ROR-Model'!I1143</f>
        <v>0</v>
      </c>
      <c r="K1143" s="7"/>
      <c r="L1143" s="7" t="s">
        <v>429</v>
      </c>
      <c r="M1143" s="7">
        <f>VLOOKUP($L1143,$L$2:$N$7,2,FALSE)*I1143</f>
        <v>-217933672.59486672</v>
      </c>
      <c r="N1143" s="7">
        <f>VLOOKUP($L1143,$L$2:$N$7,3,FALSE)*I1143</f>
        <v>-6793649.8384665865</v>
      </c>
      <c r="O1143" s="120"/>
      <c r="P1143" s="192" t="s">
        <v>510</v>
      </c>
      <c r="Q1143" s="7">
        <f>IF(P1143="G",M1143,IF(P1143="PT",0,ERR))</f>
        <v>-217933672.59486672</v>
      </c>
      <c r="R1143" s="7">
        <f>IF(P1143="PT",M1143,IF(P1143="G",0,ERR))</f>
        <v>0</v>
      </c>
      <c r="S1143" s="126" t="s">
        <v>510</v>
      </c>
      <c r="T1143" s="7">
        <f>IF(S1143="G",N1143,IF(S1143="PT",0,ERR))</f>
        <v>-6793649.8384665865</v>
      </c>
      <c r="U1143" s="7">
        <f>IF(S1143="PT",N1143,IF(S1143="G",0,ERR))</f>
        <v>0</v>
      </c>
      <c r="V1143" s="124"/>
      <c r="W1143" s="7">
        <f>HLOOKUP($W$9,'ROR-Model'!$Q$10:$U$1273,Y1143)</f>
        <v>-217933672.59486672</v>
      </c>
      <c r="X1143" s="139"/>
      <c r="Y1143" s="3">
        <f t="shared" si="81"/>
        <v>1134</v>
      </c>
      <c r="AA1143" s="7">
        <v>-236560923.34859669</v>
      </c>
      <c r="AC1143" s="7">
        <f t="shared" si="80"/>
        <v>18627250.753729969</v>
      </c>
      <c r="AE1143" s="42">
        <f t="shared" si="82"/>
        <v>-7.8741875412283585E-2</v>
      </c>
      <c r="AG1143" s="162"/>
      <c r="AH1143" s="10"/>
      <c r="AI1143" s="10" t="s">
        <v>544</v>
      </c>
      <c r="AJ1143" s="10"/>
    </row>
    <row r="1144" spans="1:36">
      <c r="A1144" s="136"/>
      <c r="B1144" s="47"/>
      <c r="C1144" s="47" t="s">
        <v>145</v>
      </c>
      <c r="D1144" s="47"/>
      <c r="E1144" s="140">
        <f>+G1144-Adjustments!G1149</f>
        <v>2209823.9883333715</v>
      </c>
      <c r="F1144" s="140">
        <f>SUM(F1140:F1143)</f>
        <v>-413515967.60000002</v>
      </c>
      <c r="G1144" s="140">
        <f>SUM(G1140:G1143)</f>
        <v>2209823.9883333715</v>
      </c>
      <c r="H1144" s="140">
        <f>SUM(H1140:H1143)</f>
        <v>0</v>
      </c>
      <c r="I1144" s="140">
        <f>SUM(I1140:I1143)</f>
        <v>-411306143.61166662</v>
      </c>
      <c r="J1144" s="7">
        <f>+I1144-'ROR-Model'!I1144</f>
        <v>0</v>
      </c>
      <c r="K1144" s="7"/>
      <c r="L1144" s="140"/>
      <c r="M1144" s="140">
        <f>SUM(M1140:M1143)</f>
        <v>-397508836.09591645</v>
      </c>
      <c r="N1144" s="140">
        <f>SUM(N1140:N1143)</f>
        <v>-13797307.515750194</v>
      </c>
      <c r="O1144" s="120"/>
      <c r="P1144" s="201"/>
      <c r="Q1144" s="140">
        <f>SUM(Q1140:Q1143)</f>
        <v>-397508836.09591645</v>
      </c>
      <c r="R1144" s="140">
        <f>SUM(R1140:R1143)</f>
        <v>0</v>
      </c>
      <c r="S1144" s="201"/>
      <c r="T1144" s="140">
        <f>SUM(T1140:T1143)</f>
        <v>-13802353.642216587</v>
      </c>
      <c r="U1144" s="140">
        <f>SUM(U1140:U1143)</f>
        <v>5046.1264663937654</v>
      </c>
      <c r="V1144" s="124"/>
      <c r="W1144" s="140">
        <f>HLOOKUP($W$9,'ROR-Model'!$Q$10:$U$1273,Y1144)</f>
        <v>-397508836.09591645</v>
      </c>
      <c r="X1144" s="139"/>
      <c r="Y1144" s="3">
        <f t="shared" si="81"/>
        <v>1135</v>
      </c>
      <c r="AA1144" s="140">
        <v>-425572150.18068004</v>
      </c>
      <c r="AC1144" s="140">
        <f t="shared" si="80"/>
        <v>28063314.084763587</v>
      </c>
      <c r="AE1144" s="42">
        <f t="shared" si="82"/>
        <v>-6.5942553037949228E-2</v>
      </c>
      <c r="AG1144" s="162"/>
      <c r="AH1144" s="10"/>
      <c r="AI1144" s="10" t="s">
        <v>145</v>
      </c>
      <c r="AJ1144" s="10"/>
    </row>
    <row r="1145" spans="1:36" ht="13.5" thickBot="1">
      <c r="A1145" s="136"/>
      <c r="B1145" s="47"/>
      <c r="C1145" s="47"/>
      <c r="D1145" s="47"/>
      <c r="E1145" s="24">
        <f>+G1145-Adjustments!G1150</f>
        <v>0</v>
      </c>
      <c r="F1145" s="24"/>
      <c r="G1145" s="24"/>
      <c r="H1145" s="24"/>
      <c r="I1145" s="24"/>
      <c r="J1145" s="7">
        <f>+I1145-'ROR-Model'!I1145</f>
        <v>0</v>
      </c>
      <c r="K1145" s="7"/>
      <c r="L1145" s="24"/>
      <c r="M1145" s="24"/>
      <c r="N1145" s="24"/>
      <c r="O1145" s="120"/>
      <c r="P1145" s="202"/>
      <c r="Q1145" s="24"/>
      <c r="R1145" s="24"/>
      <c r="S1145" s="202"/>
      <c r="T1145" s="24"/>
      <c r="U1145" s="24"/>
      <c r="V1145" s="124"/>
      <c r="W1145" s="24"/>
      <c r="X1145" s="139"/>
      <c r="Y1145" s="3">
        <f t="shared" si="81"/>
        <v>1136</v>
      </c>
      <c r="AA1145" s="24"/>
      <c r="AC1145" s="24" t="str">
        <f t="shared" si="80"/>
        <v/>
      </c>
      <c r="AE1145" s="42" t="str">
        <f t="shared" si="82"/>
        <v/>
      </c>
      <c r="AG1145" s="162"/>
      <c r="AH1145" s="10"/>
      <c r="AI1145" s="10"/>
      <c r="AJ1145" s="10"/>
    </row>
    <row r="1146" spans="1:36" ht="13.5" thickTop="1">
      <c r="A1146" s="136"/>
      <c r="B1146" s="47"/>
      <c r="C1146" s="47"/>
      <c r="D1146" s="47"/>
      <c r="E1146" s="7">
        <f>+G1146-Adjustments!G1144</f>
        <v>0</v>
      </c>
      <c r="F1146" s="7"/>
      <c r="G1146" s="7"/>
      <c r="H1146" s="7"/>
      <c r="I1146" s="7"/>
      <c r="J1146" s="7">
        <f>+I1146-'ROR-Model'!I1146</f>
        <v>0</v>
      </c>
      <c r="K1146" s="7"/>
      <c r="L1146" s="7"/>
      <c r="M1146" s="7"/>
      <c r="N1146" s="7"/>
      <c r="O1146" s="120"/>
      <c r="P1146" s="126"/>
      <c r="Q1146" s="7"/>
      <c r="R1146" s="7"/>
      <c r="S1146" s="126"/>
      <c r="T1146" s="7"/>
      <c r="U1146" s="7"/>
      <c r="V1146" s="124"/>
      <c r="W1146" s="7"/>
      <c r="X1146" s="139"/>
      <c r="Y1146" s="3">
        <f t="shared" si="81"/>
        <v>1137</v>
      </c>
      <c r="AA1146" s="7"/>
      <c r="AC1146" s="7" t="str">
        <f t="shared" si="80"/>
        <v/>
      </c>
      <c r="AE1146" s="42" t="str">
        <f t="shared" si="82"/>
        <v/>
      </c>
      <c r="AG1146" s="162"/>
      <c r="AH1146" s="10"/>
      <c r="AI1146" s="10"/>
      <c r="AJ1146" s="10"/>
    </row>
    <row r="1147" spans="1:36">
      <c r="A1147" s="209" t="s">
        <v>256</v>
      </c>
      <c r="B1147" s="47"/>
      <c r="C1147" s="47"/>
      <c r="D1147" s="47"/>
      <c r="E1147" s="7">
        <f>+G1147-Adjustments!G1145</f>
        <v>0</v>
      </c>
      <c r="F1147" s="7"/>
      <c r="G1147" s="7"/>
      <c r="H1147" s="7"/>
      <c r="I1147" s="7"/>
      <c r="J1147" s="7">
        <f>+I1147-'ROR-Model'!I1147</f>
        <v>0</v>
      </c>
      <c r="K1147" s="7"/>
      <c r="L1147" s="7"/>
      <c r="M1147" s="7"/>
      <c r="N1147" s="7"/>
      <c r="O1147" s="120"/>
      <c r="P1147" s="126"/>
      <c r="Q1147" s="7"/>
      <c r="R1147" s="7"/>
      <c r="S1147" s="126"/>
      <c r="T1147" s="7"/>
      <c r="U1147" s="7"/>
      <c r="V1147" s="124"/>
      <c r="W1147" s="7"/>
      <c r="X1147" s="139"/>
      <c r="Y1147" s="3">
        <f t="shared" si="81"/>
        <v>1138</v>
      </c>
      <c r="AA1147" s="7"/>
      <c r="AC1147" s="7" t="str">
        <f t="shared" si="80"/>
        <v/>
      </c>
      <c r="AE1147" s="42" t="str">
        <f t="shared" si="82"/>
        <v/>
      </c>
      <c r="AG1147" s="162" t="s">
        <v>256</v>
      </c>
      <c r="AH1147" s="10"/>
      <c r="AI1147" s="10"/>
      <c r="AJ1147" s="10"/>
    </row>
    <row r="1148" spans="1:36">
      <c r="A1148" s="136"/>
      <c r="B1148" s="47" t="s">
        <v>399</v>
      </c>
      <c r="C1148" s="47"/>
      <c r="D1148" s="47"/>
      <c r="E1148" s="7">
        <f>+G1148-Adjustments!G1146</f>
        <v>227626.06722916005</v>
      </c>
      <c r="F1148" s="7">
        <f t="shared" ref="F1148:H1149" si="84">F1108+F1119+F1126+F1133+F1140</f>
        <v>974786.16000000224</v>
      </c>
      <c r="G1148" s="7">
        <f t="shared" si="84"/>
        <v>227626.06722916005</v>
      </c>
      <c r="H1148" s="7">
        <f t="shared" si="84"/>
        <v>0</v>
      </c>
      <c r="I1148" s="7">
        <f>SUM(F1148:H1148)</f>
        <v>1202412.2272291624</v>
      </c>
      <c r="J1148" s="7">
        <f>+I1148-'ROR-Model'!I1148</f>
        <v>0</v>
      </c>
      <c r="K1148" s="7"/>
      <c r="L1148" s="7"/>
      <c r="M1148" s="7">
        <f>M1108+M1119+M1126+M1133+M1140</f>
        <v>1163775.1700434575</v>
      </c>
      <c r="N1148" s="7">
        <f>N1108+N1119+N1126+N1133+N1140</f>
        <v>38637.057185706915</v>
      </c>
      <c r="O1148" s="120"/>
      <c r="P1148" s="192"/>
      <c r="Q1148" s="7">
        <f>Q1108+Q1119+Q1126+Q1133+Q1140</f>
        <v>1163775.1700434575</v>
      </c>
      <c r="R1148" s="7">
        <f>R1108+R1119+R1126+R1133+R1140</f>
        <v>0</v>
      </c>
      <c r="S1148" s="126"/>
      <c r="T1148" s="7">
        <f>T1108+T1119+T1126+T1133+T1140</f>
        <v>0</v>
      </c>
      <c r="U1148" s="7">
        <f>U1108+U1119+U1126+U1133+U1140</f>
        <v>38637.057185706915</v>
      </c>
      <c r="V1148" s="124"/>
      <c r="W1148" s="7">
        <f>HLOOKUP($W$9,'ROR-Model'!$Q$10:$U$1273,Y1148)</f>
        <v>1163775.1700434575</v>
      </c>
      <c r="X1148" s="139"/>
      <c r="Y1148" s="3">
        <f t="shared" si="81"/>
        <v>1139</v>
      </c>
      <c r="AA1148" s="7">
        <v>3606079.753971546</v>
      </c>
      <c r="AC1148" s="7">
        <f t="shared" si="80"/>
        <v>-2442304.5839280887</v>
      </c>
      <c r="AE1148" s="42">
        <f t="shared" si="82"/>
        <v>-0.67727414548673337</v>
      </c>
      <c r="AG1148" s="162"/>
      <c r="AH1148" s="10" t="s">
        <v>399</v>
      </c>
      <c r="AI1148" s="10"/>
      <c r="AJ1148" s="10"/>
    </row>
    <row r="1149" spans="1:36">
      <c r="A1149" s="136"/>
      <c r="B1149" s="47" t="s">
        <v>542</v>
      </c>
      <c r="C1149" s="47"/>
      <c r="D1149" s="47"/>
      <c r="E1149" s="7">
        <f>+G1149-Adjustments!G1147</f>
        <v>-506002.66708333092</v>
      </c>
      <c r="F1149" s="7">
        <f t="shared" si="84"/>
        <v>67635963.530000016</v>
      </c>
      <c r="G1149" s="7">
        <f t="shared" si="84"/>
        <v>-506002.66708333092</v>
      </c>
      <c r="H1149" s="7">
        <f t="shared" si="84"/>
        <v>0</v>
      </c>
      <c r="I1149" s="7">
        <f t="shared" ref="I1149:I1151" si="85">SUM(F1149:H1149)</f>
        <v>67129960.862916678</v>
      </c>
      <c r="J1149" s="7">
        <f>+I1149-'ROR-Model'!I1149</f>
        <v>0</v>
      </c>
      <c r="K1149" s="7"/>
      <c r="L1149" s="7"/>
      <c r="M1149" s="7">
        <f>M1109+M1120+M1127+M1134+M1141</f>
        <v>0</v>
      </c>
      <c r="N1149" s="7">
        <f>N1109+N1120+N1127+N1134+N1141</f>
        <v>67129960.862916678</v>
      </c>
      <c r="O1149" s="120"/>
      <c r="P1149" s="192"/>
      <c r="Q1149" s="7">
        <f>Q1109+Q1120+Q1127+Q1134+Q1141</f>
        <v>0</v>
      </c>
      <c r="R1149" s="7">
        <f>R1109+R1120+R1127+R1134+R1141</f>
        <v>0</v>
      </c>
      <c r="S1149" s="126"/>
      <c r="T1149" s="7">
        <f>T1109+T1120+T1127+T1134+T1141</f>
        <v>67129960.862916678</v>
      </c>
      <c r="U1149" s="7">
        <f>U1109+U1120+U1127+U1134+U1141</f>
        <v>0</v>
      </c>
      <c r="V1149" s="124"/>
      <c r="W1149" s="7">
        <f>HLOOKUP($W$9,'ROR-Model'!$Q$10:$U$1273,Y1149)</f>
        <v>0</v>
      </c>
      <c r="X1149" s="139"/>
      <c r="Y1149" s="3">
        <f t="shared" si="81"/>
        <v>1140</v>
      </c>
      <c r="AA1149" s="7">
        <v>0</v>
      </c>
      <c r="AC1149" s="7" t="str">
        <f t="shared" si="80"/>
        <v/>
      </c>
      <c r="AE1149" s="42" t="str">
        <f t="shared" si="82"/>
        <v/>
      </c>
      <c r="AG1149" s="162"/>
      <c r="AH1149" s="10" t="s">
        <v>542</v>
      </c>
      <c r="AI1149" s="10"/>
      <c r="AJ1149" s="10"/>
    </row>
    <row r="1150" spans="1:36">
      <c r="A1150" s="136"/>
      <c r="B1150" s="47" t="s">
        <v>543</v>
      </c>
      <c r="C1150" s="47"/>
      <c r="D1150" s="47"/>
      <c r="E1150" s="7">
        <f>+G1150-Adjustments!G1148</f>
        <v>-202451528.25416678</v>
      </c>
      <c r="F1150" s="7">
        <f t="shared" ref="F1150:H1151" si="86">F1110+F1115+F1121+F1128+F1135+F1142</f>
        <v>2864371061.6095724</v>
      </c>
      <c r="G1150" s="7">
        <f t="shared" si="86"/>
        <v>-202451528.25416678</v>
      </c>
      <c r="H1150" s="7">
        <f t="shared" si="86"/>
        <v>0</v>
      </c>
      <c r="I1150" s="7">
        <f t="shared" si="85"/>
        <v>2661919533.3554058</v>
      </c>
      <c r="J1150" s="7">
        <f>+I1150-'ROR-Model'!I1150</f>
        <v>0</v>
      </c>
      <c r="K1150" s="7"/>
      <c r="L1150" s="7"/>
      <c r="M1150" s="7">
        <f>M1110+M1115+M1121+M1128+M1135+M1142</f>
        <v>2661919533.3554053</v>
      </c>
      <c r="N1150" s="7">
        <f>N1110+N1115+N1121+N1128+N1135+N1142</f>
        <v>0</v>
      </c>
      <c r="O1150" s="120"/>
      <c r="P1150" s="192"/>
      <c r="Q1150" s="7">
        <f>Q1110+Q1115+Q1121+Q1128+Q1135+Q1142</f>
        <v>2661919533.3554053</v>
      </c>
      <c r="R1150" s="7">
        <f>R1110+R1115+R1121+R1128+R1135+R1142</f>
        <v>0</v>
      </c>
      <c r="S1150" s="126"/>
      <c r="T1150" s="7">
        <f>T1110+T1115+T1121+T1128+T1135+T1142</f>
        <v>0</v>
      </c>
      <c r="U1150" s="7">
        <f>U1110+U1115+U1121+U1128+U1135+U1142</f>
        <v>0</v>
      </c>
      <c r="V1150" s="124"/>
      <c r="W1150" s="7">
        <f>HLOOKUP($W$9,'ROR-Model'!$Q$10:$U$1273,Y1150)</f>
        <v>2661919533.3554053</v>
      </c>
      <c r="X1150" s="139"/>
      <c r="Y1150" s="3">
        <f t="shared" si="81"/>
        <v>1141</v>
      </c>
      <c r="AA1150" s="7">
        <v>1813558939.8610835</v>
      </c>
      <c r="AC1150" s="7">
        <f t="shared" si="80"/>
        <v>848360593.49432182</v>
      </c>
      <c r="AE1150" s="42">
        <f t="shared" si="82"/>
        <v>0.46778771555078613</v>
      </c>
      <c r="AG1150" s="162"/>
      <c r="AH1150" s="10" t="s">
        <v>543</v>
      </c>
      <c r="AI1150" s="10"/>
      <c r="AJ1150" s="10"/>
    </row>
    <row r="1151" spans="1:36">
      <c r="A1151" s="136"/>
      <c r="B1151" s="47" t="s">
        <v>544</v>
      </c>
      <c r="C1151" s="47"/>
      <c r="D1151" s="47"/>
      <c r="E1151" s="7">
        <f>+G1151-Adjustments!G1149</f>
        <v>-8252646.3023766149</v>
      </c>
      <c r="F1151" s="7">
        <f>F1111+F1122+F1129+F1136+F1143</f>
        <v>-47133971.720000029</v>
      </c>
      <c r="G1151" s="7">
        <f t="shared" si="86"/>
        <v>-8252646.3023766149</v>
      </c>
      <c r="H1151" s="7">
        <f>H1111+H1122+H1129+H1136+H1143</f>
        <v>0</v>
      </c>
      <c r="I1151" s="7">
        <f t="shared" si="85"/>
        <v>-55386618.022376642</v>
      </c>
      <c r="J1151" s="7">
        <f>+I1151-'ROR-Model'!I1151</f>
        <v>0</v>
      </c>
      <c r="K1151" s="7"/>
      <c r="L1151" s="7"/>
      <c r="M1151" s="7">
        <f>M1111+M1122+M1129+M1136+M1143</f>
        <v>-63634411.462653577</v>
      </c>
      <c r="N1151" s="7">
        <f>N1111+N1122+N1129+N1136+N1143</f>
        <v>8247793.4402770009</v>
      </c>
      <c r="O1151" s="120"/>
      <c r="P1151" s="192"/>
      <c r="Q1151" s="7">
        <f>Q1111+Q1122+Q1129+Q1136+Q1143</f>
        <v>-63634411.462653577</v>
      </c>
      <c r="R1151" s="7">
        <f>R1111+R1122+R1129+R1136+R1143</f>
        <v>0</v>
      </c>
      <c r="S1151" s="126"/>
      <c r="T1151" s="7">
        <f>T1111+T1122+T1129+T1136+T1143</f>
        <v>8247793.4402770009</v>
      </c>
      <c r="U1151" s="7">
        <f>U1111+U1122+U1129+U1136+U1143</f>
        <v>0</v>
      </c>
      <c r="V1151" s="124"/>
      <c r="W1151" s="7">
        <f>HLOOKUP($W$9,'ROR-Model'!$Q$10:$U$1273,Y1151)</f>
        <v>-63634411.462653577</v>
      </c>
      <c r="X1151" s="139"/>
      <c r="Y1151" s="3">
        <f t="shared" si="81"/>
        <v>1142</v>
      </c>
      <c r="AA1151" s="7">
        <v>-115667639.0076105</v>
      </c>
      <c r="AC1151" s="7">
        <f t="shared" si="80"/>
        <v>52033227.544956923</v>
      </c>
      <c r="AE1151" s="42">
        <f t="shared" si="82"/>
        <v>-0.4498512115522072</v>
      </c>
      <c r="AG1151" s="162"/>
      <c r="AH1151" s="10" t="s">
        <v>544</v>
      </c>
      <c r="AI1151" s="10"/>
      <c r="AJ1151" s="10"/>
    </row>
    <row r="1152" spans="1:36" ht="13.5" thickBot="1">
      <c r="A1152" s="136"/>
      <c r="B1152" s="47"/>
      <c r="C1152" s="47"/>
      <c r="D1152" s="47"/>
      <c r="E1152" s="24">
        <f>+G1152-Adjustments!G1150</f>
        <v>0</v>
      </c>
      <c r="F1152" s="24"/>
      <c r="G1152" s="24"/>
      <c r="H1152" s="24"/>
      <c r="I1152" s="24"/>
      <c r="J1152" s="7">
        <f>+I1152-'ROR-Model'!I1152</f>
        <v>0</v>
      </c>
      <c r="K1152" s="7"/>
      <c r="L1152" s="24"/>
      <c r="M1152" s="24"/>
      <c r="N1152" s="24"/>
      <c r="O1152" s="120"/>
      <c r="P1152" s="202"/>
      <c r="Q1152" s="24"/>
      <c r="R1152" s="24"/>
      <c r="S1152" s="202"/>
      <c r="T1152" s="24"/>
      <c r="U1152" s="24"/>
      <c r="V1152" s="124"/>
      <c r="W1152" s="24"/>
      <c r="X1152" s="139"/>
      <c r="Y1152" s="3">
        <f t="shared" si="81"/>
        <v>1143</v>
      </c>
      <c r="AA1152" s="24"/>
      <c r="AC1152" s="24" t="str">
        <f t="shared" si="80"/>
        <v/>
      </c>
      <c r="AE1152" s="42" t="str">
        <f t="shared" si="82"/>
        <v/>
      </c>
      <c r="AG1152" s="162"/>
      <c r="AH1152" s="10"/>
      <c r="AI1152" s="10"/>
      <c r="AJ1152" s="10"/>
    </row>
    <row r="1153" spans="1:36" ht="13.5" thickTop="1">
      <c r="A1153" s="136"/>
      <c r="B1153" s="47"/>
      <c r="C1153" s="47"/>
      <c r="D1153" s="47"/>
      <c r="E1153" s="7">
        <f>+G1153-Adjustments!G1151</f>
        <v>0</v>
      </c>
      <c r="F1153" s="7"/>
      <c r="G1153" s="7"/>
      <c r="H1153" s="7"/>
      <c r="I1153" s="7"/>
      <c r="J1153" s="7">
        <f>+I1153-'ROR-Model'!I1153</f>
        <v>0</v>
      </c>
      <c r="K1153" s="7"/>
      <c r="L1153" s="7"/>
      <c r="M1153" s="7"/>
      <c r="N1153" s="7"/>
      <c r="O1153" s="120"/>
      <c r="P1153" s="192"/>
      <c r="Q1153" s="7"/>
      <c r="R1153" s="7"/>
      <c r="S1153" s="126"/>
      <c r="T1153" s="7"/>
      <c r="U1153" s="7"/>
      <c r="V1153" s="124"/>
      <c r="W1153" s="7"/>
      <c r="X1153" s="139"/>
      <c r="Y1153" s="3">
        <f t="shared" si="81"/>
        <v>1144</v>
      </c>
      <c r="AA1153" s="7"/>
      <c r="AC1153" s="7" t="str">
        <f t="shared" si="80"/>
        <v/>
      </c>
      <c r="AE1153" s="42" t="str">
        <f t="shared" si="82"/>
        <v/>
      </c>
      <c r="AG1153" s="162"/>
      <c r="AH1153" s="10"/>
      <c r="AI1153" s="10"/>
      <c r="AJ1153" s="10"/>
    </row>
    <row r="1154" spans="1:36">
      <c r="A1154" s="136"/>
      <c r="B1154" s="210" t="s">
        <v>256</v>
      </c>
      <c r="C1154" s="47"/>
      <c r="D1154" s="47"/>
      <c r="E1154" s="7">
        <f>+G1154-Adjustments!G1152</f>
        <v>-210982551.15639755</v>
      </c>
      <c r="F1154" s="7">
        <f>F1112+F1116+F1123+F1130+F1137+F1144</f>
        <v>2885847839.5795727</v>
      </c>
      <c r="G1154" s="7">
        <f>G1112+G1116+G1123+G1130+G1137+G1144</f>
        <v>-210982551.15639755</v>
      </c>
      <c r="H1154" s="7">
        <f>H1112+H1116+H1123+H1130+H1137+H1144</f>
        <v>0</v>
      </c>
      <c r="I1154" s="49">
        <f>I1112+I1116+I1123+I1130+I1137+I1144</f>
        <v>2674865288.4231744</v>
      </c>
      <c r="J1154" s="7">
        <f>+I1154-'ROR-Model'!I1154</f>
        <v>0</v>
      </c>
      <c r="K1154" s="7"/>
      <c r="L1154" s="7"/>
      <c r="M1154" s="7">
        <f>M1112+M1116+M1123+M1130+M1137+M1144</f>
        <v>2599448897.0627956</v>
      </c>
      <c r="N1154" s="7">
        <f>N1112+N1116+N1123+N1130+N1137+N1144</f>
        <v>75416391.360379353</v>
      </c>
      <c r="O1154" s="120"/>
      <c r="P1154" s="192"/>
      <c r="Q1154" s="7">
        <f>Q1112+Q1116+Q1123+Q1130+Q1137+Q1144</f>
        <v>2599448897.0627956</v>
      </c>
      <c r="R1154" s="7">
        <f>R1112+R1116+R1123+R1130+R1137+R1144</f>
        <v>0</v>
      </c>
      <c r="S1154" s="126"/>
      <c r="T1154" s="7">
        <f>T1112+T1116+T1123+T1130+T1137+T1144</f>
        <v>75377754.303193659</v>
      </c>
      <c r="U1154" s="7">
        <f>U1112+U1116+U1123+U1130+U1137+U1144</f>
        <v>38637.057185706915</v>
      </c>
      <c r="V1154" s="124"/>
      <c r="W1154" s="7">
        <f>HLOOKUP($W$9,'ROR-Model'!$Q$10:$U$1273,Y1154)</f>
        <v>2599448897.0627956</v>
      </c>
      <c r="X1154" s="139"/>
      <c r="Y1154" s="3">
        <f t="shared" si="81"/>
        <v>1145</v>
      </c>
      <c r="AA1154" s="7">
        <v>1701497380.6074448</v>
      </c>
      <c r="AC1154" s="7">
        <f t="shared" si="80"/>
        <v>897951516.45535088</v>
      </c>
      <c r="AE1154" s="42">
        <f t="shared" si="82"/>
        <v>0.52774193289370608</v>
      </c>
      <c r="AG1154" s="162"/>
      <c r="AH1154" t="s">
        <v>256</v>
      </c>
      <c r="AI1154" s="10"/>
      <c r="AJ1154" s="10"/>
    </row>
    <row r="1155" spans="1:36">
      <c r="A1155" s="136"/>
      <c r="B1155" s="47"/>
      <c r="C1155" s="47"/>
      <c r="D1155" s="47"/>
      <c r="E1155" s="7">
        <f>+G1155-Adjustments!G1153</f>
        <v>0</v>
      </c>
      <c r="F1155" s="7"/>
      <c r="G1155" s="7"/>
      <c r="H1155" s="7"/>
      <c r="I1155" s="7"/>
      <c r="J1155" s="7">
        <f>+I1155-'ROR-Model'!I1155</f>
        <v>0</v>
      </c>
      <c r="K1155" s="7"/>
      <c r="L1155" s="7"/>
      <c r="M1155" s="7"/>
      <c r="N1155" s="7"/>
      <c r="O1155" s="120"/>
      <c r="P1155" s="126"/>
      <c r="Q1155" s="7"/>
      <c r="R1155" s="7"/>
      <c r="S1155" s="126"/>
      <c r="T1155" s="7"/>
      <c r="U1155" s="7"/>
      <c r="V1155" s="124"/>
      <c r="W1155" s="7"/>
      <c r="X1155" s="139"/>
      <c r="Y1155" s="3">
        <f t="shared" si="81"/>
        <v>1146</v>
      </c>
      <c r="AA1155" s="7"/>
      <c r="AC1155" s="7" t="str">
        <f t="shared" si="80"/>
        <v/>
      </c>
      <c r="AE1155" s="42" t="str">
        <f t="shared" si="82"/>
        <v/>
      </c>
      <c r="AG1155" s="162"/>
      <c r="AH1155" s="10"/>
      <c r="AI1155" s="10"/>
      <c r="AJ1155" s="10"/>
    </row>
    <row r="1156" spans="1:36">
      <c r="A1156" s="136"/>
      <c r="B1156" s="47"/>
      <c r="C1156" s="47"/>
      <c r="D1156" s="47"/>
      <c r="E1156" s="7">
        <f>+G1156-Adjustments!G1154</f>
        <v>0</v>
      </c>
      <c r="F1156" s="7"/>
      <c r="G1156" s="7"/>
      <c r="H1156" s="7"/>
      <c r="I1156" s="7"/>
      <c r="J1156" s="7">
        <f>+I1156-'ROR-Model'!I1156</f>
        <v>0</v>
      </c>
      <c r="K1156" s="7"/>
      <c r="L1156" s="7"/>
      <c r="M1156" s="7"/>
      <c r="N1156" s="7"/>
      <c r="O1156" s="120"/>
      <c r="P1156" s="126"/>
      <c r="Q1156" s="7"/>
      <c r="R1156" s="7"/>
      <c r="S1156" s="126"/>
      <c r="T1156" s="7"/>
      <c r="U1156" s="7"/>
      <c r="V1156" s="124"/>
      <c r="W1156" s="7"/>
      <c r="X1156" s="139"/>
      <c r="Y1156" s="3">
        <f t="shared" si="81"/>
        <v>1147</v>
      </c>
      <c r="AA1156" s="7"/>
      <c r="AC1156" s="7" t="str">
        <f t="shared" si="80"/>
        <v/>
      </c>
      <c r="AE1156" s="42" t="str">
        <f t="shared" si="82"/>
        <v/>
      </c>
      <c r="AG1156" s="162"/>
      <c r="AH1156" s="10"/>
      <c r="AI1156" s="10"/>
      <c r="AJ1156" s="10"/>
    </row>
    <row r="1157" spans="1:36">
      <c r="A1157" s="116" t="s">
        <v>150</v>
      </c>
      <c r="B1157" s="47"/>
      <c r="C1157" s="47"/>
      <c r="D1157" s="47"/>
      <c r="E1157" s="7">
        <f>+G1157-Adjustments!G1155</f>
        <v>0</v>
      </c>
      <c r="F1157" s="7"/>
      <c r="G1157" s="7"/>
      <c r="H1157" s="7"/>
      <c r="I1157" s="7"/>
      <c r="J1157" s="7">
        <f>+I1157-'ROR-Model'!I1157</f>
        <v>0</v>
      </c>
      <c r="K1157" s="7"/>
      <c r="L1157" s="7"/>
      <c r="M1157" s="7"/>
      <c r="N1157" s="7"/>
      <c r="O1157" s="120"/>
      <c r="P1157" s="126"/>
      <c r="Q1157" s="7"/>
      <c r="R1157" s="7"/>
      <c r="S1157" s="126"/>
      <c r="T1157" s="7"/>
      <c r="U1157" s="7"/>
      <c r="V1157" s="124"/>
      <c r="W1157" s="7"/>
      <c r="X1157" s="139"/>
      <c r="Y1157" s="3">
        <f t="shared" si="81"/>
        <v>1148</v>
      </c>
      <c r="AA1157" s="7"/>
      <c r="AC1157" s="7" t="str">
        <f t="shared" si="80"/>
        <v/>
      </c>
      <c r="AE1157" s="42" t="str">
        <f t="shared" si="82"/>
        <v/>
      </c>
      <c r="AG1157" s="162" t="s">
        <v>150</v>
      </c>
      <c r="AH1157" s="10"/>
      <c r="AI1157" s="10"/>
      <c r="AJ1157" s="10"/>
    </row>
    <row r="1158" spans="1:36">
      <c r="A1158" s="136"/>
      <c r="B1158" s="47"/>
      <c r="C1158" s="47"/>
      <c r="D1158" s="47"/>
      <c r="E1158" s="7">
        <f>+G1158-Adjustments!G1156</f>
        <v>0</v>
      </c>
      <c r="F1158" s="7"/>
      <c r="G1158" s="7"/>
      <c r="H1158" s="7"/>
      <c r="I1158" s="7"/>
      <c r="J1158" s="7">
        <f>+I1158-'ROR-Model'!I1158</f>
        <v>0</v>
      </c>
      <c r="K1158" s="7"/>
      <c r="L1158" s="7"/>
      <c r="M1158" s="7"/>
      <c r="N1158" s="7"/>
      <c r="O1158" s="120"/>
      <c r="P1158" s="126"/>
      <c r="Q1158" s="7"/>
      <c r="R1158" s="7"/>
      <c r="S1158" s="126"/>
      <c r="T1158" s="7"/>
      <c r="U1158" s="7"/>
      <c r="V1158" s="124"/>
      <c r="W1158" s="7"/>
      <c r="X1158" s="139"/>
      <c r="Y1158" s="3">
        <f t="shared" si="81"/>
        <v>1149</v>
      </c>
      <c r="AA1158" s="7"/>
      <c r="AC1158" s="7" t="str">
        <f t="shared" si="80"/>
        <v/>
      </c>
      <c r="AE1158" s="42" t="str">
        <f t="shared" si="82"/>
        <v/>
      </c>
      <c r="AG1158" s="162"/>
      <c r="AH1158" s="10"/>
      <c r="AI1158" s="10"/>
      <c r="AJ1158" s="10"/>
    </row>
    <row r="1159" spans="1:36">
      <c r="A1159" s="137">
        <v>154</v>
      </c>
      <c r="B1159" s="47" t="s">
        <v>273</v>
      </c>
      <c r="C1159" s="47"/>
      <c r="D1159" s="47"/>
      <c r="E1159" s="7">
        <f>+G1159-Adjustments!G1157</f>
        <v>0</v>
      </c>
      <c r="F1159" s="7"/>
      <c r="G1159" s="7"/>
      <c r="H1159" s="7"/>
      <c r="I1159" s="7"/>
      <c r="J1159" s="7">
        <f>+I1159-'ROR-Model'!I1159</f>
        <v>0</v>
      </c>
      <c r="K1159" s="7"/>
      <c r="L1159" s="7"/>
      <c r="M1159" s="7"/>
      <c r="N1159" s="7"/>
      <c r="O1159" s="120"/>
      <c r="P1159" s="126"/>
      <c r="Q1159" s="7"/>
      <c r="R1159" s="7"/>
      <c r="S1159" s="126"/>
      <c r="T1159" s="7"/>
      <c r="U1159" s="7"/>
      <c r="V1159" s="124"/>
      <c r="W1159" s="7"/>
      <c r="X1159" s="139"/>
      <c r="Y1159" s="3">
        <f t="shared" si="81"/>
        <v>1150</v>
      </c>
      <c r="AA1159" s="7"/>
      <c r="AC1159" s="7" t="str">
        <f t="shared" si="80"/>
        <v/>
      </c>
      <c r="AE1159" s="42" t="str">
        <f t="shared" si="82"/>
        <v/>
      </c>
      <c r="AG1159" s="162">
        <v>154</v>
      </c>
      <c r="AH1159" s="10" t="s">
        <v>273</v>
      </c>
      <c r="AI1159" s="10"/>
      <c r="AJ1159" s="10"/>
    </row>
    <row r="1160" spans="1:36">
      <c r="A1160" s="137"/>
      <c r="B1160" s="47"/>
      <c r="C1160" s="47" t="s">
        <v>23</v>
      </c>
      <c r="D1160" s="47"/>
      <c r="E1160" s="7">
        <f>+G1160-Adjustments!G1158</f>
        <v>-276423.93917611276</v>
      </c>
      <c r="F1160" s="7">
        <f>+'Rate Base'!$T$198</f>
        <v>1048658.99678725</v>
      </c>
      <c r="G1160" s="7">
        <f>+Adjustments!V1140</f>
        <v>-276423.93917611276</v>
      </c>
      <c r="H1160" s="7"/>
      <c r="I1160" s="7">
        <f>SUM($F$1160:$H$1160)</f>
        <v>772235.05761113728</v>
      </c>
      <c r="J1160" s="7">
        <f>+I1160-'ROR-Model'!I1160</f>
        <v>0</v>
      </c>
      <c r="K1160" s="7"/>
      <c r="L1160" s="7" t="s">
        <v>23</v>
      </c>
      <c r="M1160" s="7">
        <f>VLOOKUP($L1160,$L$2:$N$7,2,FALSE)*I1160</f>
        <v>0</v>
      </c>
      <c r="N1160" s="7">
        <f>VLOOKUP($L1160,$L$2:$N$7,3,FALSE)*I1160</f>
        <v>772235.05761113728</v>
      </c>
      <c r="O1160" s="120"/>
      <c r="P1160" s="192" t="s">
        <v>510</v>
      </c>
      <c r="Q1160" s="7">
        <f>IF(P1160="G",M1160,IF(P1160="PT",0,ERR))</f>
        <v>0</v>
      </c>
      <c r="R1160" s="7">
        <f>IF(P1160="PT",M1160,IF(P1160="G",0,ERR))</f>
        <v>0</v>
      </c>
      <c r="S1160" s="126" t="s">
        <v>510</v>
      </c>
      <c r="T1160" s="7">
        <f>IF(S1160="G",N1160,IF(S1160="PT",0,ERR))</f>
        <v>772235.05761113728</v>
      </c>
      <c r="U1160" s="7">
        <f>IF(S1160="PT",N1160,IF(S1160="G",0,ERR))</f>
        <v>0</v>
      </c>
      <c r="V1160" s="124"/>
      <c r="W1160" s="7">
        <f>HLOOKUP($W$9,'ROR-Model'!$Q$10:$U$1273,Y1160)</f>
        <v>0</v>
      </c>
      <c r="X1160" s="139"/>
      <c r="Y1160" s="3">
        <f t="shared" si="81"/>
        <v>1151</v>
      </c>
      <c r="AA1160" s="7">
        <v>0</v>
      </c>
      <c r="AC1160" s="7" t="str">
        <f t="shared" si="80"/>
        <v/>
      </c>
      <c r="AE1160" s="42" t="str">
        <f t="shared" si="82"/>
        <v/>
      </c>
      <c r="AG1160" s="162"/>
      <c r="AH1160" s="10"/>
      <c r="AI1160" s="10" t="s">
        <v>23</v>
      </c>
      <c r="AJ1160" s="10"/>
    </row>
    <row r="1161" spans="1:36">
      <c r="A1161" s="137"/>
      <c r="B1161" s="47"/>
      <c r="C1161" s="47" t="s">
        <v>12</v>
      </c>
      <c r="D1161" s="47"/>
      <c r="E1161" s="7">
        <f>+G1161-Adjustments!G1159</f>
        <v>-9595295.5045738854</v>
      </c>
      <c r="F1161" s="7">
        <f>+'Rate Base'!$T$199</f>
        <v>36401308.033212751</v>
      </c>
      <c r="G1161" s="7">
        <f>+Adjustments!V1141</f>
        <v>-9595295.5045738854</v>
      </c>
      <c r="H1161" s="7"/>
      <c r="I1161" s="7">
        <f>SUM($F$1161:$H$1161)</f>
        <v>26806012.528638866</v>
      </c>
      <c r="J1161" s="7">
        <f>+I1161-'ROR-Model'!I1161</f>
        <v>0</v>
      </c>
      <c r="K1161" s="7"/>
      <c r="L1161" s="7" t="s">
        <v>12</v>
      </c>
      <c r="M1161" s="7">
        <f>VLOOKUP($L1161,$L$2:$N$7,2,FALSE)*I1161</f>
        <v>26806012.528638866</v>
      </c>
      <c r="N1161" s="7">
        <f>VLOOKUP($L1161,$L$2:$N$7,3,FALSE)*I1161</f>
        <v>0</v>
      </c>
      <c r="O1161" s="120"/>
      <c r="P1161" s="192" t="s">
        <v>510</v>
      </c>
      <c r="Q1161" s="7">
        <f>IF(P1161="G",M1161,IF(P1161="PT",0,ERR))</f>
        <v>26806012.528638866</v>
      </c>
      <c r="R1161" s="7">
        <f>IF(P1161="PT",M1161,IF(P1161="G",0,ERR))</f>
        <v>0</v>
      </c>
      <c r="S1161" s="126" t="s">
        <v>510</v>
      </c>
      <c r="T1161" s="7">
        <f>IF(S1161="G",N1161,IF(S1161="PT",0,ERR))</f>
        <v>0</v>
      </c>
      <c r="U1161" s="7">
        <f>IF(S1161="PT",N1161,IF(S1161="G",0,ERR))</f>
        <v>0</v>
      </c>
      <c r="V1161" s="124"/>
      <c r="W1161" s="7">
        <f>HLOOKUP($W$9,'ROR-Model'!$Q$10:$U$1273,Y1161)</f>
        <v>26806012.528638866</v>
      </c>
      <c r="X1161" s="139"/>
      <c r="Y1161" s="3">
        <f t="shared" si="81"/>
        <v>1152</v>
      </c>
      <c r="AA1161" s="7">
        <v>24939497.639630824</v>
      </c>
      <c r="AC1161" s="7">
        <f t="shared" si="80"/>
        <v>1866514.8890080415</v>
      </c>
      <c r="AE1161" s="42">
        <f t="shared" si="82"/>
        <v>7.4841719587887864E-2</v>
      </c>
      <c r="AG1161" s="162"/>
      <c r="AH1161" s="10"/>
      <c r="AI1161" s="10" t="s">
        <v>12</v>
      </c>
      <c r="AJ1161" s="10"/>
    </row>
    <row r="1162" spans="1:36">
      <c r="A1162" s="137"/>
      <c r="B1162" s="47"/>
      <c r="C1162" s="47" t="s">
        <v>145</v>
      </c>
      <c r="D1162" s="47"/>
      <c r="E1162" s="140">
        <f>+G1162-Adjustments!G1160</f>
        <v>-9871719.4437499978</v>
      </c>
      <c r="F1162" s="140">
        <f>SUM(F1160:F1161)</f>
        <v>37449967.030000001</v>
      </c>
      <c r="G1162" s="140">
        <f>SUM(G1160:G1161)</f>
        <v>-9871719.4437499978</v>
      </c>
      <c r="H1162" s="140">
        <f>SUM(H1160:H1161)</f>
        <v>0</v>
      </c>
      <c r="I1162" s="140">
        <f>SUM(I1160:I1161)</f>
        <v>27578247.586250003</v>
      </c>
      <c r="J1162" s="7">
        <f>+I1162-'ROR-Model'!I1162</f>
        <v>0</v>
      </c>
      <c r="K1162" s="7"/>
      <c r="L1162" s="140"/>
      <c r="M1162" s="140">
        <f>SUM(M1160:M1161)</f>
        <v>26806012.528638866</v>
      </c>
      <c r="N1162" s="140">
        <f>SUM(N1160:N1161)</f>
        <v>772235.05761113728</v>
      </c>
      <c r="O1162" s="120"/>
      <c r="P1162" s="201"/>
      <c r="Q1162" s="140">
        <f>SUM(Q1160:Q1161)</f>
        <v>26806012.528638866</v>
      </c>
      <c r="R1162" s="140">
        <f>SUM(R1160:R1161)</f>
        <v>0</v>
      </c>
      <c r="S1162" s="201"/>
      <c r="T1162" s="140">
        <f>SUM(T1160:T1161)</f>
        <v>772235.05761113728</v>
      </c>
      <c r="U1162" s="140">
        <f>SUM(U1160:U1161)</f>
        <v>0</v>
      </c>
      <c r="V1162" s="124"/>
      <c r="W1162" s="140">
        <f>HLOOKUP($W$9,'ROR-Model'!$Q$10:$U$1273,Y1162)</f>
        <v>26806012.528638866</v>
      </c>
      <c r="X1162" s="139"/>
      <c r="Y1162" s="3">
        <f t="shared" si="81"/>
        <v>1153</v>
      </c>
      <c r="AA1162" s="140">
        <v>24939497.639630824</v>
      </c>
      <c r="AC1162" s="140">
        <f t="shared" si="80"/>
        <v>1866514.8890080415</v>
      </c>
      <c r="AE1162" s="42">
        <f t="shared" si="82"/>
        <v>7.4841719587887864E-2</v>
      </c>
      <c r="AG1162" s="162"/>
      <c r="AH1162" s="10"/>
      <c r="AI1162" s="10" t="s">
        <v>145</v>
      </c>
      <c r="AJ1162" s="10"/>
    </row>
    <row r="1163" spans="1:36">
      <c r="A1163" s="137"/>
      <c r="B1163" s="47"/>
      <c r="C1163" s="47"/>
      <c r="D1163" s="47"/>
      <c r="E1163" s="7">
        <f>+G1163-Adjustments!G1161</f>
        <v>0</v>
      </c>
      <c r="F1163" s="7"/>
      <c r="G1163" s="7"/>
      <c r="H1163" s="7"/>
      <c r="I1163" s="7"/>
      <c r="J1163" s="7">
        <f>+I1163-'ROR-Model'!I1163</f>
        <v>0</v>
      </c>
      <c r="K1163" s="7"/>
      <c r="L1163" s="7"/>
      <c r="M1163" s="7"/>
      <c r="N1163" s="7"/>
      <c r="O1163" s="120"/>
      <c r="P1163" s="126"/>
      <c r="Q1163" s="7"/>
      <c r="R1163" s="7"/>
      <c r="S1163" s="126"/>
      <c r="T1163" s="7"/>
      <c r="U1163" s="7"/>
      <c r="V1163" s="124"/>
      <c r="W1163" s="7"/>
      <c r="X1163" s="139"/>
      <c r="Y1163" s="3">
        <f t="shared" si="81"/>
        <v>1154</v>
      </c>
      <c r="AA1163" s="7"/>
      <c r="AC1163" s="7" t="str">
        <f t="shared" si="80"/>
        <v/>
      </c>
      <c r="AE1163" s="42" t="str">
        <f t="shared" si="82"/>
        <v/>
      </c>
      <c r="AG1163" s="162"/>
      <c r="AH1163" s="10"/>
      <c r="AI1163" s="10"/>
      <c r="AJ1163" s="10"/>
    </row>
    <row r="1164" spans="1:36">
      <c r="A1164" s="327">
        <v>1641</v>
      </c>
      <c r="B1164" s="265" t="s">
        <v>274</v>
      </c>
      <c r="C1164" s="265"/>
      <c r="D1164" s="265"/>
      <c r="E1164" s="301">
        <f>+G1164-Adjustments!G1162</f>
        <v>0</v>
      </c>
      <c r="F1164" s="301"/>
      <c r="G1164" s="301"/>
      <c r="H1164" s="301"/>
      <c r="I1164" s="301"/>
      <c r="J1164" s="7">
        <f>+I1164-'ROR-Model'!I1164</f>
        <v>0</v>
      </c>
      <c r="K1164" s="301"/>
      <c r="L1164" s="301"/>
      <c r="M1164" s="301"/>
      <c r="N1164" s="301"/>
      <c r="O1164" s="578"/>
      <c r="P1164" s="475"/>
      <c r="Q1164" s="301"/>
      <c r="R1164" s="301"/>
      <c r="S1164" s="475"/>
      <c r="T1164" s="301"/>
      <c r="U1164" s="301"/>
      <c r="V1164" s="579"/>
      <c r="W1164" s="301"/>
      <c r="X1164" s="303"/>
      <c r="Y1164" s="3">
        <f t="shared" si="81"/>
        <v>1155</v>
      </c>
      <c r="AA1164" s="301"/>
      <c r="AC1164" s="301" t="str">
        <f t="shared" si="80"/>
        <v/>
      </c>
      <c r="AE1164" s="42" t="str">
        <f t="shared" si="82"/>
        <v/>
      </c>
      <c r="AG1164" s="162">
        <v>1641</v>
      </c>
      <c r="AH1164" s="10" t="s">
        <v>274</v>
      </c>
      <c r="AI1164" s="10"/>
      <c r="AJ1164" s="10"/>
    </row>
    <row r="1165" spans="1:36">
      <c r="A1165" s="327"/>
      <c r="B1165" s="265"/>
      <c r="C1165" s="265" t="s">
        <v>399</v>
      </c>
      <c r="D1165" s="265"/>
      <c r="E1165" s="301">
        <f>+G1165-Adjustments!G1163</f>
        <v>-19959087.870000001</v>
      </c>
      <c r="F1165" s="301">
        <f>+'Rate Base'!$T$203</f>
        <v>19959087.870000001</v>
      </c>
      <c r="G1165" s="301">
        <f>-F1165</f>
        <v>-19959087.870000001</v>
      </c>
      <c r="H1165" s="301"/>
      <c r="I1165" s="301">
        <f>SUM($F$1165:$H$1165)</f>
        <v>0</v>
      </c>
      <c r="J1165" s="7">
        <f>+I1165-'ROR-Model'!I1165</f>
        <v>0</v>
      </c>
      <c r="K1165" s="301"/>
      <c r="L1165" s="301" t="s">
        <v>637</v>
      </c>
      <c r="M1165" s="301">
        <f>VLOOKUP($L1165,$L$2:$N$7,2,FALSE)*I1165</f>
        <v>0</v>
      </c>
      <c r="N1165" s="301">
        <f>VLOOKUP($L1165,$L$2:$N$7,3,FALSE)*I1165</f>
        <v>0</v>
      </c>
      <c r="O1165" s="578"/>
      <c r="P1165" s="421" t="s">
        <v>510</v>
      </c>
      <c r="Q1165" s="301">
        <f>IF(P1165="G",M1165,IF(P1165="PT",0,ERR))</f>
        <v>0</v>
      </c>
      <c r="R1165" s="301">
        <f>IF(P1165="PT",M1165,IF(P1165="G",0,ERR))</f>
        <v>0</v>
      </c>
      <c r="S1165" s="475" t="s">
        <v>510</v>
      </c>
      <c r="T1165" s="301">
        <f>IF(S1165="G",N1165,IF(S1165="PT",0,ERR))</f>
        <v>0</v>
      </c>
      <c r="U1165" s="301">
        <f>IF(S1165="PT",N1165,IF(S1165="G",0,ERR))</f>
        <v>0</v>
      </c>
      <c r="V1165" s="579"/>
      <c r="W1165" s="301">
        <f>HLOOKUP($W$9,'ROR-Model'!$Q$10:$U$1273,Y1165)</f>
        <v>0</v>
      </c>
      <c r="X1165" s="303"/>
      <c r="Y1165" s="3">
        <f t="shared" si="81"/>
        <v>1156</v>
      </c>
      <c r="AA1165" s="301">
        <v>0</v>
      </c>
      <c r="AC1165" s="301" t="str">
        <f t="shared" si="80"/>
        <v/>
      </c>
      <c r="AE1165" s="42" t="str">
        <f t="shared" si="82"/>
        <v/>
      </c>
      <c r="AG1165" s="162"/>
      <c r="AH1165" s="10"/>
      <c r="AI1165" s="10" t="s">
        <v>399</v>
      </c>
      <c r="AJ1165" s="10"/>
    </row>
    <row r="1166" spans="1:36">
      <c r="A1166" s="327"/>
      <c r="B1166" s="265"/>
      <c r="C1166" s="265" t="s">
        <v>145</v>
      </c>
      <c r="D1166" s="265"/>
      <c r="E1166" s="323">
        <f>+G1166-Adjustments!G1164</f>
        <v>-19959087.870000001</v>
      </c>
      <c r="F1166" s="323">
        <f>SUM(F1165)</f>
        <v>19959087.870000001</v>
      </c>
      <c r="G1166" s="323">
        <f>SUM(G1165)</f>
        <v>-19959087.870000001</v>
      </c>
      <c r="H1166" s="323">
        <f>SUM(H1165)</f>
        <v>0</v>
      </c>
      <c r="I1166" s="323">
        <f>SUM(I1165)</f>
        <v>0</v>
      </c>
      <c r="J1166" s="7">
        <f>+I1166-'ROR-Model'!I1166</f>
        <v>0</v>
      </c>
      <c r="K1166" s="301"/>
      <c r="L1166" s="323"/>
      <c r="M1166" s="323">
        <f>SUM(M1165)</f>
        <v>0</v>
      </c>
      <c r="N1166" s="323">
        <f>SUM(N1165)</f>
        <v>0</v>
      </c>
      <c r="O1166" s="578"/>
      <c r="P1166" s="512"/>
      <c r="Q1166" s="323">
        <f>SUM(Q1165)</f>
        <v>0</v>
      </c>
      <c r="R1166" s="323">
        <f>SUM(R1165)</f>
        <v>0</v>
      </c>
      <c r="S1166" s="512"/>
      <c r="T1166" s="323">
        <f>SUM(T1165)</f>
        <v>0</v>
      </c>
      <c r="U1166" s="323">
        <f>SUM(U1165)</f>
        <v>0</v>
      </c>
      <c r="V1166" s="579"/>
      <c r="W1166" s="323">
        <f>HLOOKUP($W$9,'ROR-Model'!$Q$10:$U$1273,Y1166)</f>
        <v>0</v>
      </c>
      <c r="X1166" s="303"/>
      <c r="Y1166" s="3">
        <f t="shared" si="81"/>
        <v>1157</v>
      </c>
      <c r="AA1166" s="323">
        <v>0</v>
      </c>
      <c r="AC1166" s="323" t="str">
        <f t="shared" si="80"/>
        <v/>
      </c>
      <c r="AE1166" s="42" t="str">
        <f t="shared" si="82"/>
        <v/>
      </c>
      <c r="AG1166" s="162"/>
      <c r="AH1166" s="10"/>
      <c r="AI1166" s="10" t="s">
        <v>145</v>
      </c>
      <c r="AJ1166" s="10"/>
    </row>
    <row r="1167" spans="1:36">
      <c r="A1167" s="137"/>
      <c r="B1167" s="47"/>
      <c r="C1167" s="47"/>
      <c r="D1167" s="47"/>
      <c r="E1167" s="7">
        <f>+G1167-Adjustments!G1165</f>
        <v>0</v>
      </c>
      <c r="F1167" s="7"/>
      <c r="G1167" s="7"/>
      <c r="H1167" s="7"/>
      <c r="I1167" s="7"/>
      <c r="J1167" s="7">
        <f>+I1167-'ROR-Model'!I1167</f>
        <v>0</v>
      </c>
      <c r="K1167" s="7"/>
      <c r="L1167" s="7"/>
      <c r="M1167" s="7"/>
      <c r="N1167" s="7"/>
      <c r="O1167" s="120"/>
      <c r="P1167" s="126"/>
      <c r="Q1167" s="7"/>
      <c r="R1167" s="7"/>
      <c r="S1167" s="126"/>
      <c r="T1167" s="7"/>
      <c r="U1167" s="7"/>
      <c r="V1167" s="124"/>
      <c r="W1167" s="7"/>
      <c r="X1167" s="139"/>
      <c r="Y1167" s="3">
        <f t="shared" si="81"/>
        <v>1158</v>
      </c>
      <c r="AA1167" s="7"/>
      <c r="AC1167" s="7" t="str">
        <f t="shared" si="80"/>
        <v/>
      </c>
      <c r="AE1167" s="42" t="str">
        <f t="shared" si="82"/>
        <v/>
      </c>
      <c r="AG1167" s="162"/>
      <c r="AH1167" s="10"/>
      <c r="AI1167" s="10"/>
      <c r="AJ1167" s="10"/>
    </row>
    <row r="1168" spans="1:36">
      <c r="A1168" s="137">
        <v>165</v>
      </c>
      <c r="B1168" s="47" t="s">
        <v>275</v>
      </c>
      <c r="C1168" s="47"/>
      <c r="D1168" s="47"/>
      <c r="E1168" s="7">
        <f>+G1168-Adjustments!G1166</f>
        <v>0</v>
      </c>
      <c r="F1168" s="7"/>
      <c r="G1168" s="7"/>
      <c r="H1168" s="7"/>
      <c r="I1168" s="7"/>
      <c r="J1168" s="7">
        <f>+I1168-'ROR-Model'!I1168</f>
        <v>0</v>
      </c>
      <c r="K1168" s="7"/>
      <c r="L1168" s="7"/>
      <c r="M1168" s="7"/>
      <c r="N1168" s="7"/>
      <c r="O1168" s="120"/>
      <c r="P1168" s="126"/>
      <c r="Q1168" s="7"/>
      <c r="R1168" s="7"/>
      <c r="S1168" s="126"/>
      <c r="T1168" s="7"/>
      <c r="U1168" s="7"/>
      <c r="V1168" s="124"/>
      <c r="W1168" s="7"/>
      <c r="X1168" s="139"/>
      <c r="Y1168" s="3">
        <f t="shared" si="81"/>
        <v>1159</v>
      </c>
      <c r="AA1168" s="7"/>
      <c r="AC1168" s="7" t="str">
        <f t="shared" ref="AC1168:AC1231" si="87">IF(ABS(AA1168)&gt;0,W1168-AA1168,"")</f>
        <v/>
      </c>
      <c r="AE1168" s="42" t="str">
        <f t="shared" si="82"/>
        <v/>
      </c>
      <c r="AG1168" s="162">
        <v>165</v>
      </c>
      <c r="AH1168" s="10" t="s">
        <v>275</v>
      </c>
      <c r="AI1168" s="10"/>
      <c r="AJ1168" s="10"/>
    </row>
    <row r="1169" spans="1:36">
      <c r="A1169" s="137"/>
      <c r="B1169" s="47"/>
      <c r="C1169" s="47" t="s">
        <v>544</v>
      </c>
      <c r="D1169" s="47"/>
      <c r="E1169" s="7">
        <f>+G1169-Adjustments!G1167</f>
        <v>1849404.65625</v>
      </c>
      <c r="F1169" s="7">
        <f>+'Rate Base'!$T$207</f>
        <v>2392122.9500000002</v>
      </c>
      <c r="G1169" s="7">
        <f>+Adjustments!V1149</f>
        <v>1849404.65625</v>
      </c>
      <c r="H1169" s="7"/>
      <c r="I1169" s="7">
        <f>SUM($F$1169:$H$1169)</f>
        <v>4241527.6062500002</v>
      </c>
      <c r="J1169" s="7">
        <f>+I1169-'ROR-Model'!I1169</f>
        <v>0</v>
      </c>
      <c r="K1169" s="7"/>
      <c r="L1169" s="7" t="s">
        <v>429</v>
      </c>
      <c r="M1169" s="7">
        <f>VLOOKUP($L1169,$L$2:$N$7,2,FALSE)*I1169</f>
        <v>4113303.5299559385</v>
      </c>
      <c r="N1169" s="7">
        <f>VLOOKUP($L1169,$L$2:$N$7,3,FALSE)*I1169</f>
        <v>128224.07629406148</v>
      </c>
      <c r="O1169" s="120"/>
      <c r="P1169" s="192" t="s">
        <v>510</v>
      </c>
      <c r="Q1169" s="7">
        <f>IF(P1169="G",M1169,IF(P1169="PT",0,ERR))</f>
        <v>4113303.5299559385</v>
      </c>
      <c r="R1169" s="7">
        <f>IF(P1169="PT",M1169,IF(P1169="G",0,ERR))</f>
        <v>0</v>
      </c>
      <c r="S1169" s="126" t="s">
        <v>510</v>
      </c>
      <c r="T1169" s="7">
        <f>IF(S1169="G",N1169,IF(S1169="PT",0,ERR))</f>
        <v>128224.07629406148</v>
      </c>
      <c r="U1169" s="7">
        <f>IF(S1169="PT",N1169,IF(S1169="G",0,ERR))</f>
        <v>0</v>
      </c>
      <c r="V1169" s="124"/>
      <c r="W1169" s="7">
        <f>HLOOKUP($W$9,'ROR-Model'!$Q$10:$U$1273,Y1169)</f>
        <v>4113303.5299559385</v>
      </c>
      <c r="X1169" s="139"/>
      <c r="Y1169" s="3">
        <f t="shared" si="81"/>
        <v>1160</v>
      </c>
      <c r="AA1169" s="7">
        <v>2811705.2088274271</v>
      </c>
      <c r="AC1169" s="7">
        <f t="shared" si="87"/>
        <v>1301598.3211285113</v>
      </c>
      <c r="AE1169" s="42">
        <f t="shared" ref="AE1169:AE1232" si="88">IF(ABS(AA1169)&gt;0,AC1169/AA1169,"")</f>
        <v>0.46292133223714454</v>
      </c>
      <c r="AG1169" s="162"/>
      <c r="AH1169" s="10"/>
      <c r="AI1169" s="10" t="s">
        <v>544</v>
      </c>
      <c r="AJ1169" s="10"/>
    </row>
    <row r="1170" spans="1:36">
      <c r="A1170" s="137"/>
      <c r="B1170" s="47"/>
      <c r="C1170" s="47" t="s">
        <v>145</v>
      </c>
      <c r="D1170" s="47"/>
      <c r="E1170" s="140">
        <f>+G1170-Adjustments!G1168</f>
        <v>1849404.65625</v>
      </c>
      <c r="F1170" s="140">
        <f>SUM(F1169)</f>
        <v>2392122.9500000002</v>
      </c>
      <c r="G1170" s="140">
        <f>SUM(G1169)</f>
        <v>1849404.65625</v>
      </c>
      <c r="H1170" s="140">
        <f>SUM(H1169)</f>
        <v>0</v>
      </c>
      <c r="I1170" s="140">
        <f>SUM(I1169)</f>
        <v>4241527.6062500002</v>
      </c>
      <c r="J1170" s="7">
        <f>+I1170-'ROR-Model'!I1170</f>
        <v>0</v>
      </c>
      <c r="K1170" s="7"/>
      <c r="L1170" s="140"/>
      <c r="M1170" s="140">
        <f>SUM(M1169)</f>
        <v>4113303.5299559385</v>
      </c>
      <c r="N1170" s="140">
        <f>SUM(N1169)</f>
        <v>128224.07629406148</v>
      </c>
      <c r="O1170" s="120"/>
      <c r="P1170" s="201"/>
      <c r="Q1170" s="140">
        <f>SUM(Q1169)</f>
        <v>4113303.5299559385</v>
      </c>
      <c r="R1170" s="140">
        <f>SUM(R1169)</f>
        <v>0</v>
      </c>
      <c r="S1170" s="201"/>
      <c r="T1170" s="140">
        <f>SUM(T1169)</f>
        <v>128224.07629406148</v>
      </c>
      <c r="U1170" s="140">
        <f>SUM(U1169)</f>
        <v>0</v>
      </c>
      <c r="V1170" s="124"/>
      <c r="W1170" s="140">
        <f>HLOOKUP($W$9,'ROR-Model'!$Q$10:$U$1273,Y1170)</f>
        <v>4113303.5299559385</v>
      </c>
      <c r="X1170" s="139"/>
      <c r="Y1170" s="3">
        <f t="shared" si="81"/>
        <v>1161</v>
      </c>
      <c r="AA1170" s="140">
        <v>2811705.2088274271</v>
      </c>
      <c r="AC1170" s="140">
        <f t="shared" si="87"/>
        <v>1301598.3211285113</v>
      </c>
      <c r="AE1170" s="42">
        <f t="shared" si="88"/>
        <v>0.46292133223714454</v>
      </c>
      <c r="AG1170" s="162"/>
      <c r="AH1170" s="10"/>
      <c r="AI1170" s="10" t="s">
        <v>145</v>
      </c>
      <c r="AJ1170" s="10"/>
    </row>
    <row r="1171" spans="1:36">
      <c r="A1171" s="137"/>
      <c r="B1171" s="47"/>
      <c r="C1171" s="47"/>
      <c r="D1171" s="47"/>
      <c r="E1171" s="7">
        <f>+G1171-Adjustments!G1169</f>
        <v>0</v>
      </c>
      <c r="F1171" s="7"/>
      <c r="G1171" s="7"/>
      <c r="H1171" s="7"/>
      <c r="I1171" s="7"/>
      <c r="J1171" s="7">
        <f>+I1171-'ROR-Model'!I1171</f>
        <v>0</v>
      </c>
      <c r="K1171" s="7"/>
      <c r="L1171" s="7"/>
      <c r="M1171" s="7"/>
      <c r="N1171" s="7"/>
      <c r="O1171" s="120"/>
      <c r="P1171" s="126"/>
      <c r="Q1171" s="7"/>
      <c r="R1171" s="7"/>
      <c r="S1171" s="126"/>
      <c r="T1171" s="7"/>
      <c r="U1171" s="7"/>
      <c r="V1171" s="124"/>
      <c r="W1171" s="7"/>
      <c r="X1171" s="139"/>
      <c r="Y1171" s="3">
        <f t="shared" si="81"/>
        <v>1162</v>
      </c>
      <c r="AA1171" s="7"/>
      <c r="AC1171" s="7" t="str">
        <f t="shared" si="87"/>
        <v/>
      </c>
      <c r="AE1171" s="42" t="str">
        <f t="shared" si="88"/>
        <v/>
      </c>
      <c r="AG1171" s="162"/>
      <c r="AH1171" s="10"/>
      <c r="AI1171" s="10"/>
      <c r="AJ1171" s="10"/>
    </row>
    <row r="1172" spans="1:36">
      <c r="A1172" s="307" t="s">
        <v>268</v>
      </c>
      <c r="B1172" s="152" t="s">
        <v>270</v>
      </c>
      <c r="C1172" s="47"/>
      <c r="D1172" s="47"/>
      <c r="E1172" s="7">
        <f>+G1172-Adjustments!G1170</f>
        <v>0</v>
      </c>
      <c r="F1172" s="7"/>
      <c r="G1172" s="7"/>
      <c r="H1172" s="7"/>
      <c r="I1172" s="7"/>
      <c r="J1172" s="7">
        <f>+I1172-'ROR-Model'!I1172</f>
        <v>0</v>
      </c>
      <c r="K1172" s="7"/>
      <c r="L1172" s="7"/>
      <c r="M1172" s="7"/>
      <c r="N1172" s="7"/>
      <c r="O1172" s="120"/>
      <c r="P1172" s="126"/>
      <c r="Q1172" s="7"/>
      <c r="R1172" s="7"/>
      <c r="S1172" s="126"/>
      <c r="T1172" s="7"/>
      <c r="U1172" s="7"/>
      <c r="V1172" s="124"/>
      <c r="W1172" s="7"/>
      <c r="X1172" s="139"/>
      <c r="Y1172" s="3">
        <f t="shared" ref="Y1172:Y1235" si="89">Y1171+1</f>
        <v>1163</v>
      </c>
      <c r="AA1172" s="7"/>
      <c r="AC1172" s="7" t="str">
        <f t="shared" si="87"/>
        <v/>
      </c>
      <c r="AE1172" s="42" t="str">
        <f t="shared" si="88"/>
        <v/>
      </c>
      <c r="AG1172" s="162" t="s">
        <v>268</v>
      </c>
      <c r="AH1172" s="10" t="s">
        <v>270</v>
      </c>
      <c r="AI1172" s="10"/>
      <c r="AJ1172" s="10"/>
    </row>
    <row r="1173" spans="1:36">
      <c r="A1173" s="137"/>
      <c r="B1173" s="47"/>
      <c r="C1173" s="47" t="s">
        <v>399</v>
      </c>
      <c r="D1173" s="47"/>
      <c r="E1173" s="7">
        <f>+G1173-Adjustments!G1171</f>
        <v>0</v>
      </c>
      <c r="F1173" s="7">
        <f>+'Rate Base'!$T$211</f>
        <v>0</v>
      </c>
      <c r="G1173" s="7">
        <f>+Adjustments!V1153</f>
        <v>0</v>
      </c>
      <c r="H1173" s="7"/>
      <c r="I1173" s="7">
        <f>SUM($F$1173:$H$1173)</f>
        <v>0</v>
      </c>
      <c r="J1173" s="7">
        <f>+I1173-'ROR-Model'!I1173</f>
        <v>0</v>
      </c>
      <c r="K1173" s="7"/>
      <c r="L1173" s="7" t="s">
        <v>637</v>
      </c>
      <c r="M1173" s="7">
        <f>VLOOKUP($L1173,$L$2:$N$7,2,FALSE)*I1173</f>
        <v>0</v>
      </c>
      <c r="N1173" s="7">
        <f>VLOOKUP($L1173,$L$2:$N$7,3,FALSE)*I1173</f>
        <v>0</v>
      </c>
      <c r="O1173" s="120"/>
      <c r="P1173" s="192" t="s">
        <v>510</v>
      </c>
      <c r="Q1173" s="7">
        <f>IF(P1173="G",M1173,IF(P1173="PT",0,ERR))</f>
        <v>0</v>
      </c>
      <c r="R1173" s="7">
        <f>IF(P1173="PT",M1173,IF(P1173="G",0,ERR))</f>
        <v>0</v>
      </c>
      <c r="S1173" s="126" t="s">
        <v>509</v>
      </c>
      <c r="T1173" s="7">
        <f>IF(S1173="G",N1173,IF(S1173="PT",0,ERR))</f>
        <v>0</v>
      </c>
      <c r="U1173" s="7">
        <f>IF(S1173="PT",N1173,IF(S1173="G",0,ERR))</f>
        <v>0</v>
      </c>
      <c r="V1173" s="124"/>
      <c r="W1173" s="7">
        <f>HLOOKUP($W$9,'ROR-Model'!$Q$10:$U$1273,Y1173)</f>
        <v>0</v>
      </c>
      <c r="X1173" s="139"/>
      <c r="Y1173" s="3">
        <f t="shared" si="89"/>
        <v>1164</v>
      </c>
      <c r="AA1173" s="7">
        <v>0</v>
      </c>
      <c r="AC1173" s="7" t="str">
        <f t="shared" si="87"/>
        <v/>
      </c>
      <c r="AE1173" s="42" t="str">
        <f t="shared" si="88"/>
        <v/>
      </c>
      <c r="AG1173" s="162"/>
      <c r="AH1173" s="10"/>
      <c r="AI1173" s="10" t="s">
        <v>399</v>
      </c>
      <c r="AJ1173" s="10"/>
    </row>
    <row r="1174" spans="1:36">
      <c r="A1174" s="137"/>
      <c r="B1174" s="47"/>
      <c r="C1174" s="47" t="s">
        <v>542</v>
      </c>
      <c r="D1174" s="47"/>
      <c r="E1174" s="7">
        <f>+G1174-Adjustments!G1172</f>
        <v>0</v>
      </c>
      <c r="F1174" s="7">
        <f>+'Rate Base'!$T$212</f>
        <v>0</v>
      </c>
      <c r="G1174" s="7">
        <f>+Adjustments!V1154</f>
        <v>0</v>
      </c>
      <c r="H1174" s="7"/>
      <c r="I1174" s="7">
        <f>SUM($F$1174:$H$1174)</f>
        <v>0</v>
      </c>
      <c r="J1174" s="7">
        <f>+I1174-'ROR-Model'!I1174</f>
        <v>0</v>
      </c>
      <c r="K1174" s="7"/>
      <c r="L1174" s="7" t="s">
        <v>23</v>
      </c>
      <c r="M1174" s="7">
        <f>VLOOKUP($L1174,$L$2:$N$7,2,FALSE)*I1174</f>
        <v>0</v>
      </c>
      <c r="N1174" s="7">
        <f>VLOOKUP($L1174,$L$2:$N$7,3,FALSE)*I1174</f>
        <v>0</v>
      </c>
      <c r="O1174" s="120"/>
      <c r="P1174" s="192" t="s">
        <v>510</v>
      </c>
      <c r="Q1174" s="7">
        <f>IF(P1174="G",M1174,IF(P1174="PT",0,ERR))</f>
        <v>0</v>
      </c>
      <c r="R1174" s="7">
        <f>IF(P1174="PT",M1174,IF(P1174="G",0,ERR))</f>
        <v>0</v>
      </c>
      <c r="S1174" s="126" t="s">
        <v>510</v>
      </c>
      <c r="T1174" s="7">
        <f>IF(S1174="G",N1174,IF(S1174="PT",0,ERR))</f>
        <v>0</v>
      </c>
      <c r="U1174" s="7">
        <f>IF(S1174="PT",N1174,IF(S1174="G",0,ERR))</f>
        <v>0</v>
      </c>
      <c r="V1174" s="124"/>
      <c r="W1174" s="7">
        <f>HLOOKUP($W$9,'ROR-Model'!$Q$10:$U$1273,Y1174)</f>
        <v>0</v>
      </c>
      <c r="X1174" s="139"/>
      <c r="Y1174" s="3">
        <f t="shared" si="89"/>
        <v>1165</v>
      </c>
      <c r="AA1174" s="7">
        <v>0</v>
      </c>
      <c r="AC1174" s="7" t="str">
        <f t="shared" si="87"/>
        <v/>
      </c>
      <c r="AE1174" s="42" t="str">
        <f t="shared" si="88"/>
        <v/>
      </c>
      <c r="AG1174" s="162"/>
      <c r="AH1174" s="10"/>
      <c r="AI1174" s="10" t="s">
        <v>542</v>
      </c>
      <c r="AJ1174" s="10"/>
    </row>
    <row r="1175" spans="1:36">
      <c r="A1175" s="137"/>
      <c r="B1175" s="47"/>
      <c r="C1175" s="47" t="s">
        <v>543</v>
      </c>
      <c r="D1175" s="47"/>
      <c r="E1175" s="7">
        <f>+G1175-Adjustments!G1173</f>
        <v>0</v>
      </c>
      <c r="F1175" s="7">
        <f>+'Rate Base'!$T$213</f>
        <v>0</v>
      </c>
      <c r="G1175" s="7">
        <f>+Adjustments!V1155</f>
        <v>0</v>
      </c>
      <c r="H1175" s="7"/>
      <c r="I1175" s="7">
        <f>SUM($F$1175:$H$1175)</f>
        <v>0</v>
      </c>
      <c r="J1175" s="7">
        <f>+I1175-'ROR-Model'!I1175</f>
        <v>0</v>
      </c>
      <c r="K1175" s="7"/>
      <c r="L1175" s="7" t="s">
        <v>12</v>
      </c>
      <c r="M1175" s="7">
        <f>VLOOKUP($L1175,$L$2:$N$7,2,FALSE)*I1175</f>
        <v>0</v>
      </c>
      <c r="N1175" s="7">
        <f>VLOOKUP($L1175,$L$2:$N$7,3,FALSE)*I1175</f>
        <v>0</v>
      </c>
      <c r="O1175" s="120"/>
      <c r="P1175" s="192" t="s">
        <v>510</v>
      </c>
      <c r="Q1175" s="7">
        <f>IF(P1175="G",M1175,IF(P1175="PT",0,ERR))</f>
        <v>0</v>
      </c>
      <c r="R1175" s="7">
        <f>IF(P1175="PT",M1175,IF(P1175="G",0,ERR))</f>
        <v>0</v>
      </c>
      <c r="S1175" s="126" t="s">
        <v>510</v>
      </c>
      <c r="T1175" s="7">
        <f>IF(S1175="G",N1175,IF(S1175="PT",0,ERR))</f>
        <v>0</v>
      </c>
      <c r="U1175" s="7">
        <f>IF(S1175="PT",N1175,IF(S1175="G",0,ERR))</f>
        <v>0</v>
      </c>
      <c r="V1175" s="124"/>
      <c r="W1175" s="7">
        <f>HLOOKUP($W$9,'ROR-Model'!$Q$10:$U$1273,Y1175)</f>
        <v>0</v>
      </c>
      <c r="X1175" s="139"/>
      <c r="Y1175" s="3">
        <f t="shared" si="89"/>
        <v>1166</v>
      </c>
      <c r="AA1175" s="7">
        <v>2316787.2571374997</v>
      </c>
      <c r="AC1175" s="7">
        <f t="shared" si="87"/>
        <v>-2316787.2571374997</v>
      </c>
      <c r="AE1175" s="42">
        <f t="shared" si="88"/>
        <v>-1</v>
      </c>
      <c r="AG1175" s="162"/>
      <c r="AH1175" s="10"/>
      <c r="AI1175" s="10" t="s">
        <v>543</v>
      </c>
      <c r="AJ1175" s="10"/>
    </row>
    <row r="1176" spans="1:36">
      <c r="A1176" s="137"/>
      <c r="B1176" s="47"/>
      <c r="C1176" s="47" t="s">
        <v>544</v>
      </c>
      <c r="D1176" s="47"/>
      <c r="E1176" s="7">
        <f>+G1176-Adjustments!G1174</f>
        <v>14703197.269166661</v>
      </c>
      <c r="F1176" s="7">
        <f>+'Rate Base'!$T$214</f>
        <v>11766835.779999999</v>
      </c>
      <c r="G1176" s="7">
        <f>+Adjustments!V1156</f>
        <v>14703197.269166661</v>
      </c>
      <c r="H1176" s="7"/>
      <c r="I1176" s="7">
        <f>SUM($F$1176:$H$1176)</f>
        <v>26470033.049166661</v>
      </c>
      <c r="J1176" s="7">
        <f>+I1176-'ROR-Model'!I1176</f>
        <v>0</v>
      </c>
      <c r="K1176" s="7"/>
      <c r="L1176" s="7" t="s">
        <v>429</v>
      </c>
      <c r="M1176" s="7">
        <f>VLOOKUP($L1176,$L$2:$N$7,2,FALSE)*I1176</f>
        <v>25669827.120481584</v>
      </c>
      <c r="N1176" s="7">
        <f>VLOOKUP($L1176,$L$2:$N$7,3,FALSE)*I1176</f>
        <v>800205.92868507735</v>
      </c>
      <c r="O1176" s="120"/>
      <c r="P1176" s="192" t="s">
        <v>510</v>
      </c>
      <c r="Q1176" s="7">
        <f>IF(P1176="G",M1176,IF(P1176="PT",0,ERR))</f>
        <v>25669827.120481584</v>
      </c>
      <c r="R1176" s="7">
        <f>IF(P1176="PT",M1176,IF(P1176="G",0,ERR))</f>
        <v>0</v>
      </c>
      <c r="S1176" s="126" t="s">
        <v>510</v>
      </c>
      <c r="T1176" s="7">
        <f>IF(S1176="G",N1176,IF(S1176="PT",0,ERR))</f>
        <v>800205.92868507735</v>
      </c>
      <c r="U1176" s="7">
        <f>IF(S1176="PT",N1176,IF(S1176="G",0,ERR))</f>
        <v>0</v>
      </c>
      <c r="V1176" s="124"/>
      <c r="W1176" s="7">
        <f>HLOOKUP($W$9,'ROR-Model'!$Q$10:$U$1273,Y1176)</f>
        <v>25669827.120481584</v>
      </c>
      <c r="X1176" s="139"/>
      <c r="Y1176" s="3">
        <f t="shared" si="89"/>
        <v>1167</v>
      </c>
      <c r="AA1176" s="7">
        <v>30101207.629924428</v>
      </c>
      <c r="AC1176" s="7">
        <f t="shared" si="87"/>
        <v>-4431380.5094428435</v>
      </c>
      <c r="AE1176" s="42">
        <f t="shared" si="88"/>
        <v>-0.14721603744022177</v>
      </c>
      <c r="AG1176" s="162"/>
      <c r="AH1176" s="10"/>
      <c r="AI1176" s="10" t="s">
        <v>544</v>
      </c>
      <c r="AJ1176" s="10"/>
    </row>
    <row r="1177" spans="1:36">
      <c r="A1177" s="137"/>
      <c r="B1177" s="47"/>
      <c r="C1177" s="47" t="s">
        <v>145</v>
      </c>
      <c r="D1177" s="47"/>
      <c r="E1177" s="140">
        <f>+G1177-Adjustments!G1175</f>
        <v>14703197.269166661</v>
      </c>
      <c r="F1177" s="140">
        <f>SUM(F1173:F1176)</f>
        <v>11766835.779999999</v>
      </c>
      <c r="G1177" s="140">
        <f>SUM(G1173:G1176)</f>
        <v>14703197.269166661</v>
      </c>
      <c r="H1177" s="140">
        <f>SUM(H1173:H1176)</f>
        <v>0</v>
      </c>
      <c r="I1177" s="140">
        <f>SUM(I1173:I1176)</f>
        <v>26470033.049166661</v>
      </c>
      <c r="J1177" s="7">
        <f>+I1177-'ROR-Model'!I1177</f>
        <v>0</v>
      </c>
      <c r="K1177" s="7"/>
      <c r="L1177" s="140"/>
      <c r="M1177" s="140">
        <f>SUM(M1173:M1176)</f>
        <v>25669827.120481584</v>
      </c>
      <c r="N1177" s="140">
        <f>SUM(N1173:N1176)</f>
        <v>800205.92868507735</v>
      </c>
      <c r="O1177" s="120"/>
      <c r="P1177" s="201"/>
      <c r="Q1177" s="140">
        <f>SUM(Q1173:Q1176)</f>
        <v>25669827.120481584</v>
      </c>
      <c r="R1177" s="140">
        <f>SUM(R1173:R1176)</f>
        <v>0</v>
      </c>
      <c r="S1177" s="201"/>
      <c r="T1177" s="140">
        <f>SUM(T1173:T1176)</f>
        <v>800205.92868507735</v>
      </c>
      <c r="U1177" s="140">
        <f>SUM(U1173:U1176)</f>
        <v>0</v>
      </c>
      <c r="V1177" s="124"/>
      <c r="W1177" s="140">
        <f>HLOOKUP($W$9,'ROR-Model'!$Q$10:$U$1273,Y1177)</f>
        <v>25669827.120481584</v>
      </c>
      <c r="X1177" s="139"/>
      <c r="Y1177" s="3">
        <f t="shared" si="89"/>
        <v>1168</v>
      </c>
      <c r="AA1177" s="140">
        <v>32417994.887061927</v>
      </c>
      <c r="AC1177" s="140">
        <f t="shared" si="87"/>
        <v>-6748167.7665803432</v>
      </c>
      <c r="AE1177" s="42">
        <f t="shared" si="88"/>
        <v>-0.20816117067356155</v>
      </c>
      <c r="AG1177" s="162"/>
      <c r="AH1177" s="10"/>
      <c r="AI1177" s="10" t="s">
        <v>145</v>
      </c>
      <c r="AJ1177" s="10"/>
    </row>
    <row r="1178" spans="1:36">
      <c r="A1178" s="137"/>
      <c r="B1178" s="47"/>
      <c r="C1178" s="47"/>
      <c r="D1178" s="47"/>
      <c r="E1178" s="7">
        <f>+G1178-Adjustments!G1176</f>
        <v>0</v>
      </c>
      <c r="F1178" s="7"/>
      <c r="G1178" s="7"/>
      <c r="H1178" s="7"/>
      <c r="I1178" s="7"/>
      <c r="J1178" s="7">
        <f>+I1178-'ROR-Model'!I1178</f>
        <v>0</v>
      </c>
      <c r="K1178" s="7"/>
      <c r="L1178" s="7"/>
      <c r="M1178" s="7"/>
      <c r="N1178" s="7"/>
      <c r="O1178" s="120"/>
      <c r="P1178" s="126"/>
      <c r="Q1178" s="7"/>
      <c r="R1178" s="7"/>
      <c r="S1178" s="126"/>
      <c r="T1178" s="7"/>
      <c r="U1178" s="7"/>
      <c r="V1178" s="124"/>
      <c r="W1178" s="7"/>
      <c r="X1178" s="139"/>
      <c r="Y1178" s="3">
        <f t="shared" si="89"/>
        <v>1169</v>
      </c>
      <c r="AA1178" s="7"/>
      <c r="AC1178" s="7" t="str">
        <f t="shared" si="87"/>
        <v/>
      </c>
      <c r="AE1178" s="42" t="str">
        <f t="shared" si="88"/>
        <v/>
      </c>
      <c r="AG1178" s="162"/>
      <c r="AH1178" s="10"/>
      <c r="AI1178" s="10"/>
      <c r="AJ1178" s="10"/>
    </row>
    <row r="1179" spans="1:36">
      <c r="A1179" s="307" t="s">
        <v>269</v>
      </c>
      <c r="B1179" s="152" t="s">
        <v>271</v>
      </c>
      <c r="C1179" s="47"/>
      <c r="D1179" s="47"/>
      <c r="E1179" s="7">
        <f>+G1179-Adjustments!G1177</f>
        <v>0</v>
      </c>
      <c r="F1179" s="7"/>
      <c r="G1179" s="7"/>
      <c r="H1179" s="7"/>
      <c r="I1179" s="7"/>
      <c r="J1179" s="7">
        <f>+I1179-'ROR-Model'!I1179</f>
        <v>0</v>
      </c>
      <c r="K1179" s="7"/>
      <c r="L1179" s="7"/>
      <c r="M1179" s="7"/>
      <c r="N1179" s="7"/>
      <c r="O1179" s="120"/>
      <c r="P1179" s="126"/>
      <c r="Q1179" s="7"/>
      <c r="R1179" s="7"/>
      <c r="S1179" s="126"/>
      <c r="T1179" s="7"/>
      <c r="U1179" s="7"/>
      <c r="V1179" s="124"/>
      <c r="W1179" s="7"/>
      <c r="X1179" s="139"/>
      <c r="Y1179" s="3">
        <f t="shared" si="89"/>
        <v>1170</v>
      </c>
      <c r="AA1179" s="7"/>
      <c r="AC1179" s="7" t="str">
        <f t="shared" si="87"/>
        <v/>
      </c>
      <c r="AE1179" s="42" t="str">
        <f t="shared" si="88"/>
        <v/>
      </c>
      <c r="AG1179" s="162" t="s">
        <v>269</v>
      </c>
      <c r="AH1179" s="10" t="s">
        <v>271</v>
      </c>
      <c r="AI1179" s="10"/>
      <c r="AJ1179" s="10"/>
    </row>
    <row r="1180" spans="1:36">
      <c r="A1180" s="137"/>
      <c r="B1180" s="47"/>
      <c r="C1180" s="47" t="s">
        <v>399</v>
      </c>
      <c r="D1180" s="47"/>
      <c r="E1180" s="7">
        <f>+G1180-Adjustments!G1178</f>
        <v>0</v>
      </c>
      <c r="F1180" s="7">
        <f>+'Rate Base'!$T$218</f>
        <v>-5189.3100000000004</v>
      </c>
      <c r="G1180" s="7">
        <f>+Adjustments!V1160</f>
        <v>0</v>
      </c>
      <c r="H1180" s="7"/>
      <c r="I1180" s="7">
        <f>SUM($F$1180:$H$1180)</f>
        <v>-5189.3100000000004</v>
      </c>
      <c r="J1180" s="7">
        <f>+I1180-'ROR-Model'!I1180</f>
        <v>0</v>
      </c>
      <c r="K1180" s="7"/>
      <c r="L1180" s="7" t="s">
        <v>637</v>
      </c>
      <c r="M1180" s="7">
        <f>VLOOKUP($L1180,$L$2:$N$7,2,FALSE)*I1180</f>
        <v>-5022.5621387557794</v>
      </c>
      <c r="N1180" s="7">
        <f>VLOOKUP($L1180,$L$2:$N$7,3,FALSE)*I1180</f>
        <v>-166.74786124422042</v>
      </c>
      <c r="O1180" s="120"/>
      <c r="P1180" s="192" t="s">
        <v>510</v>
      </c>
      <c r="Q1180" s="7">
        <f>IF(P1180="G",M1180,IF(P1180="PT",0,ERR))</f>
        <v>-5022.5621387557794</v>
      </c>
      <c r="R1180" s="7">
        <f>IF(P1180="PT",M1180,IF(P1180="G",0,ERR))</f>
        <v>0</v>
      </c>
      <c r="S1180" s="126" t="s">
        <v>509</v>
      </c>
      <c r="T1180" s="7">
        <f>IF(S1180="G",N1180,IF(S1180="PT",0,ERR))</f>
        <v>0</v>
      </c>
      <c r="U1180" s="7">
        <f>IF(S1180="PT",N1180,IF(S1180="G",0,ERR))</f>
        <v>-166.74786124422042</v>
      </c>
      <c r="V1180" s="124"/>
      <c r="W1180" s="7">
        <f>HLOOKUP($W$9,'ROR-Model'!$Q$10:$U$1273,Y1180)</f>
        <v>-5022.5621387557794</v>
      </c>
      <c r="X1180" s="139"/>
      <c r="Y1180" s="3">
        <f t="shared" si="89"/>
        <v>1171</v>
      </c>
      <c r="AA1180" s="7">
        <v>0</v>
      </c>
      <c r="AC1180" s="7" t="str">
        <f t="shared" si="87"/>
        <v/>
      </c>
      <c r="AE1180" s="42" t="str">
        <f t="shared" si="88"/>
        <v/>
      </c>
      <c r="AG1180" s="162"/>
      <c r="AH1180" s="10"/>
      <c r="AI1180" s="10" t="s">
        <v>399</v>
      </c>
      <c r="AJ1180" s="10"/>
    </row>
    <row r="1181" spans="1:36">
      <c r="A1181" s="137"/>
      <c r="B1181" s="47"/>
      <c r="C1181" s="47" t="s">
        <v>542</v>
      </c>
      <c r="D1181" s="47"/>
      <c r="E1181" s="7">
        <f>+G1181-Adjustments!G1179</f>
        <v>0</v>
      </c>
      <c r="F1181" s="7">
        <f>+'Rate Base'!$T$219</f>
        <v>0</v>
      </c>
      <c r="G1181" s="7">
        <f>+Adjustments!V1161</f>
        <v>0</v>
      </c>
      <c r="H1181" s="7"/>
      <c r="I1181" s="7">
        <f>SUM($F$1181:$H$1181)</f>
        <v>0</v>
      </c>
      <c r="J1181" s="7">
        <f>+I1181-'ROR-Model'!I1181</f>
        <v>0</v>
      </c>
      <c r="K1181" s="7"/>
      <c r="L1181" s="7" t="s">
        <v>23</v>
      </c>
      <c r="M1181" s="7">
        <f>VLOOKUP($L1181,$L$2:$N$7,2,FALSE)*I1181</f>
        <v>0</v>
      </c>
      <c r="N1181" s="7">
        <f>VLOOKUP($L1181,$L$2:$N$7,3,FALSE)*I1181</f>
        <v>0</v>
      </c>
      <c r="O1181" s="120"/>
      <c r="P1181" s="192" t="s">
        <v>510</v>
      </c>
      <c r="Q1181" s="7">
        <f>IF(P1181="G",M1181,IF(P1181="PT",0,ERR))</f>
        <v>0</v>
      </c>
      <c r="R1181" s="7">
        <f>IF(P1181="PT",M1181,IF(P1181="G",0,ERR))</f>
        <v>0</v>
      </c>
      <c r="S1181" s="126" t="s">
        <v>510</v>
      </c>
      <c r="T1181" s="7">
        <f>IF(S1181="G",N1181,IF(S1181="PT",0,ERR))</f>
        <v>0</v>
      </c>
      <c r="U1181" s="7">
        <f>IF(S1181="PT",N1181,IF(S1181="G",0,ERR))</f>
        <v>0</v>
      </c>
      <c r="V1181" s="124"/>
      <c r="W1181" s="7">
        <f>HLOOKUP($W$9,'ROR-Model'!$Q$10:$U$1273,Y1181)</f>
        <v>0</v>
      </c>
      <c r="X1181" s="139"/>
      <c r="Y1181" s="3">
        <f t="shared" si="89"/>
        <v>1172</v>
      </c>
      <c r="AA1181" s="7">
        <v>0</v>
      </c>
      <c r="AC1181" s="7" t="str">
        <f t="shared" si="87"/>
        <v/>
      </c>
      <c r="AE1181" s="42" t="str">
        <f t="shared" si="88"/>
        <v/>
      </c>
      <c r="AG1181" s="162"/>
      <c r="AH1181" s="10"/>
      <c r="AI1181" s="10" t="s">
        <v>542</v>
      </c>
      <c r="AJ1181" s="10"/>
    </row>
    <row r="1182" spans="1:36">
      <c r="A1182" s="137"/>
      <c r="B1182" s="47"/>
      <c r="C1182" s="47" t="s">
        <v>543</v>
      </c>
      <c r="D1182" s="47"/>
      <c r="E1182" s="7">
        <f>+G1182-Adjustments!G1180</f>
        <v>0</v>
      </c>
      <c r="F1182" s="7">
        <f>+'Rate Base'!$T$220</f>
        <v>0</v>
      </c>
      <c r="G1182" s="7">
        <f>+Adjustments!V1162</f>
        <v>0</v>
      </c>
      <c r="H1182" s="7"/>
      <c r="I1182" s="7">
        <f>SUM($F$1182:$H$1182)</f>
        <v>0</v>
      </c>
      <c r="J1182" s="7">
        <f>+I1182-'ROR-Model'!I1182</f>
        <v>0</v>
      </c>
      <c r="K1182" s="7"/>
      <c r="L1182" s="7" t="s">
        <v>12</v>
      </c>
      <c r="M1182" s="7">
        <f>VLOOKUP($L1182,$L$2:$N$7,2,FALSE)*I1182</f>
        <v>0</v>
      </c>
      <c r="N1182" s="7">
        <f>VLOOKUP($L1182,$L$2:$N$7,3,FALSE)*I1182</f>
        <v>0</v>
      </c>
      <c r="O1182" s="120"/>
      <c r="P1182" s="192" t="s">
        <v>510</v>
      </c>
      <c r="Q1182" s="7">
        <f>IF(P1182="G",M1182,IF(P1182="PT",0,ERR))</f>
        <v>0</v>
      </c>
      <c r="R1182" s="7">
        <f>IF(P1182="PT",M1182,IF(P1182="G",0,ERR))</f>
        <v>0</v>
      </c>
      <c r="S1182" s="126" t="s">
        <v>510</v>
      </c>
      <c r="T1182" s="7">
        <f>IF(S1182="G",N1182,IF(S1182="PT",0,ERR))</f>
        <v>0</v>
      </c>
      <c r="U1182" s="7">
        <f>IF(S1182="PT",N1182,IF(S1182="G",0,ERR))</f>
        <v>0</v>
      </c>
      <c r="V1182" s="124"/>
      <c r="W1182" s="7">
        <f>HLOOKUP($W$9,'ROR-Model'!$Q$10:$U$1273,Y1182)</f>
        <v>0</v>
      </c>
      <c r="X1182" s="139"/>
      <c r="Y1182" s="3">
        <f t="shared" si="89"/>
        <v>1173</v>
      </c>
      <c r="AA1182" s="7">
        <v>547323.04166666663</v>
      </c>
      <c r="AC1182" s="7">
        <f t="shared" si="87"/>
        <v>-547323.04166666663</v>
      </c>
      <c r="AE1182" s="42">
        <f t="shared" si="88"/>
        <v>-1</v>
      </c>
      <c r="AG1182" s="162"/>
      <c r="AH1182" s="10"/>
      <c r="AI1182" s="10" t="s">
        <v>543</v>
      </c>
      <c r="AJ1182" s="10"/>
    </row>
    <row r="1183" spans="1:36">
      <c r="A1183" s="137"/>
      <c r="B1183" s="47"/>
      <c r="C1183" s="47" t="s">
        <v>544</v>
      </c>
      <c r="D1183" s="47"/>
      <c r="E1183" s="7">
        <f>+G1183-Adjustments!G1181</f>
        <v>3499284.8333333335</v>
      </c>
      <c r="F1183" s="7">
        <f>+'Rate Base'!$T$221</f>
        <v>2599167.69</v>
      </c>
      <c r="G1183" s="7">
        <f>+Adjustments!V1163</f>
        <v>3499284.8333333335</v>
      </c>
      <c r="H1183" s="7"/>
      <c r="I1183" s="7">
        <f>SUM($F$1183:$H$1183)</f>
        <v>6098452.5233333334</v>
      </c>
      <c r="J1183" s="7">
        <f>+I1183-'ROR-Model'!I1183</f>
        <v>0</v>
      </c>
      <c r="K1183" s="7"/>
      <c r="L1183" s="7" t="s">
        <v>429</v>
      </c>
      <c r="M1183" s="7">
        <f>VLOOKUP($L1183,$L$2:$N$7,2,FALSE)*I1183</f>
        <v>5914092.4261656636</v>
      </c>
      <c r="N1183" s="7">
        <f>VLOOKUP($L1183,$L$2:$N$7,3,FALSE)*I1183</f>
        <v>184360.09716767006</v>
      </c>
      <c r="O1183" s="120"/>
      <c r="P1183" s="192" t="s">
        <v>510</v>
      </c>
      <c r="Q1183" s="7">
        <f>IF(P1183="G",M1183,IF(P1183="PT",0,ERR))</f>
        <v>5914092.4261656636</v>
      </c>
      <c r="R1183" s="7">
        <f>IF(P1183="PT",M1183,IF(P1183="G",0,ERR))</f>
        <v>0</v>
      </c>
      <c r="S1183" s="126" t="s">
        <v>510</v>
      </c>
      <c r="T1183" s="7">
        <f>IF(S1183="G",N1183,IF(S1183="PT",0,ERR))</f>
        <v>184360.09716767006</v>
      </c>
      <c r="U1183" s="7">
        <f>IF(S1183="PT",N1183,IF(S1183="G",0,ERR))</f>
        <v>0</v>
      </c>
      <c r="V1183" s="124"/>
      <c r="W1183" s="7">
        <f>HLOOKUP($W$9,'ROR-Model'!$Q$10:$U$1273,Y1183)</f>
        <v>5914092.4261656636</v>
      </c>
      <c r="X1183" s="139"/>
      <c r="Y1183" s="3">
        <f t="shared" si="89"/>
        <v>1174</v>
      </c>
      <c r="AA1183" s="7">
        <v>7123938.9583592257</v>
      </c>
      <c r="AC1183" s="7">
        <f t="shared" si="87"/>
        <v>-1209846.532193562</v>
      </c>
      <c r="AE1183" s="42">
        <f t="shared" si="88"/>
        <v>-0.16982831257613862</v>
      </c>
      <c r="AG1183" s="162"/>
      <c r="AH1183" s="10"/>
      <c r="AI1183" s="10" t="s">
        <v>544</v>
      </c>
      <c r="AJ1183" s="10"/>
    </row>
    <row r="1184" spans="1:36">
      <c r="A1184" s="137"/>
      <c r="B1184" s="47"/>
      <c r="C1184" s="47" t="s">
        <v>145</v>
      </c>
      <c r="D1184" s="47"/>
      <c r="E1184" s="140">
        <f>+G1184-Adjustments!G1182</f>
        <v>3499284.8333333335</v>
      </c>
      <c r="F1184" s="140">
        <f>SUM(F1180:F1183)</f>
        <v>2593978.38</v>
      </c>
      <c r="G1184" s="140">
        <f>SUM(G1180:G1183)</f>
        <v>3499284.8333333335</v>
      </c>
      <c r="H1184" s="140">
        <f>SUM(H1180:H1183)</f>
        <v>0</v>
      </c>
      <c r="I1184" s="140">
        <f>SUM(I1180:I1183)</f>
        <v>6093263.2133333338</v>
      </c>
      <c r="J1184" s="7">
        <f>+I1184-'ROR-Model'!I1184</f>
        <v>0</v>
      </c>
      <c r="K1184" s="7"/>
      <c r="L1184" s="140"/>
      <c r="M1184" s="140">
        <f>SUM(M1180:M1183)</f>
        <v>5909069.8640269078</v>
      </c>
      <c r="N1184" s="140">
        <f>SUM(N1180:N1183)</f>
        <v>184193.34930642584</v>
      </c>
      <c r="O1184" s="120"/>
      <c r="P1184" s="201"/>
      <c r="Q1184" s="140">
        <f>SUM(Q1180:Q1183)</f>
        <v>5909069.8640269078</v>
      </c>
      <c r="R1184" s="140">
        <f>SUM(R1180:R1183)</f>
        <v>0</v>
      </c>
      <c r="S1184" s="201"/>
      <c r="T1184" s="140">
        <f>SUM(T1180:T1183)</f>
        <v>184360.09716767006</v>
      </c>
      <c r="U1184" s="140">
        <f>SUM(U1180:U1183)</f>
        <v>-166.74786124422042</v>
      </c>
      <c r="V1184" s="124"/>
      <c r="W1184" s="140">
        <f>HLOOKUP($W$9,'ROR-Model'!$Q$10:$U$1273,Y1184)</f>
        <v>5909069.8640269078</v>
      </c>
      <c r="X1184" s="139"/>
      <c r="Y1184" s="3">
        <f t="shared" si="89"/>
        <v>1175</v>
      </c>
      <c r="AA1184" s="140">
        <v>7671262.0000258926</v>
      </c>
      <c r="AC1184" s="140">
        <f t="shared" si="87"/>
        <v>-1762192.1359989848</v>
      </c>
      <c r="AE1184" s="42">
        <f t="shared" si="88"/>
        <v>-0.22971345992263553</v>
      </c>
      <c r="AG1184" s="162"/>
      <c r="AH1184" s="10"/>
      <c r="AI1184" s="10" t="s">
        <v>145</v>
      </c>
      <c r="AJ1184" s="10"/>
    </row>
    <row r="1185" spans="1:36">
      <c r="A1185" s="137"/>
      <c r="B1185" s="47"/>
      <c r="C1185" s="47"/>
      <c r="D1185" s="47"/>
      <c r="E1185" s="7">
        <f>+G1185-Adjustments!G1183</f>
        <v>0</v>
      </c>
      <c r="F1185" s="7"/>
      <c r="G1185" s="7"/>
      <c r="H1185" s="7"/>
      <c r="I1185" s="7"/>
      <c r="J1185" s="7">
        <f>+I1185-'ROR-Model'!I1185</f>
        <v>0</v>
      </c>
      <c r="K1185" s="7"/>
      <c r="L1185" s="7"/>
      <c r="M1185" s="7"/>
      <c r="N1185" s="7"/>
      <c r="O1185" s="120"/>
      <c r="P1185" s="126"/>
      <c r="Q1185" s="7"/>
      <c r="R1185" s="7"/>
      <c r="S1185" s="126"/>
      <c r="T1185" s="7"/>
      <c r="U1185" s="7"/>
      <c r="V1185" s="124"/>
      <c r="W1185" s="7"/>
      <c r="X1185" s="139"/>
      <c r="Y1185" s="3">
        <f t="shared" si="89"/>
        <v>1176</v>
      </c>
      <c r="AA1185" s="7"/>
      <c r="AC1185" s="7" t="str">
        <f t="shared" si="87"/>
        <v/>
      </c>
      <c r="AE1185" s="42" t="str">
        <f t="shared" si="88"/>
        <v/>
      </c>
      <c r="AG1185" s="162"/>
      <c r="AH1185" s="10"/>
      <c r="AI1185" s="10"/>
      <c r="AJ1185" s="10"/>
    </row>
    <row r="1186" spans="1:36">
      <c r="A1186" s="137">
        <v>2351</v>
      </c>
      <c r="B1186" s="47" t="s">
        <v>276</v>
      </c>
      <c r="C1186" s="47"/>
      <c r="D1186" s="47"/>
      <c r="E1186" s="7">
        <f>+G1186-Adjustments!G1184</f>
        <v>0</v>
      </c>
      <c r="F1186" s="7"/>
      <c r="G1186" s="7"/>
      <c r="H1186" s="7"/>
      <c r="I1186" s="7"/>
      <c r="J1186" s="7">
        <f>+I1186-'ROR-Model'!I1186</f>
        <v>0</v>
      </c>
      <c r="K1186" s="7"/>
      <c r="L1186" s="7"/>
      <c r="M1186" s="7"/>
      <c r="N1186" s="7"/>
      <c r="O1186" s="120"/>
      <c r="P1186" s="126"/>
      <c r="Q1186" s="7"/>
      <c r="R1186" s="7"/>
      <c r="S1186" s="126"/>
      <c r="T1186" s="7"/>
      <c r="U1186" s="7"/>
      <c r="V1186" s="124"/>
      <c r="W1186" s="7"/>
      <c r="X1186" s="139"/>
      <c r="Y1186" s="3">
        <f t="shared" si="89"/>
        <v>1177</v>
      </c>
      <c r="AA1186" s="7"/>
      <c r="AC1186" s="7" t="str">
        <f t="shared" si="87"/>
        <v/>
      </c>
      <c r="AE1186" s="42" t="str">
        <f t="shared" si="88"/>
        <v/>
      </c>
      <c r="AG1186" s="162">
        <v>2351</v>
      </c>
      <c r="AH1186" s="10" t="s">
        <v>276</v>
      </c>
      <c r="AI1186" s="10"/>
      <c r="AJ1186" s="10"/>
    </row>
    <row r="1187" spans="1:36">
      <c r="A1187" s="137"/>
      <c r="B1187" s="47"/>
      <c r="C1187" s="47" t="s">
        <v>23</v>
      </c>
      <c r="D1187" s="47"/>
      <c r="E1187" s="7">
        <f>+G1187-Adjustments!G1185</f>
        <v>-14506.210416666669</v>
      </c>
      <c r="F1187" s="7">
        <f>+'Rate Base'!$T$225</f>
        <v>-93636.49</v>
      </c>
      <c r="G1187" s="7">
        <f>+Adjustments!V1167</f>
        <v>-14506.210416666669</v>
      </c>
      <c r="H1187" s="7"/>
      <c r="I1187" s="7">
        <f>SUM($F$1187:$H$1187)</f>
        <v>-108142.70041666667</v>
      </c>
      <c r="J1187" s="7">
        <f>+I1187-'ROR-Model'!I1187</f>
        <v>0</v>
      </c>
      <c r="K1187" s="7"/>
      <c r="L1187" s="7" t="s">
        <v>23</v>
      </c>
      <c r="M1187" s="7">
        <f>VLOOKUP($L1187,$L$2:$N$7,2,FALSE)*I1187</f>
        <v>0</v>
      </c>
      <c r="N1187" s="7">
        <f>VLOOKUP($L1187,$L$2:$N$7,3,FALSE)*I1187</f>
        <v>-108142.70041666667</v>
      </c>
      <c r="O1187" s="120"/>
      <c r="P1187" s="192" t="s">
        <v>510</v>
      </c>
      <c r="Q1187" s="7">
        <f>IF(P1187="G",M1187,IF(P1187="PT",0,ERR))</f>
        <v>0</v>
      </c>
      <c r="R1187" s="7">
        <f>IF(P1187="PT",M1187,IF(P1187="G",0,ERR))</f>
        <v>0</v>
      </c>
      <c r="S1187" s="126" t="s">
        <v>510</v>
      </c>
      <c r="T1187" s="7">
        <f>IF(S1187="G",N1187,IF(S1187="PT",0,ERR))</f>
        <v>-108142.70041666667</v>
      </c>
      <c r="U1187" s="7">
        <f>IF(S1187="PT",N1187,IF(S1187="G",0,ERR))</f>
        <v>0</v>
      </c>
      <c r="V1187" s="124"/>
      <c r="W1187" s="7">
        <f>HLOOKUP($W$9,'ROR-Model'!$Q$10:$U$1273,Y1187)</f>
        <v>0</v>
      </c>
      <c r="X1187" s="139"/>
      <c r="Y1187" s="3">
        <f t="shared" si="89"/>
        <v>1178</v>
      </c>
      <c r="AA1187" s="7">
        <v>0</v>
      </c>
      <c r="AC1187" s="7" t="str">
        <f t="shared" si="87"/>
        <v/>
      </c>
      <c r="AE1187" s="42" t="str">
        <f t="shared" si="88"/>
        <v/>
      </c>
      <c r="AG1187" s="162"/>
      <c r="AH1187" s="10"/>
      <c r="AI1187" s="10" t="s">
        <v>23</v>
      </c>
      <c r="AJ1187" s="10"/>
    </row>
    <row r="1188" spans="1:36">
      <c r="A1188" s="137"/>
      <c r="B1188" s="47"/>
      <c r="C1188" s="47" t="s">
        <v>12</v>
      </c>
      <c r="D1188" s="47"/>
      <c r="E1188" s="7">
        <f>+G1188-Adjustments!G1186</f>
        <v>241839.8508333331</v>
      </c>
      <c r="F1188" s="7">
        <f>+'Rate Base'!$T$226</f>
        <v>-3315393.55</v>
      </c>
      <c r="G1188" s="7">
        <f>+Adjustments!V1168</f>
        <v>241839.8508333331</v>
      </c>
      <c r="H1188" s="7"/>
      <c r="I1188" s="7">
        <f>SUM($F$1188:$H$1188)</f>
        <v>-3073553.6991666667</v>
      </c>
      <c r="J1188" s="7">
        <f>+I1188-'ROR-Model'!I1188</f>
        <v>0</v>
      </c>
      <c r="K1188" s="7"/>
      <c r="L1188" s="7" t="s">
        <v>12</v>
      </c>
      <c r="M1188" s="7">
        <f>VLOOKUP($L1188,$L$2:$N$7,2,FALSE)*I1188</f>
        <v>-3073553.6991666667</v>
      </c>
      <c r="N1188" s="7">
        <f>VLOOKUP($L1188,$L$2:$N$7,3,FALSE)*I1188</f>
        <v>0</v>
      </c>
      <c r="O1188" s="120"/>
      <c r="P1188" s="192" t="s">
        <v>510</v>
      </c>
      <c r="Q1188" s="7">
        <f>IF(P1188="G",M1188,IF(P1188="PT",0,ERR))</f>
        <v>-3073553.6991666667</v>
      </c>
      <c r="R1188" s="7">
        <f>IF(P1188="PT",M1188,IF(P1188="G",0,ERR))</f>
        <v>0</v>
      </c>
      <c r="S1188" s="126" t="s">
        <v>510</v>
      </c>
      <c r="T1188" s="7">
        <f>IF(S1188="G",N1188,IF(S1188="PT",0,ERR))</f>
        <v>0</v>
      </c>
      <c r="U1188" s="7">
        <f>IF(S1188="PT",N1188,IF(S1188="G",0,ERR))</f>
        <v>0</v>
      </c>
      <c r="V1188" s="124"/>
      <c r="W1188" s="7">
        <f>HLOOKUP($W$9,'ROR-Model'!$Q$10:$U$1273,Y1188)</f>
        <v>-3073553.6991666667</v>
      </c>
      <c r="X1188" s="139"/>
      <c r="Y1188" s="3">
        <f t="shared" si="89"/>
        <v>1179</v>
      </c>
      <c r="AA1188" s="7">
        <v>-5358805.03</v>
      </c>
      <c r="AC1188" s="7">
        <f t="shared" si="87"/>
        <v>2285251.3308333335</v>
      </c>
      <c r="AE1188" s="42">
        <f t="shared" si="88"/>
        <v>-0.42644793345529375</v>
      </c>
      <c r="AG1188" s="162"/>
      <c r="AH1188" s="10"/>
      <c r="AI1188" s="10" t="s">
        <v>12</v>
      </c>
      <c r="AJ1188" s="10"/>
    </row>
    <row r="1189" spans="1:36">
      <c r="A1189" s="137"/>
      <c r="B1189" s="47"/>
      <c r="C1189" s="47" t="s">
        <v>145</v>
      </c>
      <c r="D1189" s="47"/>
      <c r="E1189" s="140">
        <f>+G1189-Adjustments!G1187</f>
        <v>227333.64041666643</v>
      </c>
      <c r="F1189" s="140">
        <f>SUM(F1187:F1188)</f>
        <v>-3409030.04</v>
      </c>
      <c r="G1189" s="140">
        <f>SUM(G1187:G1188)</f>
        <v>227333.64041666643</v>
      </c>
      <c r="H1189" s="140">
        <f>SUM(H1187:H1188)</f>
        <v>0</v>
      </c>
      <c r="I1189" s="140">
        <f>SUM(I1187:I1188)</f>
        <v>-3181696.3995833332</v>
      </c>
      <c r="J1189" s="7">
        <f>+I1189-'ROR-Model'!I1189</f>
        <v>0</v>
      </c>
      <c r="K1189" s="7"/>
      <c r="L1189" s="140"/>
      <c r="M1189" s="140">
        <f>SUM(M1187:M1188)</f>
        <v>-3073553.6991666667</v>
      </c>
      <c r="N1189" s="140">
        <f>SUM(N1187:N1188)</f>
        <v>-108142.70041666667</v>
      </c>
      <c r="O1189" s="120"/>
      <c r="P1189" s="201"/>
      <c r="Q1189" s="140">
        <f>SUM(Q1187:Q1188)</f>
        <v>-3073553.6991666667</v>
      </c>
      <c r="R1189" s="140">
        <f>SUM(R1187:R1188)</f>
        <v>0</v>
      </c>
      <c r="S1189" s="201"/>
      <c r="T1189" s="140">
        <f>SUM(T1187:T1188)</f>
        <v>-108142.70041666667</v>
      </c>
      <c r="U1189" s="140">
        <f>SUM(U1187:U1188)</f>
        <v>0</v>
      </c>
      <c r="V1189" s="124"/>
      <c r="W1189" s="140">
        <f>HLOOKUP($W$9,'ROR-Model'!$Q$10:$U$1273,Y1189)</f>
        <v>-3073553.6991666667</v>
      </c>
      <c r="X1189" s="139"/>
      <c r="Y1189" s="3">
        <f t="shared" si="89"/>
        <v>1180</v>
      </c>
      <c r="AA1189" s="140">
        <v>-5358805.03</v>
      </c>
      <c r="AC1189" s="140">
        <f t="shared" si="87"/>
        <v>2285251.3308333335</v>
      </c>
      <c r="AE1189" s="42">
        <f t="shared" si="88"/>
        <v>-0.42644793345529375</v>
      </c>
      <c r="AG1189" s="162"/>
      <c r="AH1189" s="10"/>
      <c r="AI1189" s="10" t="s">
        <v>145</v>
      </c>
      <c r="AJ1189" s="10"/>
    </row>
    <row r="1190" spans="1:36">
      <c r="A1190" s="137"/>
      <c r="B1190" s="47"/>
      <c r="C1190" s="47"/>
      <c r="D1190" s="47"/>
      <c r="E1190" s="7">
        <f>+G1190-Adjustments!G1188</f>
        <v>0</v>
      </c>
      <c r="F1190" s="7"/>
      <c r="G1190" s="7"/>
      <c r="H1190" s="7"/>
      <c r="I1190" s="7"/>
      <c r="J1190" s="7">
        <f>+I1190-'ROR-Model'!I1190</f>
        <v>0</v>
      </c>
      <c r="K1190" s="7"/>
      <c r="L1190" s="7"/>
      <c r="M1190" s="7"/>
      <c r="N1190" s="7"/>
      <c r="O1190" s="120"/>
      <c r="P1190" s="126"/>
      <c r="Q1190" s="7"/>
      <c r="R1190" s="7"/>
      <c r="S1190" s="126"/>
      <c r="T1190" s="7"/>
      <c r="U1190" s="7"/>
      <c r="V1190" s="124"/>
      <c r="W1190" s="7"/>
      <c r="X1190" s="139"/>
      <c r="Y1190" s="3">
        <f t="shared" si="89"/>
        <v>1181</v>
      </c>
      <c r="AA1190" s="7"/>
      <c r="AC1190" s="7" t="str">
        <f t="shared" si="87"/>
        <v/>
      </c>
      <c r="AE1190" s="42" t="str">
        <f t="shared" si="88"/>
        <v/>
      </c>
      <c r="AG1190" s="162"/>
      <c r="AH1190" s="10"/>
      <c r="AI1190" s="10"/>
      <c r="AJ1190" s="10"/>
    </row>
    <row r="1191" spans="1:36">
      <c r="A1191" s="189">
        <v>252</v>
      </c>
      <c r="B1191" s="15" t="s">
        <v>449</v>
      </c>
      <c r="C1191" s="47"/>
      <c r="D1191" s="47"/>
      <c r="E1191" s="7">
        <f>+G1191-Adjustments!G1189</f>
        <v>0</v>
      </c>
      <c r="F1191" s="7"/>
      <c r="G1191" s="7"/>
      <c r="H1191" s="7"/>
      <c r="I1191" s="7"/>
      <c r="J1191" s="7">
        <f>+I1191-'ROR-Model'!I1191</f>
        <v>0</v>
      </c>
      <c r="K1191" s="7"/>
      <c r="L1191" s="7"/>
      <c r="M1191" s="7"/>
      <c r="N1191" s="7"/>
      <c r="O1191" s="120"/>
      <c r="P1191" s="126"/>
      <c r="Q1191" s="7"/>
      <c r="R1191" s="7"/>
      <c r="S1191" s="126"/>
      <c r="T1191" s="7"/>
      <c r="U1191" s="7"/>
      <c r="V1191" s="124"/>
      <c r="W1191" s="7"/>
      <c r="X1191" s="139"/>
      <c r="Y1191" s="3">
        <f t="shared" si="89"/>
        <v>1182</v>
      </c>
      <c r="AA1191" s="7"/>
      <c r="AC1191" s="7" t="str">
        <f t="shared" si="87"/>
        <v/>
      </c>
      <c r="AE1191" s="42" t="str">
        <f t="shared" si="88"/>
        <v/>
      </c>
      <c r="AG1191">
        <v>252</v>
      </c>
      <c r="AH1191" s="1" t="s">
        <v>449</v>
      </c>
      <c r="AI1191" s="10"/>
      <c r="AJ1191" s="10"/>
    </row>
    <row r="1192" spans="1:36">
      <c r="A1192" s="189"/>
      <c r="B1192" s="15"/>
      <c r="C1192" s="47" t="s">
        <v>23</v>
      </c>
      <c r="D1192" s="47"/>
      <c r="E1192" s="7">
        <f>+G1192-Adjustments!G1190</f>
        <v>0</v>
      </c>
      <c r="F1192" s="7">
        <f>+'Rate Base'!T230</f>
        <v>0</v>
      </c>
      <c r="G1192" s="7">
        <f>+Adjustments!V1172</f>
        <v>0</v>
      </c>
      <c r="H1192" s="7"/>
      <c r="I1192" s="7">
        <f>SUM($F$1192:$H$1192)</f>
        <v>0</v>
      </c>
      <c r="J1192" s="7">
        <f>+I1192-'ROR-Model'!I1192</f>
        <v>0</v>
      </c>
      <c r="K1192" s="7"/>
      <c r="L1192" s="7" t="s">
        <v>23</v>
      </c>
      <c r="M1192" s="7">
        <f>VLOOKUP($L1192,$L$2:$N$7,2,FALSE)*I1192</f>
        <v>0</v>
      </c>
      <c r="N1192" s="7">
        <f>VLOOKUP($L1192,$L$2:$N$7,3,FALSE)*I1192</f>
        <v>0</v>
      </c>
      <c r="O1192" s="120"/>
      <c r="P1192" s="192" t="s">
        <v>510</v>
      </c>
      <c r="Q1192" s="7">
        <f>IF(P1192="G",M1192,IF(P1192="PT",0,ERR))</f>
        <v>0</v>
      </c>
      <c r="R1192" s="7">
        <f>IF(P1192="PT",M1192,IF(P1192="G",0,ERR))</f>
        <v>0</v>
      </c>
      <c r="S1192" s="126" t="s">
        <v>510</v>
      </c>
      <c r="T1192" s="7">
        <f>IF(S1192="G",N1192,IF(S1192="PT",0,ERR))</f>
        <v>0</v>
      </c>
      <c r="U1192" s="7">
        <f>IF(S1192="PT",N1192,IF(S1192="G",0,ERR))</f>
        <v>0</v>
      </c>
      <c r="V1192" s="124"/>
      <c r="W1192" s="7">
        <f>HLOOKUP($W$9,'ROR-Model'!$Q$10:$U$1273,Y1192)</f>
        <v>0</v>
      </c>
      <c r="X1192" s="139"/>
      <c r="Y1192" s="3">
        <f t="shared" si="89"/>
        <v>1183</v>
      </c>
      <c r="AA1192" s="7">
        <v>0</v>
      </c>
      <c r="AC1192" s="7" t="str">
        <f t="shared" si="87"/>
        <v/>
      </c>
      <c r="AE1192" s="42" t="str">
        <f t="shared" si="88"/>
        <v/>
      </c>
      <c r="AH1192" s="1"/>
      <c r="AI1192" s="10" t="s">
        <v>23</v>
      </c>
      <c r="AJ1192" s="10"/>
    </row>
    <row r="1193" spans="1:36">
      <c r="A1193" s="189"/>
      <c r="B1193" s="47"/>
      <c r="C1193" s="47" t="s">
        <v>12</v>
      </c>
      <c r="D1193" s="47"/>
      <c r="E1193" s="7">
        <f>+G1193-Adjustments!G1191</f>
        <v>0</v>
      </c>
      <c r="F1193" s="7">
        <f>+'Rate Base'!T231</f>
        <v>0</v>
      </c>
      <c r="G1193" s="7">
        <f>+Adjustments!V1173</f>
        <v>0</v>
      </c>
      <c r="H1193" s="7"/>
      <c r="I1193" s="7">
        <f>SUM($F$1193:$H$1193)</f>
        <v>0</v>
      </c>
      <c r="J1193" s="7">
        <f>+I1193-'ROR-Model'!I1193</f>
        <v>0</v>
      </c>
      <c r="K1193" s="7"/>
      <c r="L1193" s="7" t="s">
        <v>12</v>
      </c>
      <c r="M1193" s="7">
        <f>VLOOKUP($L1193,$L$2:$N$7,2,FALSE)*I1193</f>
        <v>0</v>
      </c>
      <c r="N1193" s="7">
        <f>VLOOKUP($L1193,$L$2:$N$7,3,FALSE)*I1193</f>
        <v>0</v>
      </c>
      <c r="O1193" s="120"/>
      <c r="P1193" s="192" t="s">
        <v>510</v>
      </c>
      <c r="Q1193" s="7">
        <f>IF(P1193="G",M1193,IF(P1193="PT",0,ERR))</f>
        <v>0</v>
      </c>
      <c r="R1193" s="7">
        <f>IF(P1193="PT",M1193,IF(P1193="G",0,ERR))</f>
        <v>0</v>
      </c>
      <c r="S1193" s="126" t="s">
        <v>510</v>
      </c>
      <c r="T1193" s="7">
        <f>IF(S1193="G",N1193,IF(S1193="PT",0,ERR))</f>
        <v>0</v>
      </c>
      <c r="U1193" s="7">
        <f>IF(S1193="PT",N1193,IF(S1193="G",0,ERR))</f>
        <v>0</v>
      </c>
      <c r="V1193" s="124"/>
      <c r="W1193" s="7">
        <f>HLOOKUP($W$9,'ROR-Model'!$Q$10:$U$1273,Y1193)</f>
        <v>0</v>
      </c>
      <c r="X1193" s="139"/>
      <c r="Y1193" s="3">
        <f t="shared" si="89"/>
        <v>1184</v>
      </c>
      <c r="AA1193" s="7">
        <v>-10620979.014999999</v>
      </c>
      <c r="AC1193" s="7">
        <f t="shared" si="87"/>
        <v>10620979.014999999</v>
      </c>
      <c r="AE1193" s="42">
        <f t="shared" si="88"/>
        <v>-1</v>
      </c>
      <c r="AH1193" s="10"/>
      <c r="AI1193" s="10" t="s">
        <v>12</v>
      </c>
      <c r="AJ1193" s="10"/>
    </row>
    <row r="1194" spans="1:36">
      <c r="A1194" s="189"/>
      <c r="B1194" s="47"/>
      <c r="C1194" s="47" t="s">
        <v>145</v>
      </c>
      <c r="D1194" s="47"/>
      <c r="E1194" s="140">
        <f>+G1194-Adjustments!G1192</f>
        <v>0</v>
      </c>
      <c r="F1194" s="140">
        <f>SUM(F1192:F1193)</f>
        <v>0</v>
      </c>
      <c r="G1194" s="140">
        <f>SUM(G1192:G1193)</f>
        <v>0</v>
      </c>
      <c r="H1194" s="140">
        <f>SUM(H1192:H1193)</f>
        <v>0</v>
      </c>
      <c r="I1194" s="140">
        <f>SUM(I1192:I1193)</f>
        <v>0</v>
      </c>
      <c r="J1194" s="7">
        <f>+I1194-'ROR-Model'!I1194</f>
        <v>0</v>
      </c>
      <c r="K1194" s="7"/>
      <c r="L1194" s="140"/>
      <c r="M1194" s="140">
        <f>SUM(M1193)</f>
        <v>0</v>
      </c>
      <c r="N1194" s="140">
        <f>SUM(N1192:N1193)</f>
        <v>0</v>
      </c>
      <c r="O1194" s="120"/>
      <c r="P1194" s="201"/>
      <c r="Q1194" s="140">
        <f>SUM(Q1192:Q1193)</f>
        <v>0</v>
      </c>
      <c r="R1194" s="140">
        <f>SUM(R1192:R1193)</f>
        <v>0</v>
      </c>
      <c r="S1194" s="201"/>
      <c r="T1194" s="140">
        <f>SUM(T1192:T1193)</f>
        <v>0</v>
      </c>
      <c r="U1194" s="140">
        <f>SUM(U1193)</f>
        <v>0</v>
      </c>
      <c r="V1194" s="124"/>
      <c r="W1194" s="140">
        <f>HLOOKUP($W$9,'ROR-Model'!$Q$10:$U$1273,Y1194)</f>
        <v>0</v>
      </c>
      <c r="X1194" s="139"/>
      <c r="Y1194" s="3">
        <f t="shared" si="89"/>
        <v>1185</v>
      </c>
      <c r="AA1194" s="140">
        <v>-10620979.014999999</v>
      </c>
      <c r="AC1194" s="140">
        <f t="shared" si="87"/>
        <v>10620979.014999999</v>
      </c>
      <c r="AE1194" s="42">
        <f t="shared" si="88"/>
        <v>-1</v>
      </c>
      <c r="AH1194" s="10"/>
      <c r="AI1194" s="10" t="s">
        <v>145</v>
      </c>
      <c r="AJ1194" s="10"/>
    </row>
    <row r="1195" spans="1:36">
      <c r="A1195" s="189"/>
      <c r="B1195" s="47"/>
      <c r="C1195" s="47"/>
      <c r="D1195" s="47"/>
      <c r="E1195" s="7">
        <f>+G1195-Adjustments!G1193</f>
        <v>0</v>
      </c>
      <c r="F1195" s="7"/>
      <c r="G1195" s="7"/>
      <c r="H1195" s="7"/>
      <c r="I1195" s="7"/>
      <c r="J1195" s="7">
        <f>+I1195-'ROR-Model'!I1195</f>
        <v>0</v>
      </c>
      <c r="K1195" s="7"/>
      <c r="L1195" s="7"/>
      <c r="M1195" s="7"/>
      <c r="N1195" s="7"/>
      <c r="O1195" s="120"/>
      <c r="P1195" s="126"/>
      <c r="Q1195" s="7"/>
      <c r="R1195" s="7"/>
      <c r="S1195" s="126"/>
      <c r="T1195" s="7"/>
      <c r="U1195" s="7"/>
      <c r="V1195" s="124"/>
      <c r="W1195" s="7"/>
      <c r="X1195" s="139"/>
      <c r="Y1195" s="3">
        <f t="shared" si="89"/>
        <v>1186</v>
      </c>
      <c r="AA1195" s="7"/>
      <c r="AC1195" s="7" t="str">
        <f t="shared" si="87"/>
        <v/>
      </c>
      <c r="AE1195" s="42" t="str">
        <f t="shared" si="88"/>
        <v/>
      </c>
      <c r="AH1195" s="10"/>
      <c r="AI1195" s="10"/>
      <c r="AJ1195" s="10"/>
    </row>
    <row r="1196" spans="1:36">
      <c r="A1196" s="137">
        <v>2531</v>
      </c>
      <c r="B1196" s="47" t="s">
        <v>277</v>
      </c>
      <c r="C1196" s="47"/>
      <c r="D1196" s="47"/>
      <c r="E1196" s="7">
        <f>+G1196-Adjustments!G1194</f>
        <v>0</v>
      </c>
      <c r="F1196" s="7"/>
      <c r="G1196" s="7"/>
      <c r="H1196" s="7"/>
      <c r="I1196" s="7"/>
      <c r="J1196" s="7">
        <f>+I1196-'ROR-Model'!I1196</f>
        <v>0</v>
      </c>
      <c r="K1196" s="7"/>
      <c r="L1196" s="7"/>
      <c r="M1196" s="7"/>
      <c r="N1196" s="7"/>
      <c r="O1196" s="120"/>
      <c r="P1196" s="126"/>
      <c r="Q1196" s="7"/>
      <c r="R1196" s="7"/>
      <c r="S1196" s="126"/>
      <c r="T1196" s="7"/>
      <c r="U1196" s="7"/>
      <c r="V1196" s="124"/>
      <c r="W1196" s="7"/>
      <c r="X1196" s="139"/>
      <c r="Y1196" s="3">
        <f t="shared" si="89"/>
        <v>1187</v>
      </c>
      <c r="AA1196" s="7"/>
      <c r="AC1196" s="7" t="str">
        <f t="shared" si="87"/>
        <v/>
      </c>
      <c r="AE1196" s="42" t="str">
        <f t="shared" si="88"/>
        <v/>
      </c>
      <c r="AG1196" s="162">
        <v>2531</v>
      </c>
      <c r="AH1196" s="10" t="s">
        <v>277</v>
      </c>
      <c r="AI1196" s="10"/>
      <c r="AJ1196" s="10"/>
    </row>
    <row r="1197" spans="1:36">
      <c r="A1197" s="137"/>
      <c r="B1197" s="47"/>
      <c r="C1197" s="47" t="s">
        <v>544</v>
      </c>
      <c r="D1197" s="47"/>
      <c r="E1197" s="7">
        <f>+G1197-Adjustments!G1195</f>
        <v>14083.890416666662</v>
      </c>
      <c r="F1197" s="7">
        <f>+'Rate Base'!$T$236</f>
        <v>-126945.45</v>
      </c>
      <c r="G1197" s="7">
        <f>+Adjustments!V1177</f>
        <v>14083.890416666662</v>
      </c>
      <c r="H1197" s="7"/>
      <c r="I1197" s="7">
        <f>SUM($F$1197:$H$1197)</f>
        <v>-112861.55958333334</v>
      </c>
      <c r="J1197" s="7">
        <f>+I1197-'ROR-Model'!I1197</f>
        <v>0</v>
      </c>
      <c r="K1197" s="7"/>
      <c r="L1197" s="7" t="s">
        <v>429</v>
      </c>
      <c r="M1197" s="7">
        <f>VLOOKUP($L1197,$L$2:$N$7,2,FALSE)*I1197</f>
        <v>-109449.68287991264</v>
      </c>
      <c r="N1197" s="7">
        <f>VLOOKUP($L1197,$L$2:$N$7,3,FALSE)*I1197</f>
        <v>-3411.8767034206894</v>
      </c>
      <c r="O1197" s="120"/>
      <c r="P1197" s="192" t="s">
        <v>510</v>
      </c>
      <c r="Q1197" s="7">
        <f>IF(P1197="G",M1197,IF(P1197="PT",0,ERR))</f>
        <v>-109449.68287991264</v>
      </c>
      <c r="R1197" s="7">
        <f>IF(P1197="PT",M1197,IF(P1197="G",0,ERR))</f>
        <v>0</v>
      </c>
      <c r="S1197" s="126" t="s">
        <v>510</v>
      </c>
      <c r="T1197" s="7">
        <f>IF(S1197="G",N1197,IF(S1197="PT",0,ERR))</f>
        <v>-3411.8767034206894</v>
      </c>
      <c r="U1197" s="7">
        <f>IF(S1197="PT",N1197,IF(S1197="G",0,ERR))</f>
        <v>0</v>
      </c>
      <c r="V1197" s="124"/>
      <c r="W1197" s="7">
        <f>HLOOKUP($W$9,'ROR-Model'!$Q$10:$U$1273,Y1197)</f>
        <v>-109449.68287991264</v>
      </c>
      <c r="X1197" s="139"/>
      <c r="Y1197" s="3">
        <f t="shared" si="89"/>
        <v>1188</v>
      </c>
      <c r="AA1197" s="7">
        <v>-36351.452421561196</v>
      </c>
      <c r="AC1197" s="7">
        <f t="shared" si="87"/>
        <v>-73098.230458351434</v>
      </c>
      <c r="AE1197" s="42">
        <f t="shared" si="88"/>
        <v>2.0108750982118822</v>
      </c>
      <c r="AG1197" s="162"/>
      <c r="AH1197" s="10"/>
      <c r="AI1197" s="10" t="s">
        <v>544</v>
      </c>
      <c r="AJ1197" s="10"/>
    </row>
    <row r="1198" spans="1:36">
      <c r="A1198" s="137"/>
      <c r="B1198" s="47"/>
      <c r="C1198" s="47" t="s">
        <v>145</v>
      </c>
      <c r="D1198" s="47"/>
      <c r="E1198" s="140">
        <f>+G1198-Adjustments!G1196</f>
        <v>14083.890416666662</v>
      </c>
      <c r="F1198" s="140">
        <f>SUM(F1197)</f>
        <v>-126945.45</v>
      </c>
      <c r="G1198" s="140">
        <f>SUM(G1197)</f>
        <v>14083.890416666662</v>
      </c>
      <c r="H1198" s="140">
        <f>SUM(H1197)</f>
        <v>0</v>
      </c>
      <c r="I1198" s="140">
        <f>SUM(I1197)</f>
        <v>-112861.55958333334</v>
      </c>
      <c r="J1198" s="7">
        <f>+I1198-'ROR-Model'!I1198</f>
        <v>0</v>
      </c>
      <c r="K1198" s="7"/>
      <c r="L1198" s="140"/>
      <c r="M1198" s="140">
        <f>SUM(M1197)</f>
        <v>-109449.68287991264</v>
      </c>
      <c r="N1198" s="140">
        <f>SUM(N1197)</f>
        <v>-3411.8767034206894</v>
      </c>
      <c r="O1198" s="120"/>
      <c r="P1198" s="201"/>
      <c r="Q1198" s="140">
        <f>SUM(Q1196:Q1197)</f>
        <v>-109449.68287991264</v>
      </c>
      <c r="R1198" s="140">
        <f>SUM(R1196:R1197)</f>
        <v>0</v>
      </c>
      <c r="S1198" s="201"/>
      <c r="T1198" s="140">
        <f>SUM(T1196:T1197)</f>
        <v>-3411.8767034206894</v>
      </c>
      <c r="U1198" s="140">
        <f>SUM(U1197)</f>
        <v>0</v>
      </c>
      <c r="V1198" s="124"/>
      <c r="W1198" s="140">
        <f>HLOOKUP($W$9,'ROR-Model'!$Q$10:$U$1273,Y1198)</f>
        <v>-109449.68287991264</v>
      </c>
      <c r="X1198" s="139"/>
      <c r="Y1198" s="3">
        <f t="shared" si="89"/>
        <v>1189</v>
      </c>
      <c r="AA1198" s="140">
        <v>-36351.452421561196</v>
      </c>
      <c r="AC1198" s="140">
        <f t="shared" si="87"/>
        <v>-73098.230458351434</v>
      </c>
      <c r="AE1198" s="42">
        <f t="shared" si="88"/>
        <v>2.0108750982118822</v>
      </c>
      <c r="AG1198" s="162"/>
      <c r="AH1198" s="10"/>
      <c r="AI1198" s="10" t="s">
        <v>145</v>
      </c>
      <c r="AJ1198" s="10"/>
    </row>
    <row r="1199" spans="1:36">
      <c r="A1199" s="137"/>
      <c r="B1199" s="47"/>
      <c r="C1199" s="47"/>
      <c r="D1199" s="47"/>
      <c r="E1199" s="7">
        <f>+G1199-Adjustments!G1197</f>
        <v>0</v>
      </c>
      <c r="F1199" s="7"/>
      <c r="G1199" s="7"/>
      <c r="H1199" s="7"/>
      <c r="I1199" s="7"/>
      <c r="J1199" s="7">
        <f>+I1199-'ROR-Model'!I1199</f>
        <v>0</v>
      </c>
      <c r="K1199" s="7"/>
      <c r="L1199" s="7"/>
      <c r="M1199" s="7"/>
      <c r="N1199" s="7"/>
      <c r="O1199" s="120"/>
      <c r="P1199" s="126"/>
      <c r="Q1199" s="7"/>
      <c r="R1199" s="7"/>
      <c r="S1199" s="126"/>
      <c r="T1199" s="7"/>
      <c r="U1199" s="7"/>
      <c r="V1199" s="124"/>
      <c r="W1199" s="7"/>
      <c r="X1199" s="139"/>
      <c r="Y1199" s="3">
        <f t="shared" si="89"/>
        <v>1190</v>
      </c>
      <c r="AA1199" s="7"/>
      <c r="AC1199" s="7" t="str">
        <f t="shared" si="87"/>
        <v/>
      </c>
      <c r="AE1199" s="42" t="str">
        <f t="shared" si="88"/>
        <v/>
      </c>
      <c r="AG1199" s="162"/>
      <c r="AH1199" s="10"/>
      <c r="AI1199" s="10"/>
      <c r="AJ1199" s="10"/>
    </row>
    <row r="1200" spans="1:36">
      <c r="A1200" s="137">
        <v>255</v>
      </c>
      <c r="B1200" s="47" t="s">
        <v>278</v>
      </c>
      <c r="C1200" s="47"/>
      <c r="D1200" s="47"/>
      <c r="E1200" s="7">
        <f>+G1200-Adjustments!G1198</f>
        <v>0</v>
      </c>
      <c r="F1200" s="7"/>
      <c r="G1200" s="7"/>
      <c r="H1200" s="7"/>
      <c r="I1200" s="7"/>
      <c r="J1200" s="7">
        <f>+I1200-'ROR-Model'!I1200</f>
        <v>0</v>
      </c>
      <c r="K1200" s="7"/>
      <c r="L1200" s="7"/>
      <c r="M1200" s="7"/>
      <c r="N1200" s="7"/>
      <c r="O1200" s="120"/>
      <c r="P1200" s="126"/>
      <c r="Q1200" s="7"/>
      <c r="R1200" s="7"/>
      <c r="S1200" s="126"/>
      <c r="T1200" s="7"/>
      <c r="U1200" s="7"/>
      <c r="V1200" s="124"/>
      <c r="W1200" s="7"/>
      <c r="X1200" s="139"/>
      <c r="Y1200" s="3">
        <f t="shared" si="89"/>
        <v>1191</v>
      </c>
      <c r="AA1200" s="7"/>
      <c r="AC1200" s="7" t="str">
        <f t="shared" si="87"/>
        <v/>
      </c>
      <c r="AE1200" s="42" t="str">
        <f t="shared" si="88"/>
        <v/>
      </c>
      <c r="AG1200" s="162">
        <v>255</v>
      </c>
      <c r="AH1200" s="10" t="s">
        <v>278</v>
      </c>
      <c r="AI1200" s="10"/>
      <c r="AJ1200" s="10"/>
    </row>
    <row r="1201" spans="1:36">
      <c r="A1201" s="137"/>
      <c r="B1201" s="47"/>
      <c r="C1201" s="47" t="s">
        <v>399</v>
      </c>
      <c r="D1201" s="47"/>
      <c r="E1201" s="7">
        <f>+G1201-Adjustments!G1199</f>
        <v>0</v>
      </c>
      <c r="F1201" s="7">
        <f>+'Rate Base'!$T$239</f>
        <v>0</v>
      </c>
      <c r="G1201" s="7">
        <f>+Adjustments!V1181</f>
        <v>0</v>
      </c>
      <c r="H1201" s="7"/>
      <c r="I1201" s="7">
        <f>SUM($F$1201:$H$1201)</f>
        <v>0</v>
      </c>
      <c r="J1201" s="7">
        <f>+I1201-'ROR-Model'!I1201</f>
        <v>0</v>
      </c>
      <c r="K1201" s="7"/>
      <c r="L1201" s="7" t="s">
        <v>637</v>
      </c>
      <c r="M1201" s="7">
        <f>VLOOKUP($L1201,$L$2:$N$7,2,FALSE)*I1201</f>
        <v>0</v>
      </c>
      <c r="N1201" s="7">
        <f>VLOOKUP($L1201,$L$2:$N$7,3,FALSE)*I1201</f>
        <v>0</v>
      </c>
      <c r="O1201" s="120"/>
      <c r="P1201" s="192" t="s">
        <v>510</v>
      </c>
      <c r="Q1201" s="7">
        <f>IF(P1201="G",M1201,IF(P1201="PT",0,ERR))</f>
        <v>0</v>
      </c>
      <c r="R1201" s="7">
        <f>IF(P1201="PT",M1201,IF(P1201="G",0,ERR))</f>
        <v>0</v>
      </c>
      <c r="S1201" s="126" t="s">
        <v>509</v>
      </c>
      <c r="T1201" s="7">
        <f>IF(S1201="G",N1201,IF(S1201="PT",0,ERR))</f>
        <v>0</v>
      </c>
      <c r="U1201" s="7">
        <f>IF(S1201="PT",N1201,IF(S1201="G",0,ERR))</f>
        <v>0</v>
      </c>
      <c r="V1201" s="124"/>
      <c r="W1201" s="7">
        <f>HLOOKUP($W$9,'ROR-Model'!$Q$10:$U$1273,Y1201)</f>
        <v>0</v>
      </c>
      <c r="X1201" s="139"/>
      <c r="Y1201" s="3">
        <f t="shared" si="89"/>
        <v>1192</v>
      </c>
      <c r="AA1201" s="7">
        <v>-1212.0432520549141</v>
      </c>
      <c r="AC1201" s="7">
        <f t="shared" si="87"/>
        <v>1212.0432520549141</v>
      </c>
      <c r="AE1201" s="42">
        <f t="shared" si="88"/>
        <v>-1</v>
      </c>
      <c r="AG1201" s="162"/>
      <c r="AH1201" s="10"/>
      <c r="AI1201" s="10" t="s">
        <v>399</v>
      </c>
      <c r="AJ1201" s="10"/>
    </row>
    <row r="1202" spans="1:36">
      <c r="A1202" s="137"/>
      <c r="B1202" s="47"/>
      <c r="C1202" s="47" t="s">
        <v>542</v>
      </c>
      <c r="D1202" s="47"/>
      <c r="E1202" s="7">
        <f>+G1202-Adjustments!G1200</f>
        <v>0</v>
      </c>
      <c r="F1202" s="7">
        <f>+'Rate Base'!$T$240</f>
        <v>0</v>
      </c>
      <c r="G1202" s="7">
        <f>+Adjustments!V1182</f>
        <v>0</v>
      </c>
      <c r="H1202" s="7"/>
      <c r="I1202" s="7">
        <f>SUM($F$1202:$H$1202)</f>
        <v>0</v>
      </c>
      <c r="J1202" s="7">
        <f>+I1202-'ROR-Model'!I1202</f>
        <v>0</v>
      </c>
      <c r="K1202" s="7"/>
      <c r="L1202" s="7" t="s">
        <v>23</v>
      </c>
      <c r="M1202" s="7">
        <f>VLOOKUP($L1202,$L$2:$N$7,2,FALSE)*I1202</f>
        <v>0</v>
      </c>
      <c r="N1202" s="7">
        <f>VLOOKUP($L1202,$L$2:$N$7,3,FALSE)*I1202</f>
        <v>0</v>
      </c>
      <c r="O1202" s="120"/>
      <c r="P1202" s="192" t="s">
        <v>510</v>
      </c>
      <c r="Q1202" s="7">
        <f>IF(P1202="G",M1202,IF(P1202="PT",0,ERR))</f>
        <v>0</v>
      </c>
      <c r="R1202" s="7">
        <f>IF(P1202="PT",M1202,IF(P1202="G",0,ERR))</f>
        <v>0</v>
      </c>
      <c r="S1202" s="126" t="s">
        <v>510</v>
      </c>
      <c r="T1202" s="7">
        <f>IF(S1202="G",N1202,IF(S1202="PT",0,ERR))</f>
        <v>0</v>
      </c>
      <c r="U1202" s="7">
        <f>IF(S1202="PT",N1202,IF(S1202="G",0,ERR))</f>
        <v>0</v>
      </c>
      <c r="V1202" s="124"/>
      <c r="W1202" s="7">
        <f>HLOOKUP($W$9,'ROR-Model'!$Q$10:$U$1273,Y1202)</f>
        <v>0</v>
      </c>
      <c r="X1202" s="139"/>
      <c r="Y1202" s="3">
        <f t="shared" si="89"/>
        <v>1193</v>
      </c>
      <c r="AA1202" s="7">
        <v>0</v>
      </c>
      <c r="AC1202" s="7" t="str">
        <f t="shared" si="87"/>
        <v/>
      </c>
      <c r="AE1202" s="42" t="str">
        <f t="shared" si="88"/>
        <v/>
      </c>
      <c r="AG1202" s="162"/>
      <c r="AH1202" s="10"/>
      <c r="AI1202" s="10" t="s">
        <v>542</v>
      </c>
      <c r="AJ1202" s="10"/>
    </row>
    <row r="1203" spans="1:36">
      <c r="A1203" s="137"/>
      <c r="B1203" s="47"/>
      <c r="C1203" s="47" t="s">
        <v>543</v>
      </c>
      <c r="D1203" s="47"/>
      <c r="E1203" s="7">
        <f>+G1203-Adjustments!G1201</f>
        <v>0</v>
      </c>
      <c r="F1203" s="7">
        <f>+'Rate Base'!$T$241</f>
        <v>0</v>
      </c>
      <c r="G1203" s="7">
        <f>+Adjustments!V1183</f>
        <v>0</v>
      </c>
      <c r="H1203" s="7"/>
      <c r="I1203" s="7">
        <f>SUM($F$1203:$H$1203)</f>
        <v>0</v>
      </c>
      <c r="J1203" s="7">
        <f>+I1203-'ROR-Model'!I1203</f>
        <v>0</v>
      </c>
      <c r="K1203" s="7"/>
      <c r="L1203" s="7" t="s">
        <v>12</v>
      </c>
      <c r="M1203" s="7">
        <f>VLOOKUP($L1203,$L$2:$N$7,2,FALSE)*I1203</f>
        <v>0</v>
      </c>
      <c r="N1203" s="7">
        <f>VLOOKUP($L1203,$L$2:$N$7,3,FALSE)*I1203</f>
        <v>0</v>
      </c>
      <c r="O1203" s="120"/>
      <c r="P1203" s="192" t="s">
        <v>510</v>
      </c>
      <c r="Q1203" s="7">
        <f>IF(P1203="G",M1203,IF(P1203="PT",0,ERR))</f>
        <v>0</v>
      </c>
      <c r="R1203" s="7">
        <f>IF(P1203="PT",M1203,IF(P1203="G",0,ERR))</f>
        <v>0</v>
      </c>
      <c r="S1203" s="126" t="s">
        <v>510</v>
      </c>
      <c r="T1203" s="7">
        <f>IF(S1203="G",N1203,IF(S1203="PT",0,ERR))</f>
        <v>0</v>
      </c>
      <c r="U1203" s="7">
        <f>IF(S1203="PT",N1203,IF(S1203="G",0,ERR))</f>
        <v>0</v>
      </c>
      <c r="V1203" s="124"/>
      <c r="W1203" s="7">
        <f>HLOOKUP($W$9,'ROR-Model'!$Q$10:$U$1273,Y1203)</f>
        <v>0</v>
      </c>
      <c r="X1203" s="139"/>
      <c r="Y1203" s="3">
        <f t="shared" si="89"/>
        <v>1194</v>
      </c>
      <c r="AA1203" s="7">
        <v>-24856.224524916663</v>
      </c>
      <c r="AC1203" s="7">
        <f t="shared" si="87"/>
        <v>24856.224524916663</v>
      </c>
      <c r="AE1203" s="42">
        <f t="shared" si="88"/>
        <v>-1</v>
      </c>
      <c r="AG1203" s="162"/>
      <c r="AH1203" s="10"/>
      <c r="AI1203" s="10" t="s">
        <v>543</v>
      </c>
      <c r="AJ1203" s="10"/>
    </row>
    <row r="1204" spans="1:36">
      <c r="A1204" s="137"/>
      <c r="B1204" s="47"/>
      <c r="C1204" s="47" t="s">
        <v>544</v>
      </c>
      <c r="D1204" s="47"/>
      <c r="E1204" s="7">
        <f>+G1204-Adjustments!G1202</f>
        <v>0</v>
      </c>
      <c r="F1204" s="7">
        <f>+'Rate Base'!$T$242</f>
        <v>0</v>
      </c>
      <c r="G1204" s="7">
        <f>+Adjustments!V1184</f>
        <v>0</v>
      </c>
      <c r="H1204" s="7"/>
      <c r="I1204" s="7">
        <f>SUM($F$1204:$H$1204)</f>
        <v>0</v>
      </c>
      <c r="J1204" s="7">
        <f>+I1204-'ROR-Model'!I1204</f>
        <v>0</v>
      </c>
      <c r="K1204" s="7"/>
      <c r="L1204" s="7" t="s">
        <v>429</v>
      </c>
      <c r="M1204" s="7">
        <f>VLOOKUP($L1204,$L$2:$N$7,2,FALSE)*I1204</f>
        <v>0</v>
      </c>
      <c r="N1204" s="7">
        <f>VLOOKUP($L1204,$L$2:$N$7,3,FALSE)*I1204</f>
        <v>0</v>
      </c>
      <c r="O1204" s="120"/>
      <c r="P1204" s="192" t="s">
        <v>510</v>
      </c>
      <c r="Q1204" s="7">
        <f>IF(P1204="G",M1204,IF(P1204="PT",0,ERR))</f>
        <v>0</v>
      </c>
      <c r="R1204" s="7">
        <f>IF(P1204="PT",M1204,IF(P1204="G",0,ERR))</f>
        <v>0</v>
      </c>
      <c r="S1204" s="126" t="s">
        <v>510</v>
      </c>
      <c r="T1204" s="7">
        <f>IF(S1204="G",N1204,IF(S1204="PT",0,ERR))</f>
        <v>0</v>
      </c>
      <c r="U1204" s="7">
        <f>IF(S1204="PT",N1204,IF(S1204="G",0,ERR))</f>
        <v>0</v>
      </c>
      <c r="V1204" s="124"/>
      <c r="W1204" s="7">
        <f>HLOOKUP($W$9,'ROR-Model'!$Q$10:$U$1273,Y1204)</f>
        <v>0</v>
      </c>
      <c r="X1204" s="139"/>
      <c r="Y1204" s="3">
        <f t="shared" si="89"/>
        <v>1195</v>
      </c>
      <c r="AA1204" s="7">
        <v>-488.67647408856914</v>
      </c>
      <c r="AC1204" s="7">
        <f t="shared" si="87"/>
        <v>488.67647408856914</v>
      </c>
      <c r="AE1204" s="42">
        <f t="shared" si="88"/>
        <v>-1</v>
      </c>
      <c r="AG1204" s="162"/>
      <c r="AH1204" s="10"/>
      <c r="AI1204" s="10" t="s">
        <v>544</v>
      </c>
      <c r="AJ1204" s="10"/>
    </row>
    <row r="1205" spans="1:36">
      <c r="A1205" s="137"/>
      <c r="B1205" s="47"/>
      <c r="C1205" s="47" t="s">
        <v>145</v>
      </c>
      <c r="D1205" s="47"/>
      <c r="E1205" s="140">
        <f>+G1205-Adjustments!G1203</f>
        <v>0</v>
      </c>
      <c r="F1205" s="140">
        <f>SUM(F1201:F1204)</f>
        <v>0</v>
      </c>
      <c r="G1205" s="140">
        <f>SUM(G1201:G1204)</f>
        <v>0</v>
      </c>
      <c r="H1205" s="140">
        <f>SUM(H1201:H1204)</f>
        <v>0</v>
      </c>
      <c r="I1205" s="140">
        <f>SUM(I1201:I1204)</f>
        <v>0</v>
      </c>
      <c r="J1205" s="7">
        <f>+I1205-'ROR-Model'!I1205</f>
        <v>0</v>
      </c>
      <c r="K1205" s="7"/>
      <c r="L1205" s="140"/>
      <c r="M1205" s="140">
        <f>SUM(M1201:M1204)</f>
        <v>0</v>
      </c>
      <c r="N1205" s="140">
        <f>SUM(N1201:N1204)</f>
        <v>0</v>
      </c>
      <c r="O1205" s="120"/>
      <c r="P1205" s="201"/>
      <c r="Q1205" s="140">
        <f>SUM(Q1201:Q1204)</f>
        <v>0</v>
      </c>
      <c r="R1205" s="140">
        <f>SUM(R1201:R1204)</f>
        <v>0</v>
      </c>
      <c r="S1205" s="201"/>
      <c r="T1205" s="140">
        <f>SUM(T1201:T1204)</f>
        <v>0</v>
      </c>
      <c r="U1205" s="140">
        <f>SUM(U1201:U1204)</f>
        <v>0</v>
      </c>
      <c r="V1205" s="124"/>
      <c r="W1205" s="140">
        <f>HLOOKUP($W$9,'ROR-Model'!$Q$10:$U$1273,Y1205)</f>
        <v>0</v>
      </c>
      <c r="X1205" s="139"/>
      <c r="Y1205" s="3">
        <f t="shared" si="89"/>
        <v>1196</v>
      </c>
      <c r="AA1205" s="140">
        <v>-26556.944251060148</v>
      </c>
      <c r="AC1205" s="140">
        <f t="shared" si="87"/>
        <v>26556.944251060148</v>
      </c>
      <c r="AE1205" s="42">
        <f t="shared" si="88"/>
        <v>-1</v>
      </c>
      <c r="AG1205" s="162"/>
      <c r="AH1205" s="10"/>
      <c r="AI1205" s="10" t="s">
        <v>145</v>
      </c>
      <c r="AJ1205" s="10"/>
    </row>
    <row r="1206" spans="1:36">
      <c r="A1206" s="137"/>
      <c r="B1206" s="47"/>
      <c r="C1206" s="47"/>
      <c r="D1206" s="47"/>
      <c r="E1206" s="7">
        <f>+G1206-Adjustments!G1204</f>
        <v>0</v>
      </c>
      <c r="F1206" s="7"/>
      <c r="G1206" s="7"/>
      <c r="H1206" s="7"/>
      <c r="I1206" s="7"/>
      <c r="J1206" s="7">
        <f>+I1206-'ROR-Model'!I1206</f>
        <v>0</v>
      </c>
      <c r="K1206" s="7"/>
      <c r="L1206" s="7"/>
      <c r="M1206" s="7"/>
      <c r="N1206" s="7"/>
      <c r="O1206" s="120"/>
      <c r="P1206" s="126"/>
      <c r="Q1206" s="7"/>
      <c r="R1206" s="7"/>
      <c r="S1206" s="126"/>
      <c r="T1206" s="7"/>
      <c r="U1206" s="7"/>
      <c r="V1206" s="124"/>
      <c r="W1206" s="7"/>
      <c r="X1206" s="139"/>
      <c r="Y1206" s="3">
        <f t="shared" si="89"/>
        <v>1197</v>
      </c>
      <c r="AA1206" s="7"/>
      <c r="AC1206" s="7" t="str">
        <f t="shared" si="87"/>
        <v/>
      </c>
      <c r="AE1206" s="42" t="str">
        <f t="shared" si="88"/>
        <v/>
      </c>
      <c r="AG1206" s="162"/>
      <c r="AH1206" s="10"/>
      <c r="AI1206" s="10"/>
      <c r="AJ1206" s="10"/>
    </row>
    <row r="1207" spans="1:36">
      <c r="A1207" s="137">
        <v>2820</v>
      </c>
      <c r="B1207" s="47" t="s">
        <v>434</v>
      </c>
      <c r="C1207" s="47"/>
      <c r="D1207" s="47"/>
      <c r="E1207" s="7">
        <f>+G1207-Adjustments!G1205</f>
        <v>0</v>
      </c>
      <c r="F1207" s="7"/>
      <c r="G1207" s="7"/>
      <c r="H1207" s="7"/>
      <c r="I1207" s="7"/>
      <c r="J1207" s="7">
        <f>+I1207-'ROR-Model'!I1207</f>
        <v>0</v>
      </c>
      <c r="K1207" s="7"/>
      <c r="L1207" s="7"/>
      <c r="M1207" s="7"/>
      <c r="N1207" s="7"/>
      <c r="O1207" s="120"/>
      <c r="P1207" s="126"/>
      <c r="Q1207" s="7"/>
      <c r="R1207" s="7"/>
      <c r="S1207" s="126"/>
      <c r="T1207" s="7"/>
      <c r="U1207" s="7"/>
      <c r="V1207" s="124"/>
      <c r="W1207" s="7"/>
      <c r="X1207" s="139"/>
      <c r="Y1207" s="3">
        <f t="shared" si="89"/>
        <v>1198</v>
      </c>
      <c r="AA1207" s="7"/>
      <c r="AC1207" s="7" t="str">
        <f t="shared" si="87"/>
        <v/>
      </c>
      <c r="AE1207" s="42" t="str">
        <f t="shared" si="88"/>
        <v/>
      </c>
      <c r="AG1207" s="162">
        <v>2820</v>
      </c>
      <c r="AH1207" s="10" t="s">
        <v>434</v>
      </c>
      <c r="AI1207" s="10"/>
      <c r="AJ1207" s="10"/>
    </row>
    <row r="1208" spans="1:36">
      <c r="A1208" s="137"/>
      <c r="B1208" s="47"/>
      <c r="C1208" s="47" t="s">
        <v>399</v>
      </c>
      <c r="D1208" s="47"/>
      <c r="E1208" s="7">
        <f>+G1208-Adjustments!G1206</f>
        <v>9536104.1989035942</v>
      </c>
      <c r="F1208" s="7">
        <f>+'Rate Base'!$T$246</f>
        <v>-47791328.950000003</v>
      </c>
      <c r="G1208" s="7">
        <f>+Adjustments!V1188</f>
        <v>9536104.1989035942</v>
      </c>
      <c r="H1208" s="7"/>
      <c r="I1208" s="7">
        <f>SUM($F$1208:$H$1208)</f>
        <v>-38255224.751096413</v>
      </c>
      <c r="J1208" s="7">
        <f>+I1208-'ROR-Model'!I1208</f>
        <v>0</v>
      </c>
      <c r="K1208" s="7"/>
      <c r="L1208" s="7" t="s">
        <v>637</v>
      </c>
      <c r="M1208" s="7">
        <f>VLOOKUP($L1208,$L$2:$N$7,2,FALSE)*I1208</f>
        <v>-37025971.361211762</v>
      </c>
      <c r="N1208" s="7">
        <f>VLOOKUP($L1208,$L$2:$N$7,3,FALSE)*I1208</f>
        <v>-1229253.3898846458</v>
      </c>
      <c r="O1208" s="120"/>
      <c r="P1208" s="192" t="s">
        <v>510</v>
      </c>
      <c r="Q1208" s="7">
        <f>IF(P1208="G",M1208,IF(P1208="PT",0,ERR))</f>
        <v>-37025971.361211762</v>
      </c>
      <c r="R1208" s="7">
        <f>IF(P1208="PT",M1208,IF(P1208="G",0,ERR))</f>
        <v>0</v>
      </c>
      <c r="S1208" s="126" t="s">
        <v>509</v>
      </c>
      <c r="T1208" s="7">
        <f>IF(S1208="G",N1208,IF(S1208="PT",0,ERR))</f>
        <v>0</v>
      </c>
      <c r="U1208" s="7">
        <f>IF(S1208="PT",N1208,IF(S1208="G",0,ERR))</f>
        <v>-1229253.3898846458</v>
      </c>
      <c r="V1208" s="124"/>
      <c r="W1208" s="7">
        <f>HLOOKUP($W$9,'ROR-Model'!$Q$10:$U$1273,Y1208)</f>
        <v>-37025971.361211762</v>
      </c>
      <c r="X1208" s="139"/>
      <c r="Y1208" s="3">
        <f t="shared" si="89"/>
        <v>1199</v>
      </c>
      <c r="AA1208" s="7">
        <v>-2451009.5975416112</v>
      </c>
      <c r="AC1208" s="7">
        <f t="shared" si="87"/>
        <v>-34574961.763670154</v>
      </c>
      <c r="AE1208" s="42">
        <f t="shared" si="88"/>
        <v>14.10641631038459</v>
      </c>
      <c r="AG1208" s="162"/>
      <c r="AH1208" s="10"/>
      <c r="AI1208" s="10" t="s">
        <v>399</v>
      </c>
      <c r="AJ1208" s="10"/>
    </row>
    <row r="1209" spans="1:36">
      <c r="A1209" s="137"/>
      <c r="B1209" s="47"/>
      <c r="C1209" s="47" t="s">
        <v>542</v>
      </c>
      <c r="D1209" s="47"/>
      <c r="E1209" s="7">
        <f>+G1209-Adjustments!G1207</f>
        <v>1041530.7380358962</v>
      </c>
      <c r="F1209" s="7">
        <f>+'Rate Base'!$T$247</f>
        <v>-8486889.9900000002</v>
      </c>
      <c r="G1209" s="7">
        <f>+Adjustments!V1189</f>
        <v>1041530.7380358962</v>
      </c>
      <c r="H1209" s="7"/>
      <c r="I1209" s="7">
        <f>SUM($F$1209:$H$1209)</f>
        <v>-7445359.2519641044</v>
      </c>
      <c r="J1209" s="7">
        <f>+I1209-'ROR-Model'!I1209</f>
        <v>0</v>
      </c>
      <c r="K1209" s="7"/>
      <c r="L1209" s="7" t="s">
        <v>23</v>
      </c>
      <c r="M1209" s="7">
        <f>VLOOKUP($L1209,$L$2:$N$7,2,FALSE)*I1209</f>
        <v>0</v>
      </c>
      <c r="N1209" s="7">
        <f>VLOOKUP($L1209,$L$2:$N$7,3,FALSE)*I1209</f>
        <v>-7445359.2519641044</v>
      </c>
      <c r="O1209" s="120"/>
      <c r="P1209" s="192" t="s">
        <v>510</v>
      </c>
      <c r="Q1209" s="7">
        <f>IF(P1209="G",M1209,IF(P1209="PT",0,ERR))</f>
        <v>0</v>
      </c>
      <c r="R1209" s="7">
        <f>IF(P1209="PT",M1209,IF(P1209="G",0,ERR))</f>
        <v>0</v>
      </c>
      <c r="S1209" s="126" t="s">
        <v>510</v>
      </c>
      <c r="T1209" s="7">
        <f>IF(S1209="G",N1209,IF(S1209="PT",0,ERR))</f>
        <v>-7445359.2519641044</v>
      </c>
      <c r="U1209" s="7">
        <f>IF(S1209="PT",N1209,IF(S1209="G",0,ERR))</f>
        <v>0</v>
      </c>
      <c r="V1209" s="124"/>
      <c r="W1209" s="7">
        <f>HLOOKUP($W$9,'ROR-Model'!$Q$10:$U$1273,Y1209)</f>
        <v>0</v>
      </c>
      <c r="X1209" s="139"/>
      <c r="Y1209" s="3">
        <f t="shared" si="89"/>
        <v>1200</v>
      </c>
      <c r="AA1209" s="7">
        <v>0</v>
      </c>
      <c r="AC1209" s="7" t="str">
        <f t="shared" si="87"/>
        <v/>
      </c>
      <c r="AE1209" s="42" t="str">
        <f t="shared" si="88"/>
        <v/>
      </c>
      <c r="AG1209" s="162"/>
      <c r="AH1209" s="10"/>
      <c r="AI1209" s="10" t="s">
        <v>542</v>
      </c>
      <c r="AJ1209" s="10"/>
    </row>
    <row r="1210" spans="1:36">
      <c r="A1210" s="137"/>
      <c r="B1210" s="47"/>
      <c r="C1210" s="47" t="s">
        <v>543</v>
      </c>
      <c r="D1210" s="47"/>
      <c r="E1210" s="7">
        <f>+G1210-Adjustments!G1208</f>
        <v>31608335.660470445</v>
      </c>
      <c r="F1210" s="7">
        <f>+'Rate Base'!$T$248</f>
        <v>-257559818.18000001</v>
      </c>
      <c r="G1210" s="7">
        <f>+Adjustments!V1190</f>
        <v>31608335.660470445</v>
      </c>
      <c r="H1210" s="7"/>
      <c r="I1210" s="7">
        <f>SUM($F$1210:$H$1210)</f>
        <v>-225951482.51952955</v>
      </c>
      <c r="J1210" s="7">
        <f>+I1210-'ROR-Model'!I1210</f>
        <v>0</v>
      </c>
      <c r="K1210" s="7"/>
      <c r="L1210" s="7" t="s">
        <v>12</v>
      </c>
      <c r="M1210" s="7">
        <f>VLOOKUP($L1210,$L$2:$N$7,2,FALSE)*I1210</f>
        <v>-225951482.51952955</v>
      </c>
      <c r="N1210" s="7">
        <f>VLOOKUP($L1210,$L$2:$N$7,3,FALSE)*I1210</f>
        <v>0</v>
      </c>
      <c r="O1210" s="120"/>
      <c r="P1210" s="192" t="s">
        <v>510</v>
      </c>
      <c r="Q1210" s="7">
        <f>IF(P1210="G",M1210,IF(P1210="PT",0,ERR))</f>
        <v>-225951482.51952955</v>
      </c>
      <c r="R1210" s="7">
        <f>IF(P1210="PT",M1210,IF(P1210="G",0,ERR))</f>
        <v>0</v>
      </c>
      <c r="S1210" s="126" t="s">
        <v>510</v>
      </c>
      <c r="T1210" s="7">
        <f>IF(S1210="G",N1210,IF(S1210="PT",0,ERR))</f>
        <v>0</v>
      </c>
      <c r="U1210" s="7">
        <f>IF(S1210="PT",N1210,IF(S1210="G",0,ERR))</f>
        <v>0</v>
      </c>
      <c r="V1210" s="124"/>
      <c r="W1210" s="7">
        <f>HLOOKUP($W$9,'ROR-Model'!$Q$10:$U$1273,Y1210)</f>
        <v>-225951482.51952955</v>
      </c>
      <c r="X1210" s="139"/>
      <c r="Y1210" s="3">
        <f t="shared" si="89"/>
        <v>1201</v>
      </c>
      <c r="AA1210" s="7">
        <v>-257559818.17997405</v>
      </c>
      <c r="AC1210" s="7">
        <f t="shared" si="87"/>
        <v>31608335.660444498</v>
      </c>
      <c r="AE1210" s="42">
        <f t="shared" si="88"/>
        <v>-0.12272230926315403</v>
      </c>
      <c r="AG1210" s="162"/>
      <c r="AH1210" s="10"/>
      <c r="AI1210" s="10" t="s">
        <v>543</v>
      </c>
      <c r="AJ1210" s="10"/>
    </row>
    <row r="1211" spans="1:36">
      <c r="A1211" s="137"/>
      <c r="B1211" s="47"/>
      <c r="C1211" s="47" t="s">
        <v>544</v>
      </c>
      <c r="D1211" s="47"/>
      <c r="E1211" s="7">
        <f>+G1211-Adjustments!G1209</f>
        <v>-1656407.9357375428</v>
      </c>
      <c r="F1211" s="7">
        <f>+'Rate Base'!$T$249</f>
        <v>18189687.82</v>
      </c>
      <c r="G1211" s="7">
        <f>+Adjustments!V1191</f>
        <v>-1656407.9357375428</v>
      </c>
      <c r="H1211" s="7"/>
      <c r="I1211" s="7">
        <f>SUM($F$1211:$H$1211)</f>
        <v>16533279.884262457</v>
      </c>
      <c r="J1211" s="7">
        <f>+I1211-'ROR-Model'!I1211</f>
        <v>0</v>
      </c>
      <c r="K1211" s="7"/>
      <c r="L1211" s="7" t="s">
        <v>429</v>
      </c>
      <c r="M1211" s="7">
        <f>VLOOKUP($L1211,$L$2:$N$7,2,FALSE)*I1211</f>
        <v>16033468.32152574</v>
      </c>
      <c r="N1211" s="7">
        <f>VLOOKUP($L1211,$L$2:$N$7,3,FALSE)*I1211</f>
        <v>499811.56273671752</v>
      </c>
      <c r="O1211" s="120"/>
      <c r="P1211" s="192" t="s">
        <v>510</v>
      </c>
      <c r="Q1211" s="7">
        <f>IF(P1211="G",M1211,IF(P1211="PT",0,ERR))</f>
        <v>16033468.32152574</v>
      </c>
      <c r="R1211" s="7">
        <f>IF(P1211="PT",M1211,IF(P1211="G",0,ERR))</f>
        <v>0</v>
      </c>
      <c r="S1211" s="126" t="s">
        <v>510</v>
      </c>
      <c r="T1211" s="7">
        <f>IF(S1211="G",N1211,IF(S1211="PT",0,ERR))</f>
        <v>499811.56273671752</v>
      </c>
      <c r="U1211" s="7">
        <f>IF(S1211="PT",N1211,IF(S1211="G",0,ERR))</f>
        <v>0</v>
      </c>
      <c r="V1211" s="124"/>
      <c r="W1211" s="7">
        <f>HLOOKUP($W$9,'ROR-Model'!$Q$10:$U$1273,Y1211)</f>
        <v>16033468.32152574</v>
      </c>
      <c r="X1211" s="139"/>
      <c r="Y1211" s="3">
        <f t="shared" si="89"/>
        <v>1202</v>
      </c>
      <c r="AA1211" s="7">
        <v>12013282.225387936</v>
      </c>
      <c r="AC1211" s="7">
        <f t="shared" si="87"/>
        <v>4020186.096137803</v>
      </c>
      <c r="AE1211" s="42">
        <f t="shared" si="88"/>
        <v>0.33464510536861064</v>
      </c>
      <c r="AG1211" s="162"/>
      <c r="AH1211" s="10"/>
      <c r="AI1211" s="10" t="s">
        <v>544</v>
      </c>
      <c r="AJ1211" s="10"/>
    </row>
    <row r="1212" spans="1:36">
      <c r="A1212" s="137"/>
      <c r="B1212" s="47"/>
      <c r="C1212" s="47" t="s">
        <v>145</v>
      </c>
      <c r="D1212" s="47"/>
      <c r="E1212" s="140">
        <f>+G1212-Adjustments!G1210</f>
        <v>40529562.661672391</v>
      </c>
      <c r="F1212" s="140">
        <f>SUM(F1208:F1211)</f>
        <v>-295648349.30000001</v>
      </c>
      <c r="G1212" s="140">
        <f>SUM(G1208:G1211)</f>
        <v>40529562.661672391</v>
      </c>
      <c r="H1212" s="140">
        <f>SUM(H1208:H1211)</f>
        <v>0</v>
      </c>
      <c r="I1212" s="140">
        <f>SUM(I1208:I1211)</f>
        <v>-255118786.6383276</v>
      </c>
      <c r="J1212" s="7">
        <f>+I1212-'ROR-Model'!I1212</f>
        <v>0</v>
      </c>
      <c r="K1212" s="7"/>
      <c r="L1212" s="140"/>
      <c r="M1212" s="140">
        <f>SUM(M1208:M1211)</f>
        <v>-246943985.55921555</v>
      </c>
      <c r="N1212" s="140">
        <f>SUM(N1208:N1211)</f>
        <v>-8174801.0791120324</v>
      </c>
      <c r="O1212" s="120"/>
      <c r="P1212" s="201"/>
      <c r="Q1212" s="140">
        <f>SUM(Q1208:Q1211)</f>
        <v>-246943985.55921555</v>
      </c>
      <c r="R1212" s="140">
        <f>SUM(R1208:R1211)</f>
        <v>0</v>
      </c>
      <c r="S1212" s="201"/>
      <c r="T1212" s="140">
        <f>SUM(T1208:T1211)</f>
        <v>-6945547.6892273873</v>
      </c>
      <c r="U1212" s="140">
        <f>SUM(U1208:U1211)</f>
        <v>-1229253.3898846458</v>
      </c>
      <c r="V1212" s="124"/>
      <c r="W1212" s="140">
        <f>HLOOKUP($W$9,'ROR-Model'!$Q$10:$U$1273,Y1212)</f>
        <v>-246943985.55921555</v>
      </c>
      <c r="X1212" s="139"/>
      <c r="Y1212" s="3">
        <f t="shared" si="89"/>
        <v>1203</v>
      </c>
      <c r="AA1212" s="140">
        <v>-247997545.55212772</v>
      </c>
      <c r="AC1212" s="140">
        <f t="shared" si="87"/>
        <v>1053559.9929121733</v>
      </c>
      <c r="AE1212" s="42">
        <f t="shared" si="88"/>
        <v>-4.2482678228390807E-3</v>
      </c>
      <c r="AG1212" s="162"/>
      <c r="AH1212" s="10"/>
      <c r="AI1212" s="10" t="s">
        <v>145</v>
      </c>
      <c r="AJ1212" s="10"/>
    </row>
    <row r="1213" spans="1:36">
      <c r="A1213" s="137"/>
      <c r="B1213" s="47"/>
      <c r="C1213" s="47"/>
      <c r="D1213" s="47"/>
      <c r="E1213" s="7">
        <f>+G1213-Adjustments!G1211</f>
        <v>0</v>
      </c>
      <c r="F1213" s="7"/>
      <c r="G1213" s="7"/>
      <c r="H1213" s="7"/>
      <c r="I1213" s="7"/>
      <c r="J1213" s="7">
        <f>+I1213-'ROR-Model'!I1213</f>
        <v>0</v>
      </c>
      <c r="K1213" s="7"/>
      <c r="L1213" s="7"/>
      <c r="M1213" s="7"/>
      <c r="N1213" s="7"/>
      <c r="O1213" s="120"/>
      <c r="P1213" s="126"/>
      <c r="Q1213" s="7"/>
      <c r="R1213" s="7"/>
      <c r="S1213" s="126"/>
      <c r="T1213" s="7"/>
      <c r="U1213" s="7"/>
      <c r="V1213" s="124"/>
      <c r="W1213" s="7"/>
      <c r="X1213" s="139"/>
      <c r="Y1213" s="3">
        <f t="shared" si="89"/>
        <v>1204</v>
      </c>
      <c r="AA1213" s="7"/>
      <c r="AC1213" s="7" t="str">
        <f t="shared" si="87"/>
        <v/>
      </c>
      <c r="AE1213" s="42" t="str">
        <f t="shared" si="88"/>
        <v/>
      </c>
      <c r="AG1213" s="162"/>
      <c r="AH1213" s="10"/>
      <c r="AI1213" s="10"/>
      <c r="AJ1213" s="10"/>
    </row>
    <row r="1214" spans="1:36">
      <c r="A1214" s="137">
        <v>2821</v>
      </c>
      <c r="B1214" s="47" t="s">
        <v>435</v>
      </c>
      <c r="C1214" s="47"/>
      <c r="D1214" s="47"/>
      <c r="E1214" s="7">
        <f>+G1214-Adjustments!G1212</f>
        <v>0</v>
      </c>
      <c r="F1214" s="7"/>
      <c r="G1214" s="7"/>
      <c r="H1214" s="7"/>
      <c r="I1214" s="7"/>
      <c r="J1214" s="7">
        <f>+I1214-'ROR-Model'!I1214</f>
        <v>0</v>
      </c>
      <c r="K1214" s="7"/>
      <c r="L1214" s="7"/>
      <c r="M1214" s="7"/>
      <c r="N1214" s="7"/>
      <c r="O1214" s="120"/>
      <c r="P1214" s="126"/>
      <c r="Q1214" s="7"/>
      <c r="R1214" s="7"/>
      <c r="S1214" s="126"/>
      <c r="T1214" s="7"/>
      <c r="U1214" s="7"/>
      <c r="V1214" s="124"/>
      <c r="W1214" s="7"/>
      <c r="X1214" s="139"/>
      <c r="Y1214" s="3">
        <f t="shared" si="89"/>
        <v>1205</v>
      </c>
      <c r="AA1214" s="7"/>
      <c r="AC1214" s="7" t="str">
        <f t="shared" si="87"/>
        <v/>
      </c>
      <c r="AE1214" s="42" t="str">
        <f t="shared" si="88"/>
        <v/>
      </c>
      <c r="AG1214" s="162">
        <v>2821</v>
      </c>
      <c r="AH1214" s="10" t="s">
        <v>435</v>
      </c>
      <c r="AI1214" s="10"/>
      <c r="AJ1214" s="10"/>
    </row>
    <row r="1215" spans="1:36">
      <c r="A1215" s="137"/>
      <c r="B1215" s="47"/>
      <c r="C1215" s="47" t="s">
        <v>399</v>
      </c>
      <c r="D1215" s="47"/>
      <c r="E1215" s="7">
        <f>+G1215-Adjustments!G1213</f>
        <v>85998.309871679303</v>
      </c>
      <c r="F1215" s="7">
        <f>+'Rate Base'!$T$253</f>
        <v>-700755.31</v>
      </c>
      <c r="G1215" s="7">
        <f>+Adjustments!V1195</f>
        <v>85998.309871679303</v>
      </c>
      <c r="H1215" s="7"/>
      <c r="I1215" s="7">
        <f>SUM($F$1215:$H$1215)</f>
        <v>-614757.00012832077</v>
      </c>
      <c r="J1215" s="7">
        <f>+I1215-'ROR-Model'!I1215</f>
        <v>0</v>
      </c>
      <c r="K1215" s="7"/>
      <c r="L1215" s="7" t="s">
        <v>637</v>
      </c>
      <c r="M1215" s="7">
        <f>VLOOKUP($L1215,$L$2:$N$7,2,FALSE)*I1215</f>
        <v>-595003.04151796398</v>
      </c>
      <c r="N1215" s="7">
        <f>VLOOKUP($L1215,$L$2:$N$7,3,FALSE)*I1215</f>
        <v>-19753.958610356756</v>
      </c>
      <c r="O1215" s="120"/>
      <c r="P1215" s="192" t="s">
        <v>510</v>
      </c>
      <c r="Q1215" s="7">
        <f>IF(P1215="G",M1215,IF(P1215="PT",0,ERR))</f>
        <v>-595003.04151796398</v>
      </c>
      <c r="R1215" s="7">
        <f>IF(P1215="PT",M1215,IF(P1215="G",0,ERR))</f>
        <v>0</v>
      </c>
      <c r="S1215" s="126" t="s">
        <v>509</v>
      </c>
      <c r="T1215" s="7">
        <f>IF(S1215="G",N1215,IF(S1215="PT",0,ERR))</f>
        <v>0</v>
      </c>
      <c r="U1215" s="7">
        <f>IF(S1215="PT",N1215,IF(S1215="G",0,ERR))</f>
        <v>-19753.958610356756</v>
      </c>
      <c r="V1215" s="124"/>
      <c r="W1215" s="7">
        <f>HLOOKUP($W$9,'ROR-Model'!$Q$10:$U$1273,Y1215)</f>
        <v>-595003.04151796398</v>
      </c>
      <c r="X1215" s="139"/>
      <c r="Y1215" s="3">
        <f t="shared" si="89"/>
        <v>1206</v>
      </c>
      <c r="AA1215" s="7">
        <v>-676137.15445586212</v>
      </c>
      <c r="AC1215" s="7">
        <f t="shared" si="87"/>
        <v>81134.112937898142</v>
      </c>
      <c r="AE1215" s="42">
        <f t="shared" si="88"/>
        <v>-0.11999653088609337</v>
      </c>
      <c r="AG1215" s="162"/>
      <c r="AH1215" s="10"/>
      <c r="AI1215" s="10" t="s">
        <v>399</v>
      </c>
      <c r="AJ1215" s="10"/>
    </row>
    <row r="1216" spans="1:36">
      <c r="A1216" s="137"/>
      <c r="B1216" s="47"/>
      <c r="C1216" s="47" t="s">
        <v>542</v>
      </c>
      <c r="D1216" s="47"/>
      <c r="E1216" s="7">
        <f>+G1216-Adjustments!G1214</f>
        <v>0</v>
      </c>
      <c r="F1216" s="7">
        <f>+'Rate Base'!$T$254</f>
        <v>0</v>
      </c>
      <c r="G1216" s="7">
        <f>+Adjustments!V1196</f>
        <v>0</v>
      </c>
      <c r="H1216" s="7"/>
      <c r="I1216" s="7">
        <f>SUM($F$1216:$H$1216)</f>
        <v>0</v>
      </c>
      <c r="J1216" s="7">
        <f>+I1216-'ROR-Model'!I1216</f>
        <v>0</v>
      </c>
      <c r="K1216" s="7"/>
      <c r="L1216" s="7" t="s">
        <v>23</v>
      </c>
      <c r="M1216" s="7">
        <f>VLOOKUP($L1216,$L$2:$N$7,2,FALSE)*I1216</f>
        <v>0</v>
      </c>
      <c r="N1216" s="7">
        <f>VLOOKUP($L1216,$L$2:$N$7,3,FALSE)*I1216</f>
        <v>0</v>
      </c>
      <c r="O1216" s="120"/>
      <c r="P1216" s="192" t="s">
        <v>510</v>
      </c>
      <c r="Q1216" s="7">
        <f>IF(P1216="G",M1216,IF(P1216="PT",0,ERR))</f>
        <v>0</v>
      </c>
      <c r="R1216" s="7">
        <f>IF(P1216="PT",M1216,IF(P1216="G",0,ERR))</f>
        <v>0</v>
      </c>
      <c r="S1216" s="126" t="s">
        <v>510</v>
      </c>
      <c r="T1216" s="7">
        <f>IF(S1216="G",N1216,IF(S1216="PT",0,ERR))</f>
        <v>0</v>
      </c>
      <c r="U1216" s="7">
        <f>IF(S1216="PT",N1216,IF(S1216="G",0,ERR))</f>
        <v>0</v>
      </c>
      <c r="V1216" s="124"/>
      <c r="W1216" s="7">
        <f>HLOOKUP($W$9,'ROR-Model'!$Q$10:$U$1273,Y1216)</f>
        <v>0</v>
      </c>
      <c r="X1216" s="139"/>
      <c r="Y1216" s="3">
        <f t="shared" si="89"/>
        <v>1207</v>
      </c>
      <c r="AA1216" s="7">
        <v>0</v>
      </c>
      <c r="AC1216" s="7" t="str">
        <f t="shared" si="87"/>
        <v/>
      </c>
      <c r="AE1216" s="42" t="str">
        <f t="shared" si="88"/>
        <v/>
      </c>
      <c r="AG1216" s="162"/>
      <c r="AH1216" s="10"/>
      <c r="AI1216" s="10" t="s">
        <v>542</v>
      </c>
      <c r="AJ1216" s="10"/>
    </row>
    <row r="1217" spans="1:36">
      <c r="A1217" s="137"/>
      <c r="B1217" s="47"/>
      <c r="C1217" s="47" t="s">
        <v>543</v>
      </c>
      <c r="D1217" s="47"/>
      <c r="E1217" s="7">
        <f>+G1217-Adjustments!G1215</f>
        <v>7862964.6812141677</v>
      </c>
      <c r="F1217" s="7">
        <f>+'Rate Base'!$T$255</f>
        <v>-64071192.340000004</v>
      </c>
      <c r="G1217" s="7">
        <f>+Adjustments!V1197</f>
        <v>7862964.6812141677</v>
      </c>
      <c r="H1217" s="7"/>
      <c r="I1217" s="7">
        <f>SUM($F$1217:$H$1217)</f>
        <v>-56208227.658785835</v>
      </c>
      <c r="J1217" s="7">
        <f>+I1217-'ROR-Model'!I1217</f>
        <v>0</v>
      </c>
      <c r="K1217" s="7"/>
      <c r="L1217" s="7" t="s">
        <v>12</v>
      </c>
      <c r="M1217" s="7">
        <f>VLOOKUP($L1217,$L$2:$N$7,2,FALSE)*I1217</f>
        <v>-56208227.658785835</v>
      </c>
      <c r="N1217" s="7">
        <f>VLOOKUP($L1217,$L$2:$N$7,3,FALSE)*I1217</f>
        <v>0</v>
      </c>
      <c r="O1217" s="120"/>
      <c r="P1217" s="192" t="s">
        <v>510</v>
      </c>
      <c r="Q1217" s="7">
        <f>IF(P1217="G",M1217,IF(P1217="PT",0,ERR))</f>
        <v>-56208227.658785835</v>
      </c>
      <c r="R1217" s="7">
        <f>IF(P1217="PT",M1217,IF(P1217="G",0,ERR))</f>
        <v>0</v>
      </c>
      <c r="S1217" s="126" t="s">
        <v>510</v>
      </c>
      <c r="T1217" s="7">
        <f>IF(S1217="G",N1217,IF(S1217="PT",0,ERR))</f>
        <v>0</v>
      </c>
      <c r="U1217" s="7">
        <f>IF(S1217="PT",N1217,IF(S1217="G",0,ERR))</f>
        <v>0</v>
      </c>
      <c r="V1217" s="124"/>
      <c r="W1217" s="7">
        <f>HLOOKUP($W$9,'ROR-Model'!$Q$10:$U$1273,Y1217)</f>
        <v>-56208227.658785835</v>
      </c>
      <c r="X1217" s="139"/>
      <c r="Y1217" s="3">
        <f t="shared" si="89"/>
        <v>1208</v>
      </c>
      <c r="AA1217" s="7">
        <v>-64071192.340000004</v>
      </c>
      <c r="AC1217" s="7">
        <f t="shared" si="87"/>
        <v>7862964.6812141687</v>
      </c>
      <c r="AE1217" s="42">
        <f t="shared" si="88"/>
        <v>-0.12272230926324242</v>
      </c>
      <c r="AG1217" s="162"/>
      <c r="AH1217" s="10"/>
      <c r="AI1217" s="10" t="s">
        <v>543</v>
      </c>
      <c r="AJ1217" s="10"/>
    </row>
    <row r="1218" spans="1:36">
      <c r="A1218" s="137"/>
      <c r="B1218" s="47"/>
      <c r="C1218" s="47" t="s">
        <v>544</v>
      </c>
      <c r="D1218" s="47"/>
      <c r="E1218" s="7">
        <f>+G1218-Adjustments!G1216</f>
        <v>-529633.12342957361</v>
      </c>
      <c r="F1218" s="7">
        <f>+'Rate Base'!$T$256</f>
        <v>-376805.87</v>
      </c>
      <c r="G1218" s="7">
        <f>+Adjustments!V1198</f>
        <v>-529633.12342957361</v>
      </c>
      <c r="H1218" s="7"/>
      <c r="I1218" s="7">
        <f>SUM($F$1218:$H$1218)</f>
        <v>-906438.9934295736</v>
      </c>
      <c r="J1218" s="7">
        <f>+I1218-'ROR-Model'!I1218</f>
        <v>0</v>
      </c>
      <c r="K1218" s="7"/>
      <c r="L1218" s="7" t="s">
        <v>429</v>
      </c>
      <c r="M1218" s="7">
        <f>VLOOKUP($L1218,$L$2:$N$7,2,FALSE)*I1218</f>
        <v>-879036.76634559513</v>
      </c>
      <c r="N1218" s="7">
        <f>VLOOKUP($L1218,$L$2:$N$7,3,FALSE)*I1218</f>
        <v>-27402.227083978425</v>
      </c>
      <c r="O1218" s="120"/>
      <c r="P1218" s="192" t="s">
        <v>510</v>
      </c>
      <c r="Q1218" s="7">
        <f>IF(P1218="G",M1218,IF(P1218="PT",0,ERR))</f>
        <v>-879036.76634559513</v>
      </c>
      <c r="R1218" s="7">
        <f>IF(P1218="PT",M1218,IF(P1218="G",0,ERR))</f>
        <v>0</v>
      </c>
      <c r="S1218" s="126" t="s">
        <v>510</v>
      </c>
      <c r="T1218" s="7">
        <f>IF(S1218="G",N1218,IF(S1218="PT",0,ERR))</f>
        <v>-27402.227083978425</v>
      </c>
      <c r="U1218" s="7">
        <f>IF(S1218="PT",N1218,IF(S1218="G",0,ERR))</f>
        <v>0</v>
      </c>
      <c r="V1218" s="124"/>
      <c r="W1218" s="7">
        <f>HLOOKUP($W$9,'ROR-Model'!$Q$10:$U$1273,Y1218)</f>
        <v>-879036.76634559513</v>
      </c>
      <c r="X1218" s="139"/>
      <c r="Y1218" s="3">
        <f t="shared" si="89"/>
        <v>1209</v>
      </c>
      <c r="AA1218" s="7">
        <v>4020955.9347977508</v>
      </c>
      <c r="AC1218" s="7">
        <f t="shared" si="87"/>
        <v>-4899992.7011433458</v>
      </c>
      <c r="AE1218" s="42">
        <f t="shared" si="88"/>
        <v>-1.218613877048073</v>
      </c>
      <c r="AG1218" s="162"/>
      <c r="AH1218" s="10"/>
      <c r="AI1218" s="10" t="s">
        <v>544</v>
      </c>
      <c r="AJ1218" s="10"/>
    </row>
    <row r="1219" spans="1:36">
      <c r="A1219" s="137"/>
      <c r="B1219" s="47"/>
      <c r="C1219" s="47" t="s">
        <v>145</v>
      </c>
      <c r="D1219" s="47"/>
      <c r="E1219" s="140">
        <f>+G1219-Adjustments!G1217</f>
        <v>7419329.8676562738</v>
      </c>
      <c r="F1219" s="140">
        <f>SUM(F1215:F1218)</f>
        <v>-65148753.520000003</v>
      </c>
      <c r="G1219" s="140">
        <f>SUM(G1215:G1218)</f>
        <v>7419329.8676562738</v>
      </c>
      <c r="H1219" s="140">
        <f>SUM(H1215:H1218)</f>
        <v>0</v>
      </c>
      <c r="I1219" s="140">
        <f>SUM(I1215:I1218)</f>
        <v>-57729423.652343728</v>
      </c>
      <c r="J1219" s="7">
        <f>+I1219-'ROR-Model'!I1219</f>
        <v>0</v>
      </c>
      <c r="K1219" s="7"/>
      <c r="L1219" s="140"/>
      <c r="M1219" s="140">
        <f>SUM(M1215:M1218)</f>
        <v>-57682267.466649398</v>
      </c>
      <c r="N1219" s="140">
        <f>SUM(N1215:N1218)</f>
        <v>-47156.185694335181</v>
      </c>
      <c r="O1219" s="120"/>
      <c r="P1219" s="201"/>
      <c r="Q1219" s="140">
        <f>SUM(Q1215:Q1218)</f>
        <v>-57682267.466649398</v>
      </c>
      <c r="R1219" s="140">
        <f>SUM(R1215:R1218)</f>
        <v>0</v>
      </c>
      <c r="S1219" s="201"/>
      <c r="T1219" s="140">
        <f>SUM(T1215:T1218)</f>
        <v>-27402.227083978425</v>
      </c>
      <c r="U1219" s="140">
        <f>SUM(U1215:U1218)</f>
        <v>-19753.958610356756</v>
      </c>
      <c r="V1219" s="124"/>
      <c r="W1219" s="140">
        <f>HLOOKUP($W$9,'ROR-Model'!$Q$10:$U$1273,Y1219)</f>
        <v>-57682267.466649398</v>
      </c>
      <c r="X1219" s="139"/>
      <c r="Y1219" s="3">
        <f t="shared" si="89"/>
        <v>1210</v>
      </c>
      <c r="AA1219" s="140">
        <v>-60726373.559658118</v>
      </c>
      <c r="AC1219" s="140">
        <f t="shared" si="87"/>
        <v>3044106.0930087194</v>
      </c>
      <c r="AE1219" s="42">
        <f t="shared" si="88"/>
        <v>-5.0128237774945725E-2</v>
      </c>
      <c r="AG1219" s="162"/>
      <c r="AH1219" s="10"/>
      <c r="AI1219" s="10" t="s">
        <v>145</v>
      </c>
      <c r="AJ1219" s="10"/>
    </row>
    <row r="1220" spans="1:36">
      <c r="A1220" s="137"/>
      <c r="B1220" s="47"/>
      <c r="C1220" s="47"/>
      <c r="D1220" s="47"/>
      <c r="E1220" s="7">
        <f>+G1220-Adjustments!G1218</f>
        <v>0</v>
      </c>
      <c r="F1220" s="7"/>
      <c r="G1220" s="7"/>
      <c r="H1220" s="7"/>
      <c r="I1220" s="7"/>
      <c r="J1220" s="7">
        <f>+I1220-'ROR-Model'!I1220</f>
        <v>0</v>
      </c>
      <c r="K1220" s="7"/>
      <c r="L1220" s="7"/>
      <c r="M1220" s="7"/>
      <c r="N1220" s="7"/>
      <c r="O1220" s="120"/>
      <c r="P1220" s="126"/>
      <c r="Q1220" s="7"/>
      <c r="R1220" s="7"/>
      <c r="S1220" s="126"/>
      <c r="T1220" s="7"/>
      <c r="U1220" s="7"/>
      <c r="V1220" s="124"/>
      <c r="W1220" s="7"/>
      <c r="X1220" s="139"/>
      <c r="Y1220" s="3">
        <f t="shared" si="89"/>
        <v>1211</v>
      </c>
      <c r="AA1220" s="7"/>
      <c r="AC1220" s="7" t="str">
        <f t="shared" si="87"/>
        <v/>
      </c>
      <c r="AE1220" s="42" t="str">
        <f t="shared" si="88"/>
        <v/>
      </c>
      <c r="AG1220" s="162"/>
      <c r="AH1220" s="10"/>
      <c r="AI1220" s="10"/>
      <c r="AJ1220" s="10"/>
    </row>
    <row r="1221" spans="1:36">
      <c r="A1221" s="299" t="s">
        <v>1201</v>
      </c>
      <c r="B1221" s="265" t="s">
        <v>1191</v>
      </c>
      <c r="C1221" s="47"/>
      <c r="D1221" s="47"/>
      <c r="E1221" s="7">
        <f>+G1221-Adjustments!G1219</f>
        <v>0</v>
      </c>
      <c r="F1221" s="7"/>
      <c r="G1221" s="7"/>
      <c r="H1221" s="7"/>
      <c r="I1221" s="7"/>
      <c r="J1221" s="7">
        <f>+I1221-'ROR-Model'!I1221</f>
        <v>0</v>
      </c>
      <c r="K1221" s="7"/>
      <c r="L1221" s="7"/>
      <c r="M1221" s="7"/>
      <c r="N1221" s="7"/>
      <c r="O1221" s="120"/>
      <c r="P1221" s="126"/>
      <c r="Q1221" s="7"/>
      <c r="R1221" s="7"/>
      <c r="S1221" s="126"/>
      <c r="T1221" s="7"/>
      <c r="U1221" s="7"/>
      <c r="V1221" s="124"/>
      <c r="W1221" s="7"/>
      <c r="X1221" s="139"/>
      <c r="Y1221" s="3">
        <f t="shared" si="89"/>
        <v>1212</v>
      </c>
      <c r="AA1221" s="7"/>
      <c r="AC1221" s="7" t="str">
        <f t="shared" si="87"/>
        <v/>
      </c>
      <c r="AE1221" s="42" t="str">
        <f t="shared" si="88"/>
        <v/>
      </c>
      <c r="AG1221" t="s">
        <v>134</v>
      </c>
      <c r="AH1221" s="10" t="s">
        <v>133</v>
      </c>
      <c r="AI1221" s="10"/>
      <c r="AJ1221" s="10"/>
    </row>
    <row r="1222" spans="1:36">
      <c r="A1222" s="136"/>
      <c r="B1222" s="47" t="s">
        <v>544</v>
      </c>
      <c r="C1222" s="47"/>
      <c r="D1222" s="47"/>
      <c r="E1222" s="7">
        <f>+G1222-Adjustments!G1220</f>
        <v>-171694786.80000001</v>
      </c>
      <c r="F1222" s="7">
        <f>+'Rate Base'!$T$260</f>
        <v>171694786.80000001</v>
      </c>
      <c r="G1222" s="7">
        <f>+Adjustments!V1202</f>
        <v>-171694786.80000001</v>
      </c>
      <c r="H1222" s="7"/>
      <c r="I1222" s="7">
        <f>SUM($F$1222:$H$1222)</f>
        <v>0</v>
      </c>
      <c r="J1222" s="7">
        <f>+I1222-'ROR-Model'!I1222</f>
        <v>0</v>
      </c>
      <c r="K1222" s="7"/>
      <c r="L1222" s="7" t="s">
        <v>429</v>
      </c>
      <c r="M1222" s="7">
        <f>VLOOKUP($L1222,$L$2:$N$7,2,FALSE)*I1222</f>
        <v>0</v>
      </c>
      <c r="N1222" s="7">
        <f>VLOOKUP($L1222,$L$2:$N$7,3,FALSE)*I1222</f>
        <v>0</v>
      </c>
      <c r="O1222" s="120"/>
      <c r="P1222" s="192" t="s">
        <v>510</v>
      </c>
      <c r="Q1222" s="7">
        <f>IF(P1222="G",M1222,IF(P1222="PT",0,ERR))</f>
        <v>0</v>
      </c>
      <c r="R1222" s="7">
        <f>IF(P1222="PT",M1222,IF(P1222="G",0,ERR))</f>
        <v>0</v>
      </c>
      <c r="S1222" s="126" t="s">
        <v>510</v>
      </c>
      <c r="T1222" s="7">
        <f>IF(S1222="G",N1222,IF(S1222="PT",0,ERR))</f>
        <v>0</v>
      </c>
      <c r="U1222" s="7">
        <f>IF(S1222="PT",N1222,IF(S1222="G",0,ERR))</f>
        <v>0</v>
      </c>
      <c r="V1222" s="124"/>
      <c r="W1222" s="7">
        <f>HLOOKUP($W$9,'ROR-Model'!$Q$10:$U$1273,Y1222)</f>
        <v>0</v>
      </c>
      <c r="X1222" s="139"/>
      <c r="Y1222" s="3">
        <f t="shared" si="89"/>
        <v>1213</v>
      </c>
      <c r="AA1222" s="7">
        <v>0</v>
      </c>
      <c r="AC1222" s="7" t="str">
        <f t="shared" si="87"/>
        <v/>
      </c>
      <c r="AE1222" s="42" t="str">
        <f t="shared" si="88"/>
        <v/>
      </c>
      <c r="AG1222" s="162"/>
      <c r="AH1222" s="10" t="s">
        <v>544</v>
      </c>
      <c r="AI1222" s="10"/>
      <c r="AJ1222" s="10"/>
    </row>
    <row r="1223" spans="1:36">
      <c r="A1223" s="136"/>
      <c r="B1223" s="47" t="s">
        <v>145</v>
      </c>
      <c r="C1223" s="47"/>
      <c r="D1223" s="47"/>
      <c r="E1223" s="140">
        <f>+G1223-Adjustments!G1221</f>
        <v>-171694786.80000001</v>
      </c>
      <c r="F1223" s="140">
        <f>SUM(F1222)</f>
        <v>171694786.80000001</v>
      </c>
      <c r="G1223" s="140">
        <f>SUM(G1222)</f>
        <v>-171694786.80000001</v>
      </c>
      <c r="H1223" s="140">
        <f>SUM(H1222)</f>
        <v>0</v>
      </c>
      <c r="I1223" s="140">
        <f>SUM(I1222)</f>
        <v>0</v>
      </c>
      <c r="J1223" s="7">
        <f>+I1223-'ROR-Model'!I1223</f>
        <v>0</v>
      </c>
      <c r="K1223" s="7"/>
      <c r="L1223" s="140"/>
      <c r="M1223" s="140">
        <f>SUM(M1222)</f>
        <v>0</v>
      </c>
      <c r="N1223" s="140">
        <f>SUM(N1222)</f>
        <v>0</v>
      </c>
      <c r="O1223" s="120"/>
      <c r="P1223" s="201"/>
      <c r="Q1223" s="140">
        <f>SUM(Q1222)</f>
        <v>0</v>
      </c>
      <c r="R1223" s="140">
        <f>SUM(R1222)</f>
        <v>0</v>
      </c>
      <c r="S1223" s="201"/>
      <c r="T1223" s="140">
        <f>SUM(T1222)</f>
        <v>0</v>
      </c>
      <c r="U1223" s="140">
        <f>SUM(U1222)</f>
        <v>0</v>
      </c>
      <c r="V1223" s="124"/>
      <c r="W1223" s="140">
        <f>HLOOKUP($W$9,'ROR-Model'!$Q$10:$U$1273,Y1223)</f>
        <v>0</v>
      </c>
      <c r="X1223" s="139"/>
      <c r="Y1223" s="3">
        <f t="shared" si="89"/>
        <v>1214</v>
      </c>
      <c r="AA1223" s="140">
        <v>0</v>
      </c>
      <c r="AC1223" s="140" t="str">
        <f t="shared" si="87"/>
        <v/>
      </c>
      <c r="AE1223" s="42" t="str">
        <f t="shared" si="88"/>
        <v/>
      </c>
      <c r="AG1223" s="162"/>
      <c r="AH1223" s="10" t="s">
        <v>145</v>
      </c>
      <c r="AI1223" s="10"/>
      <c r="AJ1223" s="10"/>
    </row>
    <row r="1224" spans="1:36" ht="13.5" thickBot="1">
      <c r="A1224" s="136"/>
      <c r="B1224" s="47"/>
      <c r="C1224" s="47"/>
      <c r="D1224" s="47"/>
      <c r="E1224" s="24">
        <f>+G1224-Adjustments!G1222</f>
        <v>0</v>
      </c>
      <c r="F1224" s="24"/>
      <c r="G1224" s="24"/>
      <c r="H1224" s="24"/>
      <c r="I1224" s="24"/>
      <c r="J1224" s="7">
        <f>+I1224-'ROR-Model'!I1224</f>
        <v>0</v>
      </c>
      <c r="K1224" s="7"/>
      <c r="L1224" s="24"/>
      <c r="M1224" s="24"/>
      <c r="N1224" s="24"/>
      <c r="O1224" s="120"/>
      <c r="P1224" s="202"/>
      <c r="Q1224" s="24"/>
      <c r="R1224" s="24"/>
      <c r="S1224" s="202"/>
      <c r="T1224" s="24"/>
      <c r="U1224" s="24"/>
      <c r="V1224" s="124"/>
      <c r="W1224" s="24"/>
      <c r="X1224" s="139"/>
      <c r="Y1224" s="3">
        <f t="shared" si="89"/>
        <v>1215</v>
      </c>
      <c r="AA1224" s="24"/>
      <c r="AC1224" s="24" t="str">
        <f t="shared" si="87"/>
        <v/>
      </c>
      <c r="AE1224" s="42" t="str">
        <f t="shared" si="88"/>
        <v/>
      </c>
      <c r="AG1224" s="162"/>
      <c r="AH1224" s="10"/>
      <c r="AI1224" s="10"/>
      <c r="AJ1224" s="10"/>
    </row>
    <row r="1225" spans="1:36" ht="13.5" thickTop="1">
      <c r="A1225" s="209" t="s">
        <v>257</v>
      </c>
      <c r="B1225" s="47"/>
      <c r="C1225" s="47"/>
      <c r="D1225" s="47"/>
      <c r="E1225" s="7">
        <f>+G1225-Adjustments!G1223</f>
        <v>0</v>
      </c>
      <c r="F1225" s="7"/>
      <c r="G1225" s="7"/>
      <c r="H1225" s="7"/>
      <c r="I1225" s="7"/>
      <c r="J1225" s="7">
        <f>+I1225-'ROR-Model'!I1225</f>
        <v>0</v>
      </c>
      <c r="K1225" s="7"/>
      <c r="L1225" s="7"/>
      <c r="M1225" s="7"/>
      <c r="N1225" s="7"/>
      <c r="O1225" s="120"/>
      <c r="P1225" s="126"/>
      <c r="Q1225" s="7"/>
      <c r="R1225" s="7"/>
      <c r="S1225" s="126"/>
      <c r="T1225" s="7"/>
      <c r="U1225" s="7"/>
      <c r="V1225" s="124"/>
      <c r="W1225" s="7"/>
      <c r="X1225" s="139"/>
      <c r="Y1225" s="3">
        <f t="shared" si="89"/>
        <v>1216</v>
      </c>
      <c r="AA1225" s="7"/>
      <c r="AC1225" s="7" t="str">
        <f t="shared" si="87"/>
        <v/>
      </c>
      <c r="AE1225" s="42" t="str">
        <f t="shared" si="88"/>
        <v/>
      </c>
      <c r="AG1225" s="162" t="s">
        <v>257</v>
      </c>
      <c r="AH1225" s="10"/>
      <c r="AI1225" s="10"/>
      <c r="AJ1225" s="10"/>
    </row>
    <row r="1226" spans="1:36">
      <c r="A1226" s="136"/>
      <c r="B1226" s="47" t="s">
        <v>399</v>
      </c>
      <c r="C1226" s="47"/>
      <c r="D1226" s="47"/>
      <c r="E1226" s="7">
        <f>+G1226-Adjustments!G1224</f>
        <v>-10336985.361224728</v>
      </c>
      <c r="F1226" s="7">
        <f>F1165+F1201+F1208+F1215+F1180+F1173</f>
        <v>-28538185.699999999</v>
      </c>
      <c r="G1226" s="7">
        <f>G1165+G1201+G1208+G1215+G1180+G1173</f>
        <v>-10336985.361224728</v>
      </c>
      <c r="H1226" s="7">
        <f>H1165+H1201+H1208+H1215+H1180+H1173</f>
        <v>0</v>
      </c>
      <c r="I1226" s="7">
        <f>I1165+I1201+I1208+I1215+I1180+I1173</f>
        <v>-38875171.061224736</v>
      </c>
      <c r="J1226" s="7">
        <f>+I1226-'ROR-Model'!I1226</f>
        <v>0</v>
      </c>
      <c r="K1226" s="7"/>
      <c r="L1226" s="7"/>
      <c r="M1226" s="7">
        <f>M1165+M1201+M1208+M1215+M1180+M1173</f>
        <v>-37625996.964868486</v>
      </c>
      <c r="N1226" s="7">
        <f>N1165+N1201+N1208+N1215+N1180+N1173</f>
        <v>-1249174.0963562469</v>
      </c>
      <c r="O1226" s="120"/>
      <c r="P1226" s="192"/>
      <c r="Q1226" s="7">
        <f>Q1165+Q1201+Q1208+Q1215+Q1180+Q1173</f>
        <v>-37625996.964868486</v>
      </c>
      <c r="R1226" s="7">
        <f>R1165+R1201+R1208+R1215+R1180+R1173</f>
        <v>0</v>
      </c>
      <c r="S1226" s="126"/>
      <c r="T1226" s="7">
        <f>T1165+T1201+T1208+T1215+T1180+T1173</f>
        <v>0</v>
      </c>
      <c r="U1226" s="7">
        <f>U1165+U1201+U1208+U1215+U1180+U1173</f>
        <v>-1249174.0963562469</v>
      </c>
      <c r="V1226" s="124"/>
      <c r="W1226" s="7">
        <f>HLOOKUP($W$9,'ROR-Model'!$Q$10:$U$1273,Y1226)</f>
        <v>-37625996.964868486</v>
      </c>
      <c r="X1226" s="139"/>
      <c r="Y1226" s="3">
        <f t="shared" si="89"/>
        <v>1217</v>
      </c>
      <c r="AA1226" s="7">
        <v>-3128358.7952495283</v>
      </c>
      <c r="AC1226" s="7">
        <f t="shared" si="87"/>
        <v>-34497638.169618957</v>
      </c>
      <c r="AE1226" s="42">
        <f t="shared" si="88"/>
        <v>11.027391813881538</v>
      </c>
      <c r="AG1226" s="162"/>
      <c r="AH1226" s="10" t="s">
        <v>399</v>
      </c>
      <c r="AI1226" s="10"/>
      <c r="AJ1226" s="10"/>
    </row>
    <row r="1227" spans="1:36">
      <c r="A1227" s="136"/>
      <c r="B1227" s="47" t="s">
        <v>542</v>
      </c>
      <c r="C1227" s="47"/>
      <c r="D1227" s="47"/>
      <c r="E1227" s="7">
        <f>+G1227-Adjustments!G1225</f>
        <v>750600.58844311675</v>
      </c>
      <c r="F1227" s="7">
        <f>F1160+F1187+F1181+F1174+F1202+F1209+F1216+F1192</f>
        <v>-7531867.4832127504</v>
      </c>
      <c r="G1227" s="7">
        <f>G1160+G1187+G1181+G1174+G1202+G1209+G1216+G1192</f>
        <v>750600.58844311675</v>
      </c>
      <c r="H1227" s="7">
        <f>H1160+H1187+H1181+H1174+H1202+H1209+H1216+H1192</f>
        <v>0</v>
      </c>
      <c r="I1227" s="7">
        <f>I1160+I1187+I1181+I1174+I1202+I1209+I1216+I1192</f>
        <v>-6781266.8947696341</v>
      </c>
      <c r="J1227" s="7">
        <f>+I1227-'ROR-Model'!I1227</f>
        <v>0</v>
      </c>
      <c r="K1227" s="7"/>
      <c r="L1227" s="7"/>
      <c r="M1227" s="7">
        <f>M1160+M1187+M1181+M1174+M1202+M1209+M1216+M1192</f>
        <v>0</v>
      </c>
      <c r="N1227" s="7">
        <f>N1160+N1187+N1181+N1174+N1202+N1209+N1216+N1192</f>
        <v>-6781266.8947696341</v>
      </c>
      <c r="O1227" s="120"/>
      <c r="P1227" s="192"/>
      <c r="Q1227" s="7">
        <f>Q1160+Q1187+Q1181+Q1174+Q1202+Q1209+Q1216+Q1192</f>
        <v>0</v>
      </c>
      <c r="R1227" s="7">
        <f>R1160+R1187+R1181+R1174+R1202+R1209+R1216+R1192</f>
        <v>0</v>
      </c>
      <c r="S1227" s="126"/>
      <c r="T1227" s="7">
        <f>T1160+T1187+T1181+T1174+T1202+T1209+T1216+T1192</f>
        <v>-6781266.8947696341</v>
      </c>
      <c r="U1227" s="7">
        <f>U1160+U1187+U1181+U1174+U1202+U1209+U1216+U1192</f>
        <v>0</v>
      </c>
      <c r="V1227" s="124"/>
      <c r="W1227" s="7">
        <f>HLOOKUP($W$9,'ROR-Model'!$Q$10:$U$1273,Y1227)</f>
        <v>0</v>
      </c>
      <c r="X1227" s="139"/>
      <c r="Y1227" s="3">
        <f t="shared" si="89"/>
        <v>1218</v>
      </c>
      <c r="AA1227" s="7">
        <v>0</v>
      </c>
      <c r="AC1227" s="7" t="str">
        <f t="shared" si="87"/>
        <v/>
      </c>
      <c r="AE1227" s="42" t="str">
        <f t="shared" si="88"/>
        <v/>
      </c>
      <c r="AG1227" s="162"/>
      <c r="AH1227" s="10" t="s">
        <v>542</v>
      </c>
      <c r="AI1227" s="10"/>
      <c r="AJ1227" s="10"/>
    </row>
    <row r="1228" spans="1:36">
      <c r="A1228" s="136"/>
      <c r="B1228" s="47" t="s">
        <v>543</v>
      </c>
      <c r="C1228" s="47"/>
      <c r="D1228" s="47"/>
      <c r="E1228" s="7">
        <f>+G1228-Adjustments!G1226</f>
        <v>30117844.687944062</v>
      </c>
      <c r="F1228" s="7">
        <f>F1161+F1188+F1203+F1182+F1175+F1210+F1217+F1193</f>
        <v>-288545096.03678727</v>
      </c>
      <c r="G1228" s="7">
        <f>G1161+G1188+G1203+G1182+G1175+G1210+G1217+G1193</f>
        <v>30117844.687944062</v>
      </c>
      <c r="H1228" s="7">
        <f>H1161+H1188+H1203+H1182+H1175+H1210+H1217+H1193</f>
        <v>0</v>
      </c>
      <c r="I1228" s="7">
        <f>I1161+I1188+I1203+I1182+I1175+I1210+I1217+I1193</f>
        <v>-258427251.34884316</v>
      </c>
      <c r="J1228" s="7">
        <f>+I1228-'ROR-Model'!I1228</f>
        <v>0</v>
      </c>
      <c r="K1228" s="7"/>
      <c r="L1228" s="7"/>
      <c r="M1228" s="7">
        <f>M1161+M1188+M1203+M1182+M1175+M1210+M1217+M1193</f>
        <v>-258427251.34884316</v>
      </c>
      <c r="N1228" s="7">
        <f>N1161+N1188+N1203+N1182+N1175+N1210+N1217+N1193</f>
        <v>0</v>
      </c>
      <c r="O1228" s="120"/>
      <c r="P1228" s="192"/>
      <c r="Q1228" s="7">
        <f>Q1161+Q1188+Q1203+Q1182+Q1175+Q1210+Q1217+Q1193</f>
        <v>-258427251.34884316</v>
      </c>
      <c r="R1228" s="7">
        <f>R1161+R1188+R1203+R1182+R1175+R1210+R1217+R1193</f>
        <v>0</v>
      </c>
      <c r="S1228" s="126"/>
      <c r="T1228" s="7">
        <f>T1161+T1188+T1203+T1182+T1175+T1210+T1217+T1193</f>
        <v>0</v>
      </c>
      <c r="U1228" s="7">
        <f>U1161+U1188+U1203+U1182+U1175+U1210+U1217+U1193</f>
        <v>0</v>
      </c>
      <c r="V1228" s="124"/>
      <c r="W1228" s="7">
        <f>HLOOKUP($W$9,'ROR-Model'!$Q$10:$U$1273,Y1228)</f>
        <v>-258427251.34884316</v>
      </c>
      <c r="X1228" s="139"/>
      <c r="Y1228" s="3">
        <f t="shared" si="89"/>
        <v>1219</v>
      </c>
      <c r="AA1228" s="7">
        <v>-309832042.85106397</v>
      </c>
      <c r="AC1228" s="7">
        <f t="shared" si="87"/>
        <v>51404791.502220809</v>
      </c>
      <c r="AE1228" s="42">
        <f t="shared" si="88"/>
        <v>-0.16591179862868818</v>
      </c>
      <c r="AG1228" s="162"/>
      <c r="AH1228" s="10" t="s">
        <v>543</v>
      </c>
      <c r="AI1228" s="10"/>
      <c r="AJ1228" s="10"/>
    </row>
    <row r="1229" spans="1:36">
      <c r="A1229" s="136"/>
      <c r="B1229" s="47" t="s">
        <v>544</v>
      </c>
      <c r="C1229" s="47"/>
      <c r="D1229" s="47"/>
      <c r="E1229" s="7">
        <f>+G1229-Adjustments!G1227</f>
        <v>-126970998.68000045</v>
      </c>
      <c r="F1229" s="7">
        <f>F1169+F1197+F1204+F1211+F1218+F1222+F1183+F1176</f>
        <v>206138849.72</v>
      </c>
      <c r="G1229" s="7">
        <f>G1169+G1197+G1204+G1211+G1218+G1222+G1183+G1176</f>
        <v>-153814857.21000046</v>
      </c>
      <c r="H1229" s="7">
        <f>H1169+H1197+H1204+H1211+H1218+H1222+H1183+H1176</f>
        <v>0</v>
      </c>
      <c r="I1229" s="7">
        <f>I1169+I1197+I1204+I1211+I1218+I1222+I1183+I1176</f>
        <v>52323992.509999543</v>
      </c>
      <c r="J1229" s="7">
        <f>+I1229-'ROR-Model'!I1229</f>
        <v>0</v>
      </c>
      <c r="K1229" s="7"/>
      <c r="L1229" s="7"/>
      <c r="M1229" s="7">
        <f>M1169+M1197+M1204+M1211+M1218+M1222+M1183+M1176</f>
        <v>50742204.948903419</v>
      </c>
      <c r="N1229" s="7">
        <f>N1169+N1197+N1204+N1211+N1218+N1222+N1183+N1176</f>
        <v>1581787.5610961271</v>
      </c>
      <c r="O1229" s="120"/>
      <c r="P1229" s="192"/>
      <c r="Q1229" s="7">
        <f>Q1169+Q1197+Q1204+Q1211+Q1218+Q1222+Q1183+Q1176</f>
        <v>50742204.948903419</v>
      </c>
      <c r="R1229" s="7">
        <f>R1169+R1197+R1204+R1211+R1218+R1222+R1183+R1176</f>
        <v>0</v>
      </c>
      <c r="S1229" s="126"/>
      <c r="T1229" s="7">
        <f>T1169+T1197+T1204+T1211+T1218+T1222+T1183+T1176</f>
        <v>1581787.5610961271</v>
      </c>
      <c r="U1229" s="7">
        <f>U1169+U1197+U1204+U1211+U1218+U1222+U1183+U1176</f>
        <v>0</v>
      </c>
      <c r="V1229" s="124"/>
      <c r="W1229" s="7">
        <f>HLOOKUP($W$9,'ROR-Model'!$Q$10:$U$1273,Y1229)</f>
        <v>50742204.948903419</v>
      </c>
      <c r="X1229" s="139"/>
      <c r="Y1229" s="3">
        <f t="shared" si="89"/>
        <v>1220</v>
      </c>
      <c r="AA1229" s="7">
        <v>56034249.828401119</v>
      </c>
      <c r="AC1229" s="7">
        <f t="shared" si="87"/>
        <v>-5292044.8794976994</v>
      </c>
      <c r="AE1229" s="42">
        <f t="shared" si="88"/>
        <v>-9.4443039671344209E-2</v>
      </c>
      <c r="AG1229" s="162"/>
      <c r="AH1229" s="10" t="s">
        <v>544</v>
      </c>
      <c r="AI1229" s="10"/>
      <c r="AJ1229" s="10"/>
    </row>
    <row r="1230" spans="1:36" ht="13.5" thickBot="1">
      <c r="A1230" s="136"/>
      <c r="B1230" s="47"/>
      <c r="C1230" s="47"/>
      <c r="D1230" s="47"/>
      <c r="E1230" s="24">
        <f>+G1230-Adjustments!G1228</f>
        <v>0</v>
      </c>
      <c r="F1230" s="24"/>
      <c r="G1230" s="24"/>
      <c r="H1230" s="24"/>
      <c r="I1230" s="24"/>
      <c r="J1230" s="7">
        <f>+I1230-'ROR-Model'!I1230</f>
        <v>0</v>
      </c>
      <c r="K1230" s="7"/>
      <c r="L1230" s="24"/>
      <c r="M1230" s="24"/>
      <c r="N1230" s="24"/>
      <c r="O1230" s="120"/>
      <c r="P1230" s="202"/>
      <c r="Q1230" s="24"/>
      <c r="R1230" s="24"/>
      <c r="S1230" s="202"/>
      <c r="T1230" s="24"/>
      <c r="U1230" s="24"/>
      <c r="V1230" s="124"/>
      <c r="W1230" s="24"/>
      <c r="X1230" s="139"/>
      <c r="Y1230" s="3">
        <f t="shared" si="89"/>
        <v>1221</v>
      </c>
      <c r="AA1230" s="24"/>
      <c r="AC1230" s="24" t="str">
        <f t="shared" si="87"/>
        <v/>
      </c>
      <c r="AE1230" s="42" t="str">
        <f t="shared" si="88"/>
        <v/>
      </c>
      <c r="AG1230" s="162"/>
      <c r="AH1230" s="10"/>
      <c r="AI1230" s="10"/>
      <c r="AJ1230" s="10"/>
    </row>
    <row r="1231" spans="1:36" ht="13.5" thickTop="1">
      <c r="A1231" s="136"/>
      <c r="B1231" s="47"/>
      <c r="C1231" s="47"/>
      <c r="D1231" s="47"/>
      <c r="E1231" s="7">
        <f>+G1231-Adjustments!G1229</f>
        <v>0</v>
      </c>
      <c r="F1231" s="7"/>
      <c r="G1231" s="7"/>
      <c r="H1231" s="7"/>
      <c r="I1231" s="7"/>
      <c r="J1231" s="7">
        <f>+I1231-'ROR-Model'!I1231</f>
        <v>0</v>
      </c>
      <c r="K1231" s="7"/>
      <c r="L1231" s="7"/>
      <c r="M1231" s="7"/>
      <c r="N1231" s="7"/>
      <c r="O1231" s="120"/>
      <c r="P1231" s="192"/>
      <c r="Q1231" s="7"/>
      <c r="R1231" s="7"/>
      <c r="S1231" s="126"/>
      <c r="T1231" s="7"/>
      <c r="U1231" s="7"/>
      <c r="V1231" s="124"/>
      <c r="W1231" s="7"/>
      <c r="X1231" s="139"/>
      <c r="Y1231" s="3">
        <f t="shared" si="89"/>
        <v>1222</v>
      </c>
      <c r="AA1231" s="7"/>
      <c r="AC1231" s="7" t="str">
        <f t="shared" si="87"/>
        <v/>
      </c>
      <c r="AE1231" s="42" t="str">
        <f t="shared" si="88"/>
        <v/>
      </c>
      <c r="AG1231" s="162"/>
      <c r="AH1231" s="10"/>
      <c r="AI1231" s="10"/>
      <c r="AJ1231" s="10"/>
    </row>
    <row r="1232" spans="1:36">
      <c r="A1232" s="136"/>
      <c r="B1232" s="211" t="s">
        <v>257</v>
      </c>
      <c r="C1232" s="47"/>
      <c r="D1232" s="47"/>
      <c r="E1232" s="7">
        <f>+G1232-Adjustments!G1230</f>
        <v>-133434297.77659349</v>
      </c>
      <c r="F1232" s="7">
        <f>SUM(F1226:F1230)</f>
        <v>-118476299.50000003</v>
      </c>
      <c r="G1232" s="7">
        <f>SUM(G1226:G1230)</f>
        <v>-133283397.29483801</v>
      </c>
      <c r="H1232" s="7">
        <f>SUM(H1226:H1230)</f>
        <v>0</v>
      </c>
      <c r="I1232" s="7">
        <f>SUM(I1226:I1230)</f>
        <v>-251759696.79483798</v>
      </c>
      <c r="J1232" s="7">
        <f>+I1232-'ROR-Model'!I1232</f>
        <v>0</v>
      </c>
      <c r="K1232" s="7"/>
      <c r="L1232" s="7"/>
      <c r="M1232" s="7">
        <f>SUM(M1226:M1230)</f>
        <v>-245311043.36480823</v>
      </c>
      <c r="N1232" s="7">
        <f>SUM(N1226:N1230)</f>
        <v>-6448653.4300297536</v>
      </c>
      <c r="O1232" s="120"/>
      <c r="P1232" s="192"/>
      <c r="Q1232" s="7">
        <f>SUM(Q1226:Q1230)</f>
        <v>-245311043.36480823</v>
      </c>
      <c r="R1232" s="7">
        <f>SUM(R1226:R1230)</f>
        <v>0</v>
      </c>
      <c r="S1232" s="126"/>
      <c r="T1232" s="7">
        <f>SUM(T1226:T1230)</f>
        <v>-5199479.333673507</v>
      </c>
      <c r="U1232" s="7">
        <f>SUM(U1226:U1230)</f>
        <v>-1249174.0963562469</v>
      </c>
      <c r="V1232" s="124"/>
      <c r="W1232" s="7">
        <f>HLOOKUP($W$9,'ROR-Model'!$Q$10:$U$1273,Y1232)</f>
        <v>-245311043.36480823</v>
      </c>
      <c r="X1232" s="139"/>
      <c r="Y1232" s="3">
        <f t="shared" si="89"/>
        <v>1223</v>
      </c>
      <c r="AA1232" s="7">
        <v>-256926151.81791237</v>
      </c>
      <c r="AC1232" s="7">
        <f t="shared" ref="AC1232:AC1273" si="90">IF(ABS(AA1232)&gt;0,W1232-AA1232,"")</f>
        <v>11615108.453104138</v>
      </c>
      <c r="AE1232" s="42">
        <f t="shared" si="88"/>
        <v>-4.52079648993301E-2</v>
      </c>
      <c r="AG1232" s="162"/>
      <c r="AH1232" t="s">
        <v>257</v>
      </c>
      <c r="AI1232" s="10"/>
      <c r="AJ1232" s="10"/>
    </row>
    <row r="1233" spans="1:36">
      <c r="A1233" s="136"/>
      <c r="B1233" s="47"/>
      <c r="C1233" s="47"/>
      <c r="D1233" s="47"/>
      <c r="E1233" s="7">
        <f>+G1233-Adjustments!G1231</f>
        <v>0</v>
      </c>
      <c r="F1233" s="7"/>
      <c r="G1233" s="7"/>
      <c r="H1233" s="7"/>
      <c r="I1233" s="7"/>
      <c r="J1233" s="7">
        <f>+I1233-'ROR-Model'!I1233</f>
        <v>0</v>
      </c>
      <c r="K1233" s="7"/>
      <c r="L1233" s="7"/>
      <c r="M1233" s="7"/>
      <c r="N1233" s="7"/>
      <c r="O1233" s="120"/>
      <c r="P1233" s="126"/>
      <c r="Q1233" s="7"/>
      <c r="R1233" s="7"/>
      <c r="S1233" s="126"/>
      <c r="T1233" s="7"/>
      <c r="U1233" s="7"/>
      <c r="V1233" s="124"/>
      <c r="W1233" s="7"/>
      <c r="X1233" s="139"/>
      <c r="Y1233" s="3">
        <f t="shared" si="89"/>
        <v>1224</v>
      </c>
      <c r="AA1233" s="7"/>
      <c r="AC1233" s="7" t="str">
        <f t="shared" si="90"/>
        <v/>
      </c>
      <c r="AE1233" s="42" t="str">
        <f t="shared" ref="AE1233:AE1273" si="91">IF(ABS(AA1233)&gt;0,AC1233/AA1233,"")</f>
        <v/>
      </c>
      <c r="AG1233" s="162"/>
      <c r="AH1233" s="10"/>
      <c r="AI1233" s="10"/>
      <c r="AJ1233" s="10"/>
    </row>
    <row r="1234" spans="1:36">
      <c r="A1234" s="116" t="s">
        <v>631</v>
      </c>
      <c r="B1234" s="47"/>
      <c r="C1234" s="47"/>
      <c r="D1234" s="47"/>
      <c r="E1234" s="49">
        <f>+G1234-Adjustments!G1232</f>
        <v>0</v>
      </c>
      <c r="F1234" s="49"/>
      <c r="G1234" s="49"/>
      <c r="H1234" s="49"/>
      <c r="I1234" s="49"/>
      <c r="J1234" s="7">
        <f>+I1234-'ROR-Model'!I1234</f>
        <v>0</v>
      </c>
      <c r="K1234" s="49"/>
      <c r="L1234" s="49"/>
      <c r="M1234" s="49"/>
      <c r="N1234" s="49"/>
      <c r="O1234" s="124"/>
      <c r="P1234" s="192"/>
      <c r="Q1234" s="49"/>
      <c r="R1234" s="49"/>
      <c r="S1234" s="192"/>
      <c r="T1234" s="49"/>
      <c r="U1234" s="49"/>
      <c r="V1234" s="124"/>
      <c r="W1234" s="49"/>
      <c r="X1234" s="139"/>
      <c r="Y1234" s="3">
        <f t="shared" si="89"/>
        <v>1225</v>
      </c>
      <c r="AA1234" s="49"/>
      <c r="AC1234" s="49" t="str">
        <f t="shared" si="90"/>
        <v/>
      </c>
      <c r="AE1234" s="42" t="str">
        <f t="shared" si="91"/>
        <v/>
      </c>
      <c r="AG1234" s="162" t="s">
        <v>631</v>
      </c>
      <c r="AH1234" s="10"/>
      <c r="AI1234" s="10"/>
      <c r="AJ1234" s="10"/>
    </row>
    <row r="1235" spans="1:36">
      <c r="A1235" s="116"/>
      <c r="B1235" s="47" t="s">
        <v>399</v>
      </c>
      <c r="C1235" s="47"/>
      <c r="D1235" s="47"/>
      <c r="E1235" s="7">
        <f>+G1235-Adjustments!G1233</f>
        <v>-10109359.293995569</v>
      </c>
      <c r="F1235" s="7">
        <f>F1148+F1226</f>
        <v>-27563399.539999995</v>
      </c>
      <c r="G1235" s="7">
        <f>G1148+G1226</f>
        <v>-10109359.293995569</v>
      </c>
      <c r="H1235" s="7">
        <f t="shared" ref="F1235:I1238" si="92">H1148+H1226</f>
        <v>0</v>
      </c>
      <c r="I1235" s="7">
        <f t="shared" si="92"/>
        <v>-37672758.833995573</v>
      </c>
      <c r="J1235" s="7">
        <f>+I1235-'ROR-Model'!I1235</f>
        <v>0</v>
      </c>
      <c r="K1235" s="7"/>
      <c r="L1235" s="7"/>
      <c r="M1235" s="7">
        <f t="shared" ref="M1235:N1238" si="93">M1148+M1226</f>
        <v>-36462221.794825025</v>
      </c>
      <c r="N1235" s="7">
        <f t="shared" si="93"/>
        <v>-1210537.0391705399</v>
      </c>
      <c r="O1235" s="120"/>
      <c r="P1235" s="192"/>
      <c r="Q1235" s="7">
        <f t="shared" ref="Q1235:R1238" si="94">Q1148+Q1226</f>
        <v>-36462221.794825025</v>
      </c>
      <c r="R1235" s="7">
        <f t="shared" si="94"/>
        <v>0</v>
      </c>
      <c r="S1235" s="126"/>
      <c r="T1235" s="7">
        <f t="shared" ref="T1235:U1238" si="95">T1148+T1226</f>
        <v>0</v>
      </c>
      <c r="U1235" s="7">
        <f t="shared" si="95"/>
        <v>-1210537.0391705399</v>
      </c>
      <c r="V1235" s="124"/>
      <c r="W1235" s="7">
        <f>HLOOKUP($W$9,'ROR-Model'!$Q$10:$U$1273,Y1235)</f>
        <v>-36462221.794825025</v>
      </c>
      <c r="X1235" s="139"/>
      <c r="Y1235" s="3">
        <f t="shared" si="89"/>
        <v>1226</v>
      </c>
      <c r="AA1235" s="7">
        <v>477720.95872201771</v>
      </c>
      <c r="AC1235" s="7">
        <f t="shared" si="90"/>
        <v>-36939942.753547043</v>
      </c>
      <c r="AE1235" s="42">
        <f t="shared" si="91"/>
        <v>-77.325355061598046</v>
      </c>
      <c r="AG1235" s="162"/>
      <c r="AH1235" s="10" t="s">
        <v>399</v>
      </c>
      <c r="AI1235" s="10"/>
      <c r="AJ1235" s="10"/>
    </row>
    <row r="1236" spans="1:36">
      <c r="A1236" s="116"/>
      <c r="B1236" s="47" t="s">
        <v>542</v>
      </c>
      <c r="C1236" s="47"/>
      <c r="D1236" s="47"/>
      <c r="E1236" s="7">
        <f>+G1236-Adjustments!G1234</f>
        <v>26937555.96960431</v>
      </c>
      <c r="F1236" s="7">
        <f t="shared" si="92"/>
        <v>60104096.046787262</v>
      </c>
      <c r="G1236" s="7">
        <f t="shared" si="92"/>
        <v>244597.92135978583</v>
      </c>
      <c r="H1236" s="7">
        <f t="shared" si="92"/>
        <v>0</v>
      </c>
      <c r="I1236" s="7">
        <f t="shared" si="92"/>
        <v>60348693.968147047</v>
      </c>
      <c r="J1236" s="7">
        <f>+I1236-'ROR-Model'!I1236</f>
        <v>0</v>
      </c>
      <c r="K1236" s="7"/>
      <c r="L1236" s="7"/>
      <c r="M1236" s="7">
        <f t="shared" si="93"/>
        <v>0</v>
      </c>
      <c r="N1236" s="7">
        <f t="shared" si="93"/>
        <v>60348693.968147047</v>
      </c>
      <c r="O1236" s="120"/>
      <c r="P1236" s="192"/>
      <c r="Q1236" s="7">
        <f t="shared" si="94"/>
        <v>0</v>
      </c>
      <c r="R1236" s="7">
        <f t="shared" si="94"/>
        <v>0</v>
      </c>
      <c r="S1236" s="126"/>
      <c r="T1236" s="7">
        <f t="shared" si="95"/>
        <v>60348693.968147047</v>
      </c>
      <c r="U1236" s="7">
        <f t="shared" si="95"/>
        <v>0</v>
      </c>
      <c r="V1236" s="124"/>
      <c r="W1236" s="7">
        <f>HLOOKUP($W$9,'ROR-Model'!$Q$10:$U$1273,Y1236)</f>
        <v>0</v>
      </c>
      <c r="X1236" s="139"/>
      <c r="Y1236" s="3">
        <f t="shared" ref="Y1236:Y1273" si="96">Y1235+1</f>
        <v>1227</v>
      </c>
      <c r="AA1236" s="7">
        <v>0</v>
      </c>
      <c r="AC1236" s="7" t="str">
        <f t="shared" si="90"/>
        <v/>
      </c>
      <c r="AE1236" s="42" t="str">
        <f t="shared" si="91"/>
        <v/>
      </c>
      <c r="AG1236" s="162"/>
      <c r="AH1236" s="10" t="s">
        <v>542</v>
      </c>
      <c r="AI1236" s="10"/>
      <c r="AJ1236" s="10"/>
    </row>
    <row r="1237" spans="1:36">
      <c r="A1237" s="116"/>
      <c r="B1237" s="47" t="s">
        <v>543</v>
      </c>
      <c r="C1237" s="47"/>
      <c r="D1237" s="47"/>
      <c r="E1237" s="7">
        <f>+G1237-Adjustments!G1235</f>
        <v>-172333683.56622273</v>
      </c>
      <c r="F1237" s="7">
        <f t="shared" si="92"/>
        <v>2575825965.5727854</v>
      </c>
      <c r="G1237" s="7">
        <f t="shared" si="92"/>
        <v>-172333683.56622273</v>
      </c>
      <c r="H1237" s="7">
        <f t="shared" si="92"/>
        <v>0</v>
      </c>
      <c r="I1237" s="7">
        <f t="shared" si="92"/>
        <v>2403492282.0065627</v>
      </c>
      <c r="J1237" s="7">
        <f>+I1237-'ROR-Model'!I1237</f>
        <v>0</v>
      </c>
      <c r="K1237" s="7"/>
      <c r="L1237" s="7"/>
      <c r="M1237" s="7">
        <f t="shared" si="93"/>
        <v>2403492282.0065622</v>
      </c>
      <c r="N1237" s="7">
        <f t="shared" si="93"/>
        <v>0</v>
      </c>
      <c r="O1237" s="120"/>
      <c r="P1237" s="192"/>
      <c r="Q1237" s="7">
        <f t="shared" si="94"/>
        <v>2403492282.0065622</v>
      </c>
      <c r="R1237" s="7">
        <f t="shared" si="94"/>
        <v>0</v>
      </c>
      <c r="S1237" s="126"/>
      <c r="T1237" s="7">
        <f t="shared" si="95"/>
        <v>0</v>
      </c>
      <c r="U1237" s="7">
        <f t="shared" si="95"/>
        <v>0</v>
      </c>
      <c r="V1237" s="124"/>
      <c r="W1237" s="7">
        <f>HLOOKUP($W$9,'ROR-Model'!$Q$10:$U$1273,Y1237)</f>
        <v>2403492282.0065622</v>
      </c>
      <c r="X1237" s="139"/>
      <c r="Y1237" s="3">
        <f t="shared" si="96"/>
        <v>1228</v>
      </c>
      <c r="AA1237" s="7">
        <v>1503726897.0100195</v>
      </c>
      <c r="AC1237" s="7">
        <f t="shared" si="90"/>
        <v>899765384.99654269</v>
      </c>
      <c r="AE1237" s="42">
        <f t="shared" si="91"/>
        <v>0.59835691360287446</v>
      </c>
      <c r="AG1237" s="162"/>
      <c r="AH1237" s="10" t="s">
        <v>543</v>
      </c>
      <c r="AI1237" s="10"/>
      <c r="AJ1237" s="10"/>
    </row>
    <row r="1238" spans="1:36">
      <c r="A1238" s="116"/>
      <c r="B1238" s="47" t="s">
        <v>544</v>
      </c>
      <c r="C1238" s="47"/>
      <c r="D1238" s="47"/>
      <c r="E1238" s="7">
        <f>+G1238-Adjustments!G1236</f>
        <v>-161994372.12046409</v>
      </c>
      <c r="F1238" s="7">
        <f t="shared" si="92"/>
        <v>159004877.99999997</v>
      </c>
      <c r="G1238" s="7">
        <f t="shared" si="92"/>
        <v>-162067503.51237708</v>
      </c>
      <c r="H1238" s="7">
        <f t="shared" si="92"/>
        <v>0</v>
      </c>
      <c r="I1238" s="7">
        <f t="shared" si="92"/>
        <v>-3062625.5123770982</v>
      </c>
      <c r="J1238" s="7">
        <f>+I1238-'ROR-Model'!I1238</f>
        <v>0</v>
      </c>
      <c r="K1238" s="7"/>
      <c r="L1238" s="7"/>
      <c r="M1238" s="7">
        <f t="shared" si="93"/>
        <v>-12892206.513750158</v>
      </c>
      <c r="N1238" s="7">
        <f t="shared" si="93"/>
        <v>9829581.0013731271</v>
      </c>
      <c r="O1238" s="120"/>
      <c r="P1238" s="192"/>
      <c r="Q1238" s="7">
        <f t="shared" si="94"/>
        <v>-12892206.513750158</v>
      </c>
      <c r="R1238" s="7">
        <f t="shared" si="94"/>
        <v>0</v>
      </c>
      <c r="S1238" s="126"/>
      <c r="T1238" s="7">
        <f t="shared" si="95"/>
        <v>9829581.0013731271</v>
      </c>
      <c r="U1238" s="7">
        <f t="shared" si="95"/>
        <v>0</v>
      </c>
      <c r="V1238" s="124"/>
      <c r="W1238" s="7">
        <f>HLOOKUP($W$9,'ROR-Model'!$Q$10:$U$1273,Y1238)</f>
        <v>-12892206.513750158</v>
      </c>
      <c r="X1238" s="139"/>
      <c r="Y1238" s="3">
        <f t="shared" si="96"/>
        <v>1229</v>
      </c>
      <c r="AA1238" s="7">
        <v>-59633389.179209381</v>
      </c>
      <c r="AC1238" s="7">
        <f t="shared" si="90"/>
        <v>46741182.665459223</v>
      </c>
      <c r="AE1238" s="42">
        <f t="shared" si="91"/>
        <v>-0.78380892497981813</v>
      </c>
      <c r="AG1238" s="162"/>
      <c r="AH1238" s="10" t="s">
        <v>544</v>
      </c>
      <c r="AI1238" s="10"/>
      <c r="AJ1238" s="10"/>
    </row>
    <row r="1239" spans="1:36" ht="13.5" thickBot="1">
      <c r="A1239" s="116"/>
      <c r="B1239" s="47"/>
      <c r="C1239" s="47"/>
      <c r="D1239" s="47"/>
      <c r="E1239" s="24">
        <f>+G1239-Adjustments!G1237</f>
        <v>0</v>
      </c>
      <c r="F1239" s="24"/>
      <c r="G1239" s="24"/>
      <c r="H1239" s="24"/>
      <c r="I1239" s="24"/>
      <c r="J1239" s="7">
        <f>+I1239-'ROR-Model'!I1239</f>
        <v>0</v>
      </c>
      <c r="K1239" s="7"/>
      <c r="L1239" s="24"/>
      <c r="M1239" s="24"/>
      <c r="N1239" s="24"/>
      <c r="O1239" s="120"/>
      <c r="P1239" s="202"/>
      <c r="Q1239" s="24"/>
      <c r="R1239" s="24"/>
      <c r="S1239" s="202"/>
      <c r="T1239" s="24"/>
      <c r="U1239" s="24"/>
      <c r="V1239" s="124"/>
      <c r="W1239" s="24"/>
      <c r="X1239" s="139"/>
      <c r="Y1239" s="3">
        <f t="shared" si="96"/>
        <v>1230</v>
      </c>
      <c r="AA1239" s="24"/>
      <c r="AC1239" s="24" t="str">
        <f t="shared" si="90"/>
        <v/>
      </c>
      <c r="AE1239" s="42" t="str">
        <f t="shared" si="91"/>
        <v/>
      </c>
      <c r="AG1239" s="162"/>
      <c r="AH1239" s="10"/>
      <c r="AI1239" s="10"/>
      <c r="AJ1239" s="10"/>
    </row>
    <row r="1240" spans="1:36" ht="13.5" thickTop="1">
      <c r="A1240" s="116"/>
      <c r="B1240" s="47"/>
      <c r="C1240" s="47"/>
      <c r="D1240" s="47"/>
      <c r="E1240" s="7">
        <f>+G1240-Adjustments!G1238</f>
        <v>-8.35</v>
      </c>
      <c r="F1240" s="7"/>
      <c r="G1240" s="7"/>
      <c r="H1240" s="7"/>
      <c r="I1240" s="7"/>
      <c r="J1240" s="7">
        <f>+I1240-'ROR-Model'!I1240</f>
        <v>0</v>
      </c>
      <c r="K1240" s="7"/>
      <c r="L1240" s="7"/>
      <c r="M1240" s="7"/>
      <c r="N1240" s="7"/>
      <c r="O1240" s="120"/>
      <c r="P1240" s="192"/>
      <c r="Q1240" s="7"/>
      <c r="R1240" s="7"/>
      <c r="S1240" s="126"/>
      <c r="T1240" s="7"/>
      <c r="U1240" s="7"/>
      <c r="V1240" s="124"/>
      <c r="W1240" s="7"/>
      <c r="X1240" s="139"/>
      <c r="Y1240" s="3">
        <f t="shared" si="96"/>
        <v>1231</v>
      </c>
      <c r="AA1240" s="7"/>
      <c r="AC1240" s="7" t="str">
        <f t="shared" si="90"/>
        <v/>
      </c>
      <c r="AE1240" s="42" t="str">
        <f t="shared" si="91"/>
        <v/>
      </c>
      <c r="AG1240" s="162"/>
      <c r="AH1240" s="10"/>
      <c r="AI1240" s="10"/>
      <c r="AJ1240" s="10"/>
    </row>
    <row r="1241" spans="1:36">
      <c r="A1241" s="136"/>
      <c r="B1241" s="141" t="s">
        <v>631</v>
      </c>
      <c r="C1241" s="47"/>
      <c r="D1241" s="47"/>
      <c r="E1241" s="7">
        <f>+G1241-Adjustments!G1239</f>
        <v>-344265948.45123553</v>
      </c>
      <c r="F1241" s="7">
        <f>F1154+F1232</f>
        <v>2767371540.0795727</v>
      </c>
      <c r="G1241" s="7">
        <f>G1154+G1232</f>
        <v>-344265948.45123553</v>
      </c>
      <c r="H1241" s="7">
        <f>H1154+H1232</f>
        <v>0</v>
      </c>
      <c r="I1241" s="7">
        <f>I1154+I1232</f>
        <v>2423105591.6283364</v>
      </c>
      <c r="J1241" s="7">
        <f>+I1241-'ROR-Model'!I1241</f>
        <v>0</v>
      </c>
      <c r="K1241" s="7"/>
      <c r="L1241" s="7"/>
      <c r="M1241" s="7">
        <f>M1154+M1232</f>
        <v>2354137853.6979876</v>
      </c>
      <c r="N1241" s="7">
        <f>N1154+N1232</f>
        <v>68967737.930349603</v>
      </c>
      <c r="O1241" s="120"/>
      <c r="P1241" s="192"/>
      <c r="Q1241" s="7">
        <f>Q1154+Q1232</f>
        <v>2354137853.6979876</v>
      </c>
      <c r="R1241" s="7">
        <f>R1154+R1232</f>
        <v>0</v>
      </c>
      <c r="S1241" s="126"/>
      <c r="T1241" s="7">
        <f>T1154+T1232</f>
        <v>70178274.969520152</v>
      </c>
      <c r="U1241" s="7">
        <f>U1154+U1232</f>
        <v>-1210537.0391705399</v>
      </c>
      <c r="V1241" s="124"/>
      <c r="W1241" s="7">
        <f>HLOOKUP($W$9,'ROR-Model'!$Q$10:$U$1273,Y1241)</f>
        <v>2354137853.6979876</v>
      </c>
      <c r="X1241" s="139"/>
      <c r="Y1241" s="3">
        <f t="shared" si="96"/>
        <v>1232</v>
      </c>
      <c r="AA1241" s="7">
        <v>1444571228.7895324</v>
      </c>
      <c r="AC1241" s="7">
        <f t="shared" si="90"/>
        <v>909566624.90845513</v>
      </c>
      <c r="AE1241" s="42">
        <f t="shared" si="91"/>
        <v>0.62964470479632884</v>
      </c>
      <c r="AG1241" s="162"/>
      <c r="AH1241" t="s">
        <v>631</v>
      </c>
      <c r="AI1241" s="10"/>
      <c r="AJ1241" s="10"/>
    </row>
    <row r="1242" spans="1:36">
      <c r="A1242" s="136"/>
      <c r="B1242" s="47"/>
      <c r="C1242" s="47"/>
      <c r="D1242" s="47"/>
      <c r="E1242" s="7">
        <f>+G1242-Adjustments!G1240</f>
        <v>0</v>
      </c>
      <c r="F1242" s="7"/>
      <c r="G1242" s="7"/>
      <c r="H1242" s="7"/>
      <c r="I1242" s="7"/>
      <c r="J1242" s="7">
        <f>+I1242-'ROR-Model'!I1242</f>
        <v>0</v>
      </c>
      <c r="K1242" s="7"/>
      <c r="L1242" s="7"/>
      <c r="M1242" s="7"/>
      <c r="N1242" s="7"/>
      <c r="O1242" s="120"/>
      <c r="P1242" s="126"/>
      <c r="Q1242" s="7"/>
      <c r="R1242" s="7"/>
      <c r="S1242" s="126"/>
      <c r="T1242" s="7"/>
      <c r="U1242" s="7"/>
      <c r="V1242" s="124"/>
      <c r="W1242" s="7"/>
      <c r="X1242" s="139"/>
      <c r="Y1242" s="3">
        <f t="shared" si="96"/>
        <v>1233</v>
      </c>
      <c r="AA1242" s="7"/>
      <c r="AC1242" s="7" t="str">
        <f t="shared" si="90"/>
        <v/>
      </c>
      <c r="AE1242" s="42" t="str">
        <f t="shared" si="91"/>
        <v/>
      </c>
      <c r="AG1242" s="162"/>
      <c r="AH1242" s="10"/>
      <c r="AI1242" s="10"/>
      <c r="AJ1242" s="10"/>
    </row>
    <row r="1243" spans="1:36">
      <c r="A1243" s="116" t="s">
        <v>635</v>
      </c>
      <c r="B1243" s="47"/>
      <c r="C1243" s="47"/>
      <c r="D1243" s="47"/>
      <c r="E1243" s="7">
        <f>+G1243-Adjustments!G1241</f>
        <v>610647.1224735392</v>
      </c>
      <c r="F1243" s="7"/>
      <c r="G1243" s="7"/>
      <c r="H1243" s="7"/>
      <c r="I1243" s="7"/>
      <c r="J1243" s="7">
        <f>+I1243-'ROR-Model'!I1243</f>
        <v>0</v>
      </c>
      <c r="K1243" s="7"/>
      <c r="L1243" s="7"/>
      <c r="M1243" s="7"/>
      <c r="N1243" s="7"/>
      <c r="O1243" s="120"/>
      <c r="P1243" s="126"/>
      <c r="Q1243" s="7"/>
      <c r="R1243" s="7"/>
      <c r="S1243" s="126"/>
      <c r="T1243" s="7"/>
      <c r="U1243" s="7"/>
      <c r="V1243" s="124"/>
      <c r="W1243" s="7"/>
      <c r="X1243" s="139"/>
      <c r="Y1243" s="3">
        <f t="shared" si="96"/>
        <v>1234</v>
      </c>
      <c r="AA1243" s="7"/>
      <c r="AC1243" s="7" t="str">
        <f t="shared" si="90"/>
        <v/>
      </c>
      <c r="AE1243" s="42" t="str">
        <f t="shared" si="91"/>
        <v/>
      </c>
      <c r="AG1243" s="162" t="s">
        <v>635</v>
      </c>
      <c r="AH1243" s="10"/>
      <c r="AI1243" s="10"/>
      <c r="AJ1243" s="10"/>
    </row>
    <row r="1244" spans="1:36">
      <c r="A1244" s="136"/>
      <c r="B1244" s="47"/>
      <c r="C1244" s="47"/>
      <c r="D1244" s="47"/>
      <c r="E1244" s="7">
        <f>+G1244-Adjustments!G1242</f>
        <v>0</v>
      </c>
      <c r="F1244" s="7"/>
      <c r="G1244" s="7"/>
      <c r="H1244" s="7"/>
      <c r="I1244" s="7"/>
      <c r="J1244" s="7">
        <f>+I1244-'ROR-Model'!I1244</f>
        <v>0</v>
      </c>
      <c r="K1244" s="7"/>
      <c r="L1244" s="7"/>
      <c r="M1244" s="7"/>
      <c r="N1244" s="7"/>
      <c r="O1244" s="120"/>
      <c r="P1244" s="126"/>
      <c r="Q1244" s="7"/>
      <c r="R1244" s="7"/>
      <c r="S1244" s="126"/>
      <c r="T1244" s="7"/>
      <c r="U1244" s="7"/>
      <c r="V1244" s="124"/>
      <c r="W1244" s="7"/>
      <c r="X1244" s="139"/>
      <c r="Y1244" s="3">
        <f t="shared" si="96"/>
        <v>1235</v>
      </c>
      <c r="AA1244" s="7"/>
      <c r="AC1244" s="7" t="str">
        <f t="shared" si="90"/>
        <v/>
      </c>
      <c r="AE1244" s="42" t="str">
        <f t="shared" si="91"/>
        <v/>
      </c>
      <c r="AG1244" s="162"/>
      <c r="AH1244" s="10"/>
      <c r="AI1244" s="10"/>
      <c r="AJ1244" s="10"/>
    </row>
    <row r="1245" spans="1:36">
      <c r="A1245" s="136"/>
      <c r="B1245" s="53" t="s">
        <v>436</v>
      </c>
      <c r="C1245" s="47"/>
      <c r="D1245" s="47"/>
      <c r="E1245" s="7">
        <f>+G1245-Adjustments!G1243</f>
        <v>0</v>
      </c>
      <c r="F1245" s="7"/>
      <c r="G1245" s="7"/>
      <c r="H1245" s="7"/>
      <c r="I1245" s="7"/>
      <c r="J1245" s="7">
        <f>+I1245-'ROR-Model'!I1245</f>
        <v>0</v>
      </c>
      <c r="K1245" s="7"/>
      <c r="L1245" s="7"/>
      <c r="M1245" s="7"/>
      <c r="N1245" s="7"/>
      <c r="O1245" s="120"/>
      <c r="P1245" s="126"/>
      <c r="Q1245" s="7"/>
      <c r="R1245" s="7"/>
      <c r="S1245" s="126"/>
      <c r="T1245" s="7"/>
      <c r="U1245" s="7"/>
      <c r="V1245" s="124"/>
      <c r="W1245" s="7"/>
      <c r="X1245" s="139"/>
      <c r="Y1245" s="3">
        <f t="shared" si="96"/>
        <v>1236</v>
      </c>
      <c r="AA1245" s="7"/>
      <c r="AC1245" s="7" t="str">
        <f t="shared" si="90"/>
        <v/>
      </c>
      <c r="AE1245" s="42" t="str">
        <f t="shared" si="91"/>
        <v/>
      </c>
      <c r="AG1245" s="162"/>
      <c r="AH1245" s="10" t="s">
        <v>436</v>
      </c>
      <c r="AI1245" s="10"/>
      <c r="AJ1245" s="10"/>
    </row>
    <row r="1246" spans="1:36">
      <c r="A1246" s="136"/>
      <c r="B1246" s="47"/>
      <c r="C1246" s="47" t="s">
        <v>437</v>
      </c>
      <c r="D1246" s="47"/>
      <c r="E1246" s="7">
        <f>+G1246-Adjustments!G1244</f>
        <v>0</v>
      </c>
      <c r="F1246" s="7">
        <f>F640</f>
        <v>1092110789.0855567</v>
      </c>
      <c r="G1246" s="7">
        <f>G640</f>
        <v>0</v>
      </c>
      <c r="H1246" s="7">
        <f>H640</f>
        <v>0</v>
      </c>
      <c r="I1246" s="7">
        <f>I640</f>
        <v>1092110789.0855567</v>
      </c>
      <c r="J1246" s="7">
        <f>+I1246-'ROR-Model'!I1246</f>
        <v>0</v>
      </c>
      <c r="K1246" s="7"/>
      <c r="L1246" s="7"/>
      <c r="M1246" s="7">
        <f>M640</f>
        <v>1058181609.0126004</v>
      </c>
      <c r="N1246" s="7">
        <f t="shared" ref="N1246:N1254" si="97">I1246-M1246</f>
        <v>33929180.072956324</v>
      </c>
      <c r="O1246" s="120"/>
      <c r="P1246" s="126"/>
      <c r="Q1246" s="7"/>
      <c r="R1246" s="7"/>
      <c r="S1246" s="126"/>
      <c r="T1246" s="7"/>
      <c r="U1246" s="7"/>
      <c r="V1246" s="124"/>
      <c r="W1246" s="7"/>
      <c r="X1246" s="139"/>
      <c r="Y1246" s="3">
        <f t="shared" si="96"/>
        <v>1237</v>
      </c>
      <c r="AA1246" s="7"/>
      <c r="AC1246" s="7" t="str">
        <f t="shared" si="90"/>
        <v/>
      </c>
      <c r="AE1246" s="42" t="str">
        <f t="shared" si="91"/>
        <v/>
      </c>
      <c r="AG1246" s="162"/>
      <c r="AH1246" s="10"/>
      <c r="AI1246" s="10" t="s">
        <v>437</v>
      </c>
      <c r="AJ1246" s="10"/>
    </row>
    <row r="1247" spans="1:36">
      <c r="A1247" s="136"/>
      <c r="B1247" s="47"/>
      <c r="C1247" s="47" t="s">
        <v>438</v>
      </c>
      <c r="D1247" s="47"/>
      <c r="E1247" s="7">
        <f>+G1247-Adjustments!G1245</f>
        <v>-18970301.297120716</v>
      </c>
      <c r="F1247" s="7">
        <f>F905</f>
        <v>159424946.91999999</v>
      </c>
      <c r="G1247" s="7">
        <f>G905</f>
        <v>-18970301.297120716</v>
      </c>
      <c r="H1247" s="7">
        <f>H905</f>
        <v>0</v>
      </c>
      <c r="I1247" s="7">
        <f>I905</f>
        <v>140454645.62287927</v>
      </c>
      <c r="J1247" s="7">
        <f>+I1247-'ROR-Model'!I1247</f>
        <v>0</v>
      </c>
      <c r="K1247" s="7"/>
      <c r="L1247" s="7"/>
      <c r="M1247" s="7">
        <f>M905</f>
        <v>135198455.70663941</v>
      </c>
      <c r="N1247" s="7">
        <f t="shared" si="97"/>
        <v>5256189.9162398577</v>
      </c>
      <c r="O1247" s="120"/>
      <c r="P1247" s="126"/>
      <c r="Q1247" s="7"/>
      <c r="R1247" s="7"/>
      <c r="S1247" s="126"/>
      <c r="T1247" s="7"/>
      <c r="U1247" s="7"/>
      <c r="V1247" s="124"/>
      <c r="W1247" s="7"/>
      <c r="X1247" s="139"/>
      <c r="Y1247" s="3">
        <f t="shared" si="96"/>
        <v>1238</v>
      </c>
      <c r="AA1247" s="7"/>
      <c r="AC1247" s="7" t="str">
        <f t="shared" si="90"/>
        <v/>
      </c>
      <c r="AE1247" s="42" t="str">
        <f t="shared" si="91"/>
        <v/>
      </c>
      <c r="AG1247" s="162"/>
      <c r="AH1247" s="10"/>
      <c r="AI1247" s="10" t="s">
        <v>438</v>
      </c>
      <c r="AJ1247" s="10"/>
    </row>
    <row r="1248" spans="1:36">
      <c r="A1248" s="136"/>
      <c r="B1248" s="47"/>
      <c r="C1248" s="47" t="s">
        <v>611</v>
      </c>
      <c r="D1248" s="47"/>
      <c r="E1248" s="7">
        <f>+G1248-Adjustments!G1246</f>
        <v>0</v>
      </c>
      <c r="F1248" s="7">
        <v>0</v>
      </c>
      <c r="G1248" s="7">
        <v>0</v>
      </c>
      <c r="H1248" s="7">
        <v>0</v>
      </c>
      <c r="I1248" s="7">
        <v>0</v>
      </c>
      <c r="J1248" s="7">
        <f>+I1248-'ROR-Model'!I1248</f>
        <v>0</v>
      </c>
      <c r="K1248" s="7"/>
      <c r="L1248" s="7"/>
      <c r="M1248" s="7">
        <v>0</v>
      </c>
      <c r="N1248" s="7">
        <f t="shared" si="97"/>
        <v>0</v>
      </c>
      <c r="O1248" s="120"/>
      <c r="P1248" s="126"/>
      <c r="Q1248" s="7"/>
      <c r="R1248" s="7"/>
      <c r="S1248" s="126"/>
      <c r="T1248" s="7"/>
      <c r="U1248" s="7"/>
      <c r="V1248" s="124"/>
      <c r="W1248" s="7"/>
      <c r="X1248" s="139"/>
      <c r="Y1248" s="3">
        <f t="shared" si="96"/>
        <v>1239</v>
      </c>
      <c r="AA1248" s="7"/>
      <c r="AC1248" s="7" t="str">
        <f t="shared" si="90"/>
        <v/>
      </c>
      <c r="AE1248" s="42" t="str">
        <f t="shared" si="91"/>
        <v/>
      </c>
      <c r="AG1248" s="162"/>
      <c r="AH1248" s="10"/>
      <c r="AI1248" s="10" t="s">
        <v>611</v>
      </c>
      <c r="AJ1248" s="10"/>
    </row>
    <row r="1249" spans="1:36">
      <c r="A1249" s="136"/>
      <c r="B1249" s="47"/>
      <c r="C1249" s="47" t="s">
        <v>439</v>
      </c>
      <c r="D1249" s="47"/>
      <c r="E1249" s="7">
        <f>+G1249-Adjustments!G1247</f>
        <v>0</v>
      </c>
      <c r="F1249" s="7">
        <f>F934</f>
        <v>26718468.590000004</v>
      </c>
      <c r="G1249" s="7">
        <f>G934</f>
        <v>0</v>
      </c>
      <c r="H1249" s="7">
        <f>H934</f>
        <v>0</v>
      </c>
      <c r="I1249" s="7">
        <f>I934</f>
        <v>26718468.590000004</v>
      </c>
      <c r="J1249" s="7">
        <f>+I1249-'ROR-Model'!I1249</f>
        <v>0</v>
      </c>
      <c r="K1249" s="7"/>
      <c r="L1249" s="7"/>
      <c r="M1249" s="7">
        <f>M934</f>
        <v>25460396.375659976</v>
      </c>
      <c r="N1249" s="7">
        <f t="shared" si="97"/>
        <v>1258072.2143400274</v>
      </c>
      <c r="O1249" s="120"/>
      <c r="P1249" s="126"/>
      <c r="Q1249" s="7"/>
      <c r="R1249" s="7"/>
      <c r="S1249" s="126"/>
      <c r="T1249" s="7"/>
      <c r="U1249" s="7"/>
      <c r="V1249" s="124"/>
      <c r="W1249" s="7"/>
      <c r="X1249" s="139"/>
      <c r="Y1249" s="3">
        <f t="shared" si="96"/>
        <v>1240</v>
      </c>
      <c r="AA1249" s="7"/>
      <c r="AC1249" s="7" t="str">
        <f t="shared" si="90"/>
        <v/>
      </c>
      <c r="AE1249" s="42" t="str">
        <f t="shared" si="91"/>
        <v/>
      </c>
      <c r="AG1249" s="162"/>
      <c r="AH1249" s="10"/>
      <c r="AI1249" s="10" t="s">
        <v>439</v>
      </c>
      <c r="AJ1249" s="10"/>
    </row>
    <row r="1250" spans="1:36">
      <c r="A1250" s="136"/>
      <c r="B1250" s="47"/>
      <c r="C1250" s="47" t="s">
        <v>441</v>
      </c>
      <c r="D1250" s="47"/>
      <c r="E1250" s="7">
        <f>+G1250-Adjustments!G1248</f>
        <v>-1179568.5844890382</v>
      </c>
      <c r="F1250" s="7">
        <f>F936+F938+F940</f>
        <v>20974430.420000017</v>
      </c>
      <c r="G1250" s="7">
        <f>G936+G938+G940</f>
        <v>-1790215.7069625775</v>
      </c>
      <c r="H1250" s="7">
        <f>H936+H938+H940</f>
        <v>5679930.2182409316</v>
      </c>
      <c r="I1250" s="7">
        <f>I936+I938+I940</f>
        <v>24864144.931278363</v>
      </c>
      <c r="J1250" s="7">
        <f>+I1250-'ROR-Model'!I1250</f>
        <v>0</v>
      </c>
      <c r="K1250" s="7"/>
      <c r="L1250" s="7"/>
      <c r="M1250" s="7">
        <f>M936+M938+M940</f>
        <v>39723816.367047831</v>
      </c>
      <c r="N1250" s="7">
        <f>N936+N938+N940</f>
        <v>-39345720.723170802</v>
      </c>
      <c r="O1250" s="120"/>
      <c r="P1250" s="126"/>
      <c r="Q1250" s="7"/>
      <c r="R1250" s="7"/>
      <c r="S1250" s="126"/>
      <c r="T1250" s="7"/>
      <c r="U1250" s="7"/>
      <c r="V1250" s="124"/>
      <c r="W1250" s="7"/>
      <c r="X1250" s="139"/>
      <c r="Y1250" s="3">
        <f t="shared" si="96"/>
        <v>1241</v>
      </c>
      <c r="AA1250" s="7"/>
      <c r="AC1250" s="7" t="str">
        <f t="shared" si="90"/>
        <v/>
      </c>
      <c r="AE1250" s="42" t="str">
        <f t="shared" si="91"/>
        <v/>
      </c>
      <c r="AG1250" s="162"/>
      <c r="AH1250" s="10"/>
      <c r="AI1250" s="10" t="s">
        <v>441</v>
      </c>
      <c r="AJ1250" s="10"/>
    </row>
    <row r="1251" spans="1:36">
      <c r="A1251" s="136"/>
      <c r="B1251" s="47"/>
      <c r="C1251" s="47" t="s">
        <v>554</v>
      </c>
      <c r="D1251" s="47"/>
      <c r="E1251" s="7">
        <f>+G1251-Adjustments!G1249</f>
        <v>0</v>
      </c>
      <c r="F1251" s="7">
        <v>0</v>
      </c>
      <c r="G1251" s="7">
        <v>0</v>
      </c>
      <c r="H1251" s="7">
        <v>0</v>
      </c>
      <c r="I1251" s="7">
        <v>0</v>
      </c>
      <c r="J1251" s="7">
        <f>+I1251-'ROR-Model'!I1251</f>
        <v>0</v>
      </c>
      <c r="K1251" s="7"/>
      <c r="L1251" s="7"/>
      <c r="M1251" s="7">
        <v>0</v>
      </c>
      <c r="N1251" s="7">
        <f t="shared" si="97"/>
        <v>0</v>
      </c>
      <c r="O1251" s="120"/>
      <c r="P1251" s="126"/>
      <c r="Q1251" s="7"/>
      <c r="R1251" s="7"/>
      <c r="S1251" s="126"/>
      <c r="T1251" s="7"/>
      <c r="U1251" s="7"/>
      <c r="V1251" s="124"/>
      <c r="W1251" s="7"/>
      <c r="X1251" s="139"/>
      <c r="Y1251" s="3">
        <f t="shared" si="96"/>
        <v>1242</v>
      </c>
      <c r="AA1251" s="7"/>
      <c r="AC1251" s="7" t="str">
        <f t="shared" si="90"/>
        <v/>
      </c>
      <c r="AE1251" s="42" t="str">
        <f t="shared" si="91"/>
        <v/>
      </c>
      <c r="AG1251" s="162"/>
      <c r="AH1251" s="10"/>
      <c r="AI1251" s="10" t="s">
        <v>554</v>
      </c>
      <c r="AJ1251" s="10"/>
    </row>
    <row r="1252" spans="1:36">
      <c r="A1252" s="136"/>
      <c r="B1252" s="47"/>
      <c r="C1252" s="47" t="s">
        <v>555</v>
      </c>
      <c r="D1252" s="47"/>
      <c r="E1252" s="7">
        <f>+G1252-Adjustments!G1250</f>
        <v>0</v>
      </c>
      <c r="F1252" s="7">
        <v>0</v>
      </c>
      <c r="G1252" s="7">
        <v>0</v>
      </c>
      <c r="H1252" s="7">
        <v>0</v>
      </c>
      <c r="I1252" s="7">
        <v>0</v>
      </c>
      <c r="J1252" s="7">
        <f>+I1252-'ROR-Model'!I1252</f>
        <v>0</v>
      </c>
      <c r="K1252" s="7"/>
      <c r="L1252" s="7"/>
      <c r="M1252" s="7">
        <v>0</v>
      </c>
      <c r="N1252" s="7">
        <f t="shared" si="97"/>
        <v>0</v>
      </c>
      <c r="O1252" s="120"/>
      <c r="P1252" s="126"/>
      <c r="Q1252" s="7"/>
      <c r="R1252" s="7"/>
      <c r="S1252" s="126"/>
      <c r="T1252" s="7"/>
      <c r="U1252" s="7"/>
      <c r="V1252" s="124"/>
      <c r="W1252" s="7"/>
      <c r="X1252" s="139"/>
      <c r="Y1252" s="3">
        <f t="shared" si="96"/>
        <v>1243</v>
      </c>
      <c r="AA1252" s="7"/>
      <c r="AC1252" s="7" t="str">
        <f t="shared" si="90"/>
        <v/>
      </c>
      <c r="AE1252" s="42" t="str">
        <f t="shared" si="91"/>
        <v/>
      </c>
      <c r="AG1252" s="162"/>
      <c r="AH1252" s="10"/>
      <c r="AI1252" s="10" t="s">
        <v>555</v>
      </c>
      <c r="AJ1252" s="10"/>
    </row>
    <row r="1253" spans="1:36">
      <c r="A1253" s="136"/>
      <c r="B1253" s="47"/>
      <c r="C1253" s="47" t="s">
        <v>261</v>
      </c>
      <c r="D1253" s="47"/>
      <c r="E1253" s="7">
        <f>+G1253-Adjustments!G1251</f>
        <v>610647.1224735392</v>
      </c>
      <c r="F1253" s="7">
        <f>F946</f>
        <v>0</v>
      </c>
      <c r="G1253" s="7">
        <f>G946</f>
        <v>0</v>
      </c>
      <c r="H1253" s="7">
        <f>H946</f>
        <v>0</v>
      </c>
      <c r="I1253" s="7">
        <f>I946</f>
        <v>0</v>
      </c>
      <c r="J1253" s="7">
        <f>+I1253-'ROR-Model'!I1253</f>
        <v>0</v>
      </c>
      <c r="K1253" s="7"/>
      <c r="L1253" s="7"/>
      <c r="M1253" s="7">
        <f>M946</f>
        <v>0</v>
      </c>
      <c r="N1253" s="7">
        <f t="shared" si="97"/>
        <v>0</v>
      </c>
      <c r="O1253" s="120"/>
      <c r="P1253" s="126"/>
      <c r="Q1253" s="7"/>
      <c r="R1253" s="7"/>
      <c r="S1253" s="126"/>
      <c r="T1253" s="7"/>
      <c r="U1253" s="7"/>
      <c r="V1253" s="124"/>
      <c r="W1253" s="7"/>
      <c r="X1253" s="139"/>
      <c r="Y1253" s="3">
        <f t="shared" si="96"/>
        <v>1244</v>
      </c>
      <c r="AA1253" s="7"/>
      <c r="AC1253" s="7" t="str">
        <f t="shared" si="90"/>
        <v/>
      </c>
      <c r="AE1253" s="42" t="str">
        <f t="shared" si="91"/>
        <v/>
      </c>
      <c r="AG1253" s="162"/>
      <c r="AH1253" s="10"/>
      <c r="AI1253" s="10" t="s">
        <v>261</v>
      </c>
      <c r="AJ1253" s="10"/>
    </row>
    <row r="1254" spans="1:36">
      <c r="A1254" s="136"/>
      <c r="B1254" s="47"/>
      <c r="C1254" s="47" t="s">
        <v>262</v>
      </c>
      <c r="D1254" s="47"/>
      <c r="E1254" s="7">
        <f>+G1254-Adjustments!G1252</f>
        <v>0</v>
      </c>
      <c r="F1254" s="7">
        <f>F948</f>
        <v>0</v>
      </c>
      <c r="G1254" s="7">
        <f>G948</f>
        <v>0</v>
      </c>
      <c r="H1254" s="7">
        <f>H948</f>
        <v>0</v>
      </c>
      <c r="I1254" s="7">
        <f>I948</f>
        <v>0</v>
      </c>
      <c r="J1254" s="7">
        <f>+I1254-'ROR-Model'!I1254</f>
        <v>0</v>
      </c>
      <c r="K1254" s="7"/>
      <c r="L1254" s="7"/>
      <c r="M1254" s="7">
        <f>M948</f>
        <v>0</v>
      </c>
      <c r="N1254" s="7">
        <f t="shared" si="97"/>
        <v>0</v>
      </c>
      <c r="O1254" s="120"/>
      <c r="P1254" s="126"/>
      <c r="Q1254" s="7"/>
      <c r="R1254" s="7"/>
      <c r="S1254" s="126"/>
      <c r="T1254" s="7"/>
      <c r="U1254" s="7"/>
      <c r="V1254" s="124"/>
      <c r="W1254" s="7"/>
      <c r="X1254" s="139"/>
      <c r="Y1254" s="3">
        <f t="shared" si="96"/>
        <v>1245</v>
      </c>
      <c r="AA1254" s="7"/>
      <c r="AC1254" s="7" t="str">
        <f t="shared" si="90"/>
        <v/>
      </c>
      <c r="AE1254" s="42" t="str">
        <f t="shared" si="91"/>
        <v/>
      </c>
      <c r="AG1254" s="162"/>
      <c r="AH1254" s="10"/>
      <c r="AI1254" s="10" t="s">
        <v>262</v>
      </c>
      <c r="AJ1254" s="10"/>
    </row>
    <row r="1255" spans="1:36" ht="13.5" thickBot="1">
      <c r="A1255" s="136"/>
      <c r="B1255" s="47"/>
      <c r="C1255" s="47"/>
      <c r="D1255" s="47"/>
      <c r="E1255" s="154">
        <f>+G1255-Adjustments!G1253</f>
        <v>0</v>
      </c>
      <c r="F1255" s="154"/>
      <c r="G1255" s="154"/>
      <c r="H1255" s="154"/>
      <c r="I1255" s="154"/>
      <c r="J1255" s="7">
        <f>+I1255-'ROR-Model'!I1255</f>
        <v>0</v>
      </c>
      <c r="K1255" s="7"/>
      <c r="L1255" s="154"/>
      <c r="M1255" s="154"/>
      <c r="N1255" s="154"/>
      <c r="O1255" s="120"/>
      <c r="P1255" s="204"/>
      <c r="Q1255" s="154"/>
      <c r="R1255" s="154"/>
      <c r="S1255" s="204"/>
      <c r="T1255" s="154"/>
      <c r="U1255" s="154"/>
      <c r="V1255" s="124"/>
      <c r="W1255" s="154"/>
      <c r="X1255" s="139"/>
      <c r="Y1255" s="3">
        <f t="shared" si="96"/>
        <v>1246</v>
      </c>
      <c r="AA1255" s="154"/>
      <c r="AC1255" s="154" t="str">
        <f t="shared" si="90"/>
        <v/>
      </c>
      <c r="AE1255" s="42" t="str">
        <f t="shared" si="91"/>
        <v/>
      </c>
      <c r="AG1255" s="162"/>
      <c r="AH1255" s="10"/>
      <c r="AI1255" s="10"/>
      <c r="AJ1255" s="10"/>
    </row>
    <row r="1256" spans="1:36">
      <c r="A1256" s="136"/>
      <c r="B1256" s="47"/>
      <c r="C1256" s="53" t="s">
        <v>436</v>
      </c>
      <c r="D1256" s="47"/>
      <c r="E1256" s="7">
        <f>+G1256-Adjustments!G1254</f>
        <v>-20760517.004083294</v>
      </c>
      <c r="F1256" s="7">
        <f>SUM(F1246:F1254)</f>
        <v>1299228635.0155568</v>
      </c>
      <c r="G1256" s="7">
        <f>SUM(G1246:G1254)</f>
        <v>-20760517.004083294</v>
      </c>
      <c r="H1256" s="7">
        <f>SUM(H1246:H1254)</f>
        <v>5679930.2182409316</v>
      </c>
      <c r="I1256" s="7">
        <f>SUM(I1246:I1254)</f>
        <v>1284148048.2297144</v>
      </c>
      <c r="J1256" s="7">
        <f>+I1256-'ROR-Model'!I1256</f>
        <v>0</v>
      </c>
      <c r="K1256" s="7"/>
      <c r="L1256" s="7"/>
      <c r="M1256" s="7">
        <f>SUM(M1246:M1254)</f>
        <v>1258564277.4619474</v>
      </c>
      <c r="N1256" s="7">
        <f>SUM(N1246:N1254)</f>
        <v>1097721.4803654104</v>
      </c>
      <c r="O1256" s="120"/>
      <c r="P1256" s="126"/>
      <c r="Q1256" s="7"/>
      <c r="R1256" s="7"/>
      <c r="S1256" s="126"/>
      <c r="T1256" s="7"/>
      <c r="U1256" s="7"/>
      <c r="V1256" s="124"/>
      <c r="W1256" s="7"/>
      <c r="X1256" s="139"/>
      <c r="Y1256" s="3">
        <f t="shared" si="96"/>
        <v>1247</v>
      </c>
      <c r="AA1256" s="7"/>
      <c r="AC1256" s="7" t="str">
        <f t="shared" si="90"/>
        <v/>
      </c>
      <c r="AE1256" s="42" t="str">
        <f t="shared" si="91"/>
        <v/>
      </c>
      <c r="AG1256" s="162"/>
      <c r="AH1256" s="10"/>
      <c r="AI1256" s="10" t="s">
        <v>436</v>
      </c>
      <c r="AJ1256" s="10"/>
    </row>
    <row r="1257" spans="1:36">
      <c r="A1257" s="136"/>
      <c r="B1257" s="47"/>
      <c r="C1257" s="53"/>
      <c r="D1257" s="47"/>
      <c r="E1257" s="7">
        <f>+G1257-Adjustments!G1255</f>
        <v>0</v>
      </c>
      <c r="F1257" s="7"/>
      <c r="G1257" s="7"/>
      <c r="H1257" s="7"/>
      <c r="I1257" s="7"/>
      <c r="J1257" s="7">
        <f>+I1257-'ROR-Model'!I1257</f>
        <v>0</v>
      </c>
      <c r="K1257" s="7"/>
      <c r="L1257" s="7"/>
      <c r="M1257" s="7"/>
      <c r="N1257" s="7"/>
      <c r="O1257" s="120"/>
      <c r="P1257" s="126"/>
      <c r="Q1257" s="7"/>
      <c r="R1257" s="7"/>
      <c r="S1257" s="126"/>
      <c r="T1257" s="7"/>
      <c r="U1257" s="7"/>
      <c r="V1257" s="124"/>
      <c r="W1257" s="7"/>
      <c r="X1257" s="139"/>
      <c r="Y1257" s="3">
        <f t="shared" si="96"/>
        <v>1248</v>
      </c>
      <c r="AA1257" s="7"/>
      <c r="AC1257" s="7" t="str">
        <f t="shared" si="90"/>
        <v/>
      </c>
      <c r="AE1257" s="42" t="str">
        <f t="shared" si="91"/>
        <v/>
      </c>
      <c r="AG1257" s="162"/>
      <c r="AH1257" s="10"/>
      <c r="AI1257" s="10"/>
      <c r="AJ1257" s="10"/>
    </row>
    <row r="1258" spans="1:36">
      <c r="A1258" s="136"/>
      <c r="B1258" s="47"/>
      <c r="C1258" s="53" t="s">
        <v>616</v>
      </c>
      <c r="D1258" s="47"/>
      <c r="E1258" s="7">
        <f>+G1258-Adjustments!G1256</f>
        <v>-56878.128778310398</v>
      </c>
      <c r="F1258" s="7">
        <f>+F1256/365</f>
        <v>3559530.5068919365</v>
      </c>
      <c r="G1258" s="7">
        <f>+G1256/365</f>
        <v>-56878.128778310398</v>
      </c>
      <c r="H1258" s="7">
        <f>+H1256/365</f>
        <v>15561.452652714881</v>
      </c>
      <c r="I1258" s="7">
        <f>+I1256/365</f>
        <v>3518213.8307663407</v>
      </c>
      <c r="J1258" s="7">
        <f>+I1258-'ROR-Model'!I1258</f>
        <v>0</v>
      </c>
      <c r="K1258" s="7"/>
      <c r="L1258" s="7"/>
      <c r="M1258" s="7">
        <f>+M1256/365</f>
        <v>3448121.3081149245</v>
      </c>
      <c r="N1258" s="7">
        <f>+N1256/365</f>
        <v>3007.4561105901657</v>
      </c>
      <c r="O1258" s="120"/>
      <c r="P1258" s="126"/>
      <c r="Q1258" s="7"/>
      <c r="R1258" s="7"/>
      <c r="S1258" s="126"/>
      <c r="T1258" s="7"/>
      <c r="U1258" s="7"/>
      <c r="V1258" s="124"/>
      <c r="W1258" s="7"/>
      <c r="X1258" s="139"/>
      <c r="Y1258" s="3">
        <f t="shared" si="96"/>
        <v>1249</v>
      </c>
      <c r="AA1258" s="7"/>
      <c r="AC1258" s="7" t="str">
        <f t="shared" si="90"/>
        <v/>
      </c>
      <c r="AE1258" s="42" t="str">
        <f t="shared" si="91"/>
        <v/>
      </c>
      <c r="AG1258" s="162"/>
      <c r="AH1258" s="10"/>
      <c r="AI1258" s="10" t="s">
        <v>616</v>
      </c>
      <c r="AJ1258" s="10"/>
    </row>
    <row r="1259" spans="1:36">
      <c r="A1259" s="136"/>
      <c r="B1259" s="47"/>
      <c r="C1259" s="47"/>
      <c r="D1259" s="47"/>
      <c r="E1259" s="7">
        <f>+G1259-Adjustments!G1257</f>
        <v>0</v>
      </c>
      <c r="F1259" s="7"/>
      <c r="G1259" s="7"/>
      <c r="H1259" s="7"/>
      <c r="I1259" s="7"/>
      <c r="J1259" s="7">
        <f>+I1259-'ROR-Model'!I1259</f>
        <v>0</v>
      </c>
      <c r="K1259" s="7"/>
      <c r="L1259" s="7"/>
      <c r="M1259" s="7"/>
      <c r="N1259" s="7"/>
      <c r="O1259" s="120"/>
      <c r="P1259" s="126"/>
      <c r="Q1259" s="7"/>
      <c r="R1259" s="7"/>
      <c r="S1259" s="126"/>
      <c r="T1259" s="7"/>
      <c r="U1259" s="7"/>
      <c r="V1259" s="124"/>
      <c r="W1259" s="7"/>
      <c r="X1259" s="139"/>
      <c r="Y1259" s="3">
        <f t="shared" si="96"/>
        <v>1250</v>
      </c>
      <c r="AA1259" s="7"/>
      <c r="AC1259" s="7" t="str">
        <f t="shared" si="90"/>
        <v/>
      </c>
      <c r="AE1259" s="42" t="str">
        <f t="shared" si="91"/>
        <v/>
      </c>
      <c r="AG1259" s="162"/>
      <c r="AH1259" s="10"/>
      <c r="AI1259" s="10"/>
      <c r="AJ1259" s="10"/>
    </row>
    <row r="1260" spans="1:36">
      <c r="A1260" s="136"/>
      <c r="B1260" s="53" t="s">
        <v>442</v>
      </c>
      <c r="C1260" s="47"/>
      <c r="D1260" s="47"/>
      <c r="E1260" s="212">
        <f>+G1260-Adjustments!G1258</f>
        <v>8.35</v>
      </c>
      <c r="F1260" s="212">
        <f>+'Control Panel'!$F$21</f>
        <v>8.35</v>
      </c>
      <c r="G1260" s="212">
        <f>+'Control Panel'!$F$21</f>
        <v>8.35</v>
      </c>
      <c r="H1260" s="212">
        <f>+'Control Panel'!$F$21</f>
        <v>8.35</v>
      </c>
      <c r="I1260" s="212">
        <f>+'Control Panel'!$F$21</f>
        <v>8.35</v>
      </c>
      <c r="J1260" s="7">
        <f>+I1260-'ROR-Model'!I1260</f>
        <v>0</v>
      </c>
      <c r="K1260" s="180"/>
      <c r="L1260" s="180"/>
      <c r="M1260" s="212">
        <f>+'Control Panel'!$F$21</f>
        <v>8.35</v>
      </c>
      <c r="N1260" s="212">
        <f>+'Control Panel'!$F$21</f>
        <v>8.35</v>
      </c>
      <c r="O1260" s="125"/>
      <c r="P1260" s="213"/>
      <c r="Q1260" s="180"/>
      <c r="R1260" s="180"/>
      <c r="S1260" s="213"/>
      <c r="T1260" s="180"/>
      <c r="U1260" s="180"/>
      <c r="V1260" s="124"/>
      <c r="W1260" s="180"/>
      <c r="X1260" s="139"/>
      <c r="Y1260" s="3">
        <f t="shared" si="96"/>
        <v>1251</v>
      </c>
      <c r="AA1260" s="180"/>
      <c r="AC1260" s="180" t="str">
        <f t="shared" si="90"/>
        <v/>
      </c>
      <c r="AE1260" s="42" t="str">
        <f t="shared" si="91"/>
        <v/>
      </c>
      <c r="AG1260" s="162"/>
      <c r="AH1260" s="10" t="s">
        <v>442</v>
      </c>
      <c r="AI1260" s="10"/>
      <c r="AJ1260" s="10"/>
    </row>
    <row r="1261" spans="1:36" ht="13.5" thickBot="1">
      <c r="A1261" s="136"/>
      <c r="B1261" s="47"/>
      <c r="C1261" s="47"/>
      <c r="D1261" s="47"/>
      <c r="E1261" s="24">
        <f>+G1261-Adjustments!G1259</f>
        <v>0</v>
      </c>
      <c r="F1261" s="24"/>
      <c r="G1261" s="24"/>
      <c r="H1261" s="24"/>
      <c r="I1261" s="24"/>
      <c r="J1261" s="7">
        <f>+I1261-'ROR-Model'!I1261</f>
        <v>0</v>
      </c>
      <c r="K1261" s="7"/>
      <c r="L1261" s="24"/>
      <c r="M1261" s="24"/>
      <c r="N1261" s="24"/>
      <c r="O1261" s="120"/>
      <c r="P1261" s="202"/>
      <c r="Q1261" s="24"/>
      <c r="R1261" s="24"/>
      <c r="S1261" s="202"/>
      <c r="T1261" s="24"/>
      <c r="U1261" s="24"/>
      <c r="V1261" s="124"/>
      <c r="W1261" s="24"/>
      <c r="X1261" s="139"/>
      <c r="Y1261" s="3">
        <f t="shared" si="96"/>
        <v>1252</v>
      </c>
      <c r="AA1261" s="24"/>
      <c r="AC1261" s="24" t="str">
        <f t="shared" si="90"/>
        <v/>
      </c>
      <c r="AE1261" s="42" t="str">
        <f t="shared" si="91"/>
        <v/>
      </c>
      <c r="AG1261" s="162"/>
      <c r="AH1261" s="10"/>
      <c r="AI1261" s="10"/>
      <c r="AJ1261" s="10"/>
    </row>
    <row r="1262" spans="1:36" ht="13.5" thickTop="1">
      <c r="A1262" s="136"/>
      <c r="B1262" s="47"/>
      <c r="C1262" s="47"/>
      <c r="D1262" s="47"/>
      <c r="E1262" s="7">
        <f>+G1262-Adjustments!G1260</f>
        <v>0</v>
      </c>
      <c r="F1262" s="7"/>
      <c r="G1262" s="7"/>
      <c r="H1262" s="7"/>
      <c r="I1262" s="7"/>
      <c r="J1262" s="7">
        <f>+I1262-'ROR-Model'!I1262</f>
        <v>0</v>
      </c>
      <c r="K1262" s="7"/>
      <c r="L1262" s="7"/>
      <c r="M1262" s="7"/>
      <c r="N1262" s="7"/>
      <c r="O1262" s="120"/>
      <c r="P1262" s="126"/>
      <c r="Q1262" s="7"/>
      <c r="R1262" s="7"/>
      <c r="S1262" s="126"/>
      <c r="T1262" s="7"/>
      <c r="U1262" s="7"/>
      <c r="V1262" s="124"/>
      <c r="W1262" s="7"/>
      <c r="X1262" s="139"/>
      <c r="Y1262" s="3">
        <f t="shared" si="96"/>
        <v>1253</v>
      </c>
      <c r="AA1262" s="7"/>
      <c r="AC1262" s="7" t="str">
        <f t="shared" si="90"/>
        <v/>
      </c>
      <c r="AE1262" s="42" t="str">
        <f t="shared" si="91"/>
        <v/>
      </c>
      <c r="AG1262" s="162"/>
      <c r="AH1262" s="10"/>
      <c r="AI1262" s="10"/>
      <c r="AJ1262" s="10"/>
    </row>
    <row r="1263" spans="1:36">
      <c r="A1263" s="136"/>
      <c r="B1263" s="141" t="s">
        <v>635</v>
      </c>
      <c r="C1263" s="47"/>
      <c r="D1263" s="47"/>
      <c r="E1263" s="7">
        <f>+G1263-Adjustments!G1261</f>
        <v>-474932.37529889186</v>
      </c>
      <c r="F1263" s="7">
        <f>F1258*F1260</f>
        <v>29722079.732547671</v>
      </c>
      <c r="G1263" s="7">
        <f>+Adjustments!V1241</f>
        <v>-474932.37529889186</v>
      </c>
      <c r="H1263" s="7">
        <f>+H1258*H1260</f>
        <v>129938.12965016926</v>
      </c>
      <c r="I1263" s="7">
        <f>+I1258*I1260</f>
        <v>29377085.486898944</v>
      </c>
      <c r="J1263" s="7">
        <f>+I1263-'ROR-Model'!I1263</f>
        <v>0</v>
      </c>
      <c r="K1263" s="7"/>
      <c r="L1263" s="7"/>
      <c r="M1263" s="7">
        <f>+M1258*M1260</f>
        <v>28791812.922759619</v>
      </c>
      <c r="N1263" s="7">
        <f>+N1258*N1260</f>
        <v>25112.258523427881</v>
      </c>
      <c r="O1263" s="120"/>
      <c r="P1263" s="192" t="s">
        <v>510</v>
      </c>
      <c r="Q1263" s="7">
        <f>IF(P1263="G",M1263,IF(P1263="PT",0,ERR))</f>
        <v>28791812.922759619</v>
      </c>
      <c r="R1263" s="7">
        <f>IF(P1263="PT",M1263,IF(P1263="G",0,ERR))</f>
        <v>0</v>
      </c>
      <c r="S1263" s="126" t="s">
        <v>510</v>
      </c>
      <c r="T1263" s="7">
        <f>IF(S1263="G",N1263,IF(S1263="PT",0,ERR))</f>
        <v>25112.258523427881</v>
      </c>
      <c r="U1263" s="7">
        <f>IF(S1263="PT",N1263,IF(S1263="G",0,ERR))</f>
        <v>0</v>
      </c>
      <c r="V1263" s="124"/>
      <c r="W1263" s="7">
        <f>HLOOKUP($W$9,'ROR-Model'!$Q$10:$U$1273,Y1263)</f>
        <v>28791812.922759619</v>
      </c>
      <c r="X1263" s="139"/>
      <c r="Y1263" s="3">
        <f t="shared" si="96"/>
        <v>1254</v>
      </c>
      <c r="AA1263" s="7">
        <v>1886599.3215305672</v>
      </c>
      <c r="AC1263" s="7">
        <f t="shared" si="90"/>
        <v>26905213.601229053</v>
      </c>
      <c r="AE1263" s="42">
        <f t="shared" si="91"/>
        <v>14.261222981571567</v>
      </c>
      <c r="AG1263" s="162"/>
      <c r="AH1263" t="s">
        <v>635</v>
      </c>
      <c r="AI1263" s="10"/>
      <c r="AJ1263" s="10"/>
    </row>
    <row r="1264" spans="1:36" ht="13.5" thickBot="1">
      <c r="A1264" s="136"/>
      <c r="B1264" s="47"/>
      <c r="C1264" s="47"/>
      <c r="D1264" s="47"/>
      <c r="E1264" s="24">
        <f>+G1264-Adjustments!G1262</f>
        <v>-474932.3752988918</v>
      </c>
      <c r="F1264" s="24"/>
      <c r="G1264" s="24">
        <f>G1260*G1258</f>
        <v>-474932.3752988918</v>
      </c>
      <c r="H1264" s="24"/>
      <c r="I1264" s="24"/>
      <c r="J1264" s="7">
        <f>+I1264-'ROR-Model'!I1264</f>
        <v>0</v>
      </c>
      <c r="K1264" s="7"/>
      <c r="L1264" s="24"/>
      <c r="M1264" s="24"/>
      <c r="N1264" s="24"/>
      <c r="O1264" s="120"/>
      <c r="P1264" s="202"/>
      <c r="Q1264" s="24"/>
      <c r="R1264" s="24"/>
      <c r="S1264" s="202"/>
      <c r="T1264" s="24"/>
      <c r="U1264" s="24"/>
      <c r="V1264" s="124"/>
      <c r="W1264" s="24"/>
      <c r="X1264" s="139"/>
      <c r="Y1264" s="3">
        <f t="shared" si="96"/>
        <v>1255</v>
      </c>
      <c r="AA1264" s="24"/>
      <c r="AC1264" s="24" t="str">
        <f t="shared" si="90"/>
        <v/>
      </c>
      <c r="AE1264" s="42" t="str">
        <f t="shared" si="91"/>
        <v/>
      </c>
      <c r="AG1264" s="162"/>
      <c r="AH1264" s="10"/>
      <c r="AI1264" s="10"/>
      <c r="AJ1264" s="10"/>
    </row>
    <row r="1265" spans="1:36" ht="13.5" thickTop="1">
      <c r="A1265" s="136"/>
      <c r="B1265" s="47"/>
      <c r="C1265" s="47"/>
      <c r="D1265" s="47"/>
      <c r="E1265" s="7">
        <f>+G1265-Adjustments!G1263</f>
        <v>0</v>
      </c>
      <c r="F1265" s="7"/>
      <c r="G1265" s="7"/>
      <c r="H1265" s="7"/>
      <c r="I1265" s="7"/>
      <c r="J1265" s="7">
        <f>+I1265-'ROR-Model'!I1265</f>
        <v>0</v>
      </c>
      <c r="K1265" s="7"/>
      <c r="L1265" s="7"/>
      <c r="M1265" s="7"/>
      <c r="N1265" s="7"/>
      <c r="O1265" s="120"/>
      <c r="P1265" s="126"/>
      <c r="Q1265" s="7"/>
      <c r="R1265" s="7"/>
      <c r="S1265" s="126"/>
      <c r="T1265" s="7"/>
      <c r="U1265" s="7"/>
      <c r="V1265" s="124"/>
      <c r="W1265" s="7"/>
      <c r="X1265" s="139"/>
      <c r="Y1265" s="3">
        <f t="shared" si="96"/>
        <v>1256</v>
      </c>
      <c r="AA1265" s="7"/>
      <c r="AC1265" s="7" t="str">
        <f t="shared" si="90"/>
        <v/>
      </c>
      <c r="AE1265" s="42" t="str">
        <f t="shared" si="91"/>
        <v/>
      </c>
      <c r="AG1265" s="162"/>
      <c r="AH1265" s="10"/>
      <c r="AI1265" s="10"/>
      <c r="AJ1265" s="10"/>
    </row>
    <row r="1266" spans="1:36">
      <c r="A1266" s="209" t="s">
        <v>738</v>
      </c>
      <c r="B1266" s="47"/>
      <c r="C1266" s="47"/>
      <c r="D1266" s="47"/>
      <c r="E1266" s="7">
        <f>+G1266-Adjustments!G1264</f>
        <v>0</v>
      </c>
      <c r="F1266" s="7"/>
      <c r="G1266" s="7"/>
      <c r="H1266" s="7"/>
      <c r="I1266" s="7"/>
      <c r="J1266" s="7">
        <f>+I1266-'ROR-Model'!I1266</f>
        <v>0</v>
      </c>
      <c r="K1266" s="7"/>
      <c r="L1266" s="7"/>
      <c r="M1266" s="7"/>
      <c r="N1266" s="7"/>
      <c r="O1266" s="120"/>
      <c r="P1266" s="126"/>
      <c r="Q1266" s="7"/>
      <c r="R1266" s="7"/>
      <c r="S1266" s="126"/>
      <c r="T1266" s="7"/>
      <c r="U1266" s="7"/>
      <c r="V1266" s="124"/>
      <c r="W1266" s="7"/>
      <c r="X1266" s="139"/>
      <c r="Y1266" s="3">
        <f t="shared" si="96"/>
        <v>1257</v>
      </c>
      <c r="AA1266" s="7"/>
      <c r="AC1266" s="7" t="str">
        <f t="shared" si="90"/>
        <v/>
      </c>
      <c r="AE1266" s="42" t="str">
        <f t="shared" si="91"/>
        <v/>
      </c>
      <c r="AG1266" s="162" t="s">
        <v>738</v>
      </c>
      <c r="AH1266" s="10"/>
      <c r="AI1266" s="10"/>
      <c r="AJ1266" s="10"/>
    </row>
    <row r="1267" spans="1:36">
      <c r="A1267" s="116"/>
      <c r="B1267" s="47" t="s">
        <v>399</v>
      </c>
      <c r="C1267" s="47"/>
      <c r="D1267" s="47"/>
      <c r="E1267" s="7">
        <f>+G1267-Adjustments!G1265</f>
        <v>-10109359.293995569</v>
      </c>
      <c r="F1267" s="7">
        <f t="shared" ref="F1267:I1269" si="98">F1235</f>
        <v>-27563399.539999995</v>
      </c>
      <c r="G1267" s="7">
        <f t="shared" si="98"/>
        <v>-10109359.293995569</v>
      </c>
      <c r="H1267" s="7">
        <f t="shared" si="98"/>
        <v>0</v>
      </c>
      <c r="I1267" s="7">
        <f>I1235</f>
        <v>-37672758.833995573</v>
      </c>
      <c r="J1267" s="7">
        <f>+I1267-'ROR-Model'!I1267</f>
        <v>0</v>
      </c>
      <c r="K1267" s="7"/>
      <c r="L1267" s="7"/>
      <c r="M1267" s="7">
        <f t="shared" ref="M1267:N1269" si="99">M1235</f>
        <v>-36462221.794825025</v>
      </c>
      <c r="N1267" s="7">
        <f t="shared" si="99"/>
        <v>-1210537.0391705399</v>
      </c>
      <c r="O1267" s="120"/>
      <c r="P1267" s="192"/>
      <c r="Q1267" s="7">
        <f t="shared" ref="Q1267:R1269" si="100">Q1235</f>
        <v>-36462221.794825025</v>
      </c>
      <c r="R1267" s="7">
        <f t="shared" si="100"/>
        <v>0</v>
      </c>
      <c r="S1267" s="126"/>
      <c r="T1267" s="7">
        <f t="shared" ref="T1267:U1269" si="101">T1235</f>
        <v>0</v>
      </c>
      <c r="U1267" s="7">
        <f t="shared" si="101"/>
        <v>-1210537.0391705399</v>
      </c>
      <c r="V1267" s="124"/>
      <c r="W1267" s="7">
        <f>HLOOKUP($W$9,'ROR-Model'!$Q$10:$U$1273,Y1267)</f>
        <v>-36462221.794825025</v>
      </c>
      <c r="X1267" s="139"/>
      <c r="Y1267" s="3">
        <f t="shared" si="96"/>
        <v>1258</v>
      </c>
      <c r="AA1267" s="7">
        <v>477720.95872201771</v>
      </c>
      <c r="AC1267" s="7">
        <f t="shared" si="90"/>
        <v>-36939942.753547043</v>
      </c>
      <c r="AE1267" s="42">
        <f t="shared" si="91"/>
        <v>-77.325355061598046</v>
      </c>
      <c r="AG1267" s="162"/>
      <c r="AH1267" s="10" t="s">
        <v>399</v>
      </c>
      <c r="AI1267" s="10"/>
      <c r="AJ1267" s="10"/>
    </row>
    <row r="1268" spans="1:36">
      <c r="A1268" s="116"/>
      <c r="B1268" s="47" t="s">
        <v>542</v>
      </c>
      <c r="C1268" s="47"/>
      <c r="D1268" s="47"/>
      <c r="E1268" s="7">
        <f>+G1268-Adjustments!G1266</f>
        <v>244597.92135978583</v>
      </c>
      <c r="F1268" s="7">
        <f>F1236</f>
        <v>60104096.046787262</v>
      </c>
      <c r="G1268" s="7">
        <f t="shared" si="98"/>
        <v>244597.92135978583</v>
      </c>
      <c r="H1268" s="7">
        <f t="shared" si="98"/>
        <v>0</v>
      </c>
      <c r="I1268" s="7">
        <f t="shared" si="98"/>
        <v>60348693.968147047</v>
      </c>
      <c r="J1268" s="7">
        <f>+I1268-'ROR-Model'!I1268</f>
        <v>0</v>
      </c>
      <c r="K1268" s="7"/>
      <c r="L1268" s="7"/>
      <c r="M1268" s="7">
        <f t="shared" si="99"/>
        <v>0</v>
      </c>
      <c r="N1268" s="7">
        <f t="shared" si="99"/>
        <v>60348693.968147047</v>
      </c>
      <c r="O1268" s="120"/>
      <c r="P1268" s="192"/>
      <c r="Q1268" s="7">
        <f t="shared" si="100"/>
        <v>0</v>
      </c>
      <c r="R1268" s="7">
        <f t="shared" si="100"/>
        <v>0</v>
      </c>
      <c r="S1268" s="126"/>
      <c r="T1268" s="7">
        <f t="shared" si="101"/>
        <v>60348693.968147047</v>
      </c>
      <c r="U1268" s="7">
        <f t="shared" si="101"/>
        <v>0</v>
      </c>
      <c r="V1268" s="124"/>
      <c r="W1268" s="7">
        <f>HLOOKUP($W$9,'ROR-Model'!$Q$10:$U$1273,Y1268)</f>
        <v>0</v>
      </c>
      <c r="X1268" s="139"/>
      <c r="Y1268" s="3">
        <f t="shared" si="96"/>
        <v>1259</v>
      </c>
      <c r="AA1268" s="7">
        <v>0</v>
      </c>
      <c r="AC1268" s="7" t="str">
        <f t="shared" si="90"/>
        <v/>
      </c>
      <c r="AE1268" s="42" t="str">
        <f t="shared" si="91"/>
        <v/>
      </c>
      <c r="AG1268" s="162"/>
      <c r="AH1268" s="10" t="s">
        <v>542</v>
      </c>
      <c r="AI1268" s="10"/>
      <c r="AJ1268" s="10"/>
    </row>
    <row r="1269" spans="1:36">
      <c r="A1269" s="116"/>
      <c r="B1269" s="47" t="s">
        <v>543</v>
      </c>
      <c r="C1269" s="47"/>
      <c r="D1269" s="47"/>
      <c r="E1269" s="7">
        <f>+G1269-Adjustments!G1267</f>
        <v>-172333683.56622273</v>
      </c>
      <c r="F1269" s="7">
        <f t="shared" si="98"/>
        <v>2575825965.5727854</v>
      </c>
      <c r="G1269" s="7">
        <f t="shared" si="98"/>
        <v>-172333683.56622273</v>
      </c>
      <c r="H1269" s="7">
        <f t="shared" si="98"/>
        <v>0</v>
      </c>
      <c r="I1269" s="7">
        <f t="shared" si="98"/>
        <v>2403492282.0065627</v>
      </c>
      <c r="J1269" s="7">
        <f>+I1269-'ROR-Model'!I1269</f>
        <v>0</v>
      </c>
      <c r="K1269" s="7"/>
      <c r="L1269" s="7"/>
      <c r="M1269" s="7">
        <f t="shared" si="99"/>
        <v>2403492282.0065622</v>
      </c>
      <c r="N1269" s="7">
        <f t="shared" si="99"/>
        <v>0</v>
      </c>
      <c r="O1269" s="120"/>
      <c r="P1269" s="192"/>
      <c r="Q1269" s="7">
        <f t="shared" si="100"/>
        <v>2403492282.0065622</v>
      </c>
      <c r="R1269" s="7">
        <f t="shared" si="100"/>
        <v>0</v>
      </c>
      <c r="S1269" s="126"/>
      <c r="T1269" s="7">
        <f t="shared" si="101"/>
        <v>0</v>
      </c>
      <c r="U1269" s="7">
        <f t="shared" si="101"/>
        <v>0</v>
      </c>
      <c r="V1269" s="124"/>
      <c r="W1269" s="7">
        <f>HLOOKUP($W$9,'ROR-Model'!$Q$10:$U$1273,Y1269)</f>
        <v>2403492282.0065622</v>
      </c>
      <c r="X1269" s="139"/>
      <c r="Y1269" s="3">
        <f t="shared" si="96"/>
        <v>1260</v>
      </c>
      <c r="AA1269" s="7">
        <v>1503726897.0100195</v>
      </c>
      <c r="AC1269" s="7">
        <f t="shared" si="90"/>
        <v>899765384.99654269</v>
      </c>
      <c r="AE1269" s="42">
        <f t="shared" si="91"/>
        <v>0.59835691360287446</v>
      </c>
      <c r="AG1269" s="162"/>
      <c r="AH1269" s="10" t="s">
        <v>543</v>
      </c>
      <c r="AI1269" s="10"/>
      <c r="AJ1269" s="10"/>
    </row>
    <row r="1270" spans="1:36">
      <c r="A1270" s="116"/>
      <c r="B1270" s="47" t="s">
        <v>544</v>
      </c>
      <c r="C1270" s="47"/>
      <c r="D1270" s="47"/>
      <c r="E1270" s="7">
        <f>+G1270-Adjustments!G1268</f>
        <v>-162542435.88767597</v>
      </c>
      <c r="F1270" s="7">
        <f>F1238+F1263</f>
        <v>188726957.73254764</v>
      </c>
      <c r="G1270" s="7">
        <f>G1238+G1263</f>
        <v>-162542435.88767597</v>
      </c>
      <c r="H1270" s="7">
        <f>H1238+H1263</f>
        <v>129938.12965016926</v>
      </c>
      <c r="I1270" s="7">
        <f>I1238+I1263</f>
        <v>26314459.974521846</v>
      </c>
      <c r="J1270" s="7">
        <f>+I1270-'ROR-Model'!I1270</f>
        <v>0</v>
      </c>
      <c r="K1270" s="7"/>
      <c r="L1270" s="7"/>
      <c r="M1270" s="7">
        <f>M1238+M1263</f>
        <v>15899606.40900946</v>
      </c>
      <c r="N1270" s="7">
        <f>N1238+N1263</f>
        <v>9854693.2598965541</v>
      </c>
      <c r="O1270" s="120"/>
      <c r="P1270" s="192"/>
      <c r="Q1270" s="7">
        <f>Q1238+Q1263</f>
        <v>15899606.40900946</v>
      </c>
      <c r="R1270" s="7">
        <f>R1238+R1263</f>
        <v>0</v>
      </c>
      <c r="S1270" s="126"/>
      <c r="T1270" s="7">
        <f>T1238+T1263</f>
        <v>9854693.2598965541</v>
      </c>
      <c r="U1270" s="7">
        <f>U1238+U1263</f>
        <v>0</v>
      </c>
      <c r="V1270" s="124"/>
      <c r="W1270" s="7">
        <f>HLOOKUP($W$9,'ROR-Model'!$Q$10:$U$1273,Y1270)</f>
        <v>15899606.40900946</v>
      </c>
      <c r="X1270" s="139"/>
      <c r="Y1270" s="3">
        <f t="shared" si="96"/>
        <v>1261</v>
      </c>
      <c r="AA1270" s="7">
        <v>-57746789.857678816</v>
      </c>
      <c r="AC1270" s="7">
        <f t="shared" si="90"/>
        <v>73646396.266688272</v>
      </c>
      <c r="AE1270" s="42">
        <f t="shared" si="91"/>
        <v>-1.2753331648078654</v>
      </c>
      <c r="AG1270" s="162"/>
      <c r="AH1270" s="10" t="s">
        <v>544</v>
      </c>
      <c r="AI1270" s="10"/>
      <c r="AJ1270" s="10"/>
    </row>
    <row r="1271" spans="1:36" ht="13.5" thickBot="1">
      <c r="A1271" s="116"/>
      <c r="B1271" s="47"/>
      <c r="C1271" s="47"/>
      <c r="D1271" s="47"/>
      <c r="E1271" s="24">
        <f>+G1271-Adjustments!G1269</f>
        <v>0</v>
      </c>
      <c r="F1271" s="24"/>
      <c r="G1271" s="24"/>
      <c r="H1271" s="24"/>
      <c r="I1271" s="24"/>
      <c r="J1271" s="7">
        <f>+I1271-'ROR-Model'!I1271</f>
        <v>0</v>
      </c>
      <c r="K1271" s="7"/>
      <c r="L1271" s="24"/>
      <c r="M1271" s="24"/>
      <c r="N1271" s="24"/>
      <c r="O1271" s="120"/>
      <c r="P1271" s="202"/>
      <c r="Q1271" s="24"/>
      <c r="R1271" s="24"/>
      <c r="S1271" s="202"/>
      <c r="T1271" s="24"/>
      <c r="U1271" s="24"/>
      <c r="V1271" s="124"/>
      <c r="W1271" s="24"/>
      <c r="X1271" s="139"/>
      <c r="Y1271" s="3">
        <f t="shared" si="96"/>
        <v>1262</v>
      </c>
      <c r="AA1271" s="24"/>
      <c r="AC1271" s="24" t="str">
        <f t="shared" si="90"/>
        <v/>
      </c>
      <c r="AE1271" s="42" t="str">
        <f t="shared" si="91"/>
        <v/>
      </c>
      <c r="AG1271" s="162"/>
      <c r="AH1271" s="10"/>
      <c r="AI1271" s="10"/>
      <c r="AJ1271" s="10"/>
    </row>
    <row r="1272" spans="1:36" ht="13.5" thickTop="1">
      <c r="A1272" s="116"/>
      <c r="B1272" s="47"/>
      <c r="C1272" s="47"/>
      <c r="D1272" s="47"/>
      <c r="E1272" s="7">
        <f>+G1272-Adjustments!G1270</f>
        <v>0</v>
      </c>
      <c r="F1272" s="7"/>
      <c r="G1272" s="7"/>
      <c r="H1272" s="7"/>
      <c r="I1272" s="7"/>
      <c r="J1272" s="7">
        <f>+I1272-'ROR-Model'!I1272</f>
        <v>0</v>
      </c>
      <c r="K1272" s="7"/>
      <c r="L1272" s="7"/>
      <c r="M1272" s="7"/>
      <c r="N1272" s="7"/>
      <c r="O1272" s="120"/>
      <c r="P1272" s="192"/>
      <c r="Q1272" s="7"/>
      <c r="R1272" s="7"/>
      <c r="S1272" s="126"/>
      <c r="T1272" s="7"/>
      <c r="U1272" s="7"/>
      <c r="V1272" s="124"/>
      <c r="W1272" s="7"/>
      <c r="X1272" s="139"/>
      <c r="Y1272" s="3">
        <f t="shared" si="96"/>
        <v>1263</v>
      </c>
      <c r="AA1272" s="7"/>
      <c r="AC1272" s="7" t="str">
        <f t="shared" si="90"/>
        <v/>
      </c>
      <c r="AE1272" s="42" t="str">
        <f t="shared" si="91"/>
        <v/>
      </c>
      <c r="AG1272" s="162"/>
      <c r="AH1272" s="10"/>
      <c r="AI1272" s="10"/>
      <c r="AJ1272" s="10"/>
    </row>
    <row r="1273" spans="1:36">
      <c r="A1273" s="136"/>
      <c r="B1273" s="141" t="s">
        <v>738</v>
      </c>
      <c r="C1273" s="47"/>
      <c r="D1273" s="47"/>
      <c r="E1273" s="7">
        <f>+G1273-Adjustments!G1271</f>
        <v>-344740880.82653445</v>
      </c>
      <c r="F1273" s="7">
        <f>F1241+F1263</f>
        <v>2797093619.8121204</v>
      </c>
      <c r="G1273" s="7">
        <f>G1241+G1263</f>
        <v>-344740880.82653445</v>
      </c>
      <c r="H1273" s="7">
        <f>H1241+H1263</f>
        <v>129938.12965016926</v>
      </c>
      <c r="I1273" s="7">
        <f>I1241+I1263</f>
        <v>2452482677.1152353</v>
      </c>
      <c r="J1273" s="7">
        <f>+I1273-'ROR-Model'!I1273</f>
        <v>0</v>
      </c>
      <c r="K1273" s="7"/>
      <c r="L1273" s="7"/>
      <c r="M1273" s="7">
        <f>M1241+M1263</f>
        <v>2382929666.6207471</v>
      </c>
      <c r="N1273" s="7">
        <f>N1241+N1263</f>
        <v>68992850.188873038</v>
      </c>
      <c r="O1273" s="120"/>
      <c r="P1273" s="192"/>
      <c r="Q1273" s="7">
        <f>Q1241+Q1263</f>
        <v>2382929666.6207471</v>
      </c>
      <c r="R1273" s="7">
        <f>R1241+R1263</f>
        <v>0</v>
      </c>
      <c r="S1273" s="126"/>
      <c r="T1273" s="7">
        <f>T1241+T1263</f>
        <v>70203387.228043586</v>
      </c>
      <c r="U1273" s="7">
        <f>U1241+U1263</f>
        <v>-1210537.0391705399</v>
      </c>
      <c r="V1273" s="124"/>
      <c r="W1273" s="7">
        <f>HLOOKUP($W$9,'ROR-Model'!$Q$10:$U$1273,Y1273)</f>
        <v>2382929666.6207471</v>
      </c>
      <c r="X1273" s="139"/>
      <c r="Y1273" s="3">
        <f t="shared" si="96"/>
        <v>1264</v>
      </c>
      <c r="AA1273" s="7">
        <v>1446457828.111063</v>
      </c>
      <c r="AC1273" s="7">
        <f t="shared" si="90"/>
        <v>936471838.50968409</v>
      </c>
      <c r="AE1273" s="42">
        <f t="shared" si="91"/>
        <v>0.6474242251034914</v>
      </c>
      <c r="AG1273" s="162"/>
      <c r="AH1273" t="s">
        <v>738</v>
      </c>
      <c r="AI1273" s="10"/>
      <c r="AJ1273" s="10"/>
    </row>
  </sheetData>
  <mergeCells count="15">
    <mergeCell ref="T7:U7"/>
    <mergeCell ref="P2:U2"/>
    <mergeCell ref="S8:U8"/>
    <mergeCell ref="P3:U3"/>
    <mergeCell ref="P4:U4"/>
    <mergeCell ref="P6:R6"/>
    <mergeCell ref="P5:U5"/>
    <mergeCell ref="P8:R8"/>
    <mergeCell ref="Q7:R7"/>
    <mergeCell ref="A959:D959"/>
    <mergeCell ref="A8:B8"/>
    <mergeCell ref="A9:B9"/>
    <mergeCell ref="C9:D9"/>
    <mergeCell ref="A11:D11"/>
    <mergeCell ref="A515:D515"/>
  </mergeCells>
  <phoneticPr fontId="0" type="noConversion"/>
  <printOptions headings="1"/>
  <pageMargins left="0.2" right="0.23" top="0.17" bottom="0.23" header="0.17" footer="0.5"/>
  <pageSetup scale="38" fitToHeight="0" pageOrder="overThenDown" orientation="landscape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">
    <tabColor rgb="FF92D050"/>
    <pageSetUpPr fitToPage="1"/>
  </sheetPr>
  <dimension ref="A1:O172"/>
  <sheetViews>
    <sheetView topLeftCell="A31" zoomScale="90" zoomScaleNormal="90" zoomScaleSheetLayoutView="98" workbookViewId="0">
      <selection activeCell="G50" sqref="G50"/>
    </sheetView>
  </sheetViews>
  <sheetFormatPr defaultRowHeight="12.75"/>
  <cols>
    <col min="1" max="1" width="6.5703125" customWidth="1"/>
    <col min="2" max="2" width="3.7109375" customWidth="1"/>
    <col min="3" max="3" width="6.7109375" customWidth="1"/>
    <col min="4" max="4" width="39.140625" customWidth="1"/>
    <col min="5" max="5" width="15.140625" hidden="1" customWidth="1"/>
    <col min="6" max="6" width="15.140625" customWidth="1"/>
    <col min="7" max="7" width="15.42578125" customWidth="1"/>
    <col min="8" max="8" width="14.140625" customWidth="1"/>
    <col min="9" max="9" width="15.42578125" customWidth="1"/>
    <col min="10" max="10" width="16.28515625" customWidth="1"/>
    <col min="11" max="11" width="15.85546875" customWidth="1"/>
    <col min="12" max="12" width="14.42578125" customWidth="1"/>
    <col min="13" max="13" width="14" customWidth="1"/>
    <col min="14" max="14" width="15.140625" customWidth="1"/>
    <col min="15" max="15" width="13.42578125" customWidth="1"/>
  </cols>
  <sheetData>
    <row r="1" spans="1:15">
      <c r="A1" s="12" t="str">
        <f>'Control Panel'!$B$1</f>
        <v>Dominion Energy</v>
      </c>
    </row>
    <row r="2" spans="1:15">
      <c r="A2" s="12" t="str">
        <f>'Control Panel'!$B$2</f>
        <v>Utah - June 2023 Adjusted Avg Results</v>
      </c>
      <c r="E2" s="300"/>
      <c r="F2" s="15"/>
      <c r="G2" s="15"/>
      <c r="H2" s="15"/>
      <c r="I2" s="300"/>
      <c r="J2" s="15"/>
      <c r="K2" s="15"/>
      <c r="L2" s="15"/>
      <c r="N2" s="15"/>
    </row>
    <row r="3" spans="1:15" s="12" customFormat="1" ht="16.5" thickBot="1">
      <c r="A3" s="12" t="str">
        <f>'Control Panel'!$B$3</f>
        <v>12 Months Ended : Jun-2023</v>
      </c>
      <c r="F3" s="12" t="str">
        <f>+'Control Panel'!$B$3</f>
        <v>12 Months Ended : Jun-2023</v>
      </c>
      <c r="O3" s="742"/>
    </row>
    <row r="4" spans="1:15" ht="16.5" thickBot="1">
      <c r="A4" s="117"/>
      <c r="B4" s="117"/>
      <c r="C4" s="117"/>
      <c r="D4" s="117"/>
      <c r="E4" s="382" t="str">
        <f>IF((SUM(Report!F13:H74)-SUM(Report!I13:I74))&lt;1,"0","ERROR")</f>
        <v>0</v>
      </c>
      <c r="F4" s="4"/>
      <c r="G4" s="4"/>
      <c r="H4" s="14"/>
      <c r="I4" s="16"/>
      <c r="J4" s="16"/>
      <c r="K4" s="16"/>
      <c r="L4" s="16"/>
      <c r="N4" s="16"/>
      <c r="O4" s="742"/>
    </row>
    <row r="5" spans="1:15" ht="15.75">
      <c r="B5" s="1103" t="s">
        <v>380</v>
      </c>
      <c r="C5" s="1103"/>
      <c r="D5" s="1103"/>
      <c r="E5" s="17"/>
      <c r="F5" s="17" t="s">
        <v>43</v>
      </c>
      <c r="G5" s="17" t="s">
        <v>44</v>
      </c>
      <c r="H5" s="17" t="s">
        <v>632</v>
      </c>
      <c r="I5" s="17" t="s">
        <v>633</v>
      </c>
      <c r="J5" s="17" t="s">
        <v>730</v>
      </c>
      <c r="K5" s="17" t="s">
        <v>710</v>
      </c>
      <c r="L5" s="6" t="s">
        <v>804</v>
      </c>
      <c r="N5" s="17"/>
      <c r="O5" s="742"/>
    </row>
    <row r="6" spans="1:15">
      <c r="A6" s="12"/>
      <c r="B6" s="13"/>
      <c r="C6" s="13"/>
      <c r="D6" s="13"/>
      <c r="E6" s="4"/>
      <c r="F6" s="4" t="str">
        <f>+'ROR-Model'!F7</f>
        <v>Historical</v>
      </c>
      <c r="G6" s="4"/>
      <c r="H6" s="16" t="str">
        <f>+'ROR-Model'!H7</f>
        <v>Imputed</v>
      </c>
      <c r="I6" s="16" t="str">
        <f>+'ROR-Model'!I7</f>
        <v>Adjusted</v>
      </c>
      <c r="J6" s="4" t="str">
        <f>+'ROR-Model'!W9</f>
        <v>Utah</v>
      </c>
      <c r="K6" s="4"/>
      <c r="L6" s="4" t="str">
        <f>+J6</f>
        <v>Utah</v>
      </c>
      <c r="M6" s="16"/>
      <c r="N6" s="16"/>
    </row>
    <row r="7" spans="1:15" ht="24">
      <c r="A7" s="12"/>
      <c r="B7" s="13"/>
      <c r="C7" s="13"/>
      <c r="D7" s="13"/>
      <c r="E7" s="590" t="s">
        <v>814</v>
      </c>
      <c r="F7" s="4" t="str">
        <f>+'ROR-Model'!F8</f>
        <v>12 Months</v>
      </c>
      <c r="G7" s="4" t="s">
        <v>37</v>
      </c>
      <c r="H7" s="16" t="str">
        <f>+'ROR-Model'!H8</f>
        <v>Tax</v>
      </c>
      <c r="I7" s="16" t="str">
        <f>+'ROR-Model'!I8</f>
        <v>System</v>
      </c>
      <c r="J7" s="4" t="s">
        <v>45</v>
      </c>
      <c r="K7" s="4"/>
      <c r="L7" s="4" t="s">
        <v>45</v>
      </c>
      <c r="M7" s="590" t="s">
        <v>814</v>
      </c>
      <c r="N7" s="16"/>
    </row>
    <row r="8" spans="1:15" ht="13.5" thickBot="1">
      <c r="A8" s="18"/>
      <c r="B8" s="1104" t="s">
        <v>776</v>
      </c>
      <c r="C8" s="1104"/>
      <c r="D8" s="1104"/>
      <c r="E8" s="282"/>
      <c r="F8" s="282">
        <f>+'ROR-Model'!F9</f>
        <v>45107</v>
      </c>
      <c r="G8" s="20" t="s">
        <v>145</v>
      </c>
      <c r="H8" s="20" t="str">
        <f>+'ROR-Model'!H9</f>
        <v>Adjustment</v>
      </c>
      <c r="I8" s="20" t="str">
        <f>+'ROR-Model'!I9</f>
        <v>Total</v>
      </c>
      <c r="J8" s="19" t="s">
        <v>47</v>
      </c>
      <c r="K8" s="19" t="s">
        <v>46</v>
      </c>
      <c r="L8" s="19" t="s">
        <v>145</v>
      </c>
      <c r="M8" s="20"/>
      <c r="N8" s="20"/>
    </row>
    <row r="9" spans="1:15">
      <c r="A9" s="18"/>
      <c r="B9" s="4"/>
      <c r="C9" s="4"/>
      <c r="D9" s="4"/>
      <c r="E9" s="52"/>
      <c r="F9" s="52"/>
      <c r="G9" s="52"/>
      <c r="H9" s="52"/>
      <c r="I9" s="52"/>
      <c r="J9" s="4"/>
      <c r="K9" s="4"/>
      <c r="L9" s="4"/>
      <c r="M9" s="4"/>
      <c r="N9" s="52"/>
    </row>
    <row r="10" spans="1:15">
      <c r="A10" s="18">
        <v>1</v>
      </c>
      <c r="B10" s="26" t="s">
        <v>443</v>
      </c>
      <c r="C10" s="17"/>
      <c r="D10" s="17"/>
      <c r="E10" s="92"/>
      <c r="F10" s="92"/>
      <c r="G10" s="1"/>
      <c r="I10" s="92"/>
      <c r="J10" s="92"/>
      <c r="L10" s="15"/>
      <c r="M10" s="17"/>
      <c r="N10" s="92"/>
    </row>
    <row r="11" spans="1:15">
      <c r="A11" s="18"/>
      <c r="B11" s="16"/>
      <c r="C11" s="16"/>
      <c r="D11" s="17"/>
      <c r="E11" s="16"/>
      <c r="F11" s="16"/>
      <c r="G11" s="16"/>
      <c r="H11" s="16"/>
      <c r="I11" s="16"/>
      <c r="J11" s="15"/>
      <c r="K11" s="15"/>
      <c r="L11" s="15"/>
      <c r="M11" s="17"/>
      <c r="N11" s="16"/>
      <c r="O11" s="1"/>
    </row>
    <row r="12" spans="1:15">
      <c r="A12" s="18">
        <f>+A10+1</f>
        <v>2</v>
      </c>
      <c r="B12" s="13" t="s">
        <v>157</v>
      </c>
      <c r="C12" s="15"/>
      <c r="D12" s="15"/>
      <c r="E12" s="300"/>
      <c r="F12" s="15"/>
      <c r="G12" s="15"/>
      <c r="H12" s="15"/>
      <c r="I12" s="15"/>
      <c r="J12" s="15"/>
      <c r="K12" s="7"/>
      <c r="L12" s="15"/>
      <c r="M12" s="15"/>
      <c r="N12" s="15"/>
    </row>
    <row r="13" spans="1:15">
      <c r="A13" s="18">
        <f t="shared" ref="A13:A18" si="0">+A12+1</f>
        <v>3</v>
      </c>
      <c r="B13" s="13"/>
      <c r="C13" s="15"/>
      <c r="D13" s="15" t="s">
        <v>444</v>
      </c>
      <c r="E13" s="468">
        <f t="shared" ref="E13:E18" si="1">+F13+G13+H13-I13</f>
        <v>0</v>
      </c>
      <c r="F13" s="22">
        <f>+'ROR-Model'!F363+'ROR-Model'!F365</f>
        <v>497644985.09241474</v>
      </c>
      <c r="G13" s="22">
        <f>+'ROR-Model'!G363+'ROR-Model'!G365</f>
        <v>-26231775.859999996</v>
      </c>
      <c r="H13" s="21">
        <f>+'ROR-Model'!H363+'ROR-Model'!H365</f>
        <v>0</v>
      </c>
      <c r="I13" s="21">
        <f>+'ROR-Model'!I363+'ROR-Model'!I365</f>
        <v>471413209.23241472</v>
      </c>
      <c r="J13" s="15">
        <f>'ROR-Model'!W368</f>
        <v>457899339.7357924</v>
      </c>
      <c r="K13" s="170">
        <f>+K44*Taxes!L29</f>
        <v>7100691.4356456865</v>
      </c>
      <c r="L13" s="729">
        <f>SUM(J13:K13)</f>
        <v>465000031.1714381</v>
      </c>
      <c r="M13" s="15">
        <f>+N13-I13</f>
        <v>0</v>
      </c>
      <c r="N13" s="21">
        <f>SUM(F13:H13)</f>
        <v>471413209.23241472</v>
      </c>
      <c r="O13" s="1"/>
    </row>
    <row r="14" spans="1:15">
      <c r="A14" s="18">
        <f t="shared" si="0"/>
        <v>4</v>
      </c>
      <c r="B14" s="15"/>
      <c r="C14" s="15"/>
      <c r="D14" s="15" t="s">
        <v>445</v>
      </c>
      <c r="E14" s="469">
        <f t="shared" si="1"/>
        <v>0</v>
      </c>
      <c r="F14" s="21">
        <f>+'ROR-Model'!F364</f>
        <v>101739274.50806464</v>
      </c>
      <c r="G14" s="21">
        <f>+'ROR-Model'!G364</f>
        <v>0</v>
      </c>
      <c r="H14" s="21">
        <f>+'ROR-Model'!H364</f>
        <v>0</v>
      </c>
      <c r="I14" s="21">
        <f>+'ROR-Model'!I364</f>
        <v>101739274.50806464</v>
      </c>
      <c r="J14" s="15"/>
      <c r="K14" s="7"/>
      <c r="L14" s="15">
        <f>SUM(J14:K14)</f>
        <v>0</v>
      </c>
      <c r="M14" s="15">
        <f t="shared" ref="M14:M45" si="2">+N14-I14</f>
        <v>0</v>
      </c>
      <c r="N14" s="21">
        <f t="shared" ref="N14:N44" si="3">SUM(F14:H14)</f>
        <v>101739274.50806464</v>
      </c>
      <c r="O14" s="1"/>
    </row>
    <row r="15" spans="1:15">
      <c r="A15" s="18">
        <f t="shared" si="0"/>
        <v>5</v>
      </c>
      <c r="B15" s="13"/>
      <c r="C15" s="15"/>
      <c r="D15" s="15" t="s">
        <v>446</v>
      </c>
      <c r="E15" s="469">
        <f t="shared" si="1"/>
        <v>0</v>
      </c>
      <c r="F15" s="21">
        <f>+'ROR-Model'!F366</f>
        <v>951004456.01811922</v>
      </c>
      <c r="G15" s="21">
        <f>+'ROR-Model'!G366</f>
        <v>0</v>
      </c>
      <c r="H15" s="21">
        <f>+'ROR-Model'!H366</f>
        <v>0</v>
      </c>
      <c r="I15" s="21">
        <f>+'ROR-Model'!I366</f>
        <v>951004456.01811922</v>
      </c>
      <c r="J15" s="15"/>
      <c r="K15" s="15"/>
      <c r="L15" s="15">
        <f>SUM(J15:K15)</f>
        <v>0</v>
      </c>
      <c r="M15" s="15">
        <f t="shared" si="2"/>
        <v>0</v>
      </c>
      <c r="N15" s="21">
        <f t="shared" si="3"/>
        <v>951004456.01811922</v>
      </c>
      <c r="O15" s="1"/>
    </row>
    <row r="16" spans="1:15">
      <c r="A16" s="18">
        <f t="shared" si="0"/>
        <v>6</v>
      </c>
      <c r="B16" s="13"/>
      <c r="C16" s="15"/>
      <c r="D16" s="15" t="s">
        <v>447</v>
      </c>
      <c r="E16" s="468">
        <f t="shared" si="1"/>
        <v>0</v>
      </c>
      <c r="F16" s="22">
        <f>'ROR-Model'!F501+'ROR-Model'!F505</f>
        <v>39367058.559373006</v>
      </c>
      <c r="G16" s="22">
        <f>'ROR-Model'!G501+'ROR-Model'!G505</f>
        <v>0</v>
      </c>
      <c r="H16" s="22">
        <f>'ROR-Model'!H501+'ROR-Model'!H505</f>
        <v>0</v>
      </c>
      <c r="I16" s="22">
        <f>'ROR-Model'!I501+'ROR-Model'!I505</f>
        <v>39367058.559373006</v>
      </c>
      <c r="J16" s="15"/>
      <c r="K16" s="15"/>
      <c r="L16" s="15">
        <f>SUM(J16:K16)</f>
        <v>0</v>
      </c>
      <c r="M16" s="15">
        <f t="shared" si="2"/>
        <v>0</v>
      </c>
      <c r="N16" s="22">
        <f t="shared" si="3"/>
        <v>39367058.559373006</v>
      </c>
      <c r="O16" s="1"/>
    </row>
    <row r="17" spans="1:15" ht="13.5" thickBot="1">
      <c r="A17" s="18">
        <f t="shared" si="0"/>
        <v>7</v>
      </c>
      <c r="B17" s="13"/>
      <c r="C17" s="15"/>
      <c r="D17" s="15" t="s">
        <v>448</v>
      </c>
      <c r="E17" s="468">
        <f t="shared" si="1"/>
        <v>0</v>
      </c>
      <c r="F17" s="22">
        <f>'ROR-Model'!F502+'ROR-Model'!F506</f>
        <v>7386294.4306269996</v>
      </c>
      <c r="G17" s="22">
        <f>'ROR-Model'!G502+'ROR-Model'!G506</f>
        <v>0</v>
      </c>
      <c r="H17" s="22">
        <f>'ROR-Model'!H502+'ROR-Model'!H506</f>
        <v>0</v>
      </c>
      <c r="I17" s="22">
        <f>'ROR-Model'!I502+'ROR-Model'!I506</f>
        <v>7386294.4306269996</v>
      </c>
      <c r="J17" s="15">
        <f>'ROR-Model'!W509</f>
        <v>7061934.3356379988</v>
      </c>
      <c r="K17" s="15"/>
      <c r="L17" s="15">
        <f>SUM(J17:K17)</f>
        <v>7061934.3356379988</v>
      </c>
      <c r="M17" s="15">
        <f t="shared" si="2"/>
        <v>0</v>
      </c>
      <c r="N17" s="22">
        <f t="shared" si="3"/>
        <v>7386294.4306269996</v>
      </c>
      <c r="O17" s="1"/>
    </row>
    <row r="18" spans="1:15">
      <c r="A18" s="18">
        <f t="shared" si="0"/>
        <v>8</v>
      </c>
      <c r="B18" s="13"/>
      <c r="C18" s="13" t="s">
        <v>453</v>
      </c>
      <c r="D18" s="15"/>
      <c r="E18" s="328">
        <f t="shared" si="1"/>
        <v>0</v>
      </c>
      <c r="F18" s="328">
        <f t="shared" ref="F18:L18" si="4">SUM(F13:F17)</f>
        <v>1597142068.6085985</v>
      </c>
      <c r="G18" s="23">
        <f t="shared" si="4"/>
        <v>-26231775.859999996</v>
      </c>
      <c r="H18" s="23">
        <f t="shared" si="4"/>
        <v>0</v>
      </c>
      <c r="I18" s="23">
        <f t="shared" si="4"/>
        <v>1570910292.7485986</v>
      </c>
      <c r="J18" s="23">
        <f t="shared" si="4"/>
        <v>464961274.07143039</v>
      </c>
      <c r="K18" s="23">
        <f t="shared" si="4"/>
        <v>7100691.4356456865</v>
      </c>
      <c r="L18" s="23">
        <f t="shared" si="4"/>
        <v>472061965.50707608</v>
      </c>
      <c r="M18" s="15">
        <f t="shared" si="2"/>
        <v>0</v>
      </c>
      <c r="N18" s="23">
        <f t="shared" si="3"/>
        <v>1570910292.7485986</v>
      </c>
      <c r="O18" s="1"/>
    </row>
    <row r="19" spans="1:15">
      <c r="A19" s="18"/>
      <c r="B19" s="13"/>
      <c r="C19" s="15"/>
      <c r="D19" s="15"/>
      <c r="E19" s="300"/>
      <c r="F19" s="15"/>
      <c r="G19" s="15"/>
      <c r="H19" s="15"/>
      <c r="I19" s="15"/>
      <c r="J19" s="15"/>
      <c r="K19" s="15"/>
      <c r="L19" s="15"/>
      <c r="M19" s="15">
        <f t="shared" si="2"/>
        <v>0</v>
      </c>
      <c r="N19" s="15">
        <f t="shared" si="3"/>
        <v>0</v>
      </c>
      <c r="O19" s="1"/>
    </row>
    <row r="20" spans="1:15">
      <c r="A20" s="18">
        <f>+A18+1</f>
        <v>9</v>
      </c>
      <c r="B20" s="13" t="s">
        <v>158</v>
      </c>
      <c r="C20" s="15"/>
      <c r="D20" s="15"/>
      <c r="E20" s="300"/>
      <c r="F20" s="15"/>
      <c r="G20" s="15"/>
      <c r="H20" s="15"/>
      <c r="I20" s="15"/>
      <c r="J20" s="15"/>
      <c r="K20" s="15"/>
      <c r="L20" s="15"/>
      <c r="M20" s="15">
        <f t="shared" si="2"/>
        <v>0</v>
      </c>
      <c r="N20" s="15">
        <f t="shared" si="3"/>
        <v>0</v>
      </c>
      <c r="O20" s="1"/>
    </row>
    <row r="21" spans="1:15">
      <c r="A21" s="18">
        <f>+A20+1</f>
        <v>10</v>
      </c>
      <c r="B21" s="13"/>
      <c r="C21" s="15" t="s">
        <v>437</v>
      </c>
      <c r="D21" s="15"/>
      <c r="E21" s="300"/>
      <c r="F21" s="15"/>
      <c r="G21" s="15"/>
      <c r="H21" s="15"/>
      <c r="I21" s="15"/>
      <c r="J21" s="15"/>
      <c r="K21" s="15"/>
      <c r="L21" s="15"/>
      <c r="M21" s="15">
        <f t="shared" si="2"/>
        <v>0</v>
      </c>
      <c r="N21" s="15">
        <f t="shared" si="3"/>
        <v>0</v>
      </c>
      <c r="O21" s="1"/>
    </row>
    <row r="22" spans="1:15">
      <c r="A22" s="18">
        <f>+A21+1</f>
        <v>11</v>
      </c>
      <c r="B22" s="13"/>
      <c r="C22" s="15"/>
      <c r="D22" s="15" t="s">
        <v>12</v>
      </c>
      <c r="E22" s="300">
        <f>+F22+G22+H22-I22</f>
        <v>0</v>
      </c>
      <c r="F22" s="15">
        <f>'ROR-Model'!F633+'ROR-Model'!F636</f>
        <v>1058181609.0126004</v>
      </c>
      <c r="G22" s="15">
        <f>'ROR-Model'!G633+'ROR-Model'!G636</f>
        <v>0</v>
      </c>
      <c r="H22" s="15">
        <f>'ROR-Model'!H633+'ROR-Model'!H636</f>
        <v>0</v>
      </c>
      <c r="I22" s="15">
        <f>'ROR-Model'!I633+'ROR-Model'!I636</f>
        <v>1058181609.0126004</v>
      </c>
      <c r="J22" s="15"/>
      <c r="K22" s="15"/>
      <c r="L22" s="15">
        <f>SUM(J22:K22)</f>
        <v>0</v>
      </c>
      <c r="M22" s="15">
        <f t="shared" si="2"/>
        <v>0</v>
      </c>
      <c r="N22" s="15">
        <f t="shared" si="3"/>
        <v>1058181609.0126004</v>
      </c>
      <c r="O22" s="1"/>
    </row>
    <row r="23" spans="1:15" ht="13.5" thickBot="1">
      <c r="A23" s="18">
        <f>+A22+1</f>
        <v>12</v>
      </c>
      <c r="B23" s="13"/>
      <c r="C23" s="15"/>
      <c r="D23" s="15" t="s">
        <v>23</v>
      </c>
      <c r="E23" s="300">
        <f>+F23+G23+H23-I23</f>
        <v>0</v>
      </c>
      <c r="F23" s="15">
        <f>'ROR-Model'!F635+'ROR-Model'!F637</f>
        <v>33929180.072956301</v>
      </c>
      <c r="G23" s="15">
        <f>'ROR-Model'!G635+'ROR-Model'!G637</f>
        <v>0</v>
      </c>
      <c r="H23" s="15">
        <f>'ROR-Model'!H635+'ROR-Model'!H637</f>
        <v>0</v>
      </c>
      <c r="I23" s="15">
        <f>'ROR-Model'!I635+'ROR-Model'!I637</f>
        <v>33929180.072956301</v>
      </c>
      <c r="J23" s="15"/>
      <c r="K23" s="15"/>
      <c r="L23" s="15">
        <f>SUM(J23:K23)</f>
        <v>0</v>
      </c>
      <c r="M23" s="15">
        <f t="shared" si="2"/>
        <v>0</v>
      </c>
      <c r="N23" s="15">
        <f t="shared" si="3"/>
        <v>33929180.072956301</v>
      </c>
      <c r="O23" s="1"/>
    </row>
    <row r="24" spans="1:15">
      <c r="A24" s="18">
        <f>+A23+1</f>
        <v>13</v>
      </c>
      <c r="B24" s="13"/>
      <c r="C24" s="15"/>
      <c r="D24" s="15" t="s">
        <v>145</v>
      </c>
      <c r="E24" s="328">
        <f>+F24+G24+H24-I24</f>
        <v>0</v>
      </c>
      <c r="F24" s="23">
        <f t="shared" ref="F24:L24" si="5">SUM(F22:F23)</f>
        <v>1092110789.0855567</v>
      </c>
      <c r="G24" s="23">
        <f t="shared" si="5"/>
        <v>0</v>
      </c>
      <c r="H24" s="23">
        <f t="shared" si="5"/>
        <v>0</v>
      </c>
      <c r="I24" s="23">
        <f t="shared" si="5"/>
        <v>1092110789.0855567</v>
      </c>
      <c r="J24" s="23">
        <f t="shared" si="5"/>
        <v>0</v>
      </c>
      <c r="K24" s="23">
        <f t="shared" si="5"/>
        <v>0</v>
      </c>
      <c r="L24" s="23">
        <f t="shared" si="5"/>
        <v>0</v>
      </c>
      <c r="M24" s="15">
        <f t="shared" si="2"/>
        <v>0</v>
      </c>
      <c r="N24" s="23">
        <f t="shared" si="3"/>
        <v>1092110789.0855567</v>
      </c>
      <c r="O24" s="1"/>
    </row>
    <row r="25" spans="1:15">
      <c r="A25" s="18"/>
      <c r="B25" s="13"/>
      <c r="C25" s="15"/>
      <c r="D25" s="15"/>
      <c r="E25" s="301">
        <f>+F25+G25+H25-I25</f>
        <v>0</v>
      </c>
      <c r="F25" s="7"/>
      <c r="G25" s="7"/>
      <c r="H25" s="7"/>
      <c r="I25" s="7"/>
      <c r="J25" s="7"/>
      <c r="K25" s="7"/>
      <c r="L25" s="7"/>
      <c r="M25" s="15">
        <f t="shared" si="2"/>
        <v>0</v>
      </c>
      <c r="N25" s="7">
        <f>SUM(F25:H25)</f>
        <v>0</v>
      </c>
      <c r="O25" s="1"/>
    </row>
    <row r="26" spans="1:15">
      <c r="A26" s="18">
        <f>A24+1</f>
        <v>14</v>
      </c>
      <c r="B26" s="13"/>
      <c r="C26" s="15" t="s">
        <v>455</v>
      </c>
      <c r="D26" s="15"/>
      <c r="E26" s="300"/>
      <c r="F26" s="15"/>
      <c r="G26" s="15"/>
      <c r="H26" s="15"/>
      <c r="I26" s="15"/>
      <c r="J26" s="15"/>
      <c r="K26" s="15"/>
      <c r="L26" s="15"/>
      <c r="M26" s="15">
        <f t="shared" si="2"/>
        <v>0</v>
      </c>
      <c r="N26" s="15">
        <f t="shared" si="3"/>
        <v>0</v>
      </c>
      <c r="O26" s="1"/>
    </row>
    <row r="27" spans="1:15">
      <c r="A27" s="18">
        <f t="shared" ref="A27:A32" si="6">+A26+1</f>
        <v>15</v>
      </c>
      <c r="B27" s="13"/>
      <c r="C27" s="15"/>
      <c r="D27" s="15" t="s">
        <v>399</v>
      </c>
      <c r="E27" s="300">
        <f t="shared" ref="E27:E32" si="7">+F27+G27+H27-I27</f>
        <v>0</v>
      </c>
      <c r="F27" s="15">
        <f>'ROR-Model'!F650</f>
        <v>-438965.28</v>
      </c>
      <c r="G27" s="15">
        <f>'ROR-Model'!G650</f>
        <v>0</v>
      </c>
      <c r="H27" s="15">
        <f>'ROR-Model'!H650</f>
        <v>0</v>
      </c>
      <c r="I27" s="15">
        <f>'ROR-Model'!I650</f>
        <v>-438965.28</v>
      </c>
      <c r="J27" s="15">
        <f>'ROR-Model'!W650</f>
        <v>-424860.02870445774</v>
      </c>
      <c r="K27" s="15"/>
      <c r="L27" s="15">
        <f>SUM(J27:K27)</f>
        <v>-424860.02870445774</v>
      </c>
      <c r="M27" s="15">
        <f t="shared" si="2"/>
        <v>0</v>
      </c>
      <c r="N27" s="15">
        <f t="shared" si="3"/>
        <v>-438965.28</v>
      </c>
      <c r="O27" s="1"/>
    </row>
    <row r="28" spans="1:15">
      <c r="A28" s="18">
        <f t="shared" si="6"/>
        <v>16</v>
      </c>
      <c r="B28" s="13"/>
      <c r="C28" s="15"/>
      <c r="D28" s="15" t="s">
        <v>456</v>
      </c>
      <c r="E28" s="300">
        <f t="shared" si="7"/>
        <v>0</v>
      </c>
      <c r="F28" s="15">
        <f>'ROR-Model'!F753</f>
        <v>81815327.969999999</v>
      </c>
      <c r="G28" s="15">
        <f>'ROR-Model'!G753</f>
        <v>0</v>
      </c>
      <c r="H28" s="15">
        <f>'ROR-Model'!H753</f>
        <v>0</v>
      </c>
      <c r="I28" s="15">
        <f>'ROR-Model'!I753</f>
        <v>81815327.969999999</v>
      </c>
      <c r="J28" s="15">
        <f>'ROR-Model'!W753</f>
        <v>78583114.900000006</v>
      </c>
      <c r="K28" s="15"/>
      <c r="L28" s="15">
        <f>SUM(J28:K28)</f>
        <v>78583114.900000006</v>
      </c>
      <c r="M28" s="15">
        <f t="shared" si="2"/>
        <v>0</v>
      </c>
      <c r="N28" s="15">
        <f t="shared" si="3"/>
        <v>81815327.969999999</v>
      </c>
      <c r="O28" s="1"/>
    </row>
    <row r="29" spans="1:15">
      <c r="A29" s="18">
        <f t="shared" si="6"/>
        <v>17</v>
      </c>
      <c r="B29" s="13"/>
      <c r="C29" s="15"/>
      <c r="D29" s="15" t="s">
        <v>457</v>
      </c>
      <c r="E29" s="300">
        <f t="shared" si="7"/>
        <v>0</v>
      </c>
      <c r="F29" s="15">
        <f>'ROR-Model'!F806</f>
        <v>14780838.35</v>
      </c>
      <c r="G29" s="300">
        <f>'ROR-Model'!G806</f>
        <v>-1906404.0902244116</v>
      </c>
      <c r="H29" s="15">
        <f>'ROR-Model'!H806</f>
        <v>0</v>
      </c>
      <c r="I29" s="15">
        <f>'ROR-Model'!I806</f>
        <v>12874434.259775588</v>
      </c>
      <c r="J29" s="15">
        <f>'ROR-Model'!W806</f>
        <v>12512714.823074913</v>
      </c>
      <c r="K29" s="15">
        <f>+K13*'Control Panel'!F22</f>
        <v>15028.614454111017</v>
      </c>
      <c r="L29" s="15">
        <f>SUM(J29:K29)</f>
        <v>12527743.437529024</v>
      </c>
      <c r="M29" s="15">
        <f t="shared" si="2"/>
        <v>0</v>
      </c>
      <c r="N29" s="15">
        <f t="shared" si="3"/>
        <v>12874434.259775588</v>
      </c>
      <c r="O29" s="1"/>
    </row>
    <row r="30" spans="1:15">
      <c r="A30" s="18">
        <f t="shared" si="6"/>
        <v>18</v>
      </c>
      <c r="B30" s="13"/>
      <c r="C30" s="15"/>
      <c r="D30" s="15" t="s">
        <v>458</v>
      </c>
      <c r="E30" s="300">
        <f t="shared" si="7"/>
        <v>5.1222741603851318E-9</v>
      </c>
      <c r="F30" s="15">
        <f>'ROR-Model'!F834</f>
        <v>29041440.250000007</v>
      </c>
      <c r="G30" s="300">
        <f>'ROR-Model'!G834</f>
        <v>-26843858.529999997</v>
      </c>
      <c r="H30" s="15">
        <f>'ROR-Model'!H834</f>
        <v>0</v>
      </c>
      <c r="I30" s="15">
        <f>'ROR-Model'!I834</f>
        <v>2197581.7200000049</v>
      </c>
      <c r="J30" s="15">
        <f>'ROR-Model'!W834</f>
        <v>2123552.380000005</v>
      </c>
      <c r="K30" s="15"/>
      <c r="L30" s="15">
        <f>SUM(J30:K30)</f>
        <v>2123552.380000005</v>
      </c>
      <c r="M30" s="15">
        <f t="shared" si="2"/>
        <v>5.1222741603851318E-9</v>
      </c>
      <c r="N30" s="15">
        <f t="shared" si="3"/>
        <v>2197581.72000001</v>
      </c>
      <c r="O30" s="1"/>
    </row>
    <row r="31" spans="1:15" ht="13.5" thickBot="1">
      <c r="A31" s="18">
        <f t="shared" si="6"/>
        <v>19</v>
      </c>
      <c r="B31" s="13"/>
      <c r="C31" s="15"/>
      <c r="D31" s="15" t="s">
        <v>459</v>
      </c>
      <c r="E31" s="300">
        <f t="shared" si="7"/>
        <v>0</v>
      </c>
      <c r="F31" s="15">
        <f>'ROR-Model'!F902</f>
        <v>34226305.630000003</v>
      </c>
      <c r="G31" s="300">
        <f>'ROR-Model'!G902</f>
        <v>9779961.3231036924</v>
      </c>
      <c r="H31" s="15">
        <f>'ROR-Model'!H902</f>
        <v>0</v>
      </c>
      <c r="I31" s="15">
        <f>'ROR-Model'!I902</f>
        <v>44006266.953103691</v>
      </c>
      <c r="J31" s="15">
        <f>'ROR-Model'!W902</f>
        <v>42403933.632268935</v>
      </c>
      <c r="K31" s="15"/>
      <c r="L31" s="15">
        <f>SUM(J31:K31)</f>
        <v>42403933.632268935</v>
      </c>
      <c r="M31" s="15">
        <f t="shared" si="2"/>
        <v>0</v>
      </c>
      <c r="N31" s="15">
        <f t="shared" si="3"/>
        <v>44006266.953103691</v>
      </c>
      <c r="O31" s="1"/>
    </row>
    <row r="32" spans="1:15">
      <c r="A32" s="18">
        <f t="shared" si="6"/>
        <v>20</v>
      </c>
      <c r="B32" s="13"/>
      <c r="C32" s="15"/>
      <c r="D32" s="15" t="s">
        <v>460</v>
      </c>
      <c r="E32" s="328">
        <f t="shared" si="7"/>
        <v>0</v>
      </c>
      <c r="F32" s="328">
        <f t="shared" ref="F32:L32" si="8">SUM(F27:F31)</f>
        <v>159424946.91999999</v>
      </c>
      <c r="G32" s="23">
        <f t="shared" si="8"/>
        <v>-18970301.297120716</v>
      </c>
      <c r="H32" s="23">
        <f t="shared" si="8"/>
        <v>0</v>
      </c>
      <c r="I32" s="23">
        <f t="shared" si="8"/>
        <v>140454645.62287927</v>
      </c>
      <c r="J32" s="23">
        <f t="shared" si="8"/>
        <v>135198455.70663941</v>
      </c>
      <c r="K32" s="23">
        <f t="shared" si="8"/>
        <v>15028.614454111017</v>
      </c>
      <c r="L32" s="23">
        <f t="shared" si="8"/>
        <v>135213484.3210935</v>
      </c>
      <c r="M32" s="15">
        <f t="shared" si="2"/>
        <v>0</v>
      </c>
      <c r="N32" s="23">
        <f t="shared" si="3"/>
        <v>140454645.62287927</v>
      </c>
      <c r="O32" s="1"/>
    </row>
    <row r="33" spans="1:15">
      <c r="A33" s="18"/>
      <c r="B33" s="13"/>
      <c r="C33" s="15"/>
      <c r="D33" s="15"/>
      <c r="E33" s="300"/>
      <c r="F33" s="15"/>
      <c r="G33" s="15"/>
      <c r="H33" s="15"/>
      <c r="I33" s="15"/>
      <c r="J33" s="115"/>
      <c r="K33" s="420"/>
      <c r="L33" s="15"/>
      <c r="M33" s="15">
        <f t="shared" si="2"/>
        <v>0</v>
      </c>
      <c r="N33" s="15">
        <f t="shared" si="3"/>
        <v>0</v>
      </c>
      <c r="O33" s="1"/>
    </row>
    <row r="34" spans="1:15">
      <c r="A34" s="18">
        <f>+A32+1</f>
        <v>21</v>
      </c>
      <c r="B34" s="13"/>
      <c r="C34" s="15" t="s">
        <v>461</v>
      </c>
      <c r="D34" s="15"/>
      <c r="E34" s="300"/>
      <c r="F34" s="15"/>
      <c r="G34" s="15"/>
      <c r="H34" s="15"/>
      <c r="I34" s="15"/>
      <c r="J34" s="15"/>
      <c r="K34" s="15"/>
      <c r="L34" s="15"/>
      <c r="M34" s="15">
        <f t="shared" si="2"/>
        <v>0</v>
      </c>
      <c r="N34" s="15">
        <f t="shared" si="3"/>
        <v>0</v>
      </c>
      <c r="O34" s="1"/>
    </row>
    <row r="35" spans="1:15">
      <c r="A35" s="18">
        <f>+A34+1</f>
        <v>22</v>
      </c>
      <c r="B35" s="13"/>
      <c r="C35" s="15"/>
      <c r="D35" s="15" t="s">
        <v>250</v>
      </c>
      <c r="E35" s="300">
        <f>+F35+G35+H35-I35</f>
        <v>0</v>
      </c>
      <c r="F35" s="15">
        <f>'ROR-Model'!F926</f>
        <v>95519010.379999995</v>
      </c>
      <c r="G35" s="15">
        <f>'ROR-Model'!G926</f>
        <v>0</v>
      </c>
      <c r="H35" s="15">
        <f>'ROR-Model'!H926</f>
        <v>0</v>
      </c>
      <c r="I35" s="15">
        <f>'ROR-Model'!I926</f>
        <v>95519010.379999995</v>
      </c>
      <c r="J35" s="875">
        <f>'ROR-Model'!W926</f>
        <v>92735986.390182748</v>
      </c>
      <c r="K35" s="15"/>
      <c r="L35" s="15">
        <f>SUM(J35:K35)</f>
        <v>92735986.390182748</v>
      </c>
      <c r="M35" s="15">
        <f t="shared" si="2"/>
        <v>0</v>
      </c>
      <c r="N35" s="15">
        <f t="shared" si="3"/>
        <v>95519010.379999995</v>
      </c>
      <c r="O35" s="1"/>
    </row>
    <row r="36" spans="1:15">
      <c r="A36" s="18">
        <f>+A35+1</f>
        <v>23</v>
      </c>
      <c r="B36" s="13"/>
      <c r="C36" s="15"/>
      <c r="D36" s="15" t="s">
        <v>548</v>
      </c>
      <c r="E36" s="300">
        <f>+F36+G36+H36-I36</f>
        <v>0</v>
      </c>
      <c r="F36" s="15">
        <f>'ROR-Model'!F934</f>
        <v>26718468.590000004</v>
      </c>
      <c r="G36" s="15">
        <f>'ROR-Model'!G934</f>
        <v>0</v>
      </c>
      <c r="H36" s="15">
        <f>'ROR-Model'!H934</f>
        <v>0</v>
      </c>
      <c r="I36" s="15">
        <f>'ROR-Model'!I934</f>
        <v>26718468.590000004</v>
      </c>
      <c r="J36" s="15">
        <f>'ROR-Model'!W934</f>
        <v>25460396.375659976</v>
      </c>
      <c r="K36" s="15"/>
      <c r="L36" s="15">
        <f>SUM(J36:K36)</f>
        <v>25460396.375659976</v>
      </c>
      <c r="M36" s="15">
        <f t="shared" si="2"/>
        <v>0</v>
      </c>
      <c r="N36" s="15">
        <f t="shared" si="3"/>
        <v>26718468.590000004</v>
      </c>
      <c r="O36" s="1"/>
    </row>
    <row r="37" spans="1:15" ht="13.5" thickBot="1">
      <c r="A37" s="18">
        <f>+A36+1</f>
        <v>24</v>
      </c>
      <c r="B37" s="13"/>
      <c r="C37" s="15"/>
      <c r="D37" s="15" t="s">
        <v>550</v>
      </c>
      <c r="E37" s="300">
        <f>+F37+G37+H37-I37</f>
        <v>0</v>
      </c>
      <c r="F37" s="15">
        <f>'ROR-Model'!F936+'ROR-Model'!F938+'ROR-Model'!F940+'ROR-Model'!F942</f>
        <v>36588792.750000015</v>
      </c>
      <c r="G37" s="15">
        <f>'ROR-Model'!G936+'ROR-Model'!G938+'ROR-Model'!G940+'ROR-Model'!G942</f>
        <v>-1790215.7069625775</v>
      </c>
      <c r="H37" s="15">
        <f>'ROR-Model'!H936+'ROR-Model'!H938+'ROR-Model'!H940+'ROR-Model'!H942</f>
        <v>5679930.2182409316</v>
      </c>
      <c r="I37" s="15">
        <f>'ROR-Model'!I936+'ROR-Model'!I938+'ROR-Model'!I940+'ROR-Model'!I942</f>
        <v>40478507.261278361</v>
      </c>
      <c r="J37" s="589">
        <f>'ROR-Model'!W936</f>
        <v>39723816.367047831</v>
      </c>
      <c r="K37" s="15">
        <f>(K13-K29)*Taxes!L23</f>
        <v>1746871.763702522</v>
      </c>
      <c r="L37" s="15">
        <f>SUM(J37:K37)</f>
        <v>41470688.130750351</v>
      </c>
      <c r="M37" s="15">
        <f t="shared" si="2"/>
        <v>0</v>
      </c>
      <c r="N37" s="15">
        <f t="shared" si="3"/>
        <v>40478507.261278369</v>
      </c>
      <c r="O37" s="1"/>
    </row>
    <row r="38" spans="1:15">
      <c r="A38" s="18">
        <f>+A37+1</f>
        <v>25</v>
      </c>
      <c r="B38" s="13"/>
      <c r="C38" s="15"/>
      <c r="D38" s="15" t="s">
        <v>468</v>
      </c>
      <c r="E38" s="328">
        <f>+F38+G38+H38-I38</f>
        <v>0</v>
      </c>
      <c r="F38" s="328">
        <f t="shared" ref="F38:L38" si="9">SUM(F35:F37)</f>
        <v>158826271.72000003</v>
      </c>
      <c r="G38" s="23">
        <f t="shared" si="9"/>
        <v>-1790215.7069625775</v>
      </c>
      <c r="H38" s="23">
        <f t="shared" si="9"/>
        <v>5679930.2182409316</v>
      </c>
      <c r="I38" s="23">
        <f t="shared" si="9"/>
        <v>162715986.23127836</v>
      </c>
      <c r="J38" s="23">
        <f t="shared" si="9"/>
        <v>157920199.13289055</v>
      </c>
      <c r="K38" s="23">
        <f t="shared" si="9"/>
        <v>1746871.763702522</v>
      </c>
      <c r="L38" s="23">
        <f t="shared" si="9"/>
        <v>159667070.89659306</v>
      </c>
      <c r="M38" s="15">
        <f t="shared" si="2"/>
        <v>0</v>
      </c>
      <c r="N38" s="23">
        <f t="shared" si="3"/>
        <v>162715986.23127836</v>
      </c>
      <c r="O38" s="1"/>
    </row>
    <row r="39" spans="1:15" ht="6.95" customHeight="1" thickBot="1">
      <c r="A39" s="18"/>
      <c r="B39" s="13"/>
      <c r="C39" s="15"/>
      <c r="D39" s="15"/>
      <c r="E39" s="470"/>
      <c r="F39" s="24"/>
      <c r="G39" s="24"/>
      <c r="H39" s="24"/>
      <c r="I39" s="24"/>
      <c r="J39" s="24"/>
      <c r="K39" s="24"/>
      <c r="L39" s="24"/>
      <c r="M39" s="15">
        <f t="shared" si="2"/>
        <v>0</v>
      </c>
      <c r="N39" s="24">
        <f t="shared" si="3"/>
        <v>0</v>
      </c>
      <c r="O39" s="1"/>
    </row>
    <row r="40" spans="1:15" ht="6.95" customHeight="1" thickTop="1">
      <c r="A40" s="18"/>
      <c r="B40" s="13"/>
      <c r="C40" s="15"/>
      <c r="D40" s="15"/>
      <c r="E40" s="300"/>
      <c r="F40" s="15"/>
      <c r="G40" s="15"/>
      <c r="H40" s="15"/>
      <c r="I40" s="15"/>
      <c r="J40" s="15"/>
      <c r="K40" s="15"/>
      <c r="L40" s="15"/>
      <c r="M40" s="15">
        <f t="shared" si="2"/>
        <v>0</v>
      </c>
      <c r="N40" s="15">
        <f t="shared" si="3"/>
        <v>0</v>
      </c>
      <c r="O40" s="1"/>
    </row>
    <row r="41" spans="1:15">
      <c r="A41" s="18">
        <f>+A38+1</f>
        <v>26</v>
      </c>
      <c r="B41" s="13"/>
      <c r="C41" s="13" t="s">
        <v>469</v>
      </c>
      <c r="D41" s="15"/>
      <c r="E41" s="300">
        <f>+F41+G41+H41-I41</f>
        <v>0</v>
      </c>
      <c r="F41" s="15">
        <f>+F24+F32+F38</f>
        <v>1410362007.7255569</v>
      </c>
      <c r="G41" s="15">
        <f t="shared" ref="G41:L41" si="10">+G24+G32+G38</f>
        <v>-20760517.004083294</v>
      </c>
      <c r="H41" s="15">
        <f t="shared" si="10"/>
        <v>5679930.2182409316</v>
      </c>
      <c r="I41" s="15">
        <f t="shared" si="10"/>
        <v>1395281420.9397144</v>
      </c>
      <c r="J41" s="15">
        <f t="shared" si="10"/>
        <v>293118654.83952999</v>
      </c>
      <c r="K41" s="15">
        <f t="shared" si="10"/>
        <v>1761900.3781566331</v>
      </c>
      <c r="L41" s="15">
        <f t="shared" si="10"/>
        <v>294880555.21768653</v>
      </c>
      <c r="M41" s="15">
        <f t="shared" si="2"/>
        <v>0</v>
      </c>
      <c r="N41" s="15">
        <f t="shared" si="3"/>
        <v>1395281420.9397144</v>
      </c>
      <c r="O41" s="1"/>
    </row>
    <row r="42" spans="1:15" ht="6.95" customHeight="1" thickBot="1">
      <c r="A42" s="18"/>
      <c r="B42" s="13"/>
      <c r="C42" s="15"/>
      <c r="D42" s="15"/>
      <c r="E42" s="470"/>
      <c r="F42" s="24"/>
      <c r="G42" s="24"/>
      <c r="H42" s="24"/>
      <c r="I42" s="24"/>
      <c r="J42" s="24"/>
      <c r="K42" s="24"/>
      <c r="L42" s="24"/>
      <c r="M42" s="15">
        <f t="shared" si="2"/>
        <v>0</v>
      </c>
      <c r="N42" s="24">
        <f t="shared" si="3"/>
        <v>0</v>
      </c>
      <c r="O42" s="1"/>
    </row>
    <row r="43" spans="1:15" ht="6.95" customHeight="1" thickTop="1">
      <c r="A43" s="18"/>
      <c r="B43" s="13"/>
      <c r="C43" s="15"/>
      <c r="D43" s="15"/>
      <c r="E43" s="300"/>
      <c r="F43" s="15"/>
      <c r="G43" s="15"/>
      <c r="H43" s="15"/>
      <c r="I43" s="15"/>
      <c r="J43" s="15"/>
      <c r="K43" s="15"/>
      <c r="L43" s="15"/>
      <c r="M43" s="15">
        <f t="shared" si="2"/>
        <v>0</v>
      </c>
      <c r="N43" s="15">
        <f t="shared" si="3"/>
        <v>0</v>
      </c>
      <c r="O43" s="1"/>
    </row>
    <row r="44" spans="1:15">
      <c r="A44" s="18">
        <f>+A41+1</f>
        <v>27</v>
      </c>
      <c r="B44" s="13" t="s">
        <v>470</v>
      </c>
      <c r="C44" s="15"/>
      <c r="D44" s="15"/>
      <c r="E44" s="300">
        <f>+F44+G44+H44-I44</f>
        <v>0</v>
      </c>
      <c r="F44" s="15">
        <f>+F18-F41</f>
        <v>186780060.88304162</v>
      </c>
      <c r="G44" s="15">
        <f>+G18-G41</f>
        <v>-5471258.8559167013</v>
      </c>
      <c r="H44" s="15">
        <f>+H18-H41</f>
        <v>-5679930.2182409316</v>
      </c>
      <c r="I44" s="15">
        <f>+I18-I41</f>
        <v>175628871.80888414</v>
      </c>
      <c r="J44" s="15">
        <f>+J18-J41</f>
        <v>171842619.23190039</v>
      </c>
      <c r="K44" s="729">
        <f>+L44-J44</f>
        <v>5339538.1855047047</v>
      </c>
      <c r="L44" s="15">
        <f>L74*L77</f>
        <v>177182157.4174051</v>
      </c>
      <c r="M44" s="15">
        <f t="shared" si="2"/>
        <v>0</v>
      </c>
      <c r="N44" s="15">
        <f t="shared" si="3"/>
        <v>175628871.80888397</v>
      </c>
      <c r="O44" s="1"/>
    </row>
    <row r="45" spans="1:15" ht="13.5" thickBot="1">
      <c r="A45" s="7"/>
      <c r="B45" s="154"/>
      <c r="C45" s="154"/>
      <c r="D45" s="154"/>
      <c r="E45" s="471"/>
      <c r="F45" s="154"/>
      <c r="G45" s="154"/>
      <c r="H45" s="154"/>
      <c r="I45" s="154"/>
      <c r="J45" s="154"/>
      <c r="K45" s="154"/>
      <c r="L45" s="154"/>
      <c r="M45" s="154">
        <f t="shared" si="2"/>
        <v>0</v>
      </c>
      <c r="N45" s="154"/>
      <c r="O45" s="1"/>
    </row>
    <row r="46" spans="1:15">
      <c r="E46" s="1"/>
      <c r="F46" s="1"/>
      <c r="G46" s="1"/>
      <c r="H46" s="109"/>
      <c r="I46" s="109"/>
      <c r="N46" s="109"/>
      <c r="O46" s="1"/>
    </row>
    <row r="47" spans="1:15">
      <c r="A47" s="18">
        <f>+A44+1</f>
        <v>28</v>
      </c>
      <c r="B47" s="15" t="s">
        <v>154</v>
      </c>
      <c r="C47" s="15"/>
      <c r="D47" s="15"/>
      <c r="E47" s="300"/>
      <c r="F47" s="15"/>
      <c r="G47" s="15"/>
      <c r="H47" s="80"/>
      <c r="J47" s="15"/>
      <c r="L47" s="15"/>
      <c r="M47" s="15"/>
      <c r="O47" s="1"/>
    </row>
    <row r="48" spans="1:15">
      <c r="A48" s="18"/>
      <c r="B48" s="17"/>
      <c r="C48" s="17"/>
      <c r="D48" s="17"/>
      <c r="E48" s="300"/>
      <c r="F48" s="15"/>
      <c r="G48" s="15"/>
      <c r="H48" s="109"/>
      <c r="J48" s="15"/>
      <c r="K48" s="1"/>
      <c r="L48" s="15"/>
      <c r="M48" s="15"/>
      <c r="O48" s="1"/>
    </row>
    <row r="49" spans="1:15">
      <c r="A49" s="18">
        <f>+A47+1</f>
        <v>29</v>
      </c>
      <c r="B49" s="13" t="s">
        <v>256</v>
      </c>
      <c r="C49" s="15"/>
      <c r="D49" s="15"/>
      <c r="E49" s="300"/>
      <c r="F49" s="15"/>
      <c r="G49" s="15"/>
      <c r="H49" s="15"/>
      <c r="J49" s="15"/>
      <c r="K49" s="15"/>
      <c r="L49" s="15"/>
      <c r="M49" s="15"/>
      <c r="O49" s="1"/>
    </row>
    <row r="50" spans="1:15">
      <c r="A50" s="18">
        <f t="shared" ref="A50:A56" si="11">+A49+1</f>
        <v>30</v>
      </c>
      <c r="C50" s="14">
        <v>101</v>
      </c>
      <c r="D50" s="15" t="s">
        <v>264</v>
      </c>
      <c r="E50" s="300">
        <f t="shared" ref="E50:E56" si="12">+F50+G50+H50-I50</f>
        <v>0</v>
      </c>
      <c r="F50" s="15">
        <f>'ROR-Model'!F1112</f>
        <v>3802688058.3095722</v>
      </c>
      <c r="G50" s="15">
        <f>'ROR-Model'!G1112</f>
        <v>-111657435.01800011</v>
      </c>
      <c r="H50" s="15">
        <f>'ROR-Model'!H1112</f>
        <v>0</v>
      </c>
      <c r="I50" s="15">
        <f>'ROR-Model'!I1112</f>
        <v>3691030623.2915721</v>
      </c>
      <c r="J50" s="15">
        <f>'ROR-Model'!W1112</f>
        <v>3563355420.9801316</v>
      </c>
      <c r="K50" s="15"/>
      <c r="L50" s="15">
        <f t="shared" ref="L50:L55" si="13">SUM(J50:K50)</f>
        <v>3563355420.9801316</v>
      </c>
      <c r="M50" s="15">
        <f t="shared" ref="M50:M76" si="14">+N50-I50</f>
        <v>0</v>
      </c>
      <c r="N50" s="15">
        <f t="shared" ref="N50:N56" si="15">SUM(F50:H50)</f>
        <v>3691030623.2915721</v>
      </c>
      <c r="O50" s="1"/>
    </row>
    <row r="51" spans="1:15">
      <c r="A51" s="18">
        <f t="shared" si="11"/>
        <v>31</v>
      </c>
      <c r="C51" s="14">
        <v>105</v>
      </c>
      <c r="D51" s="15" t="s">
        <v>265</v>
      </c>
      <c r="E51" s="300">
        <f t="shared" si="12"/>
        <v>0</v>
      </c>
      <c r="F51" s="15">
        <f>'ROR-Model'!F1116</f>
        <v>0</v>
      </c>
      <c r="G51" s="15">
        <f>'ROR-Model'!G1116</f>
        <v>0</v>
      </c>
      <c r="H51" s="15">
        <f>'ROR-Model'!H1116</f>
        <v>0</v>
      </c>
      <c r="I51" s="15">
        <f>'ROR-Model'!I1116</f>
        <v>0</v>
      </c>
      <c r="J51" s="15">
        <f>'ROR-Model'!W1116</f>
        <v>0</v>
      </c>
      <c r="K51" s="15"/>
      <c r="L51" s="15">
        <f t="shared" si="13"/>
        <v>0</v>
      </c>
      <c r="M51" s="15">
        <f t="shared" si="14"/>
        <v>0</v>
      </c>
      <c r="N51" s="15">
        <f t="shared" si="15"/>
        <v>0</v>
      </c>
      <c r="O51" s="1"/>
    </row>
    <row r="52" spans="1:15">
      <c r="A52" s="18">
        <f t="shared" si="11"/>
        <v>32</v>
      </c>
      <c r="C52" s="14">
        <v>106</v>
      </c>
      <c r="D52" s="15" t="s">
        <v>472</v>
      </c>
      <c r="E52" s="300">
        <f t="shared" si="12"/>
        <v>0</v>
      </c>
      <c r="F52" s="15">
        <f>'ROR-Model'!F1123</f>
        <v>511742536.5</v>
      </c>
      <c r="G52" s="15">
        <f>'ROR-Model'!G1123</f>
        <v>-145670941.85695988</v>
      </c>
      <c r="H52" s="15">
        <f>'ROR-Model'!H1123</f>
        <v>0</v>
      </c>
      <c r="I52" s="15">
        <f>'ROR-Model'!I1123</f>
        <v>366071594.64304012</v>
      </c>
      <c r="J52" s="15">
        <f>'ROR-Model'!W1123</f>
        <v>361175851.28876364</v>
      </c>
      <c r="K52" s="15"/>
      <c r="L52" s="15">
        <f t="shared" si="13"/>
        <v>361175851.28876364</v>
      </c>
      <c r="M52" s="15">
        <f t="shared" si="14"/>
        <v>0</v>
      </c>
      <c r="N52" s="15">
        <f t="shared" si="15"/>
        <v>366071594.64304012</v>
      </c>
      <c r="O52" s="1"/>
    </row>
    <row r="53" spans="1:15">
      <c r="A53" s="18">
        <f t="shared" si="11"/>
        <v>33</v>
      </c>
      <c r="C53" s="14">
        <v>108</v>
      </c>
      <c r="D53" s="15" t="s">
        <v>477</v>
      </c>
      <c r="E53" s="300">
        <f t="shared" si="12"/>
        <v>0</v>
      </c>
      <c r="F53" s="15">
        <f>'ROR-Model'!F1130</f>
        <v>-1008127085.5699999</v>
      </c>
      <c r="G53" s="15">
        <f>'ROR-Model'!G1130</f>
        <v>43455489.7327324</v>
      </c>
      <c r="H53" s="15">
        <f>'ROR-Model'!H1130</f>
        <v>0</v>
      </c>
      <c r="I53" s="15">
        <f>'ROR-Model'!I1130</f>
        <v>-964671595.83726764</v>
      </c>
      <c r="J53" s="15">
        <f>'ROR-Model'!W1130</f>
        <v>-921523309.28431571</v>
      </c>
      <c r="K53" s="15"/>
      <c r="L53" s="15">
        <f t="shared" si="13"/>
        <v>-921523309.28431571</v>
      </c>
      <c r="M53" s="15">
        <f t="shared" si="14"/>
        <v>0</v>
      </c>
      <c r="N53" s="15">
        <f t="shared" si="15"/>
        <v>-964671595.83726752</v>
      </c>
      <c r="O53" s="1"/>
    </row>
    <row r="54" spans="1:15">
      <c r="A54" s="18">
        <f t="shared" si="11"/>
        <v>34</v>
      </c>
      <c r="C54" s="14">
        <v>111</v>
      </c>
      <c r="D54" s="15" t="s">
        <v>478</v>
      </c>
      <c r="E54" s="300">
        <f t="shared" si="12"/>
        <v>0</v>
      </c>
      <c r="F54" s="15">
        <f>'ROR-Model'!F1137</f>
        <v>-6939702.0599999996</v>
      </c>
      <c r="G54" s="15">
        <f>'ROR-Model'!G1137</f>
        <v>680511.99749666662</v>
      </c>
      <c r="H54" s="15">
        <f>'ROR-Model'!H1137</f>
        <v>0</v>
      </c>
      <c r="I54" s="15">
        <f>'ROR-Model'!I1137</f>
        <v>-6259190.0625033332</v>
      </c>
      <c r="J54" s="15">
        <f>'ROR-Model'!W1137</f>
        <v>-6050229.8258677265</v>
      </c>
      <c r="K54" s="15"/>
      <c r="L54" s="15">
        <f t="shared" si="13"/>
        <v>-6050229.8258677265</v>
      </c>
      <c r="M54" s="15">
        <f t="shared" si="14"/>
        <v>0</v>
      </c>
      <c r="N54" s="15">
        <f t="shared" si="15"/>
        <v>-6259190.0625033332</v>
      </c>
      <c r="O54" s="1"/>
    </row>
    <row r="55" spans="1:15" ht="13.5" thickBot="1">
      <c r="A55" s="18">
        <f t="shared" si="11"/>
        <v>35</v>
      </c>
      <c r="C55" s="14">
        <v>254</v>
      </c>
      <c r="D55" s="300" t="s">
        <v>1076</v>
      </c>
      <c r="E55" s="300"/>
      <c r="F55" s="15">
        <f>'ROR-Model'!F1144</f>
        <v>-413515967.60000002</v>
      </c>
      <c r="G55" s="15">
        <f>'ROR-Model'!G1144</f>
        <v>2209823.9883333715</v>
      </c>
      <c r="H55" s="15">
        <f>'ROR-Model'!H1144</f>
        <v>0</v>
      </c>
      <c r="I55" s="15">
        <f>'ROR-Model'!I1144</f>
        <v>-411306143.61166662</v>
      </c>
      <c r="J55" s="15">
        <f>'ROR-Model'!W1144</f>
        <v>-397508836.09591645</v>
      </c>
      <c r="K55" s="15"/>
      <c r="L55" s="15">
        <f t="shared" si="13"/>
        <v>-397508836.09591645</v>
      </c>
      <c r="M55" s="15"/>
      <c r="N55" s="15">
        <f t="shared" si="15"/>
        <v>-411306143.61166668</v>
      </c>
      <c r="O55" s="1"/>
    </row>
    <row r="56" spans="1:15">
      <c r="A56" s="18">
        <f t="shared" si="11"/>
        <v>36</v>
      </c>
      <c r="C56" s="26" t="s">
        <v>155</v>
      </c>
      <c r="D56" s="15"/>
      <c r="E56" s="328">
        <f t="shared" si="12"/>
        <v>0</v>
      </c>
      <c r="F56" s="23">
        <f t="shared" ref="F56:L56" si="16">SUM(F50:F55)</f>
        <v>2885847839.5795727</v>
      </c>
      <c r="G56" s="23">
        <f t="shared" si="16"/>
        <v>-210982551.15639755</v>
      </c>
      <c r="H56" s="23">
        <f t="shared" si="16"/>
        <v>0</v>
      </c>
      <c r="I56" s="23">
        <f t="shared" si="16"/>
        <v>2674865288.4231744</v>
      </c>
      <c r="J56" s="23">
        <f>SUM(J50:J55)</f>
        <v>2599448897.0627956</v>
      </c>
      <c r="K56" s="23">
        <f t="shared" si="16"/>
        <v>0</v>
      </c>
      <c r="L56" s="23">
        <f t="shared" si="16"/>
        <v>2599448897.0627956</v>
      </c>
      <c r="M56" s="15">
        <f t="shared" si="14"/>
        <v>0</v>
      </c>
      <c r="N56" s="23">
        <f t="shared" si="15"/>
        <v>2674865288.4231753</v>
      </c>
      <c r="O56" s="1"/>
    </row>
    <row r="57" spans="1:15">
      <c r="A57" s="18"/>
      <c r="B57" s="300"/>
      <c r="C57" s="15"/>
      <c r="D57" s="15"/>
      <c r="E57" s="300"/>
      <c r="F57" s="15"/>
      <c r="G57" s="15"/>
      <c r="H57" s="15"/>
      <c r="I57" s="15"/>
      <c r="J57" s="15"/>
      <c r="K57" s="15"/>
      <c r="L57" s="15"/>
      <c r="M57" s="15">
        <f t="shared" si="14"/>
        <v>0</v>
      </c>
      <c r="N57" s="15"/>
      <c r="O57" s="1"/>
    </row>
    <row r="58" spans="1:15">
      <c r="A58" s="18">
        <f>+A56+1</f>
        <v>37</v>
      </c>
      <c r="B58" s="13" t="s">
        <v>159</v>
      </c>
      <c r="C58" s="15"/>
      <c r="D58" s="15"/>
      <c r="E58" s="300"/>
      <c r="F58" s="15"/>
      <c r="G58" s="15"/>
      <c r="H58" s="15"/>
      <c r="I58" s="15"/>
      <c r="J58" s="15"/>
      <c r="K58" s="15"/>
      <c r="L58" s="15"/>
      <c r="M58" s="15">
        <f t="shared" si="14"/>
        <v>0</v>
      </c>
      <c r="N58" s="15"/>
      <c r="O58" s="1"/>
    </row>
    <row r="59" spans="1:15">
      <c r="A59" s="472">
        <f t="shared" ref="A59:A71" si="17">+A58+1</f>
        <v>38</v>
      </c>
      <c r="C59" s="299">
        <v>154</v>
      </c>
      <c r="D59" s="300" t="s">
        <v>473</v>
      </c>
      <c r="E59" s="300">
        <f t="shared" ref="E59:E68" si="18">+F59+G59+H59-I59</f>
        <v>0</v>
      </c>
      <c r="F59" s="300">
        <f>'ROR-Model'!F1162</f>
        <v>37449967.030000001</v>
      </c>
      <c r="G59" s="300">
        <f>'ROR-Model'!G1162</f>
        <v>-9871719.4437499978</v>
      </c>
      <c r="H59" s="300">
        <f>'ROR-Model'!H1162</f>
        <v>0</v>
      </c>
      <c r="I59" s="300">
        <f>'ROR-Model'!I1162</f>
        <v>27578247.586250003</v>
      </c>
      <c r="J59" s="300">
        <f>'ROR-Model'!W1162</f>
        <v>26806012.528638866</v>
      </c>
      <c r="K59" s="300"/>
      <c r="L59" s="300">
        <f t="shared" ref="L59:L69" si="19">SUM(J59:K59)</f>
        <v>26806012.528638866</v>
      </c>
      <c r="M59" s="300">
        <f t="shared" si="14"/>
        <v>0</v>
      </c>
      <c r="N59" s="300">
        <f t="shared" ref="N59:N74" si="20">SUM(F59:H59)</f>
        <v>27578247.586250003</v>
      </c>
      <c r="O59" s="1"/>
    </row>
    <row r="60" spans="1:15">
      <c r="A60" s="472">
        <f t="shared" si="17"/>
        <v>39</v>
      </c>
      <c r="C60" s="299" t="s">
        <v>490</v>
      </c>
      <c r="D60" s="300" t="s">
        <v>274</v>
      </c>
      <c r="E60" s="300">
        <f t="shared" si="18"/>
        <v>0</v>
      </c>
      <c r="F60" s="300">
        <f>'ROR-Model'!F1166</f>
        <v>19959087.870000001</v>
      </c>
      <c r="G60" s="300">
        <f>'ROR-Model'!G1166</f>
        <v>-19959087.870000001</v>
      </c>
      <c r="H60" s="300">
        <f>'ROR-Model'!H1166</f>
        <v>0</v>
      </c>
      <c r="I60" s="300">
        <f>'ROR-Model'!I1166</f>
        <v>0</v>
      </c>
      <c r="J60" s="300">
        <f>'ROR-Model'!W1166</f>
        <v>0</v>
      </c>
      <c r="K60" s="300"/>
      <c r="L60" s="300">
        <f t="shared" si="19"/>
        <v>0</v>
      </c>
      <c r="M60" s="300">
        <f t="shared" si="14"/>
        <v>0</v>
      </c>
      <c r="N60" s="300">
        <f t="shared" si="20"/>
        <v>0</v>
      </c>
      <c r="O60" s="1"/>
    </row>
    <row r="61" spans="1:15">
      <c r="A61" s="472">
        <f t="shared" si="17"/>
        <v>40</v>
      </c>
      <c r="C61" s="299">
        <v>165</v>
      </c>
      <c r="D61" s="300" t="s">
        <v>275</v>
      </c>
      <c r="E61" s="300">
        <f t="shared" si="18"/>
        <v>0</v>
      </c>
      <c r="F61" s="300">
        <f>'ROR-Model'!F1170</f>
        <v>2392122.9500000002</v>
      </c>
      <c r="G61" s="300">
        <f>'ROR-Model'!G1170</f>
        <v>1849404.65625</v>
      </c>
      <c r="H61" s="300">
        <f>'ROR-Model'!H1170</f>
        <v>0</v>
      </c>
      <c r="I61" s="300">
        <f>'ROR-Model'!I1170</f>
        <v>4241527.6062500002</v>
      </c>
      <c r="J61" s="300">
        <f>'ROR-Model'!W1170</f>
        <v>4113303.5299559385</v>
      </c>
      <c r="K61" s="300"/>
      <c r="L61" s="300">
        <f t="shared" si="19"/>
        <v>4113303.5299559385</v>
      </c>
      <c r="M61" s="300">
        <f t="shared" si="14"/>
        <v>0</v>
      </c>
      <c r="N61" s="300">
        <f t="shared" si="20"/>
        <v>4241527.6062500002</v>
      </c>
      <c r="O61" s="1"/>
    </row>
    <row r="62" spans="1:15">
      <c r="A62" s="472">
        <f t="shared" si="17"/>
        <v>41</v>
      </c>
      <c r="C62" s="473" t="s">
        <v>268</v>
      </c>
      <c r="D62" s="304" t="s">
        <v>270</v>
      </c>
      <c r="E62" s="265">
        <f t="shared" si="18"/>
        <v>0</v>
      </c>
      <c r="F62" s="265">
        <f>+'ROR-Model'!F1177</f>
        <v>11766835.779999999</v>
      </c>
      <c r="G62" s="300">
        <f>+'ROR-Model'!G1177</f>
        <v>14703197.269166661</v>
      </c>
      <c r="H62" s="300">
        <f>'ROR-Model'!H1177</f>
        <v>0</v>
      </c>
      <c r="I62" s="300">
        <f>+'ROR-Model'!I1177</f>
        <v>26470033.049166661</v>
      </c>
      <c r="J62" s="300">
        <f>+'ROR-Model'!W1177</f>
        <v>25669827.120481584</v>
      </c>
      <c r="K62" s="300"/>
      <c r="L62" s="300">
        <f t="shared" si="19"/>
        <v>25669827.120481584</v>
      </c>
      <c r="M62" s="300">
        <f t="shared" si="14"/>
        <v>0</v>
      </c>
      <c r="N62" s="300">
        <f t="shared" si="20"/>
        <v>26470033.049166661</v>
      </c>
      <c r="O62" s="1"/>
    </row>
    <row r="63" spans="1:15">
      <c r="A63" s="472">
        <f t="shared" si="17"/>
        <v>42</v>
      </c>
      <c r="C63" s="473" t="s">
        <v>269</v>
      </c>
      <c r="D63" s="304" t="s">
        <v>271</v>
      </c>
      <c r="E63" s="300">
        <f t="shared" si="18"/>
        <v>0</v>
      </c>
      <c r="F63" s="300">
        <f>+'ROR-Model'!F1184</f>
        <v>2593978.38</v>
      </c>
      <c r="G63" s="300">
        <f>+'ROR-Model'!G1184</f>
        <v>3499284.8333333335</v>
      </c>
      <c r="H63" s="300">
        <f>'ROR-Model'!H1184</f>
        <v>0</v>
      </c>
      <c r="I63" s="300">
        <f>+'ROR-Model'!I1184</f>
        <v>6093263.2133333338</v>
      </c>
      <c r="J63" s="300">
        <f>+'ROR-Model'!W1184</f>
        <v>5909069.8640269078</v>
      </c>
      <c r="K63" s="300"/>
      <c r="L63" s="300">
        <f t="shared" si="19"/>
        <v>5909069.8640269078</v>
      </c>
      <c r="M63" s="300">
        <f t="shared" si="14"/>
        <v>0</v>
      </c>
      <c r="N63" s="300">
        <f t="shared" si="20"/>
        <v>6093263.2133333329</v>
      </c>
      <c r="O63" s="1"/>
    </row>
    <row r="64" spans="1:15">
      <c r="A64" s="18">
        <f t="shared" si="17"/>
        <v>43</v>
      </c>
      <c r="C64" s="14" t="s">
        <v>491</v>
      </c>
      <c r="D64" s="15" t="s">
        <v>276</v>
      </c>
      <c r="E64" s="300">
        <f t="shared" si="18"/>
        <v>0</v>
      </c>
      <c r="F64" s="15">
        <f>'ROR-Model'!F1189</f>
        <v>-3409030.04</v>
      </c>
      <c r="G64" s="15">
        <f>'ROR-Model'!G1189</f>
        <v>227333.64041666643</v>
      </c>
      <c r="H64" s="15">
        <f>'ROR-Model'!H1189</f>
        <v>0</v>
      </c>
      <c r="I64" s="15">
        <f>'ROR-Model'!I1189</f>
        <v>-3181696.3995833332</v>
      </c>
      <c r="J64" s="15">
        <f>'ROR-Model'!W1189</f>
        <v>-3073553.6991666667</v>
      </c>
      <c r="K64" s="15"/>
      <c r="L64" s="15">
        <f t="shared" si="19"/>
        <v>-3073553.6991666667</v>
      </c>
      <c r="M64" s="15">
        <f t="shared" si="14"/>
        <v>0</v>
      </c>
      <c r="N64" s="15">
        <f t="shared" si="20"/>
        <v>-3181696.3995833336</v>
      </c>
      <c r="O64" s="1"/>
    </row>
    <row r="65" spans="1:15">
      <c r="A65" s="18">
        <f t="shared" si="17"/>
        <v>44</v>
      </c>
      <c r="C65" s="189">
        <v>252</v>
      </c>
      <c r="D65" s="15" t="s">
        <v>246</v>
      </c>
      <c r="E65" s="300">
        <f t="shared" si="18"/>
        <v>0</v>
      </c>
      <c r="F65" s="15">
        <f>+'ROR-Model'!F1194</f>
        <v>0</v>
      </c>
      <c r="G65" s="15">
        <f>'ROR-Model'!G1194</f>
        <v>0</v>
      </c>
      <c r="H65" s="15">
        <f>'ROR-Model'!H1194</f>
        <v>0</v>
      </c>
      <c r="I65" s="15">
        <f>'ROR-Model'!I1194</f>
        <v>0</v>
      </c>
      <c r="J65" s="15">
        <f>'ROR-Model'!W1194</f>
        <v>0</v>
      </c>
      <c r="K65" s="15"/>
      <c r="L65" s="15">
        <f t="shared" si="19"/>
        <v>0</v>
      </c>
      <c r="M65" s="15">
        <f t="shared" si="14"/>
        <v>0</v>
      </c>
      <c r="N65" s="15">
        <f t="shared" si="20"/>
        <v>0</v>
      </c>
      <c r="O65" s="1"/>
    </row>
    <row r="66" spans="1:15">
      <c r="A66" s="18">
        <f t="shared" si="17"/>
        <v>45</v>
      </c>
      <c r="C66" s="14" t="s">
        <v>492</v>
      </c>
      <c r="D66" s="15" t="s">
        <v>277</v>
      </c>
      <c r="E66" s="300">
        <f t="shared" si="18"/>
        <v>0</v>
      </c>
      <c r="F66" s="15">
        <f>'ROR-Model'!F1198</f>
        <v>-126945.45</v>
      </c>
      <c r="G66" s="15">
        <f>'ROR-Model'!G1198</f>
        <v>14083.890416666662</v>
      </c>
      <c r="H66" s="15">
        <f>'ROR-Model'!H1198</f>
        <v>0</v>
      </c>
      <c r="I66" s="15">
        <f>'ROR-Model'!I1198</f>
        <v>-112861.55958333334</v>
      </c>
      <c r="J66" s="15">
        <f>'ROR-Model'!W1198</f>
        <v>-109449.68287991264</v>
      </c>
      <c r="K66" s="15"/>
      <c r="L66" s="15">
        <f t="shared" si="19"/>
        <v>-109449.68287991264</v>
      </c>
      <c r="M66" s="15">
        <f t="shared" si="14"/>
        <v>0</v>
      </c>
      <c r="N66" s="15">
        <f t="shared" si="20"/>
        <v>-112861.55958333334</v>
      </c>
      <c r="O66" s="1"/>
    </row>
    <row r="67" spans="1:15" ht="12.75" customHeight="1">
      <c r="A67" s="18">
        <f t="shared" si="17"/>
        <v>46</v>
      </c>
      <c r="C67" s="14">
        <v>255</v>
      </c>
      <c r="D67" s="15" t="s">
        <v>278</v>
      </c>
      <c r="E67" s="300">
        <f t="shared" si="18"/>
        <v>0</v>
      </c>
      <c r="F67" s="15">
        <f>'ROR-Model'!F1205</f>
        <v>0</v>
      </c>
      <c r="G67" s="15">
        <f>'ROR-Model'!G1205</f>
        <v>0</v>
      </c>
      <c r="H67" s="15">
        <f>'ROR-Model'!H1205</f>
        <v>0</v>
      </c>
      <c r="I67" s="15">
        <f>'ROR-Model'!I1205</f>
        <v>0</v>
      </c>
      <c r="J67" s="15">
        <f>'ROR-Model'!W1205</f>
        <v>0</v>
      </c>
      <c r="K67" s="15"/>
      <c r="L67" s="15">
        <f t="shared" si="19"/>
        <v>0</v>
      </c>
      <c r="M67" s="15">
        <f t="shared" si="14"/>
        <v>0</v>
      </c>
      <c r="N67" s="15">
        <f t="shared" si="20"/>
        <v>0</v>
      </c>
      <c r="O67" s="1"/>
    </row>
    <row r="68" spans="1:15" ht="12.75" customHeight="1">
      <c r="A68" s="18">
        <f t="shared" si="17"/>
        <v>47</v>
      </c>
      <c r="C68" s="14">
        <v>282</v>
      </c>
      <c r="D68" s="300" t="s">
        <v>33</v>
      </c>
      <c r="E68" s="300">
        <f t="shared" si="18"/>
        <v>0</v>
      </c>
      <c r="F68" s="15">
        <f>'ROR-Model'!F1212+'ROR-Model'!F1219</f>
        <v>-360797102.81999999</v>
      </c>
      <c r="G68" s="15">
        <f>'ROR-Model'!G1212+'ROR-Model'!G1219</f>
        <v>47948892.529328667</v>
      </c>
      <c r="H68" s="15">
        <f>'ROR-Model'!H1212+'ROR-Model'!H1219</f>
        <v>0</v>
      </c>
      <c r="I68" s="15">
        <f>'ROR-Model'!I1212+'ROR-Model'!I1219</f>
        <v>-312848210.29067135</v>
      </c>
      <c r="J68" s="15">
        <f>'ROR-Model'!W1212+'ROR-Model'!W1219</f>
        <v>-304626253.02586496</v>
      </c>
      <c r="K68" s="15"/>
      <c r="L68" s="15">
        <f t="shared" si="19"/>
        <v>-304626253.02586496</v>
      </c>
      <c r="M68" s="15">
        <f t="shared" si="14"/>
        <v>0</v>
      </c>
      <c r="N68" s="15">
        <f t="shared" si="20"/>
        <v>-312848210.29067135</v>
      </c>
      <c r="O68" s="1"/>
    </row>
    <row r="69" spans="1:15" ht="12.75" customHeight="1">
      <c r="A69" s="18">
        <f t="shared" si="17"/>
        <v>48</v>
      </c>
      <c r="C69" s="299" t="s">
        <v>1201</v>
      </c>
      <c r="D69" s="265" t="s">
        <v>1191</v>
      </c>
      <c r="E69" s="300"/>
      <c r="F69" s="15">
        <f>+'ROR-Model'!F1223</f>
        <v>171694786.80000001</v>
      </c>
      <c r="G69" s="15">
        <f>+'ROR-Model'!G1223</f>
        <v>-171694786.80000001</v>
      </c>
      <c r="H69" s="15">
        <f>+'ROR-Model'!H1223</f>
        <v>0</v>
      </c>
      <c r="I69" s="15">
        <f>+'ROR-Model'!I1223</f>
        <v>0</v>
      </c>
      <c r="J69" s="15">
        <f>+'ROR-Model'!W1223</f>
        <v>0</v>
      </c>
      <c r="K69" s="15"/>
      <c r="L69" s="15">
        <f t="shared" si="19"/>
        <v>0</v>
      </c>
      <c r="M69" s="15"/>
      <c r="N69" s="15"/>
      <c r="O69" s="1"/>
    </row>
    <row r="70" spans="1:15" ht="12.75" customHeight="1" thickBot="1">
      <c r="A70" s="18">
        <f t="shared" si="17"/>
        <v>49</v>
      </c>
      <c r="C70" s="15"/>
      <c r="D70" s="15" t="s">
        <v>474</v>
      </c>
      <c r="E70" s="300"/>
      <c r="F70" s="15">
        <f>'ROR-Model'!F1263</f>
        <v>29722079.732547671</v>
      </c>
      <c r="G70" s="300">
        <f>'ROR-Model'!G1263</f>
        <v>-474932.37529889186</v>
      </c>
      <c r="H70" s="15">
        <f>'ROR-Model'!H1263</f>
        <v>129938.12965016926</v>
      </c>
      <c r="I70" s="15">
        <f>'ROR-Model'!I1263</f>
        <v>29377085.486898944</v>
      </c>
      <c r="J70" s="15">
        <f>'ROR-Model'!W1263</f>
        <v>28791812.922759619</v>
      </c>
      <c r="K70" s="15"/>
      <c r="L70" s="15">
        <f>SUM(J70:K70)</f>
        <v>28791812.922759619</v>
      </c>
      <c r="M70" s="15">
        <f t="shared" si="14"/>
        <v>0</v>
      </c>
      <c r="N70" s="15">
        <f t="shared" si="20"/>
        <v>29377085.486898948</v>
      </c>
      <c r="O70" s="1"/>
    </row>
    <row r="71" spans="1:15" ht="12.75" customHeight="1">
      <c r="A71" s="18">
        <f t="shared" si="17"/>
        <v>50</v>
      </c>
      <c r="C71" s="26" t="s">
        <v>156</v>
      </c>
      <c r="D71" s="15"/>
      <c r="E71" s="328"/>
      <c r="F71" s="23">
        <f t="shared" ref="F71:L71" si="21">SUM(F59:F70)</f>
        <v>-88754219.767452329</v>
      </c>
      <c r="G71" s="23">
        <f t="shared" si="21"/>
        <v>-133758329.6701369</v>
      </c>
      <c r="H71" s="23">
        <f t="shared" si="21"/>
        <v>129938.12965016926</v>
      </c>
      <c r="I71" s="23">
        <f>SUM(I59:I70)</f>
        <v>-222382611.30793905</v>
      </c>
      <c r="J71" s="23">
        <f>SUM(J59:J70)</f>
        <v>-216519230.44204864</v>
      </c>
      <c r="K71" s="23">
        <f t="shared" si="21"/>
        <v>0</v>
      </c>
      <c r="L71" s="23">
        <f t="shared" si="21"/>
        <v>-216519230.44204864</v>
      </c>
      <c r="M71" s="15">
        <f t="shared" si="14"/>
        <v>0</v>
      </c>
      <c r="N71" s="23">
        <f t="shared" si="20"/>
        <v>-222382611.30793905</v>
      </c>
      <c r="O71" s="1"/>
    </row>
    <row r="72" spans="1:15" ht="12.75" customHeight="1" thickBot="1">
      <c r="A72" s="18"/>
      <c r="B72" s="13"/>
      <c r="C72" s="15"/>
      <c r="D72" s="15"/>
      <c r="E72" s="470"/>
      <c r="F72" s="24"/>
      <c r="G72" s="24"/>
      <c r="H72" s="24"/>
      <c r="I72" s="24"/>
      <c r="J72" s="24"/>
      <c r="K72" s="24"/>
      <c r="L72" s="24"/>
      <c r="M72" s="15">
        <f t="shared" si="14"/>
        <v>0</v>
      </c>
      <c r="N72" s="24">
        <f t="shared" si="20"/>
        <v>0</v>
      </c>
      <c r="O72" s="1"/>
    </row>
    <row r="73" spans="1:15" ht="12.75" customHeight="1" thickTop="1">
      <c r="A73" s="18"/>
      <c r="B73" s="13"/>
      <c r="C73" s="15"/>
      <c r="D73" s="15"/>
      <c r="E73" s="300"/>
      <c r="F73" s="15"/>
      <c r="G73" s="15"/>
      <c r="H73" s="15"/>
      <c r="I73" s="15"/>
      <c r="J73" s="15"/>
      <c r="K73" s="15"/>
      <c r="L73" s="15"/>
      <c r="M73" s="15">
        <f t="shared" si="14"/>
        <v>0</v>
      </c>
      <c r="N73" s="15">
        <f t="shared" si="20"/>
        <v>0</v>
      </c>
      <c r="O73" s="1"/>
    </row>
    <row r="74" spans="1:15" ht="12.75" customHeight="1">
      <c r="A74" s="18">
        <f>+A71+1</f>
        <v>51</v>
      </c>
      <c r="B74" s="26" t="s">
        <v>738</v>
      </c>
      <c r="C74" s="15"/>
      <c r="D74" s="15"/>
      <c r="E74" s="300"/>
      <c r="F74" s="15">
        <f>+F56+F71</f>
        <v>2797093619.8121204</v>
      </c>
      <c r="G74" s="15">
        <f>+G56+G71</f>
        <v>-344740880.82653445</v>
      </c>
      <c r="H74" s="15">
        <f>+H56+H71</f>
        <v>129938.12965016926</v>
      </c>
      <c r="I74" s="15">
        <f>+I56+I71</f>
        <v>2452482677.1152353</v>
      </c>
      <c r="J74" s="15">
        <f>+J56+J71</f>
        <v>2382929666.6207471</v>
      </c>
      <c r="K74" s="15"/>
      <c r="L74" s="15">
        <f>+L56+L71</f>
        <v>2382929666.6207471</v>
      </c>
      <c r="M74" s="15">
        <f t="shared" si="14"/>
        <v>0</v>
      </c>
      <c r="N74" s="15">
        <f t="shared" si="20"/>
        <v>2452482677.1152363</v>
      </c>
      <c r="O74" s="1"/>
    </row>
    <row r="75" spans="1:15" ht="12.75" customHeight="1" thickBot="1">
      <c r="A75" s="7"/>
      <c r="B75" s="154"/>
      <c r="C75" s="154"/>
      <c r="D75" s="154"/>
      <c r="E75" s="471"/>
      <c r="F75" s="154"/>
      <c r="G75" s="154"/>
      <c r="H75" s="154"/>
      <c r="I75" s="154"/>
      <c r="J75" s="154"/>
      <c r="K75" s="154"/>
      <c r="L75" s="154"/>
      <c r="M75" s="15">
        <f t="shared" si="14"/>
        <v>0</v>
      </c>
      <c r="N75" s="154"/>
    </row>
    <row r="76" spans="1:15" ht="12.75" customHeight="1">
      <c r="E76" s="1">
        <f>SUM(E13:E74)</f>
        <v>5.1222741603851318E-9</v>
      </c>
      <c r="M76" s="15">
        <f t="shared" si="14"/>
        <v>0</v>
      </c>
      <c r="N76">
        <f>SUM(F76:H76)</f>
        <v>0</v>
      </c>
    </row>
    <row r="77" spans="1:15" ht="12.75" customHeight="1">
      <c r="A77" s="18">
        <f>+A74+1</f>
        <v>52</v>
      </c>
      <c r="B77" s="26" t="s">
        <v>736</v>
      </c>
      <c r="C77" s="15"/>
      <c r="D77" s="15"/>
      <c r="E77" s="27"/>
      <c r="F77" s="27">
        <f>F44/F74</f>
        <v>6.6776478112873308E-2</v>
      </c>
      <c r="G77" s="27"/>
      <c r="H77" s="185"/>
      <c r="I77" s="27">
        <f>I44/I74</f>
        <v>7.1612685972351042E-2</v>
      </c>
      <c r="J77" s="27">
        <f>J44/J74</f>
        <v>7.2114012276154119E-2</v>
      </c>
      <c r="K77" s="27"/>
      <c r="L77" s="27">
        <f>'Capital Str'!H10</f>
        <v>7.4354757464859894E-2</v>
      </c>
      <c r="M77" s="15">
        <f>+N77-I77</f>
        <v>-4.8362078594777341E-3</v>
      </c>
      <c r="N77" s="27">
        <f>SUM(F77:H77)</f>
        <v>6.6776478112873308E-2</v>
      </c>
    </row>
    <row r="78" spans="1:15" ht="12.75" customHeight="1">
      <c r="A78" s="18"/>
      <c r="B78" s="13"/>
      <c r="C78" s="15"/>
      <c r="D78" s="15"/>
      <c r="E78" s="186"/>
      <c r="F78" s="186"/>
      <c r="G78" s="186"/>
      <c r="H78" s="184"/>
      <c r="I78" s="27"/>
      <c r="J78" s="27"/>
      <c r="K78" s="27"/>
      <c r="L78" s="27"/>
      <c r="M78" s="15"/>
      <c r="N78" s="27">
        <f>SUM(F78:H78)</f>
        <v>0</v>
      </c>
    </row>
    <row r="79" spans="1:15" ht="12.75" customHeight="1">
      <c r="A79" s="18">
        <f>+A77+1</f>
        <v>53</v>
      </c>
      <c r="B79" s="13" t="s">
        <v>36</v>
      </c>
      <c r="C79" s="15"/>
      <c r="D79" s="15"/>
      <c r="E79" s="27"/>
      <c r="F79" s="27">
        <f>(F77-'Capital Str'!$H$7)/'Capital Str'!$D$9</f>
        <v>8.232184986904631E-2</v>
      </c>
      <c r="G79" s="27"/>
      <c r="H79" s="183"/>
      <c r="I79" s="27">
        <f>(I77-'Capital Str'!$H$7)/'Capital Str'!$D$9</f>
        <v>9.1050794012428118E-2</v>
      </c>
      <c r="J79" s="27">
        <f>(J77-'Capital Str'!$H$7)/'Capital Str'!$D$9</f>
        <v>9.1955645381653114E-2</v>
      </c>
      <c r="K79" s="27"/>
      <c r="L79" s="27">
        <f>'Capital Str'!E9</f>
        <v>9.6000000000000002E-2</v>
      </c>
      <c r="M79" s="15">
        <f>+N79-I79</f>
        <v>-8.7289441433818088E-3</v>
      </c>
      <c r="N79" s="27">
        <f>SUM(F79:H79)</f>
        <v>8.232184986904631E-2</v>
      </c>
    </row>
    <row r="80" spans="1:15" ht="12.75" customHeight="1"/>
    <row r="81" spans="12:12" ht="12.75" customHeight="1"/>
    <row r="83" spans="12:12">
      <c r="L83" s="1017"/>
    </row>
    <row r="142" ht="6.95" customHeight="1"/>
    <row r="143" ht="6.95" customHeight="1"/>
    <row r="145" ht="6.95" customHeight="1"/>
    <row r="146" ht="6.95" customHeight="1"/>
    <row r="171" ht="6.95" customHeight="1"/>
    <row r="172" ht="6.95" customHeight="1"/>
  </sheetData>
  <mergeCells count="2">
    <mergeCell ref="B8:D8"/>
    <mergeCell ref="B5:D5"/>
  </mergeCells>
  <phoneticPr fontId="0" type="noConversion"/>
  <printOptions horizontalCentered="1"/>
  <pageMargins left="0.7" right="0.7" top="0.75" bottom="0.75" header="0.3" footer="0.3"/>
  <pageSetup scale="68" firstPageNumber="2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9819" r:id="rId4" name="Button 13387">
              <controlPr defaultSize="0" print="0" autoFill="0" autoPict="0" macro="[0]!Macro5">
                <anchor moveWithCells="1" sizeWithCells="1">
                  <from>
                    <xdr:col>3</xdr:col>
                    <xdr:colOff>1752600</xdr:colOff>
                    <xdr:row>0</xdr:row>
                    <xdr:rowOff>9525</xdr:rowOff>
                  </from>
                  <to>
                    <xdr:col>3</xdr:col>
                    <xdr:colOff>1752600</xdr:colOff>
                    <xdr:row>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59" r:id="rId5" name="Button 13427">
              <controlPr defaultSize="0" print="0" autoFill="0" autoPict="0">
                <anchor moveWithCells="1" sizeWithCells="1">
                  <from>
                    <xdr:col>3</xdr:col>
                    <xdr:colOff>2505075</xdr:colOff>
                    <xdr:row>34</xdr:row>
                    <xdr:rowOff>38100</xdr:rowOff>
                  </from>
                  <to>
                    <xdr:col>3</xdr:col>
                    <xdr:colOff>2505075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72" r:id="rId6" name="Button 13740">
              <controlPr defaultSize="0" print="0" autoFill="0" autoPict="0" macro="[0]!Macro5">
                <anchor moveWithCells="1" sizeWithCells="1">
                  <from>
                    <xdr:col>3</xdr:col>
                    <xdr:colOff>1752600</xdr:colOff>
                    <xdr:row>0</xdr:row>
                    <xdr:rowOff>9525</xdr:rowOff>
                  </from>
                  <to>
                    <xdr:col>3</xdr:col>
                    <xdr:colOff>1752600</xdr:colOff>
                    <xdr:row>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74" r:id="rId7" name="Button 13742">
              <controlPr defaultSize="0" print="0" autoFill="0" autoPict="0">
                <anchor moveWithCells="1" sizeWithCells="1">
                  <from>
                    <xdr:col>3</xdr:col>
                    <xdr:colOff>2505075</xdr:colOff>
                    <xdr:row>34</xdr:row>
                    <xdr:rowOff>38100</xdr:rowOff>
                  </from>
                  <to>
                    <xdr:col>3</xdr:col>
                    <xdr:colOff>2505075</xdr:colOff>
                    <xdr:row>34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>
    <tabColor rgb="FF92D050"/>
    <pageSetUpPr fitToPage="1"/>
  </sheetPr>
  <dimension ref="B1:U75"/>
  <sheetViews>
    <sheetView view="pageBreakPreview" topLeftCell="A3" zoomScale="60" zoomScaleNormal="80" workbookViewId="0">
      <selection activeCell="G3" sqref="G3"/>
    </sheetView>
  </sheetViews>
  <sheetFormatPr defaultColWidth="9.140625" defaultRowHeight="12.75"/>
  <cols>
    <col min="1" max="1" width="4.7109375" customWidth="1"/>
    <col min="2" max="2" width="34" customWidth="1"/>
    <col min="3" max="3" width="15" customWidth="1"/>
    <col min="4" max="5" width="15.85546875" hidden="1" customWidth="1"/>
    <col min="6" max="6" width="15.85546875" customWidth="1"/>
    <col min="7" max="7" width="14" customWidth="1"/>
    <col min="8" max="8" width="14" bestFit="1" customWidth="1"/>
    <col min="9" max="9" width="4.7109375" customWidth="1"/>
    <col min="10" max="10" width="3.7109375" customWidth="1"/>
    <col min="11" max="11" width="29" bestFit="1" customWidth="1"/>
    <col min="12" max="12" width="15.140625" bestFit="1" customWidth="1"/>
    <col min="13" max="13" width="1.7109375" customWidth="1"/>
    <col min="14" max="14" width="14" customWidth="1"/>
    <col min="15" max="18" width="11.7109375" customWidth="1"/>
    <col min="19" max="19" width="16" bestFit="1" customWidth="1"/>
    <col min="20" max="20" width="13.85546875" customWidth="1"/>
    <col min="24" max="24" width="17.28515625" bestFit="1" customWidth="1"/>
    <col min="25" max="25" width="13.42578125" bestFit="1" customWidth="1"/>
    <col min="27" max="27" width="12.7109375" bestFit="1" customWidth="1"/>
    <col min="28" max="28" width="11.42578125" bestFit="1" customWidth="1"/>
    <col min="29" max="29" width="9.5703125" bestFit="1" customWidth="1"/>
    <col min="30" max="30" width="9.28515625" bestFit="1" customWidth="1"/>
    <col min="31" max="31" width="12.140625" bestFit="1" customWidth="1"/>
    <col min="32" max="32" width="16" bestFit="1" customWidth="1"/>
    <col min="33" max="33" width="14.140625" bestFit="1" customWidth="1"/>
  </cols>
  <sheetData>
    <row r="1" spans="2:21">
      <c r="B1" s="12" t="str">
        <f>'Control Panel'!$B$2</f>
        <v>Utah - June 2023 Adjusted Avg Results</v>
      </c>
      <c r="E1" s="63"/>
      <c r="K1" s="221"/>
      <c r="L1" s="1"/>
      <c r="M1" s="1"/>
      <c r="N1" s="1"/>
      <c r="O1" s="1"/>
      <c r="P1" s="70"/>
      <c r="Q1" s="1"/>
      <c r="R1" s="1"/>
      <c r="S1" s="1"/>
      <c r="T1" s="153"/>
    </row>
    <row r="2" spans="2:21">
      <c r="B2" s="12" t="str">
        <f>'Control Panel'!$B$3</f>
        <v>12 Months Ended : Jun-2023</v>
      </c>
    </row>
    <row r="3" spans="2:21">
      <c r="B3" s="12" t="str">
        <f>'Control Panel'!$B$4</f>
        <v>Capital Structure : AVG CAP STR</v>
      </c>
    </row>
    <row r="4" spans="2:21">
      <c r="B4" s="12"/>
      <c r="C4" s="1103"/>
      <c r="D4" s="1103"/>
      <c r="E4" s="214"/>
      <c r="F4" s="214"/>
    </row>
    <row r="5" spans="2:21">
      <c r="C5" s="81"/>
      <c r="E5" s="1"/>
    </row>
    <row r="7" spans="2:21">
      <c r="C7" s="70" t="s">
        <v>739</v>
      </c>
      <c r="D7" s="70"/>
      <c r="E7" s="2"/>
      <c r="F7" s="2"/>
      <c r="J7" s="221" t="s">
        <v>781</v>
      </c>
      <c r="K7" s="221"/>
      <c r="L7" s="221"/>
    </row>
    <row r="8" spans="2:21">
      <c r="C8" s="2" t="s">
        <v>732</v>
      </c>
      <c r="D8" s="2" t="s">
        <v>733</v>
      </c>
      <c r="E8" s="2" t="s">
        <v>734</v>
      </c>
      <c r="F8" s="2" t="s">
        <v>733</v>
      </c>
      <c r="G8" s="2"/>
      <c r="J8" s="1117" t="s">
        <v>876</v>
      </c>
      <c r="K8" s="1117" t="s">
        <v>876</v>
      </c>
      <c r="L8" s="2" t="s">
        <v>732</v>
      </c>
      <c r="M8" s="2"/>
      <c r="N8" s="2" t="s">
        <v>733</v>
      </c>
      <c r="O8" s="2" t="s">
        <v>734</v>
      </c>
      <c r="P8" s="2" t="s">
        <v>735</v>
      </c>
      <c r="Q8" s="2" t="s">
        <v>720</v>
      </c>
      <c r="R8" s="2" t="s">
        <v>721</v>
      </c>
      <c r="S8" s="2" t="s">
        <v>510</v>
      </c>
      <c r="T8" s="2" t="s">
        <v>709</v>
      </c>
    </row>
    <row r="9" spans="2:21">
      <c r="C9" s="3" t="s">
        <v>42</v>
      </c>
      <c r="D9" s="222" t="s">
        <v>12</v>
      </c>
      <c r="E9" s="222" t="s">
        <v>23</v>
      </c>
      <c r="F9" s="222" t="str">
        <f>'Control Panel'!F11</f>
        <v>Utah</v>
      </c>
      <c r="G9" s="222"/>
      <c r="J9" s="1117" t="s">
        <v>877</v>
      </c>
      <c r="K9" s="1117"/>
      <c r="L9" s="44"/>
    </row>
    <row r="10" spans="2:21" ht="13.5" thickBot="1">
      <c r="C10" s="3" t="s">
        <v>145</v>
      </c>
      <c r="D10" s="3" t="s">
        <v>45</v>
      </c>
      <c r="E10" s="72" t="s">
        <v>45</v>
      </c>
      <c r="F10" s="72" t="s">
        <v>45</v>
      </c>
      <c r="G10" s="3"/>
      <c r="J10" s="45" t="s">
        <v>1271</v>
      </c>
      <c r="K10" s="223"/>
      <c r="L10" s="95" t="s">
        <v>145</v>
      </c>
      <c r="M10" s="95"/>
      <c r="N10" s="95" t="s">
        <v>28</v>
      </c>
      <c r="O10" s="95" t="s">
        <v>414</v>
      </c>
      <c r="P10" s="95" t="s">
        <v>724</v>
      </c>
      <c r="Q10" s="95" t="s">
        <v>725</v>
      </c>
      <c r="R10" s="95" t="s">
        <v>726</v>
      </c>
      <c r="S10" s="95" t="s">
        <v>12</v>
      </c>
      <c r="T10" s="95" t="s">
        <v>23</v>
      </c>
    </row>
    <row r="11" spans="2:21">
      <c r="B11" s="404" t="s">
        <v>556</v>
      </c>
      <c r="C11" s="405"/>
      <c r="D11" s="405"/>
      <c r="E11" s="392"/>
      <c r="F11" s="392"/>
      <c r="G11" s="396"/>
      <c r="I11" s="3">
        <v>1</v>
      </c>
      <c r="J11" s="224" t="s">
        <v>3</v>
      </c>
      <c r="K11" s="224"/>
      <c r="L11" s="909"/>
      <c r="M11" s="63"/>
      <c r="N11" s="910">
        <f>[15]Taxes!$N$34</f>
        <v>4.5499999999999999E-2</v>
      </c>
      <c r="O11" s="805">
        <f>[15]Taxes!$O$34</f>
        <v>6.5000000000000002E-2</v>
      </c>
      <c r="P11" s="805">
        <f>[15]Taxes!$P$34</f>
        <v>6.7500000000000004E-2</v>
      </c>
      <c r="Q11" s="805">
        <f>[15]Taxes!$Q$34</f>
        <v>0</v>
      </c>
      <c r="R11" s="805">
        <f>[15]Taxes!$R$34</f>
        <v>5.8999999999999997E-2</v>
      </c>
      <c r="S11" s="805">
        <f>[15]Taxes!$S$34</f>
        <v>4.8500000000000001E-2</v>
      </c>
      <c r="T11" s="805">
        <f>[15]Taxes!$T$34</f>
        <v>0</v>
      </c>
    </row>
    <row r="12" spans="2:21">
      <c r="B12" s="401" t="s">
        <v>518</v>
      </c>
      <c r="C12" s="369">
        <f>$L$20</f>
        <v>0.21</v>
      </c>
      <c r="D12" s="369">
        <f>$L$20</f>
        <v>0.21</v>
      </c>
      <c r="E12" s="369">
        <f>$L$20</f>
        <v>0.21</v>
      </c>
      <c r="F12" s="369">
        <f>HLOOKUP($F$9,Taxes,4)</f>
        <v>0.21</v>
      </c>
      <c r="G12" s="501" t="s">
        <v>558</v>
      </c>
      <c r="I12" s="3">
        <v>2</v>
      </c>
      <c r="J12" t="s">
        <v>778</v>
      </c>
      <c r="L12" s="463"/>
      <c r="M12" s="63"/>
      <c r="N12" s="63"/>
      <c r="O12" s="63"/>
      <c r="P12" s="63"/>
      <c r="Q12" s="63"/>
      <c r="R12" s="63"/>
      <c r="S12" s="63"/>
      <c r="T12" s="63"/>
    </row>
    <row r="13" spans="2:21">
      <c r="B13" s="401" t="s">
        <v>519</v>
      </c>
      <c r="C13" s="81">
        <f>$L$18</f>
        <v>4.6248243184999996E-2</v>
      </c>
      <c r="D13" s="81">
        <f>$L$18</f>
        <v>4.6248243184999996E-2</v>
      </c>
      <c r="E13" s="81">
        <f>$L$18</f>
        <v>4.6248243184999996E-2</v>
      </c>
      <c r="F13" s="81">
        <f>HLOOKUP($F$9,Taxes,5)</f>
        <v>4.6248243184999996E-2</v>
      </c>
      <c r="G13" s="458" t="s">
        <v>559</v>
      </c>
      <c r="I13" s="3">
        <v>3</v>
      </c>
      <c r="K13" s="226" t="s">
        <v>878</v>
      </c>
      <c r="L13" s="100"/>
      <c r="M13" s="63"/>
      <c r="N13" s="100"/>
      <c r="O13" s="100"/>
      <c r="P13" s="100"/>
      <c r="Q13" s="100"/>
      <c r="R13" s="100"/>
      <c r="S13" s="100"/>
      <c r="T13" s="100"/>
      <c r="U13" s="1"/>
    </row>
    <row r="14" spans="2:21">
      <c r="B14" s="401" t="s">
        <v>520</v>
      </c>
      <c r="C14" s="81">
        <f>'Capital Str'!$D$7</f>
        <v>0.4459572910494003</v>
      </c>
      <c r="D14" s="81">
        <f>'Capital Str'!$D$7</f>
        <v>0.4459572910494003</v>
      </c>
      <c r="E14" s="81">
        <f>'Capital Str'!$D$7</f>
        <v>0.4459572910494003</v>
      </c>
      <c r="F14" s="81">
        <f>HLOOKUP($F$9,Taxes,6)</f>
        <v>0.4459572910494003</v>
      </c>
      <c r="G14" s="502" t="s">
        <v>560</v>
      </c>
      <c r="I14" s="3">
        <v>4</v>
      </c>
      <c r="K14" s="1" t="s">
        <v>727</v>
      </c>
      <c r="L14" s="100"/>
      <c r="M14" s="63"/>
      <c r="N14" s="100"/>
      <c r="O14" s="100"/>
      <c r="P14" s="100"/>
      <c r="Q14" s="100"/>
      <c r="R14" s="100"/>
      <c r="S14" s="100"/>
      <c r="T14" s="100"/>
      <c r="U14" s="1"/>
    </row>
    <row r="15" spans="2:21">
      <c r="B15" s="401" t="s">
        <v>521</v>
      </c>
      <c r="C15" s="81">
        <f>'Capital Str'!$E$7</f>
        <v>4.7463418202658376E-2</v>
      </c>
      <c r="D15" s="81">
        <f>'Capital Str'!$E$7</f>
        <v>4.7463418202658376E-2</v>
      </c>
      <c r="E15" s="81">
        <f>'Capital Str'!$E$7</f>
        <v>4.7463418202658376E-2</v>
      </c>
      <c r="F15" s="81">
        <f>HLOOKUP($F$9,Taxes,7)</f>
        <v>4.7463418202658376E-2</v>
      </c>
      <c r="G15" s="502" t="s">
        <v>561</v>
      </c>
      <c r="I15" s="3">
        <v>5</v>
      </c>
      <c r="K15" s="1" t="s">
        <v>65</v>
      </c>
      <c r="L15" s="100"/>
      <c r="M15" s="63"/>
      <c r="N15" s="100"/>
      <c r="O15" s="100"/>
      <c r="P15" s="100"/>
      <c r="Q15" s="100"/>
      <c r="R15" s="100"/>
      <c r="S15" s="100"/>
      <c r="T15" s="100"/>
      <c r="U15" s="1"/>
    </row>
    <row r="16" spans="2:21">
      <c r="B16" s="401" t="s">
        <v>522</v>
      </c>
      <c r="C16" s="391">
        <f>'Control Panel'!$F$21</f>
        <v>8.35</v>
      </c>
      <c r="D16" s="391">
        <f>'Control Panel'!$F$21</f>
        <v>8.35</v>
      </c>
      <c r="E16" s="391">
        <f>'Control Panel'!$F$21</f>
        <v>8.35</v>
      </c>
      <c r="F16" s="391">
        <f>HLOOKUP($F$9,Taxes,8)</f>
        <v>8.35</v>
      </c>
      <c r="G16" s="458" t="s">
        <v>562</v>
      </c>
      <c r="I16" s="3">
        <v>6</v>
      </c>
      <c r="K16" s="1" t="s">
        <v>66</v>
      </c>
      <c r="L16" s="907"/>
      <c r="M16" s="63"/>
      <c r="N16" s="907"/>
      <c r="O16" s="907"/>
      <c r="P16" s="907"/>
      <c r="Q16" s="907"/>
      <c r="R16" s="907"/>
      <c r="S16" s="907"/>
      <c r="T16" s="907"/>
      <c r="U16" s="153"/>
    </row>
    <row r="17" spans="2:21">
      <c r="B17" s="401" t="s">
        <v>731</v>
      </c>
      <c r="C17" s="130">
        <f>'ROR-Model'!I512</f>
        <v>1570910292.7485986</v>
      </c>
      <c r="D17" s="130">
        <f>'ROR-Model'!M512</f>
        <v>1523142883.0840309</v>
      </c>
      <c r="E17" s="130">
        <f>'ROR-Model'!N512-'ROR-Model'!N325</f>
        <v>47629085.23456762</v>
      </c>
      <c r="F17" s="130">
        <f>HLOOKUP($F$9,Taxes,9)</f>
        <v>1523142883.0840309</v>
      </c>
      <c r="G17" s="503" t="s">
        <v>563</v>
      </c>
      <c r="H17" s="130"/>
      <c r="I17" s="3"/>
      <c r="L17" s="907"/>
      <c r="M17" s="63"/>
      <c r="N17" s="907"/>
      <c r="O17" s="907"/>
      <c r="P17" s="907"/>
      <c r="Q17" s="907"/>
      <c r="R17" s="907"/>
      <c r="S17" s="907"/>
      <c r="T17" s="907"/>
      <c r="U17" s="153"/>
    </row>
    <row r="18" spans="2:21">
      <c r="B18" s="401" t="s">
        <v>523</v>
      </c>
      <c r="C18" s="1">
        <f>'ROR-Model'!I640</f>
        <v>1092110789.0855567</v>
      </c>
      <c r="D18" s="1">
        <f>'ROR-Model'!M640</f>
        <v>1058181609.0126004</v>
      </c>
      <c r="E18" s="1">
        <f>'ROR-Model'!N640</f>
        <v>33929180.072956301</v>
      </c>
      <c r="F18" s="1">
        <f>HLOOKUP($F$9,Taxes,10)</f>
        <v>1058181609.0126004</v>
      </c>
      <c r="G18" s="503" t="s">
        <v>564</v>
      </c>
      <c r="H18" s="130"/>
      <c r="I18" s="3">
        <v>7</v>
      </c>
      <c r="J18" s="226"/>
      <c r="K18" s="1" t="s">
        <v>879</v>
      </c>
      <c r="L18" s="908">
        <f>SUM(N18:T18)</f>
        <v>4.6248243184999996E-2</v>
      </c>
      <c r="M18" s="63"/>
      <c r="N18" s="908">
        <f>[15]Taxes!$N$36</f>
        <v>7.6443185000000006E-5</v>
      </c>
      <c r="O18" s="908">
        <f>[15]Taxes!$O$36</f>
        <v>8.7800000000000006E-5</v>
      </c>
      <c r="P18" s="908">
        <f>[15]Taxes!$P$36</f>
        <v>9.9999999999999995E-8</v>
      </c>
      <c r="Q18" s="908">
        <f>[15]Taxes!$Q$36</f>
        <v>0</v>
      </c>
      <c r="R18" s="908">
        <f>[15]Taxes!$R$36</f>
        <v>1.1999999999999999E-6</v>
      </c>
      <c r="S18" s="908">
        <f>[15]Taxes!$S$36</f>
        <v>4.6082699999999997E-2</v>
      </c>
      <c r="T18" s="908">
        <f>[15]Taxes!$T$36</f>
        <v>0</v>
      </c>
    </row>
    <row r="19" spans="2:21">
      <c r="B19" s="401" t="s">
        <v>455</v>
      </c>
      <c r="C19" s="1">
        <f>'ROR-Model'!I905</f>
        <v>140454645.62287927</v>
      </c>
      <c r="D19" s="1">
        <f>'ROR-Model'!Q905</f>
        <v>135198455.70663941</v>
      </c>
      <c r="E19" s="1">
        <f>'ROR-Model'!N905</f>
        <v>5256189.9162398949</v>
      </c>
      <c r="F19" s="1">
        <f>HLOOKUP($F$9,Taxes,11)</f>
        <v>135198455.70663941</v>
      </c>
      <c r="G19" s="503" t="s">
        <v>565</v>
      </c>
      <c r="H19" s="80"/>
      <c r="I19" s="3"/>
      <c r="N19" s="63"/>
      <c r="O19" s="63"/>
      <c r="P19" s="63"/>
      <c r="Q19" s="63"/>
      <c r="R19" s="63"/>
      <c r="S19" s="63"/>
      <c r="T19" s="98"/>
    </row>
    <row r="20" spans="2:21">
      <c r="B20" s="401" t="s">
        <v>524</v>
      </c>
      <c r="C20" s="1">
        <f>'ROR-Model'!I917</f>
        <v>95519010.379999995</v>
      </c>
      <c r="D20" s="1">
        <f>'ROR-Model'!Q917</f>
        <v>92735986.390182748</v>
      </c>
      <c r="E20" s="1">
        <f>'ROR-Model'!W917</f>
        <v>92735986.390182748</v>
      </c>
      <c r="F20" s="1">
        <f>HLOOKUP($F$9,Taxes,12)</f>
        <v>92735986.390182748</v>
      </c>
      <c r="G20" s="503" t="s">
        <v>566</v>
      </c>
      <c r="H20" s="130"/>
      <c r="I20" s="3">
        <v>8</v>
      </c>
      <c r="J20" s="43" t="s">
        <v>212</v>
      </c>
      <c r="K20" s="28"/>
      <c r="L20" s="504">
        <f>0.21</f>
        <v>0.21</v>
      </c>
    </row>
    <row r="21" spans="2:21" ht="13.5" thickBot="1">
      <c r="B21" s="401" t="s">
        <v>525</v>
      </c>
      <c r="C21" s="1">
        <f>'ROR-Model'!I924</f>
        <v>0</v>
      </c>
      <c r="D21" s="1">
        <f>'ROR-Model'!Q924</f>
        <v>0</v>
      </c>
      <c r="E21" s="1">
        <f>'ROR-Model'!W924</f>
        <v>0</v>
      </c>
      <c r="F21" s="1">
        <f>HLOOKUP($F$9,Taxes,13)</f>
        <v>0</v>
      </c>
      <c r="G21" s="503" t="s">
        <v>567</v>
      </c>
      <c r="H21" s="78"/>
      <c r="I21" s="3"/>
      <c r="L21" s="79"/>
      <c r="N21" s="225"/>
      <c r="O21" s="225"/>
      <c r="P21" s="225"/>
      <c r="Q21" s="225"/>
      <c r="R21" s="225"/>
      <c r="S21" s="225"/>
    </row>
    <row r="22" spans="2:21" ht="13.5" thickTop="1">
      <c r="B22" s="401" t="s">
        <v>526</v>
      </c>
      <c r="C22" s="1">
        <f>'ROR-Model'!I934</f>
        <v>26718468.590000004</v>
      </c>
      <c r="D22" s="1">
        <f>'ROR-Model'!Q934</f>
        <v>25460396.375659976</v>
      </c>
      <c r="E22" s="1">
        <f>'ROR-Model'!W934</f>
        <v>25460396.375659976</v>
      </c>
      <c r="F22" s="1">
        <f>HLOOKUP($F$9,Taxes,14)</f>
        <v>25460396.375659976</v>
      </c>
      <c r="G22" s="503" t="s">
        <v>568</v>
      </c>
      <c r="I22" s="3"/>
    </row>
    <row r="23" spans="2:21">
      <c r="B23" s="401" t="s">
        <v>527</v>
      </c>
      <c r="C23" s="1">
        <f>'ROR-Model'!I1241</f>
        <v>2423105591.6283364</v>
      </c>
      <c r="D23" s="1">
        <f>'ROR-Model'!Q1241</f>
        <v>2354137853.6979876</v>
      </c>
      <c r="E23" s="1">
        <f>'ROR-Model'!W1241</f>
        <v>2354137853.6979876</v>
      </c>
      <c r="F23" s="1">
        <f>HLOOKUP($F$9,Taxes,15)</f>
        <v>2354137853.6979876</v>
      </c>
      <c r="G23" s="503" t="s">
        <v>569</v>
      </c>
      <c r="I23" s="3">
        <v>9</v>
      </c>
      <c r="J23" s="228" t="s">
        <v>784</v>
      </c>
      <c r="K23" s="228"/>
      <c r="L23" s="370">
        <f>L20*(1-L18)+L18</f>
        <v>0.24653611211615001</v>
      </c>
      <c r="M23" s="229"/>
      <c r="N23" s="230" t="s">
        <v>782</v>
      </c>
      <c r="O23" s="231"/>
    </row>
    <row r="24" spans="2:21">
      <c r="B24" s="401" t="s">
        <v>553</v>
      </c>
      <c r="C24" s="1">
        <v>0</v>
      </c>
      <c r="D24" s="1">
        <f>'ROR-Model'!W958</f>
        <v>0</v>
      </c>
      <c r="E24" s="1">
        <f>'ROR-Model'!X958</f>
        <v>0</v>
      </c>
      <c r="F24" s="1">
        <f>HLOOKUP($F$9,Taxes,16)</f>
        <v>0</v>
      </c>
      <c r="G24" s="503" t="s">
        <v>570</v>
      </c>
      <c r="I24" s="3"/>
      <c r="J24" s="45" t="s">
        <v>1272</v>
      </c>
      <c r="L24" s="229"/>
    </row>
    <row r="25" spans="2:21">
      <c r="B25" s="401" t="s">
        <v>528</v>
      </c>
      <c r="C25" s="1">
        <f>'ROR-Model'!I960</f>
        <v>0</v>
      </c>
      <c r="D25" s="1">
        <f>'ROR-Model'!W960</f>
        <v>0</v>
      </c>
      <c r="E25" s="1">
        <f>'ROR-Model'!X960</f>
        <v>0</v>
      </c>
      <c r="F25" s="1">
        <f>HLOOKUP($F$9,Taxes,17)</f>
        <v>0</v>
      </c>
      <c r="G25" s="503" t="s">
        <v>571</v>
      </c>
      <c r="I25" s="3"/>
    </row>
    <row r="26" spans="2:21">
      <c r="B26" s="401" t="s">
        <v>529</v>
      </c>
      <c r="C26" s="44" t="s">
        <v>530</v>
      </c>
      <c r="D26" s="227"/>
      <c r="E26" s="227"/>
      <c r="F26" s="227"/>
      <c r="G26" s="263"/>
      <c r="I26" s="3">
        <v>10</v>
      </c>
      <c r="J26" s="45" t="s">
        <v>779</v>
      </c>
      <c r="K26" s="70"/>
      <c r="L26" s="3" t="s">
        <v>515</v>
      </c>
      <c r="M26" s="107"/>
      <c r="N26" s="3" t="s">
        <v>419</v>
      </c>
    </row>
    <row r="27" spans="2:21">
      <c r="B27" s="401" t="s">
        <v>531</v>
      </c>
      <c r="C27" s="44" t="s">
        <v>532</v>
      </c>
      <c r="D27" s="227"/>
      <c r="E27" s="227"/>
      <c r="F27" s="227"/>
      <c r="G27" s="398"/>
      <c r="I27" s="3">
        <v>11</v>
      </c>
      <c r="K27" s="11" t="s">
        <v>780</v>
      </c>
      <c r="L27" s="232">
        <f>(Taxes!$L$23/(1-Taxes!$L$23))</f>
        <v>0.3272036206122127</v>
      </c>
      <c r="N27" s="232">
        <f>(Taxes!$L$20/(1-Taxes!$L$20))</f>
        <v>0.26582278481012656</v>
      </c>
      <c r="O27" s="11" t="s">
        <v>785</v>
      </c>
    </row>
    <row r="28" spans="2:21">
      <c r="B28" s="401" t="s">
        <v>533</v>
      </c>
      <c r="D28" s="227"/>
      <c r="E28" s="227"/>
      <c r="F28" s="227"/>
      <c r="G28" s="394"/>
      <c r="I28" s="3">
        <v>12</v>
      </c>
      <c r="K28" t="s">
        <v>489</v>
      </c>
      <c r="L28" s="232">
        <f>1/(1-Taxes!$L$23)</f>
        <v>1.3272036206122126</v>
      </c>
      <c r="N28" s="232">
        <f>1/(1-Taxes!$L$20)</f>
        <v>1.2658227848101264</v>
      </c>
      <c r="O28" s="11" t="s">
        <v>786</v>
      </c>
    </row>
    <row r="29" spans="2:21">
      <c r="B29" s="401" t="s">
        <v>534</v>
      </c>
      <c r="C29" s="1">
        <f>($C16/365)*(C18+C19+C22)</f>
        <v>28808275.596005313</v>
      </c>
      <c r="D29" s="1">
        <f>($D16/365)*(D18+D19+D22)</f>
        <v>27883062.603129894</v>
      </c>
      <c r="E29" s="1">
        <f>($D16/365)*(E18+E19+E22)</f>
        <v>1478882.600401504</v>
      </c>
      <c r="F29" s="1">
        <f>HLOOKUP($F$9,Taxes,21)</f>
        <v>27883062.603129894</v>
      </c>
      <c r="G29" s="235"/>
      <c r="I29" s="3">
        <v>13</v>
      </c>
      <c r="K29" s="11" t="s">
        <v>783</v>
      </c>
      <c r="L29" s="232">
        <f>[15]Taxes!$L$47</f>
        <v>1.3298325040397692</v>
      </c>
      <c r="N29" s="232">
        <f>[15]Taxes!$N$47</f>
        <v>1.2683300869976202</v>
      </c>
      <c r="O29" s="11" t="s">
        <v>10</v>
      </c>
    </row>
    <row r="30" spans="2:21">
      <c r="B30" s="401" t="s">
        <v>535</v>
      </c>
      <c r="C30" s="1">
        <f>($C13+$C12*(1-$C13))*(C17-SUM(C18:C22)-$C15*$C14*C23)</f>
        <v>40633671.061391093</v>
      </c>
      <c r="D30" s="1">
        <f>($C13+$C12*(1-$C13))*(D17-SUM(D18:D22)-$C15*$C14*D23)</f>
        <v>39874061.99224101</v>
      </c>
      <c r="E30" s="1">
        <f>($C13+$C12*(1-$C13))*(E17-SUM(E18:E22)-$C15*$C14*E23)</f>
        <v>-39342700.439469032</v>
      </c>
      <c r="F30" s="1">
        <f>HLOOKUP($F$9,Taxes,22)</f>
        <v>39874061.99224101</v>
      </c>
      <c r="G30" s="235"/>
      <c r="I30" s="3">
        <v>14</v>
      </c>
      <c r="K30" t="s">
        <v>541</v>
      </c>
      <c r="L30" s="232">
        <f>L29-1</f>
        <v>0.32983250403976916</v>
      </c>
      <c r="N30" s="232">
        <f>N29-1</f>
        <v>0.26833008699762018</v>
      </c>
    </row>
    <row r="31" spans="2:21">
      <c r="B31" s="401" t="s">
        <v>536</v>
      </c>
      <c r="C31" s="1"/>
      <c r="D31" s="1"/>
      <c r="E31" s="1"/>
      <c r="F31" s="1"/>
      <c r="G31" s="235"/>
    </row>
    <row r="32" spans="2:21">
      <c r="B32" s="505" t="s">
        <v>537</v>
      </c>
      <c r="C32" s="1">
        <f>(C29+($C16/365)*C30)/(1+($C16/365)*($C13+$C12*(1-$C13))*$C15*$C14)</f>
        <v>29734290.762119487</v>
      </c>
      <c r="D32" s="1">
        <f>(D29+($C16/365)*D30)/(1+($C16/365)*($C13+$C12*(1-$C13))*$C15*$C14)</f>
        <v>28791812.922759615</v>
      </c>
      <c r="E32" s="1">
        <f>(E29+($C16/365)*E30)/(1+($C16/365)*($C13+$C12*(1-$C13))*$C15*$C14)</f>
        <v>578781.86604951438</v>
      </c>
      <c r="F32" s="1">
        <f>HLOOKUP($F$9,Taxes,24)</f>
        <v>28791812.922759615</v>
      </c>
      <c r="G32" s="235"/>
    </row>
    <row r="33" spans="2:14">
      <c r="B33" s="401" t="s">
        <v>538</v>
      </c>
      <c r="C33" s="1">
        <f>$C13*(C17-SUM(C18:C22)-$C15*$C14*(C23+C32))</f>
        <v>7593450.8397837095</v>
      </c>
      <c r="D33" s="1">
        <f>$C13*(D17-SUM(D18:D22)-$C15*$C14*(D23+D32))</f>
        <v>7451876.7405319335</v>
      </c>
      <c r="E33" s="1">
        <f>$C13*(E17-SUM(E18:E22)-$C15*$C14*(E23+E32))</f>
        <v>-7380948.9598708367</v>
      </c>
      <c r="F33" s="1">
        <f>HLOOKUP($F$9,Taxes,25)</f>
        <v>7451876.7405319335</v>
      </c>
      <c r="G33" s="235"/>
      <c r="L33" s="80"/>
      <c r="N33" s="80"/>
    </row>
    <row r="34" spans="2:14">
      <c r="B34" s="401" t="s">
        <v>539</v>
      </c>
      <c r="C34" s="1">
        <f>$C12*(C17-SUM(C18:C22)-$C15*$C14*(C23+C32)-C33)-C24-C25</f>
        <v>32885056.421494655</v>
      </c>
      <c r="D34" s="1">
        <f>$C12*(D17-SUM(D18:D22)-$C15*$C14*(D23+D32)-D33)-D24-D25</f>
        <v>32271939.626515899</v>
      </c>
      <c r="E34" s="1">
        <f>$C12*(E17-SUM(E18:E22)-$C15*$C14*(E23+E32)-E33)-E24-E25</f>
        <v>-31964771.763299964</v>
      </c>
      <c r="F34" s="1">
        <f>HLOOKUP($F$9,Taxes,26)</f>
        <v>32271939.626515899</v>
      </c>
      <c r="G34" s="235"/>
    </row>
    <row r="35" spans="2:14">
      <c r="B35" s="401" t="s">
        <v>540</v>
      </c>
      <c r="C35" s="130">
        <f>C34+C33+C25+C24</f>
        <v>40478507.261278361</v>
      </c>
      <c r="D35" s="793">
        <f>D34+D33+D25+D24</f>
        <v>39723816.367047831</v>
      </c>
      <c r="E35" s="790">
        <f>E34+E33+E25+E24</f>
        <v>-39345720.723170802</v>
      </c>
      <c r="F35" s="130">
        <f>HLOOKUP($F$9,Taxes,27)</f>
        <v>39723816.367047831</v>
      </c>
      <c r="G35" s="393"/>
      <c r="L35" s="78"/>
    </row>
    <row r="36" spans="2:14" ht="13.5" thickBot="1">
      <c r="B36" s="110"/>
      <c r="C36" s="79"/>
      <c r="G36" s="393"/>
      <c r="N36" s="78"/>
    </row>
    <row r="37" spans="2:14" ht="13.5" thickTop="1">
      <c r="B37" s="110"/>
      <c r="G37" s="393"/>
      <c r="L37" s="78"/>
    </row>
    <row r="38" spans="2:14">
      <c r="B38" s="110" t="s">
        <v>627</v>
      </c>
      <c r="C38" s="1">
        <f>SUM('ROR-Model'!F936:G945)</f>
        <v>34798577.043037429</v>
      </c>
      <c r="G38" s="393"/>
      <c r="L38" s="78"/>
      <c r="N38" s="78"/>
    </row>
    <row r="39" spans="2:14" ht="13.5" thickBot="1">
      <c r="B39" s="113" t="s">
        <v>628</v>
      </c>
      <c r="C39" s="395">
        <f>C35-C38</f>
        <v>5679930.2182409316</v>
      </c>
      <c r="D39" s="75"/>
      <c r="E39" s="75"/>
      <c r="F39" s="75"/>
      <c r="G39" s="397"/>
      <c r="L39" s="866"/>
    </row>
    <row r="40" spans="2:14">
      <c r="B40" s="404" t="s">
        <v>557</v>
      </c>
      <c r="C40" s="405"/>
      <c r="D40" s="405"/>
      <c r="E40" s="408"/>
      <c r="F40" s="408"/>
      <c r="G40" s="227"/>
      <c r="N40" s="78"/>
    </row>
    <row r="41" spans="2:14">
      <c r="B41" s="110" t="s">
        <v>617</v>
      </c>
      <c r="C41" s="1">
        <f>'ROR-Model'!I1273</f>
        <v>2452482677.1152353</v>
      </c>
      <c r="D41" s="1">
        <f>'ROR-Model'!Q1273</f>
        <v>2382929666.6207471</v>
      </c>
      <c r="E41" s="235">
        <f>'ROR-Model'!T1273</f>
        <v>70203387.228043586</v>
      </c>
      <c r="F41" s="235">
        <f>HLOOKUP($F$9,Taxes,33)</f>
        <v>2382929666.6207471</v>
      </c>
      <c r="G41" s="227"/>
    </row>
    <row r="42" spans="2:14">
      <c r="B42" s="110" t="s">
        <v>618</v>
      </c>
      <c r="C42" s="81">
        <f>Report!I77</f>
        <v>7.1612685972351042E-2</v>
      </c>
      <c r="D42" s="81">
        <f>D43/D41</f>
        <v>7.2114012276154119E-2</v>
      </c>
      <c r="E42" s="263">
        <f>E43/E41</f>
        <v>0.62347568369991513</v>
      </c>
      <c r="F42" s="263">
        <f>HLOOKUP($F$9,Taxes,34)</f>
        <v>7.2114012276154119E-2</v>
      </c>
      <c r="G42" s="1"/>
    </row>
    <row r="43" spans="2:14">
      <c r="B43" s="110" t="s">
        <v>619</v>
      </c>
      <c r="C43" s="46">
        <f>+C41*C42</f>
        <v>175628871.80888414</v>
      </c>
      <c r="D43" s="46">
        <f>'ROR-Model'!W512-'ROR-Model'!W956</f>
        <v>171842619.23190039</v>
      </c>
      <c r="E43" s="46">
        <f>'ROR-Model'!T512-'ROR-Model'!T956</f>
        <v>43770104.850054361</v>
      </c>
      <c r="F43" s="371">
        <f>HLOOKUP($F$9,Taxes,35)</f>
        <v>171842619.23190039</v>
      </c>
      <c r="G43" s="1"/>
    </row>
    <row r="44" spans="2:14">
      <c r="B44" s="110"/>
      <c r="E44" s="111"/>
      <c r="F44" s="111"/>
      <c r="G44" s="227"/>
    </row>
    <row r="45" spans="2:14">
      <c r="B45" s="110" t="s">
        <v>617</v>
      </c>
      <c r="C45" s="1">
        <f>C41</f>
        <v>2452482677.1152353</v>
      </c>
      <c r="D45" s="1">
        <f>D41</f>
        <v>2382929666.6207471</v>
      </c>
      <c r="E45" s="235">
        <f>E41</f>
        <v>70203387.228043586</v>
      </c>
      <c r="F45" s="235">
        <f>HLOOKUP($F$9,Taxes,37)</f>
        <v>2382929666.6207471</v>
      </c>
      <c r="G45" s="1"/>
    </row>
    <row r="46" spans="2:14">
      <c r="B46" s="110" t="s">
        <v>620</v>
      </c>
      <c r="C46" s="81">
        <f>+'Capital Str'!$H$12</f>
        <v>2.1166657405602324E-2</v>
      </c>
      <c r="D46" s="81">
        <f>+'Capital Str'!$H$12</f>
        <v>2.1166657405602324E-2</v>
      </c>
      <c r="E46" s="263">
        <f>+'Capital Str'!$H$12</f>
        <v>2.1166657405602324E-2</v>
      </c>
      <c r="F46" s="263">
        <f>HLOOKUP($F$9,Taxes,38)</f>
        <v>2.1166657405602324E-2</v>
      </c>
      <c r="G46" s="1"/>
    </row>
    <row r="47" spans="2:14">
      <c r="B47" s="110" t="s">
        <v>621</v>
      </c>
      <c r="C47" s="46">
        <f>+C45*C46</f>
        <v>51910860.619672611</v>
      </c>
      <c r="D47" s="46">
        <f>+D45*D46</f>
        <v>50438655.875007518</v>
      </c>
      <c r="E47" s="371">
        <f>+E45*E46</f>
        <v>1485971.0461688363</v>
      </c>
      <c r="F47" s="371">
        <f>HLOOKUP($F$9,Taxes,39)</f>
        <v>50438655.875007518</v>
      </c>
      <c r="G47" s="1"/>
    </row>
    <row r="48" spans="2:14">
      <c r="B48" s="110"/>
      <c r="E48" s="111"/>
      <c r="F48" s="111"/>
      <c r="G48" s="130"/>
    </row>
    <row r="49" spans="2:8">
      <c r="B49" s="110" t="s">
        <v>622</v>
      </c>
      <c r="C49" s="1">
        <f>+C43-C47</f>
        <v>123718011.18921153</v>
      </c>
      <c r="D49" s="1">
        <f>+D43-D47</f>
        <v>121403963.35689288</v>
      </c>
      <c r="E49" s="235">
        <f>+E43-E47</f>
        <v>42284133.803885527</v>
      </c>
      <c r="F49" s="235">
        <f>HLOOKUP($F$9,Taxes,41)</f>
        <v>121403963.35689288</v>
      </c>
    </row>
    <row r="50" spans="2:8">
      <c r="B50" s="110" t="s">
        <v>623</v>
      </c>
      <c r="C50" s="868">
        <f>$L$27</f>
        <v>0.3272036206122127</v>
      </c>
      <c r="D50" s="868">
        <f>$L$27</f>
        <v>0.3272036206122127</v>
      </c>
      <c r="E50" s="868">
        <f>$L$27</f>
        <v>0.3272036206122127</v>
      </c>
      <c r="F50" s="869">
        <f>HLOOKUP($F$9,Taxes,42)</f>
        <v>0.3272036206122127</v>
      </c>
      <c r="H50" s="872"/>
    </row>
    <row r="51" spans="2:8" ht="13.5" thickBot="1">
      <c r="B51" s="113" t="s">
        <v>626</v>
      </c>
      <c r="C51" s="867">
        <f>+C49*C50</f>
        <v>40480981.196052253</v>
      </c>
      <c r="D51" s="867">
        <f>+D49*D50</f>
        <v>39723816.367047749</v>
      </c>
      <c r="E51" s="274">
        <f>+E49*E50</f>
        <v>13835521.675082598</v>
      </c>
      <c r="F51" s="274">
        <f>HLOOKUP($F$9,Taxes,43)</f>
        <v>39723816.367047749</v>
      </c>
    </row>
    <row r="52" spans="2:8" ht="13.5" thickBot="1">
      <c r="B52" s="406" t="s">
        <v>572</v>
      </c>
      <c r="C52" s="407"/>
      <c r="D52" s="407"/>
      <c r="E52" s="409"/>
      <c r="F52" s="409"/>
      <c r="H52" s="130"/>
    </row>
    <row r="53" spans="2:8">
      <c r="B53" s="429" t="s">
        <v>453</v>
      </c>
      <c r="C53" s="399">
        <f t="shared" ref="C53:C58" si="0">C17</f>
        <v>1570910292.7485986</v>
      </c>
      <c r="D53" s="399">
        <f t="shared" ref="D53:E58" si="1">D17</f>
        <v>1523142883.0840309</v>
      </c>
      <c r="E53" s="402">
        <f t="shared" si="1"/>
        <v>47629085.23456762</v>
      </c>
      <c r="F53" s="402">
        <f>HLOOKUP($F$9,Taxes,45)</f>
        <v>1523142883.0840309</v>
      </c>
    </row>
    <row r="54" spans="2:8">
      <c r="B54" s="401" t="s">
        <v>437</v>
      </c>
      <c r="C54" s="1">
        <f t="shared" si="0"/>
        <v>1092110789.0855567</v>
      </c>
      <c r="D54" s="1">
        <f t="shared" si="1"/>
        <v>1058181609.0126004</v>
      </c>
      <c r="E54" s="235">
        <f t="shared" si="1"/>
        <v>33929180.072956301</v>
      </c>
      <c r="F54" s="235">
        <f>HLOOKUP($F$9,Taxes,46)</f>
        <v>1058181609.0126004</v>
      </c>
    </row>
    <row r="55" spans="2:8">
      <c r="B55" s="401" t="s">
        <v>455</v>
      </c>
      <c r="C55" s="1">
        <f t="shared" si="0"/>
        <v>140454645.62287927</v>
      </c>
      <c r="D55" s="1">
        <f>D19</f>
        <v>135198455.70663941</v>
      </c>
      <c r="E55" s="235">
        <f t="shared" si="1"/>
        <v>5256189.9162398949</v>
      </c>
      <c r="F55" s="235">
        <f>HLOOKUP($F$9,Taxes,47)</f>
        <v>135198455.70663941</v>
      </c>
    </row>
    <row r="56" spans="2:8">
      <c r="B56" s="401" t="s">
        <v>573</v>
      </c>
      <c r="C56" s="1">
        <f t="shared" si="0"/>
        <v>95519010.379999995</v>
      </c>
      <c r="D56" s="1">
        <f t="shared" si="1"/>
        <v>92735986.390182748</v>
      </c>
      <c r="E56" s="235">
        <f t="shared" si="1"/>
        <v>92735986.390182748</v>
      </c>
      <c r="F56" s="235">
        <f>HLOOKUP($F$9,Taxes,48)</f>
        <v>92735986.390182748</v>
      </c>
    </row>
    <row r="57" spans="2:8">
      <c r="B57" s="401" t="s">
        <v>525</v>
      </c>
      <c r="C57" s="1">
        <f t="shared" si="0"/>
        <v>0</v>
      </c>
      <c r="D57" s="1">
        <f t="shared" si="1"/>
        <v>0</v>
      </c>
      <c r="E57" s="235">
        <f t="shared" si="1"/>
        <v>0</v>
      </c>
      <c r="F57" s="235">
        <f>HLOOKUP($F$9,Taxes,49)</f>
        <v>0</v>
      </c>
    </row>
    <row r="58" spans="2:8">
      <c r="B58" s="506" t="s">
        <v>574</v>
      </c>
      <c r="C58" s="1">
        <f t="shared" si="0"/>
        <v>26718468.590000004</v>
      </c>
      <c r="D58" s="1">
        <f t="shared" si="1"/>
        <v>25460396.375659976</v>
      </c>
      <c r="E58" s="235">
        <f t="shared" si="1"/>
        <v>25460396.375659976</v>
      </c>
      <c r="F58" s="235">
        <f>HLOOKUP($F$9,Taxes,50)</f>
        <v>25460396.375659976</v>
      </c>
    </row>
    <row r="59" spans="2:8">
      <c r="B59" s="401" t="s">
        <v>575</v>
      </c>
      <c r="C59" s="130">
        <f>C53-SUM(C54:C58)</f>
        <v>216107379.07016253</v>
      </c>
      <c r="D59" s="130">
        <f>D53-SUM(D54:D58)</f>
        <v>211566435.59894848</v>
      </c>
      <c r="E59" s="394">
        <f>E53-SUM(E54:E58)</f>
        <v>-109752667.5204713</v>
      </c>
      <c r="F59" s="394">
        <f>HLOOKUP($F$9,Taxes,51)</f>
        <v>211566435.59894848</v>
      </c>
    </row>
    <row r="60" spans="2:8">
      <c r="B60" s="401"/>
      <c r="D60" s="130"/>
      <c r="E60" s="111"/>
      <c r="F60" s="111"/>
    </row>
    <row r="61" spans="2:8">
      <c r="B61" s="401" t="s">
        <v>686</v>
      </c>
      <c r="C61" s="1">
        <f>'ROR-Model'!I1273</f>
        <v>2452482677.1152353</v>
      </c>
      <c r="D61" s="1">
        <f>'ROR-Model'!M1273</f>
        <v>2382929666.6207471</v>
      </c>
      <c r="E61" s="235">
        <f>'ROR-Model'!T1273</f>
        <v>70203387.228043586</v>
      </c>
      <c r="F61" s="235">
        <f>HLOOKUP($F$9,Taxes,53)</f>
        <v>2382929666.6207471</v>
      </c>
    </row>
    <row r="62" spans="2:8">
      <c r="B62" s="506" t="s">
        <v>576</v>
      </c>
      <c r="C62" s="81">
        <f>C46</f>
        <v>2.1166657405602324E-2</v>
      </c>
      <c r="D62" s="81">
        <f>D46</f>
        <v>2.1166657405602324E-2</v>
      </c>
      <c r="E62" s="263">
        <f>E46</f>
        <v>2.1166657405602324E-2</v>
      </c>
      <c r="F62" s="263">
        <f>HLOOKUP($F$9,Taxes,54)</f>
        <v>2.1166657405602324E-2</v>
      </c>
    </row>
    <row r="63" spans="2:8">
      <c r="B63" s="507" t="s">
        <v>577</v>
      </c>
      <c r="C63" s="130">
        <f>C61*C62</f>
        <v>51910860.619672611</v>
      </c>
      <c r="D63" s="130">
        <f>D61*D62</f>
        <v>50438655.875007518</v>
      </c>
      <c r="E63" s="394">
        <f>E61*E62</f>
        <v>1485971.0461688363</v>
      </c>
      <c r="F63" s="394">
        <f>HLOOKUP($F$9,Taxes,55)</f>
        <v>50438655.875007518</v>
      </c>
    </row>
    <row r="64" spans="2:8">
      <c r="B64" s="506"/>
      <c r="E64" s="111"/>
      <c r="F64" s="111"/>
    </row>
    <row r="65" spans="2:6">
      <c r="B65" s="507" t="s">
        <v>578</v>
      </c>
      <c r="C65" s="130">
        <f>C59-C63</f>
        <v>164196518.45048994</v>
      </c>
      <c r="D65" s="130">
        <f>D59-D63</f>
        <v>161127779.72394097</v>
      </c>
      <c r="E65" s="394">
        <f>E59-E63</f>
        <v>-111238638.56664014</v>
      </c>
      <c r="F65" s="394">
        <f>HLOOKUP($F$9,Taxes,57)</f>
        <v>161127779.72394097</v>
      </c>
    </row>
    <row r="66" spans="2:6">
      <c r="B66" s="506" t="s">
        <v>519</v>
      </c>
      <c r="C66" s="400">
        <f>$L$18</f>
        <v>4.6248243184999996E-2</v>
      </c>
      <c r="D66" s="400">
        <f>$L$18</f>
        <v>4.6248243184999996E-2</v>
      </c>
      <c r="E66" s="403">
        <f>$L$18</f>
        <v>4.6248243184999996E-2</v>
      </c>
      <c r="F66" s="403">
        <f>HLOOKUP($F$9,Taxes,58)</f>
        <v>4.6248243184999996E-2</v>
      </c>
    </row>
    <row r="67" spans="2:6">
      <c r="B67" s="401" t="s">
        <v>579</v>
      </c>
      <c r="C67" s="130">
        <f>C65*C66</f>
        <v>7593800.5154285971</v>
      </c>
      <c r="D67" s="130">
        <f>D65*D66</f>
        <v>7451876.7405319335</v>
      </c>
      <c r="E67" s="394">
        <f>E65*E66</f>
        <v>-5144591.6079982929</v>
      </c>
      <c r="F67" s="394">
        <f>HLOOKUP($F$9,Taxes,59)</f>
        <v>7451876.7405319335</v>
      </c>
    </row>
    <row r="68" spans="2:6">
      <c r="B68" s="110"/>
      <c r="E68" s="111"/>
      <c r="F68" s="111"/>
    </row>
    <row r="69" spans="2:6">
      <c r="B69" s="507" t="s">
        <v>580</v>
      </c>
      <c r="C69" s="130">
        <f>C65-C67-(C24+C25)/C12</f>
        <v>156602717.93506134</v>
      </c>
      <c r="D69" s="130">
        <f>D65-D67-(D24+D25)/D12</f>
        <v>153675902.98340905</v>
      </c>
      <c r="E69" s="394">
        <f>E65-E67-(E24+E25)/E12</f>
        <v>-106094046.95864184</v>
      </c>
      <c r="F69" s="394">
        <f>HLOOKUP($F$9,Taxes,61)</f>
        <v>153675902.98340905</v>
      </c>
    </row>
    <row r="70" spans="2:6">
      <c r="B70" s="506" t="s">
        <v>518</v>
      </c>
      <c r="C70" s="400">
        <f>$L$20</f>
        <v>0.21</v>
      </c>
      <c r="D70" s="400">
        <f>$L$20</f>
        <v>0.21</v>
      </c>
      <c r="E70" s="403">
        <f>$L$20</f>
        <v>0.21</v>
      </c>
      <c r="F70" s="403">
        <f>HLOOKUP($F$9,Taxes,62)</f>
        <v>0.21</v>
      </c>
    </row>
    <row r="71" spans="2:6">
      <c r="B71" s="401" t="s">
        <v>581</v>
      </c>
      <c r="C71" s="130">
        <f>C69*C70</f>
        <v>32886570.766362879</v>
      </c>
      <c r="D71" s="130">
        <f>D69*D70</f>
        <v>32271939.626515899</v>
      </c>
      <c r="E71" s="394">
        <f>E69*E70</f>
        <v>-22279749.861314785</v>
      </c>
      <c r="F71" s="394">
        <f>HLOOKUP($F$9,Taxes,63)</f>
        <v>32271939.626515899</v>
      </c>
    </row>
    <row r="72" spans="2:6">
      <c r="B72" s="110"/>
      <c r="E72" s="111"/>
      <c r="F72" s="111"/>
    </row>
    <row r="73" spans="2:6">
      <c r="B73" s="401" t="s">
        <v>553</v>
      </c>
      <c r="C73" s="1">
        <f t="shared" ref="C73:E74" si="2">C24</f>
        <v>0</v>
      </c>
      <c r="D73" s="1">
        <f t="shared" si="2"/>
        <v>0</v>
      </c>
      <c r="E73" s="235">
        <f t="shared" si="2"/>
        <v>0</v>
      </c>
      <c r="F73" s="235">
        <f>HLOOKUP($F$9,Taxes,65)</f>
        <v>0</v>
      </c>
    </row>
    <row r="74" spans="2:6">
      <c r="B74" s="506" t="s">
        <v>528</v>
      </c>
      <c r="C74" s="1">
        <f t="shared" si="2"/>
        <v>0</v>
      </c>
      <c r="D74" s="1">
        <f t="shared" si="2"/>
        <v>0</v>
      </c>
      <c r="E74" s="235">
        <f t="shared" si="2"/>
        <v>0</v>
      </c>
      <c r="F74" s="235">
        <f>HLOOKUP($F$9,Taxes,66)</f>
        <v>0</v>
      </c>
    </row>
    <row r="75" spans="2:6" ht="13.5" thickBot="1">
      <c r="B75" s="430" t="s">
        <v>582</v>
      </c>
      <c r="C75" s="94">
        <f>C74+C73+C71+C67</f>
        <v>40480371.281791478</v>
      </c>
      <c r="D75" s="792">
        <f>D74+D73+D71+D67</f>
        <v>39723816.367047831</v>
      </c>
      <c r="E75" s="791">
        <f>E74+E73+E71+E67</f>
        <v>-27424341.469313078</v>
      </c>
      <c r="F75" s="274">
        <f>HLOOKUP($F$9,Taxes,67)</f>
        <v>39723816.367047831</v>
      </c>
    </row>
  </sheetData>
  <mergeCells count="3">
    <mergeCell ref="J8:K8"/>
    <mergeCell ref="C4:D4"/>
    <mergeCell ref="J9:K9"/>
  </mergeCells>
  <phoneticPr fontId="0" type="noConversion"/>
  <printOptions horizontalCentered="1"/>
  <pageMargins left="0.75" right="0.75" top="1" bottom="1" header="0.5" footer="0.5"/>
  <pageSetup scale="69" firstPageNumber="3" orientation="portrait" useFirstPageNumber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>
    <tabColor rgb="FFFFFF00"/>
  </sheetPr>
  <dimension ref="A1:BC282"/>
  <sheetViews>
    <sheetView zoomScale="80" zoomScaleNormal="80" zoomScaleSheetLayoutView="98" workbookViewId="0">
      <pane xSplit="7" ySplit="9" topLeftCell="R10" activePane="bottomRight" state="frozen"/>
      <selection activeCell="B1" sqref="B1"/>
      <selection pane="topRight" activeCell="H1" sqref="H1"/>
      <selection pane="bottomLeft" activeCell="B10" sqref="B10"/>
      <selection pane="bottomRight" activeCell="AD17" sqref="AD17"/>
    </sheetView>
  </sheetViews>
  <sheetFormatPr defaultColWidth="9.140625" defaultRowHeight="12.75"/>
  <cols>
    <col min="1" max="1" width="6.140625" bestFit="1" customWidth="1"/>
    <col min="2" max="2" width="8.7109375" customWidth="1"/>
    <col min="3" max="3" width="8.85546875" customWidth="1"/>
    <col min="4" max="4" width="5.7109375" customWidth="1"/>
    <col min="5" max="5" width="17.42578125" customWidth="1"/>
    <col min="6" max="7" width="19.28515625" hidden="1" customWidth="1"/>
    <col min="8" max="20" width="15.140625" bestFit="1" customWidth="1"/>
    <col min="21" max="21" width="1.42578125" customWidth="1"/>
    <col min="22" max="22" width="15.5703125" style="3" bestFit="1" customWidth="1"/>
    <col min="23" max="23" width="4.7109375" customWidth="1"/>
    <col min="24" max="24" width="3.5703125" customWidth="1"/>
    <col min="25" max="25" width="20.28515625" style="3" bestFit="1" customWidth="1"/>
    <col min="26" max="26" width="21.5703125" style="3" bestFit="1" customWidth="1"/>
    <col min="27" max="27" width="21.5703125" style="3" customWidth="1"/>
    <col min="28" max="29" width="20.7109375" bestFit="1" customWidth="1"/>
    <col min="30" max="30" width="18" bestFit="1" customWidth="1"/>
    <col min="31" max="31" width="7.85546875" customWidth="1"/>
    <col min="32" max="32" width="7.85546875" hidden="1" customWidth="1"/>
    <col min="33" max="33" width="22.42578125" customWidth="1"/>
    <col min="34" max="34" width="13.42578125" customWidth="1"/>
    <col min="35" max="36" width="5.7109375" customWidth="1"/>
    <col min="37" max="37" width="30.28515625" customWidth="1"/>
    <col min="38" max="38" width="14.28515625" bestFit="1" customWidth="1"/>
    <col min="39" max="39" width="20.42578125" customWidth="1"/>
    <col min="40" max="40" width="15.140625" bestFit="1" customWidth="1"/>
    <col min="41" max="41" width="26.5703125" customWidth="1"/>
    <col min="42" max="42" width="15" bestFit="1" customWidth="1"/>
    <col min="43" max="43" width="15.5703125" bestFit="1" customWidth="1"/>
    <col min="44" max="44" width="16" customWidth="1"/>
    <col min="45" max="45" width="8.42578125" customWidth="1"/>
    <col min="46" max="46" width="16.5703125" bestFit="1" customWidth="1"/>
    <col min="47" max="47" width="13.7109375" customWidth="1"/>
    <col min="48" max="48" width="16.5703125" customWidth="1"/>
    <col min="49" max="49" width="13.7109375" customWidth="1"/>
    <col min="50" max="50" width="13.85546875" customWidth="1"/>
    <col min="51" max="51" width="12" customWidth="1"/>
    <col min="52" max="62" width="5.7109375" customWidth="1"/>
    <col min="63" max="72" width="12.7109375" customWidth="1"/>
    <col min="73" max="94" width="5.7109375" customWidth="1"/>
  </cols>
  <sheetData>
    <row r="1" spans="1:41">
      <c r="B1" s="12" t="s">
        <v>800</v>
      </c>
      <c r="C1" s="53"/>
      <c r="D1" s="53"/>
      <c r="E1" s="53"/>
      <c r="F1" s="53"/>
      <c r="G1" s="53"/>
      <c r="AE1" s="6"/>
      <c r="AF1" s="6"/>
      <c r="AG1" s="6"/>
      <c r="AI1" s="53"/>
      <c r="AJ1" s="53"/>
      <c r="AK1" s="53"/>
      <c r="AL1" s="108"/>
      <c r="AM1" s="285"/>
      <c r="AN1" s="285"/>
    </row>
    <row r="2" spans="1:41">
      <c r="B2" s="12" t="str">
        <f>'Control Panel'!$B$1</f>
        <v>Dominion Energy</v>
      </c>
      <c r="C2" s="15"/>
      <c r="D2" s="15"/>
      <c r="E2" s="53"/>
      <c r="F2" s="53"/>
      <c r="G2" s="53"/>
      <c r="Y2"/>
      <c r="Z2"/>
      <c r="AA2"/>
      <c r="AE2" s="6"/>
      <c r="AF2" s="6"/>
      <c r="AG2" s="6"/>
      <c r="AH2" s="12" t="s">
        <v>800</v>
      </c>
      <c r="AI2" s="15"/>
      <c r="AJ2" s="15"/>
      <c r="AK2" s="53"/>
      <c r="AL2" s="2" t="s">
        <v>732</v>
      </c>
      <c r="AM2" s="2" t="s">
        <v>733</v>
      </c>
      <c r="AN2" s="2" t="s">
        <v>500</v>
      </c>
      <c r="AO2" s="2"/>
    </row>
    <row r="3" spans="1:41">
      <c r="B3" s="12" t="str">
        <f>'Control Panel'!$B$2</f>
        <v>Utah - June 2023 Adjusted Avg Results</v>
      </c>
      <c r="C3" s="15"/>
      <c r="D3" s="15"/>
      <c r="E3" s="215"/>
      <c r="F3" s="215"/>
      <c r="G3" s="215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Y3"/>
      <c r="Z3"/>
      <c r="AA3"/>
      <c r="AC3" s="4"/>
      <c r="AD3" s="170"/>
      <c r="AE3" s="6"/>
      <c r="AF3" s="6"/>
      <c r="AG3" s="6"/>
      <c r="AH3" s="12" t="str">
        <f>'Control Panel'!$B$1</f>
        <v>Dominion Energy</v>
      </c>
      <c r="AI3" s="15"/>
      <c r="AJ3" s="15"/>
      <c r="AK3" s="215"/>
      <c r="AL3" s="4"/>
      <c r="AM3" s="4"/>
      <c r="AN3" s="4"/>
    </row>
    <row r="4" spans="1:41">
      <c r="B4" s="12" t="str">
        <f>'Control Panel'!$B$3</f>
        <v>12 Months Ended : Jun-2023</v>
      </c>
      <c r="C4" s="15"/>
      <c r="D4" s="15"/>
      <c r="E4" s="215"/>
      <c r="F4" s="215"/>
      <c r="G4" s="215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Y4"/>
      <c r="Z4"/>
      <c r="AA4"/>
      <c r="AC4" s="4"/>
      <c r="AD4" s="170" t="s">
        <v>583</v>
      </c>
      <c r="AE4" s="6"/>
      <c r="AF4" s="6"/>
      <c r="AG4" s="6"/>
      <c r="AH4" s="12" t="str">
        <f>'Control Panel'!$B$2</f>
        <v>Utah - June 2023 Adjusted Avg Results</v>
      </c>
      <c r="AI4" s="15"/>
      <c r="AJ4" s="15"/>
      <c r="AK4" s="215"/>
      <c r="AL4" s="4"/>
      <c r="AM4" s="4"/>
      <c r="AN4" s="4"/>
    </row>
    <row r="5" spans="1:41">
      <c r="A5" s="45"/>
      <c r="B5" s="15"/>
      <c r="C5" s="15"/>
      <c r="D5" s="15"/>
      <c r="E5" s="15"/>
      <c r="F5" s="15"/>
      <c r="G5" s="15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 t="s">
        <v>663</v>
      </c>
      <c r="Y5" s="4"/>
      <c r="Z5" s="4"/>
      <c r="AA5" s="4"/>
      <c r="AB5" s="4"/>
      <c r="AC5" s="4"/>
      <c r="AD5" s="170" t="s">
        <v>1244</v>
      </c>
      <c r="AE5" s="6"/>
      <c r="AF5" s="6"/>
      <c r="AG5" s="6"/>
      <c r="AH5" s="12" t="str">
        <f>'Control Panel'!$B$3</f>
        <v>12 Months Ended : Jun-2023</v>
      </c>
      <c r="AI5" s="15"/>
      <c r="AJ5" s="15"/>
      <c r="AK5" s="15"/>
      <c r="AL5" s="4"/>
      <c r="AN5" s="4"/>
    </row>
    <row r="6" spans="1:41">
      <c r="A6" s="139"/>
      <c r="B6" s="15"/>
      <c r="C6" s="15"/>
      <c r="D6" s="15"/>
      <c r="E6" s="15"/>
      <c r="F6" s="15"/>
      <c r="G6" s="15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 t="s">
        <v>662</v>
      </c>
      <c r="Y6"/>
      <c r="Z6"/>
      <c r="AA6"/>
      <c r="AC6" s="4"/>
      <c r="AD6" s="170"/>
      <c r="AE6" s="6"/>
      <c r="AF6" s="6"/>
      <c r="AG6" s="6"/>
      <c r="AH6" s="15"/>
      <c r="AI6" s="15"/>
      <c r="AJ6" s="15"/>
      <c r="AK6" s="15"/>
      <c r="AL6" s="4"/>
      <c r="AM6" s="4" t="s">
        <v>663</v>
      </c>
      <c r="AN6" s="4"/>
    </row>
    <row r="7" spans="1:41">
      <c r="A7" s="139"/>
      <c r="B7" s="116"/>
      <c r="C7" s="53"/>
      <c r="D7" s="53"/>
      <c r="E7" s="53"/>
      <c r="F7" s="53"/>
      <c r="G7" s="53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 t="s">
        <v>768</v>
      </c>
      <c r="Y7" s="4"/>
      <c r="Z7" s="4"/>
      <c r="AA7" s="4"/>
      <c r="AB7" s="4"/>
      <c r="AC7" s="4" t="s">
        <v>712</v>
      </c>
      <c r="AD7" s="170" t="s">
        <v>712</v>
      </c>
      <c r="AE7" s="6"/>
      <c r="AF7" s="6"/>
      <c r="AG7" s="6"/>
      <c r="AH7" s="116"/>
      <c r="AI7" s="53"/>
      <c r="AJ7" s="53"/>
      <c r="AK7" s="53"/>
      <c r="AM7" s="4" t="s">
        <v>662</v>
      </c>
      <c r="AN7" s="4" t="s">
        <v>663</v>
      </c>
    </row>
    <row r="8" spans="1:41" ht="13.5" customHeight="1" thickBot="1">
      <c r="A8" s="139"/>
      <c r="B8" s="116"/>
      <c r="C8" s="53"/>
      <c r="D8" s="53"/>
      <c r="E8" s="53"/>
      <c r="F8" s="53"/>
      <c r="G8" s="53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20">
        <f>+T9</f>
        <v>45107</v>
      </c>
      <c r="Y8" s="331" t="s">
        <v>1489</v>
      </c>
      <c r="Z8" s="331" t="s">
        <v>1490</v>
      </c>
      <c r="AA8" s="331" t="s">
        <v>1491</v>
      </c>
      <c r="AB8" s="331" t="s">
        <v>1492</v>
      </c>
      <c r="AC8" s="331" t="str">
        <f>+'Control Panel'!B27</f>
        <v>AVG RB June 2023</v>
      </c>
      <c r="AD8" s="170"/>
      <c r="AE8" s="216">
        <v>1</v>
      </c>
      <c r="AF8" s="216">
        <v>1</v>
      </c>
      <c r="AH8" s="116"/>
      <c r="AI8" s="53"/>
      <c r="AJ8" s="53"/>
      <c r="AK8" s="53"/>
      <c r="AL8" s="331" t="s">
        <v>304</v>
      </c>
      <c r="AM8" s="4" t="s">
        <v>768</v>
      </c>
      <c r="AN8" s="331" t="s">
        <v>662</v>
      </c>
    </row>
    <row r="9" spans="1:41" ht="14.25" customHeight="1" thickBot="1">
      <c r="A9" s="139"/>
      <c r="B9" s="134" t="s">
        <v>775</v>
      </c>
      <c r="C9" s="135"/>
      <c r="D9" s="1111" t="s">
        <v>776</v>
      </c>
      <c r="E9" s="1111"/>
      <c r="F9" s="105"/>
      <c r="G9" s="105"/>
      <c r="H9" s="20">
        <f>[16]XNV!$H$8</f>
        <v>44742</v>
      </c>
      <c r="I9" s="20">
        <f>[16]XNV!$I$8</f>
        <v>44773</v>
      </c>
      <c r="J9" s="20">
        <f>[16]XNV!$J$8</f>
        <v>44804</v>
      </c>
      <c r="K9" s="20">
        <f>[16]XNV!$K$8</f>
        <v>44834</v>
      </c>
      <c r="L9" s="20">
        <f>[16]XNV!$L$8</f>
        <v>44865</v>
      </c>
      <c r="M9" s="20">
        <f>[16]XNV!$M$8</f>
        <v>44895</v>
      </c>
      <c r="N9" s="20">
        <f>[16]XNV!$N$8</f>
        <v>44926</v>
      </c>
      <c r="O9" s="20">
        <f>[16]XNV!$O$8</f>
        <v>44957</v>
      </c>
      <c r="P9" s="20">
        <f>[16]XNV!$P$8</f>
        <v>44985</v>
      </c>
      <c r="Q9" s="20">
        <f>[16]XNV!$Q$8</f>
        <v>45016</v>
      </c>
      <c r="R9" s="20">
        <f>[16]XNV!$R$8</f>
        <v>45046</v>
      </c>
      <c r="S9" s="20">
        <f>[16]XNV!$S$8</f>
        <v>45077</v>
      </c>
      <c r="T9" s="20">
        <f>[16]XNV!$T$8</f>
        <v>45107</v>
      </c>
      <c r="U9" s="20"/>
      <c r="V9" s="20"/>
      <c r="Y9" s="20"/>
      <c r="Z9" s="20"/>
      <c r="AA9" s="20"/>
      <c r="AB9" s="20"/>
      <c r="AC9" s="20"/>
      <c r="AD9" s="515" t="s">
        <v>40</v>
      </c>
      <c r="AE9" s="216">
        <f>+AE8+1</f>
        <v>2</v>
      </c>
      <c r="AF9" s="216">
        <f>+AF8+1</f>
        <v>2</v>
      </c>
      <c r="AH9" s="134" t="s">
        <v>775</v>
      </c>
      <c r="AI9" s="135"/>
      <c r="AJ9" s="1111" t="s">
        <v>776</v>
      </c>
      <c r="AK9" s="1111"/>
      <c r="AL9" s="258">
        <f>'Control Panel'!F12</f>
        <v>45107</v>
      </c>
      <c r="AM9" s="258" t="str">
        <f>+'Control Panel'!B27</f>
        <v>AVG RB June 2023</v>
      </c>
      <c r="AN9" s="258" t="s">
        <v>40</v>
      </c>
    </row>
    <row r="10" spans="1:41">
      <c r="A10" s="149">
        <v>939</v>
      </c>
      <c r="B10" s="1112" t="s">
        <v>263</v>
      </c>
      <c r="C10" s="1112"/>
      <c r="D10" s="1112"/>
      <c r="E10" s="1112"/>
      <c r="F10" s="305"/>
      <c r="G10" s="305"/>
      <c r="AA10"/>
      <c r="AE10" s="216">
        <v>3</v>
      </c>
      <c r="AF10" s="216">
        <v>3</v>
      </c>
      <c r="AH10" s="1112" t="s">
        <v>263</v>
      </c>
      <c r="AI10" s="1112"/>
      <c r="AJ10" s="1112"/>
      <c r="AK10" s="1112"/>
    </row>
    <row r="11" spans="1:41" ht="13.5" customHeight="1">
      <c r="A11" s="149">
        <f t="shared" ref="A11:A74" si="0">+A10+1</f>
        <v>940</v>
      </c>
      <c r="B11" s="116" t="s">
        <v>267</v>
      </c>
      <c r="C11" s="47"/>
      <c r="D11" s="47"/>
      <c r="E11" s="47"/>
      <c r="F11" s="47"/>
      <c r="G11" s="47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Y11" s="2"/>
      <c r="Z11" s="2"/>
      <c r="AA11" s="2"/>
      <c r="AB11" s="2"/>
      <c r="AC11" s="2"/>
      <c r="AD11" s="70"/>
      <c r="AE11" s="216">
        <f t="shared" ref="AE11:AF46" si="1">+AE10+1</f>
        <v>4</v>
      </c>
      <c r="AF11" s="216">
        <f t="shared" si="1"/>
        <v>4</v>
      </c>
      <c r="AH11" s="116" t="s">
        <v>267</v>
      </c>
      <c r="AI11" s="47"/>
      <c r="AJ11" s="47"/>
      <c r="AK11" s="47"/>
      <c r="AL11" s="2"/>
      <c r="AM11" s="2"/>
      <c r="AN11" s="2"/>
    </row>
    <row r="12" spans="1:41">
      <c r="A12" s="500">
        <f>+A11+1</f>
        <v>941</v>
      </c>
      <c r="B12" s="265" t="s">
        <v>264</v>
      </c>
      <c r="C12" s="265"/>
      <c r="D12" s="265"/>
      <c r="E12" s="265"/>
      <c r="F12" s="265"/>
      <c r="G12" s="265"/>
      <c r="H12" s="301"/>
      <c r="I12" s="301"/>
      <c r="J12" s="301"/>
      <c r="K12" s="301"/>
      <c r="L12" s="301"/>
      <c r="M12" s="301"/>
      <c r="N12" s="301"/>
      <c r="O12" s="301"/>
      <c r="P12" s="301"/>
      <c r="Q12" s="301"/>
      <c r="R12" s="301"/>
      <c r="S12" s="301"/>
      <c r="T12" s="301"/>
      <c r="U12" s="439"/>
      <c r="V12" s="591"/>
      <c r="Y12" s="591"/>
      <c r="Z12" s="591"/>
      <c r="AA12" s="301"/>
      <c r="AB12" s="301"/>
      <c r="AC12" s="301"/>
      <c r="AD12" s="439"/>
      <c r="AE12" s="216">
        <f t="shared" si="1"/>
        <v>5</v>
      </c>
      <c r="AF12" s="216">
        <f t="shared" si="1"/>
        <v>5</v>
      </c>
      <c r="AH12" s="438" t="s">
        <v>264</v>
      </c>
      <c r="AI12" s="438"/>
      <c r="AJ12" s="438"/>
      <c r="AK12" s="438"/>
      <c r="AL12" s="2"/>
      <c r="AM12" s="2"/>
      <c r="AN12" s="2"/>
    </row>
    <row r="13" spans="1:41">
      <c r="A13" s="500">
        <f t="shared" si="0"/>
        <v>942</v>
      </c>
      <c r="B13" s="265"/>
      <c r="C13" s="265" t="s">
        <v>186</v>
      </c>
      <c r="D13" s="265"/>
      <c r="E13" s="265"/>
      <c r="F13" s="265"/>
      <c r="G13" s="265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Y13" s="2"/>
      <c r="Z13" s="2"/>
      <c r="AA13" s="2"/>
      <c r="AB13" s="2"/>
      <c r="AC13" s="2"/>
      <c r="AD13" s="70"/>
      <c r="AE13" s="216">
        <f t="shared" si="1"/>
        <v>6</v>
      </c>
      <c r="AF13" s="216">
        <f t="shared" si="1"/>
        <v>6</v>
      </c>
      <c r="AH13" s="438"/>
      <c r="AI13" s="438" t="s">
        <v>186</v>
      </c>
      <c r="AJ13" s="438"/>
      <c r="AK13" s="438"/>
      <c r="AL13" s="2"/>
      <c r="AM13" s="2"/>
      <c r="AN13" s="2"/>
    </row>
    <row r="14" spans="1:41">
      <c r="A14" s="500">
        <f t="shared" si="0"/>
        <v>943</v>
      </c>
      <c r="B14" s="265" t="s">
        <v>187</v>
      </c>
      <c r="C14" s="265" t="s">
        <v>188</v>
      </c>
      <c r="D14" s="265"/>
      <c r="E14" s="265"/>
      <c r="F14" s="265"/>
      <c r="G14" s="265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Y14" s="2"/>
      <c r="Z14" s="2"/>
      <c r="AA14" s="2"/>
      <c r="AB14" s="2"/>
      <c r="AC14" s="2"/>
      <c r="AD14" s="70"/>
      <c r="AE14" s="216">
        <f t="shared" si="1"/>
        <v>7</v>
      </c>
      <c r="AF14" s="216">
        <f t="shared" si="1"/>
        <v>7</v>
      </c>
      <c r="AH14" s="438" t="s">
        <v>187</v>
      </c>
      <c r="AI14" s="438" t="s">
        <v>188</v>
      </c>
      <c r="AJ14" s="438"/>
      <c r="AK14" s="438"/>
      <c r="AL14" s="2"/>
      <c r="AM14" s="2"/>
      <c r="AN14" s="2"/>
    </row>
    <row r="15" spans="1:41">
      <c r="A15" s="500">
        <f t="shared" si="0"/>
        <v>944</v>
      </c>
      <c r="B15" s="265"/>
      <c r="C15" s="265" t="s">
        <v>542</v>
      </c>
      <c r="D15" s="265"/>
      <c r="E15" s="265"/>
      <c r="F15" s="265"/>
      <c r="G15" s="265"/>
      <c r="H15" s="301">
        <f>+[16]XNV!H$15</f>
        <v>10883.08</v>
      </c>
      <c r="I15" s="301">
        <f>+[16]XNV!I$15</f>
        <v>10883.08</v>
      </c>
      <c r="J15" s="301">
        <f>+[16]XNV!J$15</f>
        <v>10883.08</v>
      </c>
      <c r="K15" s="301">
        <f>+[16]XNV!K$15</f>
        <v>10883.08</v>
      </c>
      <c r="L15" s="301">
        <f>+[16]XNV!L$15</f>
        <v>10883.08</v>
      </c>
      <c r="M15" s="301">
        <f>+[16]XNV!M$15</f>
        <v>10883.08</v>
      </c>
      <c r="N15" s="301">
        <f>+[16]XNV!N$15</f>
        <v>10883.08</v>
      </c>
      <c r="O15" s="301">
        <f>+[16]XNV!O$15</f>
        <v>10883.08</v>
      </c>
      <c r="P15" s="301">
        <f>+[16]XNV!P$15</f>
        <v>10883.08</v>
      </c>
      <c r="Q15" s="301">
        <f>+[16]XNV!Q$15</f>
        <v>10883.08</v>
      </c>
      <c r="R15" s="301">
        <f>+[16]XNV!R$15</f>
        <v>10883.08</v>
      </c>
      <c r="S15" s="301">
        <f>+[16]XNV!S$15</f>
        <v>10883.08</v>
      </c>
      <c r="T15" s="301">
        <f>+[16]XNV!T$15</f>
        <v>10883.08</v>
      </c>
      <c r="U15" s="301"/>
      <c r="V15" s="475">
        <f>(SUM(I15:S15)+(0.5*T15)+(0.5*H15))/12</f>
        <v>10883.08</v>
      </c>
      <c r="Y15" s="475">
        <f>T15</f>
        <v>10883.08</v>
      </c>
      <c r="Z15" s="475">
        <f t="shared" ref="Z15:Z76" si="2">V15</f>
        <v>10883.08</v>
      </c>
      <c r="AA15" s="301">
        <f>V15</f>
        <v>10883.08</v>
      </c>
      <c r="AB15" s="301">
        <f>T15</f>
        <v>10883.08</v>
      </c>
      <c r="AC15" s="301">
        <f>HLOOKUP($AC$8,RateBaseScenarios,AE15,FALSE)</f>
        <v>10883.08</v>
      </c>
      <c r="AD15" s="301">
        <f>AC15-T15</f>
        <v>0</v>
      </c>
      <c r="AE15" s="216">
        <f t="shared" si="1"/>
        <v>8</v>
      </c>
      <c r="AF15" s="216">
        <v>3</v>
      </c>
      <c r="AG15" s="1">
        <v>0</v>
      </c>
      <c r="AH15" s="438"/>
      <c r="AI15" s="438" t="s">
        <v>542</v>
      </c>
      <c r="AJ15" s="438"/>
      <c r="AK15" s="438"/>
      <c r="AL15" s="439">
        <f>+T15</f>
        <v>10883.08</v>
      </c>
      <c r="AM15" s="10">
        <f>AC15</f>
        <v>10883.08</v>
      </c>
      <c r="AN15" s="10">
        <f>AM15-AL15</f>
        <v>0</v>
      </c>
      <c r="AO15" s="1">
        <f>+AL15-T15</f>
        <v>0</v>
      </c>
    </row>
    <row r="16" spans="1:41">
      <c r="A16" s="500">
        <f t="shared" si="0"/>
        <v>945</v>
      </c>
      <c r="B16" s="265"/>
      <c r="C16" s="265" t="s">
        <v>543</v>
      </c>
      <c r="D16" s="265"/>
      <c r="E16" s="265"/>
      <c r="F16" s="265"/>
      <c r="G16" s="265"/>
      <c r="H16" s="301">
        <f>+[16]XNV!H$16</f>
        <v>2213069.2999999998</v>
      </c>
      <c r="I16" s="301">
        <f>+[16]XNV!I$16</f>
        <v>2213069.2999999998</v>
      </c>
      <c r="J16" s="301">
        <f>+[16]XNV!J$16</f>
        <v>2213069.2999999998</v>
      </c>
      <c r="K16" s="301">
        <f>+[16]XNV!K$16</f>
        <v>2213069.2999999998</v>
      </c>
      <c r="L16" s="301">
        <f>+[16]XNV!L$16</f>
        <v>2213069.2999999998</v>
      </c>
      <c r="M16" s="301">
        <f>+[16]XNV!M$16</f>
        <v>2213069.2999999998</v>
      </c>
      <c r="N16" s="301">
        <f>+[16]XNV!N$16</f>
        <v>2213069.2999999998</v>
      </c>
      <c r="O16" s="301">
        <f>+[16]XNV!O$16</f>
        <v>2213069.2999999998</v>
      </c>
      <c r="P16" s="301">
        <f>+[16]XNV!P$16</f>
        <v>2213069.2999999998</v>
      </c>
      <c r="Q16" s="301">
        <f>+[16]XNV!Q$16</f>
        <v>2213069.2999999998</v>
      </c>
      <c r="R16" s="301">
        <f>+[16]XNV!R$16</f>
        <v>2213069.3000000003</v>
      </c>
      <c r="S16" s="301">
        <f>+[16]XNV!S$16</f>
        <v>3995351.57</v>
      </c>
      <c r="T16" s="301">
        <f>+[16]XNV!T$16</f>
        <v>5145474.16</v>
      </c>
      <c r="U16" s="301"/>
      <c r="V16" s="475">
        <f>(SUM(I16:S16)+(0.5*T16)+(0.5*H16))/12</f>
        <v>2483776.3583333339</v>
      </c>
      <c r="Y16" s="475">
        <f>T16</f>
        <v>5145474.16</v>
      </c>
      <c r="Z16" s="475">
        <f>V16</f>
        <v>2483776.3583333339</v>
      </c>
      <c r="AA16" s="301">
        <f>V16</f>
        <v>2483776.3583333339</v>
      </c>
      <c r="AB16" s="301">
        <f>T16</f>
        <v>5145474.16</v>
      </c>
      <c r="AC16" s="301">
        <f t="shared" ref="AC16:AC78" si="3">HLOOKUP($AC$8,RateBaseScenarios,AE16,FALSE)</f>
        <v>2483776.3583333339</v>
      </c>
      <c r="AD16" s="301">
        <f>AC16-T16</f>
        <v>-2661697.8016666663</v>
      </c>
      <c r="AE16" s="216">
        <f t="shared" si="1"/>
        <v>9</v>
      </c>
      <c r="AF16" s="216">
        <f t="shared" si="1"/>
        <v>4</v>
      </c>
      <c r="AG16" s="1">
        <v>0</v>
      </c>
      <c r="AH16" s="438"/>
      <c r="AI16" s="438" t="s">
        <v>543</v>
      </c>
      <c r="AJ16" s="438"/>
      <c r="AK16" s="438"/>
      <c r="AL16" s="439">
        <f>+T16</f>
        <v>5145474.16</v>
      </c>
      <c r="AM16" s="10">
        <f>AC16</f>
        <v>2483776.3583333339</v>
      </c>
      <c r="AN16" s="10">
        <f>AM16-AL16</f>
        <v>-2661697.8016666663</v>
      </c>
      <c r="AO16" s="1">
        <f t="shared" ref="AO16:AO79" si="4">+AL16-T16</f>
        <v>0</v>
      </c>
    </row>
    <row r="17" spans="1:41">
      <c r="A17" s="500">
        <f t="shared" si="0"/>
        <v>946</v>
      </c>
      <c r="B17" s="53"/>
      <c r="C17" s="265" t="s">
        <v>544</v>
      </c>
      <c r="D17" s="265"/>
      <c r="E17" s="265"/>
      <c r="F17" s="265"/>
      <c r="G17" s="265"/>
      <c r="H17" s="511">
        <f>+[16]XNV!H$17</f>
        <v>0</v>
      </c>
      <c r="I17" s="511">
        <f>+[16]XNV!I$17</f>
        <v>0</v>
      </c>
      <c r="J17" s="511">
        <f>+[16]XNV!J$17</f>
        <v>0</v>
      </c>
      <c r="K17" s="511">
        <f>+[16]XNV!K$17</f>
        <v>0</v>
      </c>
      <c r="L17" s="511">
        <f>+[16]XNV!L$17</f>
        <v>0</v>
      </c>
      <c r="M17" s="511">
        <f>+[16]XNV!M$17</f>
        <v>0</v>
      </c>
      <c r="N17" s="511">
        <f>+[16]XNV!N$17</f>
        <v>0</v>
      </c>
      <c r="O17" s="511">
        <f>+[16]XNV!O$17</f>
        <v>0</v>
      </c>
      <c r="P17" s="511">
        <f>+[16]XNV!P$17</f>
        <v>1713847.82</v>
      </c>
      <c r="Q17" s="511">
        <f>+[16]XNV!Q$17</f>
        <v>1713847.82</v>
      </c>
      <c r="R17" s="511">
        <f>+[16]XNV!R$17</f>
        <v>2303786.69</v>
      </c>
      <c r="S17" s="511">
        <f>+[16]XNV!S$17</f>
        <v>2304347.89</v>
      </c>
      <c r="T17" s="511">
        <f>+[16]XNV!T$17</f>
        <v>2304347.89</v>
      </c>
      <c r="U17" s="509"/>
      <c r="V17" s="475">
        <f>(SUM(I17:S17)+(0.5*T17)+(0.5*H17))/12</f>
        <v>765667.01375000004</v>
      </c>
      <c r="Y17" s="475">
        <f>T17</f>
        <v>2304347.89</v>
      </c>
      <c r="Z17" s="475">
        <f>V17</f>
        <v>765667.01375000004</v>
      </c>
      <c r="AA17" s="301">
        <f>V17</f>
        <v>765667.01375000004</v>
      </c>
      <c r="AB17" s="301">
        <f>T17</f>
        <v>2304347.89</v>
      </c>
      <c r="AC17" s="301">
        <f t="shared" si="3"/>
        <v>765667.01375000004</v>
      </c>
      <c r="AD17" s="301">
        <f>AC17-T17</f>
        <v>-1538680.8762500002</v>
      </c>
      <c r="AE17" s="216">
        <f t="shared" si="1"/>
        <v>10</v>
      </c>
      <c r="AF17" s="216">
        <f t="shared" si="1"/>
        <v>5</v>
      </c>
      <c r="AG17" s="1">
        <v>0</v>
      </c>
      <c r="AH17" s="53"/>
      <c r="AI17" s="438"/>
      <c r="AJ17" s="438"/>
      <c r="AK17" s="438"/>
      <c r="AL17" s="2"/>
      <c r="AO17" s="1">
        <f t="shared" si="4"/>
        <v>-2304347.89</v>
      </c>
    </row>
    <row r="18" spans="1:41">
      <c r="A18" s="500">
        <f t="shared" si="0"/>
        <v>947</v>
      </c>
      <c r="B18" s="265"/>
      <c r="C18" s="265" t="s">
        <v>189</v>
      </c>
      <c r="D18" s="265"/>
      <c r="E18" s="265"/>
      <c r="F18" s="265"/>
      <c r="G18" s="265"/>
      <c r="H18" s="301">
        <f>SUM(H15:H17)</f>
        <v>2223952.38</v>
      </c>
      <c r="I18" s="301">
        <f>SUM(I15:I17)</f>
        <v>2223952.38</v>
      </c>
      <c r="J18" s="301">
        <f t="shared" ref="J18:T18" si="5">SUM(J15:J17)</f>
        <v>2223952.38</v>
      </c>
      <c r="K18" s="301">
        <f t="shared" si="5"/>
        <v>2223952.38</v>
      </c>
      <c r="L18" s="301">
        <f t="shared" si="5"/>
        <v>2223952.38</v>
      </c>
      <c r="M18" s="301">
        <f t="shared" si="5"/>
        <v>2223952.38</v>
      </c>
      <c r="N18" s="301">
        <f t="shared" si="5"/>
        <v>2223952.38</v>
      </c>
      <c r="O18" s="301">
        <f t="shared" si="5"/>
        <v>2223952.38</v>
      </c>
      <c r="P18" s="301">
        <f t="shared" si="5"/>
        <v>3937800.2</v>
      </c>
      <c r="Q18" s="301">
        <f t="shared" si="5"/>
        <v>3937800.2</v>
      </c>
      <c r="R18" s="301">
        <f t="shared" si="5"/>
        <v>4527739.07</v>
      </c>
      <c r="S18" s="301">
        <f t="shared" si="5"/>
        <v>6310582.54</v>
      </c>
      <c r="T18" s="301">
        <f t="shared" si="5"/>
        <v>7460705.1300000008</v>
      </c>
      <c r="U18" s="301"/>
      <c r="V18" s="475">
        <f>SUM(V15:V17)</f>
        <v>3260326.4520833339</v>
      </c>
      <c r="Y18" s="475">
        <f>T18</f>
        <v>7460705.1300000008</v>
      </c>
      <c r="Z18" s="475">
        <f t="shared" si="2"/>
        <v>3260326.4520833339</v>
      </c>
      <c r="AA18" s="301">
        <f>V18</f>
        <v>3260326.4520833339</v>
      </c>
      <c r="AB18" s="301">
        <f>T18</f>
        <v>7460705.1300000008</v>
      </c>
      <c r="AC18" s="301">
        <f t="shared" si="3"/>
        <v>3260326.4520833339</v>
      </c>
      <c r="AD18" s="301">
        <f>SUM(AD15:AD17)</f>
        <v>-4200378.6779166665</v>
      </c>
      <c r="AE18" s="216">
        <f t="shared" si="1"/>
        <v>11</v>
      </c>
      <c r="AF18" s="216">
        <f t="shared" si="1"/>
        <v>6</v>
      </c>
      <c r="AG18" s="1">
        <v>0</v>
      </c>
      <c r="AH18" s="438"/>
      <c r="AI18" s="438" t="s">
        <v>189</v>
      </c>
      <c r="AJ18" s="438"/>
      <c r="AK18" s="438"/>
      <c r="AL18" s="439">
        <f>+T18</f>
        <v>7460705.1300000008</v>
      </c>
      <c r="AM18" s="439">
        <f>+V18</f>
        <v>3260326.4520833339</v>
      </c>
      <c r="AN18" s="10">
        <f>AM18-AL18</f>
        <v>-4200378.6779166665</v>
      </c>
      <c r="AO18" s="1">
        <f t="shared" si="4"/>
        <v>0</v>
      </c>
    </row>
    <row r="19" spans="1:41">
      <c r="A19" s="500">
        <f t="shared" si="0"/>
        <v>948</v>
      </c>
      <c r="B19" s="265"/>
      <c r="C19" s="265"/>
      <c r="D19" s="265"/>
      <c r="E19" s="265"/>
      <c r="F19" s="265"/>
      <c r="G19" s="265"/>
      <c r="AA19"/>
      <c r="AC19">
        <f t="shared" si="3"/>
        <v>0</v>
      </c>
      <c r="AE19" s="216">
        <f t="shared" si="1"/>
        <v>12</v>
      </c>
      <c r="AF19" s="216">
        <f t="shared" si="1"/>
        <v>7</v>
      </c>
      <c r="AG19" s="1">
        <v>0</v>
      </c>
      <c r="AH19" s="438"/>
      <c r="AI19" s="438"/>
      <c r="AJ19" s="438"/>
      <c r="AK19" s="438"/>
      <c r="AL19" s="2"/>
      <c r="AO19" s="1">
        <f t="shared" si="4"/>
        <v>0</v>
      </c>
    </row>
    <row r="20" spans="1:41">
      <c r="A20" s="500">
        <f t="shared" si="0"/>
        <v>949</v>
      </c>
      <c r="B20" s="265"/>
      <c r="C20" s="265" t="s">
        <v>190</v>
      </c>
      <c r="D20" s="265"/>
      <c r="E20" s="265"/>
      <c r="F20" s="265"/>
      <c r="G20" s="265"/>
      <c r="AA20"/>
      <c r="AC20">
        <f t="shared" si="3"/>
        <v>0</v>
      </c>
      <c r="AE20" s="216">
        <f t="shared" si="1"/>
        <v>13</v>
      </c>
      <c r="AF20" s="216">
        <f t="shared" si="1"/>
        <v>8</v>
      </c>
      <c r="AG20" s="1">
        <v>0</v>
      </c>
      <c r="AH20" s="438"/>
      <c r="AI20" s="438" t="s">
        <v>190</v>
      </c>
      <c r="AJ20" s="438"/>
      <c r="AK20" s="438"/>
      <c r="AL20" s="2"/>
      <c r="AO20" s="1">
        <f t="shared" si="4"/>
        <v>0</v>
      </c>
    </row>
    <row r="21" spans="1:41">
      <c r="A21" s="500">
        <f t="shared" si="0"/>
        <v>950</v>
      </c>
      <c r="B21" s="265" t="s">
        <v>191</v>
      </c>
      <c r="C21" s="265" t="s">
        <v>192</v>
      </c>
      <c r="D21" s="265"/>
      <c r="E21" s="265"/>
      <c r="F21" s="265"/>
      <c r="G21" s="265"/>
      <c r="H21" s="301">
        <f>+[16]XNV!H$21</f>
        <v>6266764.3399999999</v>
      </c>
      <c r="I21" s="301">
        <f>+[16]XNV!I$21</f>
        <v>6266764.3399999999</v>
      </c>
      <c r="J21" s="301">
        <f>+[16]XNV!J$21</f>
        <v>6266764.3399999999</v>
      </c>
      <c r="K21" s="301">
        <f>+[16]XNV!K$21</f>
        <v>6266764.3399999999</v>
      </c>
      <c r="L21" s="301">
        <f>+[16]XNV!L$21</f>
        <v>6266764.3399999999</v>
      </c>
      <c r="M21" s="301">
        <f>+[16]XNV!M$21</f>
        <v>6266764.3399999999</v>
      </c>
      <c r="N21" s="301">
        <f>+[16]XNV!N$21</f>
        <v>6266764.3399999999</v>
      </c>
      <c r="O21" s="301">
        <f>+[16]XNV!O$21</f>
        <v>6266764.3399999999</v>
      </c>
      <c r="P21" s="301">
        <f>+[16]XNV!P$21</f>
        <v>6266764.3399999999</v>
      </c>
      <c r="Q21" s="301">
        <f>+[16]XNV!Q$21</f>
        <v>6266764.3399999999</v>
      </c>
      <c r="R21" s="301">
        <f>+[16]XNV!R$21</f>
        <v>6266764.3399999999</v>
      </c>
      <c r="S21" s="301">
        <f>+[16]XNV!S$21</f>
        <v>6266764.3399999999</v>
      </c>
      <c r="T21" s="301">
        <f>+[16]XNV!T$21</f>
        <v>6266764.3399999999</v>
      </c>
      <c r="U21" s="301"/>
      <c r="V21" s="475">
        <f>(SUM(I21:S21)+(0.5*T21)+(0.5*H21))/12</f>
        <v>6266764.3400000008</v>
      </c>
      <c r="Y21" s="475">
        <f>T21</f>
        <v>6266764.3399999999</v>
      </c>
      <c r="Z21" s="475">
        <f>V21</f>
        <v>6266764.3400000008</v>
      </c>
      <c r="AA21" s="301">
        <f t="shared" ref="AA21:AA27" si="6">V21</f>
        <v>6266764.3400000008</v>
      </c>
      <c r="AB21" s="301">
        <f t="shared" ref="AB21:AB27" si="7">T21</f>
        <v>6266764.3399999999</v>
      </c>
      <c r="AC21" s="301">
        <f t="shared" si="3"/>
        <v>6266764.3400000008</v>
      </c>
      <c r="AD21" s="301">
        <f t="shared" ref="AD21:AD27" si="8">AC21-T21</f>
        <v>0</v>
      </c>
      <c r="AE21" s="216">
        <f t="shared" si="1"/>
        <v>14</v>
      </c>
      <c r="AF21" s="216">
        <f t="shared" si="1"/>
        <v>9</v>
      </c>
      <c r="AG21" s="1">
        <v>0</v>
      </c>
      <c r="AH21" s="438" t="s">
        <v>191</v>
      </c>
      <c r="AI21" s="438" t="s">
        <v>192</v>
      </c>
      <c r="AJ21" s="438"/>
      <c r="AK21" s="438"/>
      <c r="AL21" s="439">
        <f t="shared" ref="AL21:AL27" si="9">+T21</f>
        <v>6266764.3399999999</v>
      </c>
      <c r="AM21" s="10">
        <f t="shared" ref="AM21:AM27" si="10">AC21</f>
        <v>6266764.3400000008</v>
      </c>
      <c r="AN21" s="10">
        <f t="shared" ref="AN21:AN27" si="11">AM21-AL21</f>
        <v>0</v>
      </c>
      <c r="AO21" s="1">
        <f t="shared" si="4"/>
        <v>0</v>
      </c>
    </row>
    <row r="22" spans="1:41">
      <c r="A22" s="500">
        <f t="shared" si="0"/>
        <v>951</v>
      </c>
      <c r="B22" s="265" t="s">
        <v>193</v>
      </c>
      <c r="C22" s="265" t="s">
        <v>194</v>
      </c>
      <c r="D22" s="265"/>
      <c r="E22" s="265"/>
      <c r="F22" s="265"/>
      <c r="G22" s="265"/>
      <c r="H22" s="301">
        <f>+[16]XNV!H$22</f>
        <v>1437704.3400000003</v>
      </c>
      <c r="I22" s="301">
        <f>+[16]XNV!I$22</f>
        <v>1437704.3400000003</v>
      </c>
      <c r="J22" s="301">
        <f>+[16]XNV!J$22</f>
        <v>1437704.3400000003</v>
      </c>
      <c r="K22" s="301">
        <f>+[16]XNV!K$22</f>
        <v>1437704.3400000003</v>
      </c>
      <c r="L22" s="301">
        <f>+[16]XNV!L$22</f>
        <v>1437704.3400000003</v>
      </c>
      <c r="M22" s="301">
        <f>+[16]XNV!M$22</f>
        <v>1437704.3400000003</v>
      </c>
      <c r="N22" s="301">
        <f>+[16]XNV!N$22</f>
        <v>1437704.3400000003</v>
      </c>
      <c r="O22" s="301">
        <f>+[16]XNV!O$22</f>
        <v>1437704.3400000003</v>
      </c>
      <c r="P22" s="301">
        <f>+[16]XNV!P$22</f>
        <v>1437704.3400000003</v>
      </c>
      <c r="Q22" s="301">
        <f>+[16]XNV!Q$22</f>
        <v>1437704.3400000003</v>
      </c>
      <c r="R22" s="301">
        <f>+[16]XNV!R$22</f>
        <v>1437704.3400000003</v>
      </c>
      <c r="S22" s="301">
        <f>+[16]XNV!S$22</f>
        <v>1437704.3400000003</v>
      </c>
      <c r="T22" s="301">
        <f>+[16]XNV!T$22</f>
        <v>1437704.3400000003</v>
      </c>
      <c r="U22" s="301"/>
      <c r="V22" s="475">
        <f t="shared" ref="V22:V27" si="12">(SUM(I22:S22)+(0.5*T22)+(0.5*H22))/12</f>
        <v>1437704.34</v>
      </c>
      <c r="Y22" s="475">
        <f t="shared" ref="Y22:Y27" si="13">T22</f>
        <v>1437704.3400000003</v>
      </c>
      <c r="Z22" s="475">
        <f t="shared" si="2"/>
        <v>1437704.34</v>
      </c>
      <c r="AA22" s="301">
        <f t="shared" si="6"/>
        <v>1437704.34</v>
      </c>
      <c r="AB22" s="301">
        <f t="shared" si="7"/>
        <v>1437704.3400000003</v>
      </c>
      <c r="AC22" s="301">
        <f t="shared" si="3"/>
        <v>1437704.34</v>
      </c>
      <c r="AD22" s="301">
        <f t="shared" si="8"/>
        <v>0</v>
      </c>
      <c r="AE22" s="216">
        <f t="shared" si="1"/>
        <v>15</v>
      </c>
      <c r="AF22" s="216">
        <f t="shared" si="1"/>
        <v>10</v>
      </c>
      <c r="AG22" s="1">
        <v>5239.4379166662693</v>
      </c>
      <c r="AH22" s="438" t="s">
        <v>193</v>
      </c>
      <c r="AI22" s="438" t="s">
        <v>194</v>
      </c>
      <c r="AJ22" s="438"/>
      <c r="AK22" s="438"/>
      <c r="AL22" s="439">
        <f t="shared" si="9"/>
        <v>1437704.3400000003</v>
      </c>
      <c r="AM22" s="10">
        <f t="shared" si="10"/>
        <v>1437704.34</v>
      </c>
      <c r="AN22" s="10">
        <f t="shared" si="11"/>
        <v>0</v>
      </c>
      <c r="AO22" s="1">
        <f t="shared" si="4"/>
        <v>0</v>
      </c>
    </row>
    <row r="23" spans="1:41">
      <c r="A23" s="500">
        <f t="shared" si="0"/>
        <v>952</v>
      </c>
      <c r="B23" s="265" t="s">
        <v>195</v>
      </c>
      <c r="C23" s="265" t="s">
        <v>196</v>
      </c>
      <c r="D23" s="265"/>
      <c r="E23" s="265"/>
      <c r="F23" s="265"/>
      <c r="G23" s="265"/>
      <c r="H23" s="301">
        <f>+[16]XNV!H$23</f>
        <v>52175293.810000002</v>
      </c>
      <c r="I23" s="301">
        <f>+[16]XNV!I$23</f>
        <v>52175293.810000002</v>
      </c>
      <c r="J23" s="301">
        <f>+[16]XNV!J$23</f>
        <v>52175293.810000002</v>
      </c>
      <c r="K23" s="301">
        <f>+[16]XNV!K$23</f>
        <v>52175293.810000002</v>
      </c>
      <c r="L23" s="301">
        <f>+[16]XNV!L$23</f>
        <v>52175293.810000002</v>
      </c>
      <c r="M23" s="301">
        <f>+[16]XNV!M$23</f>
        <v>52175293.810000002</v>
      </c>
      <c r="N23" s="301">
        <f>+[16]XNV!N$23</f>
        <v>52175293.810000002</v>
      </c>
      <c r="O23" s="301">
        <f>+[16]XNV!O$23</f>
        <v>52175293.810000002</v>
      </c>
      <c r="P23" s="301">
        <f>+[16]XNV!P$23</f>
        <v>52175293.810000002</v>
      </c>
      <c r="Q23" s="301">
        <f>+[16]XNV!Q$23</f>
        <v>52175293.810000002</v>
      </c>
      <c r="R23" s="301">
        <f>+[16]XNV!R$23</f>
        <v>52175293.810000002</v>
      </c>
      <c r="S23" s="301">
        <f>+[16]XNV!S$23</f>
        <v>52175293.810000002</v>
      </c>
      <c r="T23" s="301">
        <f>+[16]XNV!T$23</f>
        <v>52175293.810000002</v>
      </c>
      <c r="U23" s="301"/>
      <c r="V23" s="475">
        <f>(SUM(I23:S23)+(0.5*T23)+(0.5*H23))/12</f>
        <v>52175293.810000002</v>
      </c>
      <c r="Y23" s="475">
        <f t="shared" si="13"/>
        <v>52175293.810000002</v>
      </c>
      <c r="Z23" s="475">
        <f t="shared" si="2"/>
        <v>52175293.810000002</v>
      </c>
      <c r="AA23" s="301">
        <f t="shared" si="6"/>
        <v>52175293.810000002</v>
      </c>
      <c r="AB23" s="301">
        <f t="shared" si="7"/>
        <v>52175293.810000002</v>
      </c>
      <c r="AC23" s="301">
        <f t="shared" si="3"/>
        <v>52175293.810000002</v>
      </c>
      <c r="AD23" s="301">
        <f t="shared" si="8"/>
        <v>0</v>
      </c>
      <c r="AE23" s="216">
        <f t="shared" si="1"/>
        <v>16</v>
      </c>
      <c r="AF23" s="216">
        <f t="shared" si="1"/>
        <v>11</v>
      </c>
      <c r="AG23" s="1">
        <v>923815.10250002146</v>
      </c>
      <c r="AH23" s="438" t="s">
        <v>195</v>
      </c>
      <c r="AI23" s="438" t="s">
        <v>196</v>
      </c>
      <c r="AJ23" s="438"/>
      <c r="AK23" s="438"/>
      <c r="AL23" s="439">
        <f t="shared" si="9"/>
        <v>52175293.810000002</v>
      </c>
      <c r="AM23" s="10">
        <f t="shared" si="10"/>
        <v>52175293.810000002</v>
      </c>
      <c r="AN23" s="10">
        <f t="shared" si="11"/>
        <v>0</v>
      </c>
      <c r="AO23" s="1">
        <f t="shared" si="4"/>
        <v>0</v>
      </c>
    </row>
    <row r="24" spans="1:41">
      <c r="A24" s="500">
        <f t="shared" si="0"/>
        <v>953</v>
      </c>
      <c r="B24" s="265" t="s">
        <v>197</v>
      </c>
      <c r="C24" s="265" t="s">
        <v>198</v>
      </c>
      <c r="D24" s="265"/>
      <c r="E24" s="265"/>
      <c r="F24" s="265"/>
      <c r="G24" s="265"/>
      <c r="H24" s="301">
        <f>+[16]XNV!H$24</f>
        <v>17216356.050000001</v>
      </c>
      <c r="I24" s="301">
        <f>+[16]XNV!I$24</f>
        <v>17216356.050000001</v>
      </c>
      <c r="J24" s="301">
        <f>+[16]XNV!J$24</f>
        <v>17216356.050000001</v>
      </c>
      <c r="K24" s="301">
        <f>+[16]XNV!K$24</f>
        <v>17216356.050000001</v>
      </c>
      <c r="L24" s="301">
        <f>+[16]XNV!L$24</f>
        <v>17216356.050000001</v>
      </c>
      <c r="M24" s="301">
        <f>+[16]XNV!M$24</f>
        <v>17216356.050000001</v>
      </c>
      <c r="N24" s="301">
        <f>+[16]XNV!N$24</f>
        <v>17216356.050000001</v>
      </c>
      <c r="O24" s="301">
        <f>+[16]XNV!O$24</f>
        <v>17216356.050000001</v>
      </c>
      <c r="P24" s="301">
        <f>+[16]XNV!P$24</f>
        <v>17216356.050000001</v>
      </c>
      <c r="Q24" s="301">
        <f>+[16]XNV!Q$24</f>
        <v>17216356.050000001</v>
      </c>
      <c r="R24" s="301">
        <f>+[16]XNV!R$24</f>
        <v>17216356.050000001</v>
      </c>
      <c r="S24" s="301">
        <f>+[16]XNV!S$24</f>
        <v>17216356.050000001</v>
      </c>
      <c r="T24" s="301">
        <f>+[16]XNV!T$24</f>
        <v>17216356.050000001</v>
      </c>
      <c r="U24" s="301"/>
      <c r="V24" s="475">
        <f t="shared" si="12"/>
        <v>17216356.050000004</v>
      </c>
      <c r="Y24" s="475">
        <f t="shared" si="13"/>
        <v>17216356.050000001</v>
      </c>
      <c r="Z24" s="475">
        <f t="shared" si="2"/>
        <v>17216356.050000004</v>
      </c>
      <c r="AA24" s="301">
        <f t="shared" si="6"/>
        <v>17216356.050000004</v>
      </c>
      <c r="AB24" s="301">
        <f t="shared" si="7"/>
        <v>17216356.050000001</v>
      </c>
      <c r="AC24" s="301">
        <f t="shared" si="3"/>
        <v>17216356.050000004</v>
      </c>
      <c r="AD24" s="301">
        <f t="shared" si="8"/>
        <v>0</v>
      </c>
      <c r="AE24" s="216">
        <f t="shared" si="1"/>
        <v>17</v>
      </c>
      <c r="AF24" s="216">
        <f t="shared" si="1"/>
        <v>12</v>
      </c>
      <c r="AG24" s="1">
        <v>274625.39208333194</v>
      </c>
      <c r="AH24" s="438" t="s">
        <v>197</v>
      </c>
      <c r="AI24" s="438" t="s">
        <v>198</v>
      </c>
      <c r="AJ24" s="438"/>
      <c r="AK24" s="438"/>
      <c r="AL24" s="439">
        <f t="shared" si="9"/>
        <v>17216356.050000001</v>
      </c>
      <c r="AM24" s="10">
        <f t="shared" si="10"/>
        <v>17216356.050000004</v>
      </c>
      <c r="AN24" s="10">
        <f t="shared" si="11"/>
        <v>0</v>
      </c>
      <c r="AO24" s="1">
        <f t="shared" si="4"/>
        <v>0</v>
      </c>
    </row>
    <row r="25" spans="1:41">
      <c r="A25" s="500">
        <f t="shared" si="0"/>
        <v>954</v>
      </c>
      <c r="B25" s="265" t="s">
        <v>199</v>
      </c>
      <c r="C25" s="265" t="s">
        <v>200</v>
      </c>
      <c r="D25" s="265"/>
      <c r="E25" s="265"/>
      <c r="F25" s="265"/>
      <c r="G25" s="265"/>
      <c r="H25" s="301">
        <f>+[16]XNV!H$25</f>
        <v>2693816.12</v>
      </c>
      <c r="I25" s="301">
        <f>+[16]XNV!I$25</f>
        <v>2693816.12</v>
      </c>
      <c r="J25" s="301">
        <f>+[16]XNV!J$25</f>
        <v>2693816.12</v>
      </c>
      <c r="K25" s="301">
        <f>+[16]XNV!K$25</f>
        <v>2693816.12</v>
      </c>
      <c r="L25" s="301">
        <f>+[16]XNV!L$25</f>
        <v>2693816.12</v>
      </c>
      <c r="M25" s="301">
        <f>+[16]XNV!M$25</f>
        <v>2693816.12</v>
      </c>
      <c r="N25" s="301">
        <f>+[16]XNV!N$25</f>
        <v>2693816.12</v>
      </c>
      <c r="O25" s="301">
        <f>+[16]XNV!O$25</f>
        <v>2693816.12</v>
      </c>
      <c r="P25" s="301">
        <f>+[16]XNV!P$25</f>
        <v>2693816.12</v>
      </c>
      <c r="Q25" s="301">
        <f>+[16]XNV!Q$25</f>
        <v>2693816.12</v>
      </c>
      <c r="R25" s="301">
        <f>+[16]XNV!R$25</f>
        <v>2693816.12</v>
      </c>
      <c r="S25" s="301">
        <f>+[16]XNV!S$25</f>
        <v>2693816.12</v>
      </c>
      <c r="T25" s="301">
        <f>+[16]XNV!T$25</f>
        <v>2693816.12</v>
      </c>
      <c r="U25" s="301"/>
      <c r="V25" s="475">
        <f t="shared" si="12"/>
        <v>2693816.1200000006</v>
      </c>
      <c r="Y25" s="475">
        <f t="shared" si="13"/>
        <v>2693816.12</v>
      </c>
      <c r="Z25" s="475">
        <f t="shared" si="2"/>
        <v>2693816.1200000006</v>
      </c>
      <c r="AA25" s="301">
        <f t="shared" si="6"/>
        <v>2693816.1200000006</v>
      </c>
      <c r="AB25" s="301">
        <f t="shared" si="7"/>
        <v>2693816.12</v>
      </c>
      <c r="AC25" s="301">
        <f t="shared" si="3"/>
        <v>2693816.1200000006</v>
      </c>
      <c r="AD25" s="301">
        <f t="shared" si="8"/>
        <v>0</v>
      </c>
      <c r="AE25" s="216">
        <f t="shared" si="1"/>
        <v>18</v>
      </c>
      <c r="AF25" s="216">
        <f t="shared" si="1"/>
        <v>13</v>
      </c>
      <c r="AG25" s="1">
        <v>5745.5837499997579</v>
      </c>
      <c r="AH25" s="438" t="s">
        <v>199</v>
      </c>
      <c r="AI25" s="438" t="s">
        <v>200</v>
      </c>
      <c r="AJ25" s="438"/>
      <c r="AK25" s="438"/>
      <c r="AL25" s="439">
        <f t="shared" si="9"/>
        <v>2693816.12</v>
      </c>
      <c r="AM25" s="10">
        <f t="shared" si="10"/>
        <v>2693816.1200000006</v>
      </c>
      <c r="AN25" s="10">
        <f t="shared" si="11"/>
        <v>0</v>
      </c>
      <c r="AO25" s="1">
        <f t="shared" si="4"/>
        <v>0</v>
      </c>
    </row>
    <row r="26" spans="1:41">
      <c r="A26" s="500">
        <f t="shared" si="0"/>
        <v>955</v>
      </c>
      <c r="B26" s="265" t="s">
        <v>201</v>
      </c>
      <c r="C26" s="265" t="s">
        <v>202</v>
      </c>
      <c r="D26" s="265"/>
      <c r="E26" s="265"/>
      <c r="F26" s="265"/>
      <c r="G26" s="265"/>
      <c r="H26" s="301">
        <f>+[16]XNV!H$26</f>
        <v>57014.71</v>
      </c>
      <c r="I26" s="301">
        <f>+[16]XNV!I$26</f>
        <v>57014.71</v>
      </c>
      <c r="J26" s="301">
        <f>+[16]XNV!J$26</f>
        <v>57014.71</v>
      </c>
      <c r="K26" s="301">
        <f>+[16]XNV!K$26</f>
        <v>57014.71</v>
      </c>
      <c r="L26" s="301">
        <f>+[16]XNV!L$26</f>
        <v>57014.71</v>
      </c>
      <c r="M26" s="301">
        <f>+[16]XNV!M$26</f>
        <v>57014.71</v>
      </c>
      <c r="N26" s="301">
        <f>+[16]XNV!N$26</f>
        <v>57014.71</v>
      </c>
      <c r="O26" s="301">
        <f>+[16]XNV!O$26</f>
        <v>57014.71</v>
      </c>
      <c r="P26" s="301">
        <f>+[16]XNV!P$26</f>
        <v>57014.71</v>
      </c>
      <c r="Q26" s="301">
        <f>+[16]XNV!Q$26</f>
        <v>57014.71</v>
      </c>
      <c r="R26" s="301">
        <f>+[16]XNV!R$26</f>
        <v>57014.71</v>
      </c>
      <c r="S26" s="301">
        <f>+[16]XNV!S$26</f>
        <v>57014.71</v>
      </c>
      <c r="T26" s="301">
        <f>+[16]XNV!T$26</f>
        <v>57014.71</v>
      </c>
      <c r="U26" s="301"/>
      <c r="V26" s="475">
        <f t="shared" si="12"/>
        <v>57014.71</v>
      </c>
      <c r="Y26" s="475">
        <f t="shared" si="13"/>
        <v>57014.71</v>
      </c>
      <c r="Z26" s="475">
        <f t="shared" si="2"/>
        <v>57014.71</v>
      </c>
      <c r="AA26" s="301">
        <f t="shared" si="6"/>
        <v>57014.71</v>
      </c>
      <c r="AB26" s="301">
        <f t="shared" si="7"/>
        <v>57014.71</v>
      </c>
      <c r="AC26" s="301">
        <f t="shared" si="3"/>
        <v>57014.71</v>
      </c>
      <c r="AD26" s="301">
        <f t="shared" si="8"/>
        <v>0</v>
      </c>
      <c r="AE26" s="216">
        <f t="shared" si="1"/>
        <v>19</v>
      </c>
      <c r="AF26" s="216">
        <f t="shared" si="1"/>
        <v>14</v>
      </c>
      <c r="AG26" s="1">
        <v>0</v>
      </c>
      <c r="AH26" s="438" t="s">
        <v>201</v>
      </c>
      <c r="AI26" s="438" t="s">
        <v>202</v>
      </c>
      <c r="AJ26" s="438"/>
      <c r="AK26" s="438"/>
      <c r="AL26" s="439">
        <f t="shared" si="9"/>
        <v>57014.71</v>
      </c>
      <c r="AM26" s="10">
        <f t="shared" si="10"/>
        <v>57014.71</v>
      </c>
      <c r="AN26" s="10">
        <f t="shared" si="11"/>
        <v>0</v>
      </c>
      <c r="AO26" s="1">
        <f t="shared" si="4"/>
        <v>0</v>
      </c>
    </row>
    <row r="27" spans="1:41">
      <c r="A27" s="500">
        <f t="shared" si="0"/>
        <v>956</v>
      </c>
      <c r="B27" s="265" t="s">
        <v>203</v>
      </c>
      <c r="C27" s="265" t="s">
        <v>204</v>
      </c>
      <c r="D27" s="265"/>
      <c r="E27" s="265"/>
      <c r="F27" s="265"/>
      <c r="G27" s="265"/>
      <c r="H27" s="301">
        <f>+[16]XNV!H$27</f>
        <v>121186.63</v>
      </c>
      <c r="I27" s="301">
        <f>+[16]XNV!I$27</f>
        <v>121186.63</v>
      </c>
      <c r="J27" s="301">
        <f>+[16]XNV!J$27</f>
        <v>121186.63</v>
      </c>
      <c r="K27" s="301">
        <f>+[16]XNV!K$27</f>
        <v>121186.63</v>
      </c>
      <c r="L27" s="301">
        <f>+[16]XNV!L$27</f>
        <v>121186.63</v>
      </c>
      <c r="M27" s="301">
        <f>+[16]XNV!M$27</f>
        <v>121186.63</v>
      </c>
      <c r="N27" s="301">
        <f>+[16]XNV!N$27</f>
        <v>121186.63</v>
      </c>
      <c r="O27" s="301">
        <f>+[16]XNV!O$27</f>
        <v>121186.63</v>
      </c>
      <c r="P27" s="301">
        <f>+[16]XNV!P$27</f>
        <v>121186.63</v>
      </c>
      <c r="Q27" s="301">
        <f>+[16]XNV!Q$27</f>
        <v>121186.63</v>
      </c>
      <c r="R27" s="301">
        <f>+[16]XNV!R$27</f>
        <v>121186.63</v>
      </c>
      <c r="S27" s="301">
        <f>+[16]XNV!S$27</f>
        <v>121186.63</v>
      </c>
      <c r="T27" s="301">
        <f>+[16]XNV!T$27</f>
        <v>121186.63</v>
      </c>
      <c r="U27" s="301"/>
      <c r="V27" s="475">
        <f t="shared" si="12"/>
        <v>121186.62999999996</v>
      </c>
      <c r="Y27" s="475">
        <f t="shared" si="13"/>
        <v>121186.63</v>
      </c>
      <c r="Z27" s="475">
        <f t="shared" si="2"/>
        <v>121186.62999999996</v>
      </c>
      <c r="AA27" s="301">
        <f t="shared" si="6"/>
        <v>121186.62999999996</v>
      </c>
      <c r="AB27" s="301">
        <f t="shared" si="7"/>
        <v>121186.63</v>
      </c>
      <c r="AC27" s="301">
        <f t="shared" si="3"/>
        <v>121186.62999999996</v>
      </c>
      <c r="AD27" s="301">
        <f t="shared" si="8"/>
        <v>0</v>
      </c>
      <c r="AE27" s="216">
        <f t="shared" si="1"/>
        <v>20</v>
      </c>
      <c r="AF27" s="216">
        <f t="shared" si="1"/>
        <v>15</v>
      </c>
      <c r="AG27" s="1">
        <v>0</v>
      </c>
      <c r="AH27" s="438" t="s">
        <v>203</v>
      </c>
      <c r="AI27" s="438" t="s">
        <v>204</v>
      </c>
      <c r="AJ27" s="438"/>
      <c r="AK27" s="438"/>
      <c r="AL27" s="439">
        <f t="shared" si="9"/>
        <v>121186.63</v>
      </c>
      <c r="AM27" s="10">
        <f t="shared" si="10"/>
        <v>121186.62999999996</v>
      </c>
      <c r="AN27" s="10">
        <f t="shared" si="11"/>
        <v>0</v>
      </c>
      <c r="AO27" s="1">
        <f t="shared" si="4"/>
        <v>0</v>
      </c>
    </row>
    <row r="28" spans="1:41">
      <c r="A28" s="500">
        <f t="shared" si="0"/>
        <v>957</v>
      </c>
      <c r="B28" s="53"/>
      <c r="C28" s="265"/>
      <c r="D28" s="265"/>
      <c r="E28" s="265"/>
      <c r="F28" s="265"/>
      <c r="G28" s="265"/>
      <c r="H28" s="509"/>
      <c r="I28" s="509"/>
      <c r="J28" s="509"/>
      <c r="K28" s="509"/>
      <c r="L28" s="509"/>
      <c r="M28" s="509"/>
      <c r="N28" s="509"/>
      <c r="O28" s="509"/>
      <c r="P28" s="509"/>
      <c r="Q28" s="509"/>
      <c r="R28" s="509"/>
      <c r="S28" s="509"/>
      <c r="T28" s="509"/>
      <c r="U28" s="509"/>
      <c r="V28" s="509"/>
      <c r="Y28" s="509"/>
      <c r="Z28" s="509"/>
      <c r="AA28" s="509"/>
      <c r="AB28" s="509"/>
      <c r="AC28" s="509">
        <f t="shared" si="3"/>
        <v>0</v>
      </c>
      <c r="AD28" s="516"/>
      <c r="AE28" s="216">
        <f t="shared" si="1"/>
        <v>21</v>
      </c>
      <c r="AF28" s="216">
        <f t="shared" si="1"/>
        <v>16</v>
      </c>
      <c r="AG28" s="1">
        <v>0</v>
      </c>
      <c r="AH28" s="53"/>
      <c r="AI28" s="438"/>
      <c r="AJ28" s="438"/>
      <c r="AK28" s="438"/>
      <c r="AL28" s="2"/>
      <c r="AO28" s="1">
        <f t="shared" si="4"/>
        <v>0</v>
      </c>
    </row>
    <row r="29" spans="1:41">
      <c r="A29" s="500">
        <f t="shared" si="0"/>
        <v>958</v>
      </c>
      <c r="B29" s="265"/>
      <c r="C29" s="265" t="s">
        <v>205</v>
      </c>
      <c r="D29" s="265"/>
      <c r="E29" s="265"/>
      <c r="F29" s="265"/>
      <c r="G29" s="265"/>
      <c r="H29" s="508">
        <f t="shared" ref="H29:T29" si="14">SUM(H21:H27)</f>
        <v>79968136</v>
      </c>
      <c r="I29" s="508">
        <f t="shared" si="14"/>
        <v>79968136</v>
      </c>
      <c r="J29" s="508">
        <f t="shared" si="14"/>
        <v>79968136</v>
      </c>
      <c r="K29" s="508">
        <f t="shared" si="14"/>
        <v>79968136</v>
      </c>
      <c r="L29" s="508">
        <f t="shared" si="14"/>
        <v>79968136</v>
      </c>
      <c r="M29" s="508">
        <f t="shared" si="14"/>
        <v>79968136</v>
      </c>
      <c r="N29" s="508">
        <f t="shared" si="14"/>
        <v>79968136</v>
      </c>
      <c r="O29" s="508">
        <f t="shared" si="14"/>
        <v>79968136</v>
      </c>
      <c r="P29" s="508">
        <f t="shared" si="14"/>
        <v>79968136</v>
      </c>
      <c r="Q29" s="508">
        <f t="shared" si="14"/>
        <v>79968136</v>
      </c>
      <c r="R29" s="508">
        <f t="shared" si="14"/>
        <v>79968136</v>
      </c>
      <c r="S29" s="508">
        <f t="shared" si="14"/>
        <v>79968136</v>
      </c>
      <c r="T29" s="508">
        <f t="shared" si="14"/>
        <v>79968136</v>
      </c>
      <c r="U29" s="508"/>
      <c r="V29" s="508">
        <f>SUM(V21:V27)</f>
        <v>79968136</v>
      </c>
      <c r="Y29" s="508">
        <f>T29</f>
        <v>79968136</v>
      </c>
      <c r="Z29" s="508">
        <f t="shared" si="2"/>
        <v>79968136</v>
      </c>
      <c r="AA29" s="508">
        <f>V29</f>
        <v>79968136</v>
      </c>
      <c r="AB29" s="508">
        <f>T29</f>
        <v>79968136</v>
      </c>
      <c r="AC29" s="508">
        <f t="shared" si="3"/>
        <v>79968136</v>
      </c>
      <c r="AD29" s="100">
        <f>SUM(AD21:AD27)</f>
        <v>0</v>
      </c>
      <c r="AE29" s="216">
        <f t="shared" si="1"/>
        <v>22</v>
      </c>
      <c r="AF29" s="216">
        <f t="shared" si="1"/>
        <v>17</v>
      </c>
      <c r="AG29" s="1">
        <v>1209425.5162500194</v>
      </c>
      <c r="AH29" s="438"/>
      <c r="AI29" s="438" t="s">
        <v>205</v>
      </c>
      <c r="AJ29" s="438"/>
      <c r="AK29" s="438"/>
      <c r="AL29" s="439">
        <f>SUM(AL21:AL27)</f>
        <v>79968136</v>
      </c>
      <c r="AM29" s="439">
        <f>SUM(AM21:AM27)</f>
        <v>79968136</v>
      </c>
      <c r="AN29" s="439">
        <f>SUM(AN21:AN27)</f>
        <v>0</v>
      </c>
      <c r="AO29" s="1">
        <f t="shared" si="4"/>
        <v>0</v>
      </c>
    </row>
    <row r="30" spans="1:41">
      <c r="A30" s="500">
        <f t="shared" si="0"/>
        <v>959</v>
      </c>
      <c r="B30" s="265"/>
      <c r="C30" s="265"/>
      <c r="D30" s="265"/>
      <c r="E30" s="265"/>
      <c r="F30" s="265"/>
      <c r="G30" s="265"/>
      <c r="AA30"/>
      <c r="AC30">
        <f t="shared" si="3"/>
        <v>0</v>
      </c>
      <c r="AE30" s="216">
        <f t="shared" si="1"/>
        <v>23</v>
      </c>
      <c r="AF30" s="216">
        <f t="shared" si="1"/>
        <v>18</v>
      </c>
      <c r="AG30" s="1">
        <v>0</v>
      </c>
      <c r="AH30" s="438"/>
      <c r="AI30" s="438"/>
      <c r="AJ30" s="438"/>
      <c r="AK30" s="438"/>
      <c r="AL30" s="2"/>
      <c r="AO30" s="1">
        <f t="shared" si="4"/>
        <v>0</v>
      </c>
    </row>
    <row r="31" spans="1:41">
      <c r="A31" s="500">
        <f t="shared" si="0"/>
        <v>960</v>
      </c>
      <c r="B31" s="265"/>
      <c r="C31" s="265" t="s">
        <v>206</v>
      </c>
      <c r="D31" s="265"/>
      <c r="E31" s="265"/>
      <c r="F31" s="265"/>
      <c r="G31" s="265"/>
      <c r="AA31"/>
      <c r="AC31">
        <f t="shared" si="3"/>
        <v>0</v>
      </c>
      <c r="AE31" s="216">
        <f t="shared" si="1"/>
        <v>24</v>
      </c>
      <c r="AF31" s="216">
        <f t="shared" si="1"/>
        <v>19</v>
      </c>
      <c r="AG31" s="1">
        <v>0</v>
      </c>
      <c r="AH31" s="438"/>
      <c r="AI31" s="438" t="s">
        <v>206</v>
      </c>
      <c r="AJ31" s="438"/>
      <c r="AK31" s="438"/>
      <c r="AL31" s="2"/>
      <c r="AO31" s="1">
        <f t="shared" si="4"/>
        <v>0</v>
      </c>
    </row>
    <row r="32" spans="1:41">
      <c r="A32" s="500">
        <f t="shared" si="0"/>
        <v>961</v>
      </c>
      <c r="B32" s="265" t="s">
        <v>207</v>
      </c>
      <c r="C32" s="265" t="s">
        <v>192</v>
      </c>
      <c r="D32" s="265"/>
      <c r="E32" s="265"/>
      <c r="F32" s="265"/>
      <c r="G32" s="265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Y32" s="2"/>
      <c r="Z32" s="2"/>
      <c r="AA32" s="2"/>
      <c r="AB32" s="2"/>
      <c r="AC32" s="2">
        <f t="shared" si="3"/>
        <v>0</v>
      </c>
      <c r="AD32" s="70"/>
      <c r="AE32" s="216">
        <f t="shared" ref="AE32" si="15">+AE31+1</f>
        <v>25</v>
      </c>
      <c r="AF32" s="216">
        <f>+AF31+1</f>
        <v>20</v>
      </c>
      <c r="AG32" s="1">
        <v>0</v>
      </c>
      <c r="AH32" s="438" t="s">
        <v>207</v>
      </c>
      <c r="AI32" s="438" t="s">
        <v>192</v>
      </c>
      <c r="AJ32" s="438"/>
      <c r="AK32" s="438"/>
      <c r="AL32" s="2"/>
      <c r="AO32" s="1">
        <f t="shared" si="4"/>
        <v>0</v>
      </c>
    </row>
    <row r="33" spans="1:41">
      <c r="A33" s="500">
        <f t="shared" si="0"/>
        <v>962</v>
      </c>
      <c r="B33" s="265"/>
      <c r="C33" s="265"/>
      <c r="D33" s="265" t="s">
        <v>23</v>
      </c>
      <c r="E33" s="265"/>
      <c r="F33" s="265"/>
      <c r="G33" s="265"/>
      <c r="H33" s="301">
        <f>+[16]XNV!H$33</f>
        <v>451318.04000000004</v>
      </c>
      <c r="I33" s="301">
        <f>+[16]XNV!I$33</f>
        <v>451318.04000000004</v>
      </c>
      <c r="J33" s="301">
        <f>+[16]XNV!J$33</f>
        <v>451318.04000000004</v>
      </c>
      <c r="K33" s="301">
        <f>+[16]XNV!K$33</f>
        <v>451318.04000000004</v>
      </c>
      <c r="L33" s="301">
        <f>+[16]XNV!L$33</f>
        <v>451318.04000000004</v>
      </c>
      <c r="M33" s="301">
        <f>+[16]XNV!M$33</f>
        <v>451318.04000000004</v>
      </c>
      <c r="N33" s="301">
        <f>+[16]XNV!N$33</f>
        <v>451318.04000000004</v>
      </c>
      <c r="O33" s="301">
        <f>+[16]XNV!O$33</f>
        <v>451318.04000000004</v>
      </c>
      <c r="P33" s="301">
        <f>+[16]XNV!P$33</f>
        <v>451318.04000000004</v>
      </c>
      <c r="Q33" s="301">
        <f>+[16]XNV!Q$33</f>
        <v>451318.04000000004</v>
      </c>
      <c r="R33" s="301">
        <f>+[16]XNV!R$33</f>
        <v>451318.04000000004</v>
      </c>
      <c r="S33" s="301">
        <f>+[16]XNV!S$33</f>
        <v>451318.04000000004</v>
      </c>
      <c r="T33" s="301">
        <f>+[16]XNV!T$33</f>
        <v>451318.04000000004</v>
      </c>
      <c r="U33" s="301"/>
      <c r="V33" s="475">
        <f>(SUM(I33:S33)+(0.5*T33)+(0.5*H33))/12</f>
        <v>451318.04000000004</v>
      </c>
      <c r="Y33" s="475">
        <f>T33</f>
        <v>451318.04000000004</v>
      </c>
      <c r="Z33" s="475">
        <f t="shared" si="2"/>
        <v>451318.04000000004</v>
      </c>
      <c r="AA33" s="301">
        <f>V33</f>
        <v>451318.04000000004</v>
      </c>
      <c r="AB33" s="301">
        <f>T33</f>
        <v>451318.04000000004</v>
      </c>
      <c r="AC33" s="301">
        <f t="shared" si="3"/>
        <v>451318.04000000004</v>
      </c>
      <c r="AD33" s="301">
        <f>AC33-T33</f>
        <v>0</v>
      </c>
      <c r="AE33" s="216">
        <f t="shared" ref="AE33" si="16">+AE32+1</f>
        <v>26</v>
      </c>
      <c r="AF33" s="216">
        <f t="shared" si="1"/>
        <v>21</v>
      </c>
      <c r="AG33" s="1">
        <v>-27652.10083333333</v>
      </c>
      <c r="AH33" s="438"/>
      <c r="AI33" s="438"/>
      <c r="AJ33" s="438" t="s">
        <v>23</v>
      </c>
      <c r="AK33" s="438"/>
      <c r="AL33" s="439">
        <f>+T33</f>
        <v>451318.04000000004</v>
      </c>
      <c r="AM33" s="10">
        <f>AC33</f>
        <v>451318.04000000004</v>
      </c>
      <c r="AN33" s="10">
        <f>AM33-AL33</f>
        <v>0</v>
      </c>
      <c r="AO33" s="1">
        <f t="shared" si="4"/>
        <v>0</v>
      </c>
    </row>
    <row r="34" spans="1:41">
      <c r="A34" s="500">
        <f t="shared" si="0"/>
        <v>963</v>
      </c>
      <c r="B34" s="265"/>
      <c r="C34" s="265"/>
      <c r="D34" s="265" t="s">
        <v>12</v>
      </c>
      <c r="E34" s="265"/>
      <c r="F34" s="265"/>
      <c r="G34" s="265"/>
      <c r="H34" s="511">
        <f>+[16]XNV!H$34</f>
        <v>24337772.84</v>
      </c>
      <c r="I34" s="511">
        <f>+[16]XNV!I$34</f>
        <v>24339292.84</v>
      </c>
      <c r="J34" s="511">
        <f>+[16]XNV!J$34</f>
        <v>24340297.84</v>
      </c>
      <c r="K34" s="511">
        <f>+[16]XNV!K$34</f>
        <v>24340297.84</v>
      </c>
      <c r="L34" s="511">
        <f>+[16]XNV!L$34</f>
        <v>24340297.84</v>
      </c>
      <c r="M34" s="511">
        <f>+[16]XNV!M$34</f>
        <v>24343860.93</v>
      </c>
      <c r="N34" s="511">
        <f>+[16]XNV!N$34</f>
        <v>24343860.93</v>
      </c>
      <c r="O34" s="511">
        <f>+[16]XNV!O$34</f>
        <v>24582881.190000001</v>
      </c>
      <c r="P34" s="511">
        <f>+[16]XNV!P$34</f>
        <v>24784179.110000003</v>
      </c>
      <c r="Q34" s="511">
        <f>+[16]XNV!Q$34</f>
        <v>24787578.090000004</v>
      </c>
      <c r="R34" s="511">
        <f>+[16]XNV!R$34</f>
        <v>25052279.990000002</v>
      </c>
      <c r="S34" s="511">
        <f>+[16]XNV!S$34</f>
        <v>25055510.130000003</v>
      </c>
      <c r="T34" s="511">
        <f>+[16]XNV!T$34</f>
        <v>25055539.260000002</v>
      </c>
      <c r="U34" s="511"/>
      <c r="V34" s="510">
        <f>(SUM(I34:S34)+(0.5*T34)+(0.5*H34))/12</f>
        <v>24583916.065000001</v>
      </c>
      <c r="Y34" s="510">
        <f>T34</f>
        <v>25055539.260000002</v>
      </c>
      <c r="Z34" s="510">
        <f t="shared" si="2"/>
        <v>24583916.065000001</v>
      </c>
      <c r="AA34" s="511">
        <f>V34</f>
        <v>24583916.065000001</v>
      </c>
      <c r="AB34" s="511">
        <f>T34</f>
        <v>25055539.260000002</v>
      </c>
      <c r="AC34" s="511">
        <f t="shared" si="3"/>
        <v>24583916.065000001</v>
      </c>
      <c r="AD34" s="511">
        <f>AC34-T34</f>
        <v>-471623.1950000003</v>
      </c>
      <c r="AE34" s="216">
        <f t="shared" ref="AE34" si="17">+AE33+1</f>
        <v>27</v>
      </c>
      <c r="AF34" s="216">
        <f t="shared" si="1"/>
        <v>22</v>
      </c>
      <c r="AG34" s="1">
        <v>-1314080.4041666687</v>
      </c>
      <c r="AH34" s="438"/>
      <c r="AI34" s="438"/>
      <c r="AJ34" s="438" t="s">
        <v>12</v>
      </c>
      <c r="AK34" s="438"/>
      <c r="AL34" s="439">
        <f>+T34</f>
        <v>25055539.260000002</v>
      </c>
      <c r="AM34" s="10">
        <f>AC34</f>
        <v>24583916.065000001</v>
      </c>
      <c r="AN34" s="10">
        <f>AM34-AL34</f>
        <v>-471623.1950000003</v>
      </c>
      <c r="AO34" s="1">
        <f t="shared" si="4"/>
        <v>0</v>
      </c>
    </row>
    <row r="35" spans="1:41">
      <c r="A35" s="500">
        <f t="shared" si="0"/>
        <v>964</v>
      </c>
      <c r="B35" s="265"/>
      <c r="C35" s="265"/>
      <c r="D35" s="265" t="s">
        <v>145</v>
      </c>
      <c r="E35" s="265"/>
      <c r="F35" s="265"/>
      <c r="G35" s="265"/>
      <c r="H35" s="1">
        <f t="shared" ref="H35:T35" si="18">SUM(H33:H34)</f>
        <v>24789090.879999999</v>
      </c>
      <c r="I35" s="1">
        <f t="shared" si="18"/>
        <v>24790610.879999999</v>
      </c>
      <c r="J35" s="1">
        <f t="shared" si="18"/>
        <v>24791615.879999999</v>
      </c>
      <c r="K35" s="1">
        <f t="shared" si="18"/>
        <v>24791615.879999999</v>
      </c>
      <c r="L35" s="1">
        <f t="shared" si="18"/>
        <v>24791615.879999999</v>
      </c>
      <c r="M35" s="1">
        <f t="shared" si="18"/>
        <v>24795178.969999999</v>
      </c>
      <c r="N35" s="1">
        <f t="shared" si="18"/>
        <v>24795178.969999999</v>
      </c>
      <c r="O35" s="1">
        <f t="shared" si="18"/>
        <v>25034199.23</v>
      </c>
      <c r="P35" s="1">
        <f t="shared" si="18"/>
        <v>25235497.150000002</v>
      </c>
      <c r="Q35" s="1">
        <f t="shared" si="18"/>
        <v>25238896.130000003</v>
      </c>
      <c r="R35" s="1">
        <f t="shared" si="18"/>
        <v>25503598.030000001</v>
      </c>
      <c r="S35" s="1">
        <f t="shared" si="18"/>
        <v>25506828.170000002</v>
      </c>
      <c r="T35" s="1">
        <f t="shared" si="18"/>
        <v>25506857.300000001</v>
      </c>
      <c r="U35" s="1"/>
      <c r="V35" s="222">
        <f>SUM(V33:V34)</f>
        <v>25035234.105</v>
      </c>
      <c r="Y35" s="222">
        <f>T35</f>
        <v>25506857.300000001</v>
      </c>
      <c r="Z35" s="222">
        <f t="shared" si="2"/>
        <v>25035234.105</v>
      </c>
      <c r="AA35" s="1">
        <f>V35</f>
        <v>25035234.105</v>
      </c>
      <c r="AB35" s="1">
        <f>T35</f>
        <v>25506857.300000001</v>
      </c>
      <c r="AC35" s="1">
        <f t="shared" si="3"/>
        <v>25035234.105</v>
      </c>
      <c r="AD35" s="1">
        <f>SUM(AD33:AD34)</f>
        <v>-471623.1950000003</v>
      </c>
      <c r="AE35" s="216">
        <f t="shared" ref="AE35" si="19">+AE34+1</f>
        <v>28</v>
      </c>
      <c r="AF35" s="216">
        <f t="shared" si="1"/>
        <v>23</v>
      </c>
      <c r="AG35" s="1">
        <v>-1341732.505000002</v>
      </c>
      <c r="AH35" s="438"/>
      <c r="AI35" s="438"/>
      <c r="AJ35" s="438" t="s">
        <v>145</v>
      </c>
      <c r="AK35" s="438"/>
      <c r="AL35" s="439">
        <f>SUM(AL33:AL34)</f>
        <v>25506857.300000001</v>
      </c>
      <c r="AM35" s="439">
        <f t="shared" ref="AM35:AN35" si="20">SUM(AM33:AM34)</f>
        <v>25035234.105</v>
      </c>
      <c r="AN35" s="439">
        <f t="shared" si="20"/>
        <v>-471623.1950000003</v>
      </c>
      <c r="AO35" s="1">
        <f t="shared" si="4"/>
        <v>0</v>
      </c>
    </row>
    <row r="36" spans="1:41">
      <c r="A36" s="500">
        <f t="shared" si="0"/>
        <v>965</v>
      </c>
      <c r="B36" s="265"/>
      <c r="C36" s="265"/>
      <c r="D36" s="265"/>
      <c r="E36" s="265"/>
      <c r="F36" s="265"/>
      <c r="G36" s="265"/>
      <c r="AA36"/>
      <c r="AC36">
        <f t="shared" si="3"/>
        <v>0</v>
      </c>
      <c r="AE36" s="216">
        <f t="shared" ref="AE36" si="21">+AE35+1</f>
        <v>29</v>
      </c>
      <c r="AF36" s="216">
        <f t="shared" si="1"/>
        <v>24</v>
      </c>
      <c r="AG36" s="1">
        <v>0</v>
      </c>
      <c r="AH36" s="438"/>
      <c r="AI36" s="438"/>
      <c r="AJ36" s="438"/>
      <c r="AK36" s="438"/>
      <c r="AL36" s="439"/>
      <c r="AO36" s="1">
        <f t="shared" si="4"/>
        <v>0</v>
      </c>
    </row>
    <row r="37" spans="1:41">
      <c r="A37" s="500">
        <f t="shared" si="0"/>
        <v>966</v>
      </c>
      <c r="B37" s="265" t="s">
        <v>208</v>
      </c>
      <c r="C37" s="265" t="s">
        <v>209</v>
      </c>
      <c r="D37" s="265"/>
      <c r="E37" s="265"/>
      <c r="F37" s="265"/>
      <c r="G37" s="265"/>
      <c r="AA37"/>
      <c r="AC37">
        <f t="shared" si="3"/>
        <v>0</v>
      </c>
      <c r="AE37" s="216">
        <f t="shared" ref="AE37" si="22">+AE36+1</f>
        <v>30</v>
      </c>
      <c r="AF37" s="216">
        <f t="shared" si="1"/>
        <v>25</v>
      </c>
      <c r="AG37" s="1">
        <v>0</v>
      </c>
      <c r="AH37" s="438" t="s">
        <v>208</v>
      </c>
      <c r="AI37" s="438" t="s">
        <v>796</v>
      </c>
      <c r="AJ37" s="438"/>
      <c r="AK37" s="438"/>
      <c r="AL37" s="439"/>
      <c r="AO37" s="1">
        <f t="shared" si="4"/>
        <v>0</v>
      </c>
    </row>
    <row r="38" spans="1:41">
      <c r="A38" s="500">
        <f t="shared" si="0"/>
        <v>967</v>
      </c>
      <c r="B38" s="265"/>
      <c r="C38" s="265"/>
      <c r="D38" s="265" t="s">
        <v>23</v>
      </c>
      <c r="E38" s="265"/>
      <c r="F38" s="265"/>
      <c r="G38" s="265"/>
      <c r="H38" s="301">
        <f>[16]XNV!$H$38</f>
        <v>1730202.8399999999</v>
      </c>
      <c r="I38" s="301">
        <f>[16]XNV!$I$38</f>
        <v>1730202.8399999999</v>
      </c>
      <c r="J38" s="301">
        <f>[16]XNV!$J$38</f>
        <v>1730202.8399999999</v>
      </c>
      <c r="K38" s="301">
        <f>[16]XNV!$K$38</f>
        <v>1730202.8399999999</v>
      </c>
      <c r="L38" s="301">
        <f>[16]XNV!$L$38</f>
        <v>1730202.8399999999</v>
      </c>
      <c r="M38" s="301">
        <f>[16]XNV!$M$38</f>
        <v>1730202.8399999999</v>
      </c>
      <c r="N38" s="301">
        <f>[16]XNV!$N$38</f>
        <v>1730202.8399999999</v>
      </c>
      <c r="O38" s="301">
        <f>[16]XNV!$O$38</f>
        <v>1730202.8399999999</v>
      </c>
      <c r="P38" s="301">
        <f>[16]XNV!$P$38</f>
        <v>1730202.8399999999</v>
      </c>
      <c r="Q38" s="301">
        <f>[16]XNV!$Q$38</f>
        <v>1730202.8399999999</v>
      </c>
      <c r="R38" s="301">
        <f>[16]XNV!$R$38</f>
        <v>1730202.8399999999</v>
      </c>
      <c r="S38" s="301">
        <f>[16]XNV!$S$38</f>
        <v>1730202.8399999999</v>
      </c>
      <c r="T38" s="301">
        <f>[16]XNV!$T$38</f>
        <v>1730202.8399999999</v>
      </c>
      <c r="U38" s="301"/>
      <c r="V38" s="475">
        <f>(SUM(I38:S38)+(0.5*T38)+(0.5*H38))/12</f>
        <v>1730202.8399999999</v>
      </c>
      <c r="Y38" s="475">
        <f>T38</f>
        <v>1730202.8399999999</v>
      </c>
      <c r="Z38" s="475">
        <f t="shared" si="2"/>
        <v>1730202.8399999999</v>
      </c>
      <c r="AA38" s="301">
        <f>V38</f>
        <v>1730202.8399999999</v>
      </c>
      <c r="AB38" s="301">
        <f>T38</f>
        <v>1730202.8399999999</v>
      </c>
      <c r="AC38" s="301">
        <f t="shared" si="3"/>
        <v>1730202.8399999999</v>
      </c>
      <c r="AD38" s="611">
        <f>AC38-T38</f>
        <v>0</v>
      </c>
      <c r="AE38" s="216">
        <f t="shared" ref="AE38" si="23">+AE37+1</f>
        <v>31</v>
      </c>
      <c r="AF38" s="216">
        <f t="shared" si="1"/>
        <v>26</v>
      </c>
      <c r="AG38" s="1">
        <v>-134296.77374999982</v>
      </c>
      <c r="AH38" s="438"/>
      <c r="AI38" s="438"/>
      <c r="AJ38" s="438" t="s">
        <v>23</v>
      </c>
      <c r="AK38" s="438"/>
      <c r="AL38" s="439">
        <f>+T38</f>
        <v>1730202.8399999999</v>
      </c>
      <c r="AM38" s="10">
        <f>AC38</f>
        <v>1730202.8399999999</v>
      </c>
      <c r="AN38" s="10">
        <f>AM38-AL38</f>
        <v>0</v>
      </c>
      <c r="AO38" s="1">
        <f t="shared" si="4"/>
        <v>0</v>
      </c>
    </row>
    <row r="39" spans="1:41">
      <c r="A39" s="500">
        <f t="shared" si="0"/>
        <v>968</v>
      </c>
      <c r="B39" s="265"/>
      <c r="C39" s="265"/>
      <c r="D39" s="265" t="s">
        <v>12</v>
      </c>
      <c r="E39" s="265"/>
      <c r="F39" s="265"/>
      <c r="G39" s="265"/>
      <c r="H39" s="511">
        <f>[16]XNV!$H$39</f>
        <v>18699767.50999999</v>
      </c>
      <c r="I39" s="511">
        <f>[16]XNV!$I$39</f>
        <v>18699767.50999999</v>
      </c>
      <c r="J39" s="511">
        <f>[16]XNV!$J$39</f>
        <v>18699767.50999999</v>
      </c>
      <c r="K39" s="511">
        <f>[16]XNV!$K$39</f>
        <v>18699767.50999999</v>
      </c>
      <c r="L39" s="511">
        <f>[16]XNV!$L$39</f>
        <v>18699767.50999999</v>
      </c>
      <c r="M39" s="511">
        <f>[16]XNV!$M$39</f>
        <v>18699767.50999999</v>
      </c>
      <c r="N39" s="511">
        <f>[16]XNV!$N$39</f>
        <v>18699767.50999999</v>
      </c>
      <c r="O39" s="511">
        <f>[16]XNV!$O$39</f>
        <v>18699767.50999999</v>
      </c>
      <c r="P39" s="511">
        <f>[16]XNV!$P$39</f>
        <v>19123818.859999992</v>
      </c>
      <c r="Q39" s="511">
        <f>[16]XNV!$Q$39</f>
        <v>19123924.789999992</v>
      </c>
      <c r="R39" s="511">
        <f>[16]XNV!$R$39</f>
        <v>19123924.789999992</v>
      </c>
      <c r="S39" s="511">
        <f>[16]XNV!$S$39</f>
        <v>19123777.989999991</v>
      </c>
      <c r="T39" s="511">
        <f>[16]XNV!$T$39</f>
        <v>19123777.989999991</v>
      </c>
      <c r="U39" s="511"/>
      <c r="V39" s="510">
        <f>(SUM(I39:S39)+(0.5*T39)+(0.5*H39))/12</f>
        <v>18858799.312499989</v>
      </c>
      <c r="Y39" s="510">
        <f>T39</f>
        <v>19123777.989999991</v>
      </c>
      <c r="Z39" s="510">
        <f t="shared" si="2"/>
        <v>18858799.312499989</v>
      </c>
      <c r="AA39" s="511">
        <f>V39</f>
        <v>18858799.312499989</v>
      </c>
      <c r="AB39" s="511">
        <f>T39</f>
        <v>19123777.989999991</v>
      </c>
      <c r="AC39" s="511">
        <f t="shared" si="3"/>
        <v>18858799.312499989</v>
      </c>
      <c r="AD39" s="511">
        <f>AC39-T39</f>
        <v>-264978.67750000209</v>
      </c>
      <c r="AE39" s="216">
        <f t="shared" ref="AE39" si="24">+AE38+1</f>
        <v>32</v>
      </c>
      <c r="AF39" s="216">
        <f t="shared" si="1"/>
        <v>27</v>
      </c>
      <c r="AG39" s="1">
        <v>-7334.2620833320543</v>
      </c>
      <c r="AH39" s="438"/>
      <c r="AI39" s="438"/>
      <c r="AJ39" s="438" t="s">
        <v>12</v>
      </c>
      <c r="AK39" s="438"/>
      <c r="AL39" s="439">
        <f>+T39</f>
        <v>19123777.989999991</v>
      </c>
      <c r="AM39" s="10">
        <f>AC39</f>
        <v>18858799.312499989</v>
      </c>
      <c r="AN39" s="10">
        <f>AM39-AL39</f>
        <v>-264978.67750000209</v>
      </c>
      <c r="AO39" s="1">
        <f t="shared" si="4"/>
        <v>0</v>
      </c>
    </row>
    <row r="40" spans="1:41">
      <c r="A40" s="500">
        <f t="shared" si="0"/>
        <v>969</v>
      </c>
      <c r="B40" s="265"/>
      <c r="C40" s="265"/>
      <c r="D40" s="265" t="s">
        <v>145</v>
      </c>
      <c r="E40" s="265"/>
      <c r="F40" s="265"/>
      <c r="G40" s="265"/>
      <c r="H40" s="301">
        <f t="shared" ref="H40:T40" si="25">SUM(H38:H39)</f>
        <v>20429970.34999999</v>
      </c>
      <c r="I40" s="301">
        <f t="shared" si="25"/>
        <v>20429970.34999999</v>
      </c>
      <c r="J40" s="301">
        <f t="shared" si="25"/>
        <v>20429970.34999999</v>
      </c>
      <c r="K40" s="301">
        <f t="shared" si="25"/>
        <v>20429970.34999999</v>
      </c>
      <c r="L40" s="301">
        <f t="shared" si="25"/>
        <v>20429970.34999999</v>
      </c>
      <c r="M40" s="301">
        <f t="shared" si="25"/>
        <v>20429970.34999999</v>
      </c>
      <c r="N40" s="301">
        <f t="shared" si="25"/>
        <v>20429970.34999999</v>
      </c>
      <c r="O40" s="301">
        <f t="shared" si="25"/>
        <v>20429970.34999999</v>
      </c>
      <c r="P40" s="301">
        <f t="shared" si="25"/>
        <v>20854021.699999992</v>
      </c>
      <c r="Q40" s="301">
        <f t="shared" si="25"/>
        <v>20854127.629999992</v>
      </c>
      <c r="R40" s="301">
        <f t="shared" si="25"/>
        <v>20854127.629999992</v>
      </c>
      <c r="S40" s="301">
        <f t="shared" si="25"/>
        <v>20853980.829999991</v>
      </c>
      <c r="T40" s="301">
        <f t="shared" si="25"/>
        <v>20853980.829999991</v>
      </c>
      <c r="U40" s="301"/>
      <c r="V40" s="475">
        <f>SUM(V38:V39)</f>
        <v>20589002.152499989</v>
      </c>
      <c r="Y40" s="475">
        <f>T40</f>
        <v>20853980.829999991</v>
      </c>
      <c r="Z40" s="475">
        <f t="shared" si="2"/>
        <v>20589002.152499989</v>
      </c>
      <c r="AA40" s="301">
        <f>V40</f>
        <v>20589002.152499989</v>
      </c>
      <c r="AB40" s="301">
        <f>T40</f>
        <v>20853980.829999991</v>
      </c>
      <c r="AC40" s="301">
        <f t="shared" si="3"/>
        <v>20589002.152499989</v>
      </c>
      <c r="AD40" s="301">
        <f>SUM(AD38:AD39)</f>
        <v>-264978.67750000209</v>
      </c>
      <c r="AE40" s="216">
        <f t="shared" ref="AE40" si="26">+AE39+1</f>
        <v>33</v>
      </c>
      <c r="AF40" s="216">
        <f t="shared" si="1"/>
        <v>28</v>
      </c>
      <c r="AG40" s="1">
        <v>-141631.03583333187</v>
      </c>
      <c r="AH40" s="438"/>
      <c r="AI40" s="438"/>
      <c r="AJ40" s="438" t="s">
        <v>145</v>
      </c>
      <c r="AK40" s="438"/>
      <c r="AL40" s="439">
        <f>SUM(AL38:AL39)</f>
        <v>20853980.829999991</v>
      </c>
      <c r="AM40" s="439">
        <f t="shared" ref="AM40:AN40" si="27">SUM(AM38:AM39)</f>
        <v>20589002.152499989</v>
      </c>
      <c r="AN40" s="439">
        <f t="shared" si="27"/>
        <v>-264978.67750000209</v>
      </c>
      <c r="AO40" s="1">
        <f t="shared" si="4"/>
        <v>0</v>
      </c>
    </row>
    <row r="41" spans="1:41">
      <c r="A41" s="500">
        <f t="shared" si="0"/>
        <v>970</v>
      </c>
      <c r="B41" s="265"/>
      <c r="C41" s="265"/>
      <c r="D41" s="265"/>
      <c r="E41" s="265"/>
      <c r="F41" s="265"/>
      <c r="G41" s="265"/>
      <c r="AA41"/>
      <c r="AC41">
        <f t="shared" si="3"/>
        <v>0</v>
      </c>
      <c r="AE41" s="216">
        <f t="shared" ref="AE41" si="28">+AE40+1</f>
        <v>34</v>
      </c>
      <c r="AF41" s="216">
        <f t="shared" si="1"/>
        <v>29</v>
      </c>
      <c r="AG41" s="1">
        <v>0</v>
      </c>
      <c r="AH41" s="438"/>
      <c r="AI41" s="438"/>
      <c r="AJ41" s="438"/>
      <c r="AK41" s="438"/>
      <c r="AL41" s="439"/>
      <c r="AO41" s="1">
        <f t="shared" si="4"/>
        <v>0</v>
      </c>
    </row>
    <row r="42" spans="1:41">
      <c r="A42" s="500">
        <f t="shared" si="0"/>
        <v>971</v>
      </c>
      <c r="B42" s="265" t="s">
        <v>213</v>
      </c>
      <c r="C42" s="265" t="s">
        <v>214</v>
      </c>
      <c r="D42" s="265"/>
      <c r="E42" s="265"/>
      <c r="F42" s="265"/>
      <c r="G42" s="265"/>
      <c r="AA42"/>
      <c r="AC42">
        <f t="shared" si="3"/>
        <v>0</v>
      </c>
      <c r="AE42" s="216">
        <f t="shared" ref="AE42" si="29">+AE41+1</f>
        <v>35</v>
      </c>
      <c r="AF42" s="216">
        <f t="shared" si="1"/>
        <v>30</v>
      </c>
      <c r="AG42" s="1">
        <v>0</v>
      </c>
      <c r="AH42" s="438" t="s">
        <v>213</v>
      </c>
      <c r="AI42" s="438" t="s">
        <v>214</v>
      </c>
      <c r="AJ42" s="438"/>
      <c r="AK42" s="438"/>
      <c r="AL42" s="439"/>
      <c r="AO42" s="1">
        <f t="shared" si="4"/>
        <v>0</v>
      </c>
    </row>
    <row r="43" spans="1:41">
      <c r="A43" s="500">
        <f t="shared" si="0"/>
        <v>972</v>
      </c>
      <c r="B43" s="265"/>
      <c r="C43" s="265"/>
      <c r="D43" s="265" t="s">
        <v>54</v>
      </c>
      <c r="E43" s="265"/>
      <c r="F43" s="265"/>
      <c r="G43" s="265"/>
      <c r="H43" s="301"/>
      <c r="I43" s="301"/>
      <c r="J43" s="301"/>
      <c r="K43" s="301"/>
      <c r="L43" s="301"/>
      <c r="M43" s="301"/>
      <c r="N43" s="301"/>
      <c r="O43" s="301"/>
      <c r="P43" s="301"/>
      <c r="Q43" s="301"/>
      <c r="R43" s="301"/>
      <c r="S43" s="301"/>
      <c r="T43" s="301"/>
      <c r="U43" s="301"/>
      <c r="V43" s="475"/>
      <c r="Y43" s="475"/>
      <c r="Z43" s="475"/>
      <c r="AA43" s="301"/>
      <c r="AB43" s="301"/>
      <c r="AC43" s="301">
        <f t="shared" si="3"/>
        <v>0</v>
      </c>
      <c r="AD43" s="301"/>
      <c r="AE43" s="216">
        <f t="shared" ref="AE43" si="30">+AE42+1</f>
        <v>36</v>
      </c>
      <c r="AF43" s="216">
        <f t="shared" si="1"/>
        <v>31</v>
      </c>
      <c r="AG43" s="1">
        <v>0</v>
      </c>
      <c r="AH43" s="438"/>
      <c r="AI43" s="438" t="s">
        <v>54</v>
      </c>
      <c r="AJ43" s="438"/>
      <c r="AK43" s="438"/>
      <c r="AL43" s="439"/>
      <c r="AO43" s="1">
        <f t="shared" si="4"/>
        <v>0</v>
      </c>
    </row>
    <row r="44" spans="1:41">
      <c r="A44" s="500">
        <f t="shared" si="0"/>
        <v>973</v>
      </c>
      <c r="B44" s="265"/>
      <c r="C44" s="265"/>
      <c r="D44" s="265" t="s">
        <v>482</v>
      </c>
      <c r="E44" s="265"/>
      <c r="F44" s="265"/>
      <c r="G44" s="265"/>
      <c r="H44" s="301"/>
      <c r="I44" s="301"/>
      <c r="J44" s="301"/>
      <c r="K44" s="301"/>
      <c r="L44" s="301"/>
      <c r="M44" s="301"/>
      <c r="N44" s="301"/>
      <c r="O44" s="301"/>
      <c r="P44" s="301"/>
      <c r="Q44" s="301"/>
      <c r="R44" s="301"/>
      <c r="S44" s="301"/>
      <c r="T44" s="301"/>
      <c r="U44" s="301"/>
      <c r="V44" s="475"/>
      <c r="Y44" s="475"/>
      <c r="Z44" s="475"/>
      <c r="AA44" s="301"/>
      <c r="AB44" s="301"/>
      <c r="AC44" s="301">
        <f t="shared" si="3"/>
        <v>0</v>
      </c>
      <c r="AD44" s="301"/>
      <c r="AE44" s="216">
        <f t="shared" ref="AE44" si="31">+AE43+1</f>
        <v>37</v>
      </c>
      <c r="AF44" s="216">
        <f t="shared" si="1"/>
        <v>32</v>
      </c>
      <c r="AG44" s="1">
        <v>0</v>
      </c>
      <c r="AH44" s="438"/>
      <c r="AI44" s="438" t="s">
        <v>482</v>
      </c>
      <c r="AJ44" s="438"/>
      <c r="AK44" s="438"/>
      <c r="AL44" s="439"/>
      <c r="AO44" s="1">
        <f t="shared" si="4"/>
        <v>0</v>
      </c>
    </row>
    <row r="45" spans="1:41">
      <c r="A45" s="500">
        <f t="shared" si="0"/>
        <v>974</v>
      </c>
      <c r="B45" s="265"/>
      <c r="C45" s="265"/>
      <c r="D45" s="265" t="s">
        <v>483</v>
      </c>
      <c r="E45" s="265"/>
      <c r="F45" s="265"/>
      <c r="G45" s="265"/>
      <c r="H45" s="301"/>
      <c r="I45" s="301"/>
      <c r="J45" s="301"/>
      <c r="K45" s="301"/>
      <c r="L45" s="301"/>
      <c r="M45" s="301"/>
      <c r="N45" s="301"/>
      <c r="O45" s="301"/>
      <c r="P45" s="301"/>
      <c r="Q45" s="301"/>
      <c r="R45" s="301"/>
      <c r="S45" s="301"/>
      <c r="T45" s="301"/>
      <c r="U45" s="301"/>
      <c r="V45" s="475"/>
      <c r="Y45" s="475"/>
      <c r="Z45" s="475"/>
      <c r="AA45" s="301"/>
      <c r="AB45" s="301"/>
      <c r="AC45" s="301">
        <f t="shared" si="3"/>
        <v>0</v>
      </c>
      <c r="AD45" s="301"/>
      <c r="AE45" s="216">
        <f t="shared" ref="AE45" si="32">+AE44+1</f>
        <v>38</v>
      </c>
      <c r="AF45" s="216">
        <f t="shared" si="1"/>
        <v>33</v>
      </c>
      <c r="AG45" s="1">
        <v>0</v>
      </c>
      <c r="AH45" s="438"/>
      <c r="AI45" s="438" t="s">
        <v>483</v>
      </c>
      <c r="AJ45" s="438"/>
      <c r="AK45" s="438"/>
      <c r="AL45" s="439"/>
      <c r="AO45" s="1">
        <f t="shared" si="4"/>
        <v>0</v>
      </c>
    </row>
    <row r="46" spans="1:41">
      <c r="A46" s="500">
        <f t="shared" si="0"/>
        <v>975</v>
      </c>
      <c r="B46" s="265"/>
      <c r="C46" s="265"/>
      <c r="D46" s="265" t="s">
        <v>484</v>
      </c>
      <c r="E46" s="265"/>
      <c r="F46" s="265"/>
      <c r="G46" s="265"/>
      <c r="H46" s="301">
        <f>+[16]XNV!H$46</f>
        <v>60512422.789999999</v>
      </c>
      <c r="I46" s="301">
        <f>+[16]XNV!I$46</f>
        <v>60512422.789999999</v>
      </c>
      <c r="J46" s="301">
        <f>+[16]XNV!J$46</f>
        <v>61273803.969999999</v>
      </c>
      <c r="K46" s="301">
        <f>+[16]XNV!K$46</f>
        <v>61409886.509999998</v>
      </c>
      <c r="L46" s="301">
        <f>+[16]XNV!L$46</f>
        <v>61409886.509999998</v>
      </c>
      <c r="M46" s="301">
        <f>+[16]XNV!M$46</f>
        <v>61399036.899999999</v>
      </c>
      <c r="N46" s="301">
        <f>+[16]XNV!N$46</f>
        <v>61399066.57</v>
      </c>
      <c r="O46" s="301">
        <f>+[16]XNV!O$46</f>
        <v>61399066.57</v>
      </c>
      <c r="P46" s="301">
        <f>+[16]XNV!P$46</f>
        <v>61399066.57</v>
      </c>
      <c r="Q46" s="301">
        <f>+[16]XNV!Q$46</f>
        <v>61804099.899999999</v>
      </c>
      <c r="R46" s="301">
        <f>+[16]XNV!R$46</f>
        <v>61804099.899999999</v>
      </c>
      <c r="S46" s="301">
        <f>+[16]XNV!S$46</f>
        <v>62222139.109999999</v>
      </c>
      <c r="T46" s="301">
        <f>+[16]XNV!T$46</f>
        <v>62370692.479999997</v>
      </c>
      <c r="U46" s="301"/>
      <c r="V46" s="475">
        <f>(SUM(I46:S46)+(0.5*T46)+(0.5*H46))/12</f>
        <v>61456177.744583331</v>
      </c>
      <c r="Y46" s="475">
        <f>T46</f>
        <v>62370692.479999997</v>
      </c>
      <c r="Z46" s="475">
        <f t="shared" si="2"/>
        <v>61456177.744583331</v>
      </c>
      <c r="AA46" s="301">
        <f>V46</f>
        <v>61456177.744583331</v>
      </c>
      <c r="AB46" s="301">
        <f>T46</f>
        <v>62370692.479999997</v>
      </c>
      <c r="AC46" s="301">
        <f t="shared" si="3"/>
        <v>61456177.744583331</v>
      </c>
      <c r="AD46" s="301">
        <f>AC46-T46</f>
        <v>-914514.73541666567</v>
      </c>
      <c r="AE46" s="216">
        <f t="shared" ref="AE46" si="33">+AE45+1</f>
        <v>39</v>
      </c>
      <c r="AF46" s="216">
        <f t="shared" si="1"/>
        <v>34</v>
      </c>
      <c r="AG46" s="1">
        <v>-894926.43583333865</v>
      </c>
      <c r="AH46" s="438"/>
      <c r="AI46" s="438" t="s">
        <v>484</v>
      </c>
      <c r="AJ46" s="438" t="s">
        <v>23</v>
      </c>
      <c r="AK46" s="438"/>
      <c r="AL46" s="439">
        <f>+T46</f>
        <v>62370692.479999997</v>
      </c>
      <c r="AM46" s="10">
        <f>AC46</f>
        <v>61456177.744583331</v>
      </c>
      <c r="AN46" s="10">
        <f>AM46-AL46</f>
        <v>-914514.73541666567</v>
      </c>
      <c r="AO46" s="1">
        <f t="shared" si="4"/>
        <v>0</v>
      </c>
    </row>
    <row r="47" spans="1:41">
      <c r="A47" s="500">
        <f t="shared" si="0"/>
        <v>976</v>
      </c>
      <c r="B47" s="265"/>
      <c r="C47" s="265"/>
      <c r="D47" s="265" t="s">
        <v>485</v>
      </c>
      <c r="E47" s="265"/>
      <c r="F47" s="265"/>
      <c r="G47" s="265"/>
      <c r="H47" s="301"/>
      <c r="I47" s="301"/>
      <c r="J47" s="301"/>
      <c r="K47" s="301"/>
      <c r="L47" s="301"/>
      <c r="M47" s="301"/>
      <c r="N47" s="301"/>
      <c r="O47" s="301"/>
      <c r="P47" s="301"/>
      <c r="Q47" s="301"/>
      <c r="R47" s="301"/>
      <c r="S47" s="301"/>
      <c r="T47" s="301"/>
      <c r="U47" s="301"/>
      <c r="V47" s="475"/>
      <c r="Y47" s="475"/>
      <c r="Z47" s="475"/>
      <c r="AA47" s="301"/>
      <c r="AB47" s="301"/>
      <c r="AC47" s="301">
        <f t="shared" si="3"/>
        <v>0</v>
      </c>
      <c r="AD47" s="301"/>
      <c r="AE47" s="216">
        <f t="shared" ref="AE47" si="34">+AE46+1</f>
        <v>40</v>
      </c>
      <c r="AF47" s="216">
        <f t="shared" ref="AF47:AF106" si="35">+AF46+1</f>
        <v>35</v>
      </c>
      <c r="AG47" s="1">
        <v>0</v>
      </c>
      <c r="AH47" s="438"/>
      <c r="AI47" s="438" t="s">
        <v>485</v>
      </c>
      <c r="AJ47" s="438"/>
      <c r="AK47" s="438"/>
      <c r="AL47" s="439"/>
      <c r="AO47" s="1">
        <f t="shared" si="4"/>
        <v>0</v>
      </c>
    </row>
    <row r="48" spans="1:41">
      <c r="A48" s="500">
        <f t="shared" si="0"/>
        <v>977</v>
      </c>
      <c r="B48" s="265"/>
      <c r="C48" s="265"/>
      <c r="D48" s="265" t="s">
        <v>486</v>
      </c>
      <c r="E48" s="265"/>
      <c r="F48" s="265"/>
      <c r="G48" s="265"/>
      <c r="H48" s="301"/>
      <c r="I48" s="301"/>
      <c r="J48" s="301"/>
      <c r="K48" s="301"/>
      <c r="L48" s="301"/>
      <c r="M48" s="301"/>
      <c r="N48" s="301"/>
      <c r="O48" s="301"/>
      <c r="P48" s="301"/>
      <c r="Q48" s="301"/>
      <c r="R48" s="301"/>
      <c r="S48" s="301"/>
      <c r="T48" s="301"/>
      <c r="U48" s="301"/>
      <c r="V48" s="475"/>
      <c r="Y48" s="475"/>
      <c r="Z48" s="475"/>
      <c r="AA48" s="301"/>
      <c r="AB48" s="301"/>
      <c r="AC48" s="301">
        <f t="shared" si="3"/>
        <v>0</v>
      </c>
      <c r="AD48" s="301"/>
      <c r="AE48" s="216">
        <f t="shared" ref="AE48" si="36">+AE47+1</f>
        <v>41</v>
      </c>
      <c r="AF48" s="216">
        <f t="shared" si="35"/>
        <v>36</v>
      </c>
      <c r="AG48" s="1">
        <v>0</v>
      </c>
      <c r="AH48" s="438"/>
      <c r="AI48" s="438" t="s">
        <v>486</v>
      </c>
      <c r="AJ48" s="438"/>
      <c r="AK48" s="438"/>
      <c r="AL48" s="439"/>
      <c r="AO48" s="1">
        <f t="shared" si="4"/>
        <v>0</v>
      </c>
    </row>
    <row r="49" spans="1:41">
      <c r="A49" s="500">
        <f t="shared" si="0"/>
        <v>978</v>
      </c>
      <c r="B49" s="265"/>
      <c r="C49" s="265"/>
      <c r="D49" s="265" t="s">
        <v>487</v>
      </c>
      <c r="E49" s="265"/>
      <c r="F49" s="265"/>
      <c r="G49" s="265"/>
      <c r="H49" s="301"/>
      <c r="I49" s="301"/>
      <c r="J49" s="301"/>
      <c r="K49" s="301"/>
      <c r="L49" s="301"/>
      <c r="M49" s="301"/>
      <c r="N49" s="301"/>
      <c r="O49" s="301"/>
      <c r="P49" s="301"/>
      <c r="Q49" s="301"/>
      <c r="R49" s="301"/>
      <c r="S49" s="301"/>
      <c r="T49" s="301"/>
      <c r="U49" s="301"/>
      <c r="V49" s="475"/>
      <c r="Y49" s="475"/>
      <c r="Z49" s="475"/>
      <c r="AA49" s="301"/>
      <c r="AB49" s="301"/>
      <c r="AC49" s="301">
        <f t="shared" si="3"/>
        <v>0</v>
      </c>
      <c r="AD49" s="301"/>
      <c r="AE49" s="216">
        <f t="shared" ref="AE49" si="37">+AE48+1</f>
        <v>42</v>
      </c>
      <c r="AF49" s="216">
        <f t="shared" si="35"/>
        <v>37</v>
      </c>
      <c r="AG49" s="1">
        <v>0</v>
      </c>
      <c r="AH49" s="438"/>
      <c r="AI49" s="438" t="s">
        <v>487</v>
      </c>
      <c r="AJ49" s="438"/>
      <c r="AK49" s="438"/>
      <c r="AL49" s="439"/>
      <c r="AO49" s="1">
        <f t="shared" si="4"/>
        <v>0</v>
      </c>
    </row>
    <row r="50" spans="1:41">
      <c r="A50" s="500">
        <f t="shared" si="0"/>
        <v>979</v>
      </c>
      <c r="B50" s="265"/>
      <c r="C50" s="265"/>
      <c r="D50" s="265" t="s">
        <v>488</v>
      </c>
      <c r="E50" s="265"/>
      <c r="F50" s="265"/>
      <c r="G50" s="265"/>
      <c r="H50" s="511">
        <f>+[16]XNV!H$50</f>
        <v>2091489875.3199992</v>
      </c>
      <c r="I50" s="511">
        <f>+[16]XNV!I$50</f>
        <v>2115601618.0699992</v>
      </c>
      <c r="J50" s="511">
        <f>+[16]XNV!J$50</f>
        <v>2119541943.4499991</v>
      </c>
      <c r="K50" s="511">
        <f>+[16]XNV!K$50</f>
        <v>2128411059.3199995</v>
      </c>
      <c r="L50" s="511">
        <f>+[16]XNV!L$50</f>
        <v>2129206032.1199996</v>
      </c>
      <c r="M50" s="511">
        <f>+[16]XNV!M$50</f>
        <v>2137066271.6399994</v>
      </c>
      <c r="N50" s="511">
        <f>+[16]XNV!N$50</f>
        <v>2178466918.4599991</v>
      </c>
      <c r="O50" s="511">
        <f>+[16]XNV!O$50</f>
        <v>2180296021.6999989</v>
      </c>
      <c r="P50" s="511">
        <f>+[16]XNV!P$50</f>
        <v>2188735340.5499988</v>
      </c>
      <c r="Q50" s="511">
        <f>+[16]XNV!Q$50</f>
        <v>2193611971.019999</v>
      </c>
      <c r="R50" s="511">
        <f>+[16]XNV!R$50</f>
        <v>2196987854.2999992</v>
      </c>
      <c r="S50" s="511">
        <f>+[16]XNV!S$50</f>
        <v>2233482262.079999</v>
      </c>
      <c r="T50" s="511">
        <f>+[16]XNV!T$50</f>
        <v>2237739480.999999</v>
      </c>
      <c r="U50" s="511"/>
      <c r="V50" s="510">
        <f>(SUM(I50:S50)+(0.5*T50)+(0.5*H50))/12</f>
        <v>2163835164.2391658</v>
      </c>
      <c r="Y50" s="510">
        <f>T50</f>
        <v>2237739480.999999</v>
      </c>
      <c r="Z50" s="510">
        <f t="shared" si="2"/>
        <v>2163835164.2391658</v>
      </c>
      <c r="AA50" s="511">
        <f>V50</f>
        <v>2163835164.2391658</v>
      </c>
      <c r="AB50" s="511">
        <f>T50</f>
        <v>2237739480.999999</v>
      </c>
      <c r="AC50" s="511">
        <f t="shared" si="3"/>
        <v>2163835164.2391658</v>
      </c>
      <c r="AD50" s="511">
        <f>AC50-T50</f>
        <v>-73904316.760833263</v>
      </c>
      <c r="AE50" s="216">
        <f t="shared" ref="AE50" si="38">+AE49+1</f>
        <v>43</v>
      </c>
      <c r="AF50" s="216">
        <f t="shared" si="35"/>
        <v>38</v>
      </c>
      <c r="AG50" s="1">
        <v>-50963272.612500191</v>
      </c>
      <c r="AH50" s="438"/>
      <c r="AI50" s="438" t="s">
        <v>488</v>
      </c>
      <c r="AJ50" s="438"/>
      <c r="AK50" s="438"/>
      <c r="AL50" s="439">
        <f>+T50</f>
        <v>2237739480.999999</v>
      </c>
      <c r="AM50" s="10">
        <f>AC50</f>
        <v>2163835164.2391658</v>
      </c>
      <c r="AN50" s="10">
        <f>AM50-AL50</f>
        <v>-73904316.760833263</v>
      </c>
      <c r="AO50" s="1">
        <f t="shared" si="4"/>
        <v>0</v>
      </c>
    </row>
    <row r="51" spans="1:41">
      <c r="A51" s="500">
        <f t="shared" si="0"/>
        <v>980</v>
      </c>
      <c r="B51" s="265"/>
      <c r="C51" s="265"/>
      <c r="D51" s="265" t="s">
        <v>145</v>
      </c>
      <c r="E51" s="265"/>
      <c r="F51" s="265"/>
      <c r="G51" s="265"/>
      <c r="H51" s="301">
        <f t="shared" ref="H51:T51" si="39">SUM(H46:H50)</f>
        <v>2152002298.1099992</v>
      </c>
      <c r="I51" s="301">
        <f t="shared" si="39"/>
        <v>2176114040.8599992</v>
      </c>
      <c r="J51" s="301">
        <f t="shared" si="39"/>
        <v>2180815747.4199991</v>
      </c>
      <c r="K51" s="301">
        <f t="shared" si="39"/>
        <v>2189820945.8299994</v>
      </c>
      <c r="L51" s="301">
        <f t="shared" si="39"/>
        <v>2190615918.6299996</v>
      </c>
      <c r="M51" s="301">
        <f t="shared" si="39"/>
        <v>2198465308.5399995</v>
      </c>
      <c r="N51" s="301">
        <f t="shared" si="39"/>
        <v>2239865985.0299993</v>
      </c>
      <c r="O51" s="301">
        <f t="shared" si="39"/>
        <v>2241695088.269999</v>
      </c>
      <c r="P51" s="301">
        <f t="shared" si="39"/>
        <v>2250134407.1199989</v>
      </c>
      <c r="Q51" s="301">
        <f t="shared" si="39"/>
        <v>2255416070.9199991</v>
      </c>
      <c r="R51" s="301">
        <f t="shared" si="39"/>
        <v>2258791954.1999993</v>
      </c>
      <c r="S51" s="301">
        <f t="shared" si="39"/>
        <v>2295704401.1899991</v>
      </c>
      <c r="T51" s="301">
        <f t="shared" si="39"/>
        <v>2300110173.4799991</v>
      </c>
      <c r="U51" s="301"/>
      <c r="V51" s="475">
        <f>SUM(V46:V50)</f>
        <v>2225291341.9837489</v>
      </c>
      <c r="Y51" s="475">
        <f>T51</f>
        <v>2300110173.4799991</v>
      </c>
      <c r="Z51" s="475">
        <f t="shared" si="2"/>
        <v>2225291341.9837489</v>
      </c>
      <c r="AA51" s="301">
        <f>V51</f>
        <v>2225291341.9837489</v>
      </c>
      <c r="AB51" s="301">
        <f>T51</f>
        <v>2300110173.4799991</v>
      </c>
      <c r="AC51" s="301">
        <f t="shared" si="3"/>
        <v>2225291341.9837489</v>
      </c>
      <c r="AD51" s="301">
        <f>AD50+AD46</f>
        <v>-74818831.496249929</v>
      </c>
      <c r="AE51" s="216">
        <f t="shared" ref="AE51" si="40">+AE50+1</f>
        <v>44</v>
      </c>
      <c r="AF51" s="216">
        <f t="shared" si="35"/>
        <v>39</v>
      </c>
      <c r="AG51" s="1">
        <v>-51858199.048333526</v>
      </c>
      <c r="AH51" s="438"/>
      <c r="AI51" s="438"/>
      <c r="AJ51" s="438" t="s">
        <v>145</v>
      </c>
      <c r="AK51" s="438"/>
      <c r="AL51" s="439">
        <f>+T51</f>
        <v>2300110173.4799991</v>
      </c>
      <c r="AM51" s="10">
        <f>AC51</f>
        <v>2225291341.9837489</v>
      </c>
      <c r="AN51" s="10">
        <f>AM51-AL51</f>
        <v>-74818831.496250153</v>
      </c>
      <c r="AO51" s="1">
        <f t="shared" si="4"/>
        <v>0</v>
      </c>
    </row>
    <row r="52" spans="1:41">
      <c r="A52" s="500">
        <f t="shared" si="0"/>
        <v>981</v>
      </c>
      <c r="B52" s="265"/>
      <c r="C52" s="265"/>
      <c r="D52" s="265"/>
      <c r="E52" s="265"/>
      <c r="F52" s="265"/>
      <c r="G52" s="265"/>
      <c r="H52" s="301"/>
      <c r="I52" s="301"/>
      <c r="J52" s="301"/>
      <c r="K52" s="301"/>
      <c r="L52" s="301"/>
      <c r="M52" s="301"/>
      <c r="N52" s="301"/>
      <c r="O52" s="301"/>
      <c r="P52" s="301"/>
      <c r="Q52" s="301"/>
      <c r="R52" s="301"/>
      <c r="S52" s="301"/>
      <c r="T52" s="301"/>
      <c r="U52" s="301"/>
      <c r="V52" s="475"/>
      <c r="Y52" s="475"/>
      <c r="Z52" s="475"/>
      <c r="AA52" s="301"/>
      <c r="AB52" s="301"/>
      <c r="AC52" s="301">
        <f t="shared" si="3"/>
        <v>0</v>
      </c>
      <c r="AD52" s="301"/>
      <c r="AE52" s="216">
        <f t="shared" ref="AE52" si="41">+AE51+1</f>
        <v>45</v>
      </c>
      <c r="AF52" s="216">
        <f t="shared" si="35"/>
        <v>40</v>
      </c>
      <c r="AG52" s="1">
        <v>0</v>
      </c>
      <c r="AH52" s="438"/>
      <c r="AI52" s="438"/>
      <c r="AJ52" s="438"/>
      <c r="AK52" s="438"/>
      <c r="AL52" s="439"/>
      <c r="AO52" s="1">
        <f t="shared" si="4"/>
        <v>0</v>
      </c>
    </row>
    <row r="53" spans="1:41">
      <c r="A53" s="500">
        <f t="shared" si="0"/>
        <v>982</v>
      </c>
      <c r="B53" s="265" t="s">
        <v>215</v>
      </c>
      <c r="C53" s="265" t="s">
        <v>217</v>
      </c>
      <c r="D53" s="265"/>
      <c r="E53" s="265"/>
      <c r="F53" s="265"/>
      <c r="G53" s="265"/>
      <c r="H53" s="301"/>
      <c r="I53" s="301"/>
      <c r="J53" s="301"/>
      <c r="K53" s="301"/>
      <c r="L53" s="301"/>
      <c r="M53" s="301"/>
      <c r="N53" s="301"/>
      <c r="O53" s="301"/>
      <c r="P53" s="301"/>
      <c r="Q53" s="301"/>
      <c r="R53" s="301"/>
      <c r="S53" s="301"/>
      <c r="T53" s="301"/>
      <c r="U53" s="301"/>
      <c r="V53" s="475"/>
      <c r="Y53" s="475"/>
      <c r="Z53" s="475"/>
      <c r="AA53" s="301"/>
      <c r="AB53" s="301"/>
      <c r="AC53" s="301">
        <f t="shared" si="3"/>
        <v>0</v>
      </c>
      <c r="AD53" s="301"/>
      <c r="AE53" s="216">
        <f t="shared" ref="AE53" si="42">+AE52+1</f>
        <v>46</v>
      </c>
      <c r="AF53" s="216">
        <f t="shared" si="35"/>
        <v>41</v>
      </c>
      <c r="AG53" s="1">
        <v>0</v>
      </c>
      <c r="AH53" s="438" t="s">
        <v>215</v>
      </c>
      <c r="AI53" s="438" t="s">
        <v>217</v>
      </c>
      <c r="AJ53" s="438"/>
      <c r="AK53" s="438"/>
      <c r="AL53" s="439"/>
      <c r="AO53" s="1">
        <f t="shared" si="4"/>
        <v>0</v>
      </c>
    </row>
    <row r="54" spans="1:41">
      <c r="A54" s="500">
        <f t="shared" si="0"/>
        <v>983</v>
      </c>
      <c r="B54" s="265"/>
      <c r="C54" s="265"/>
      <c r="D54" s="265" t="s">
        <v>23</v>
      </c>
      <c r="E54" s="265"/>
      <c r="F54" s="265"/>
      <c r="G54" s="265"/>
      <c r="H54" s="301">
        <f>+[16]XNV!H$54</f>
        <v>0</v>
      </c>
      <c r="I54" s="301">
        <f>+[16]XNV!I$54</f>
        <v>0</v>
      </c>
      <c r="J54" s="301">
        <f>+[16]XNV!J$54</f>
        <v>99725.57</v>
      </c>
      <c r="K54" s="301">
        <f>+[16]XNV!K$54</f>
        <v>99725.57</v>
      </c>
      <c r="L54" s="301">
        <f>+[16]XNV!L$54</f>
        <v>99725.57</v>
      </c>
      <c r="M54" s="301">
        <f>+[16]XNV!M$54</f>
        <v>99725.57</v>
      </c>
      <c r="N54" s="301">
        <f>+[16]XNV!N$54</f>
        <v>99725.57</v>
      </c>
      <c r="O54" s="301">
        <f>+[16]XNV!O$54</f>
        <v>99725.57</v>
      </c>
      <c r="P54" s="301">
        <f>+[16]XNV!P$54</f>
        <v>99725.57</v>
      </c>
      <c r="Q54" s="301">
        <f>+[16]XNV!Q$54</f>
        <v>99725.57</v>
      </c>
      <c r="R54" s="301">
        <f>+[16]XNV!R$54</f>
        <v>99725.57</v>
      </c>
      <c r="S54" s="301">
        <f>+[16]XNV!S$54</f>
        <v>99725.57</v>
      </c>
      <c r="T54" s="301">
        <f>+[16]XNV!T$54</f>
        <v>99725.57</v>
      </c>
      <c r="U54" s="301"/>
      <c r="V54" s="475">
        <f>(SUM(I54:S54)+(0.5*T54)+(0.5*H54))/12</f>
        <v>87259.873750000013</v>
      </c>
      <c r="Y54" s="475"/>
      <c r="Z54" s="475">
        <f>V54</f>
        <v>87259.873750000013</v>
      </c>
      <c r="AA54" s="301"/>
      <c r="AB54" s="301"/>
      <c r="AC54" s="301">
        <f t="shared" si="3"/>
        <v>87259.873750000013</v>
      </c>
      <c r="AD54" s="511">
        <f>AC54-T54</f>
        <v>-12465.696249999994</v>
      </c>
      <c r="AE54" s="216">
        <f t="shared" ref="AE54" si="43">+AE53+1</f>
        <v>47</v>
      </c>
      <c r="AF54" s="216">
        <f t="shared" si="35"/>
        <v>42</v>
      </c>
      <c r="AG54" s="1">
        <v>0</v>
      </c>
      <c r="AH54" s="438"/>
      <c r="AI54" s="438"/>
      <c r="AJ54" s="438" t="s">
        <v>23</v>
      </c>
      <c r="AK54" s="438"/>
      <c r="AL54" s="439">
        <f>+T54</f>
        <v>99725.57</v>
      </c>
      <c r="AM54" s="10">
        <f>AC54</f>
        <v>87259.873750000013</v>
      </c>
      <c r="AN54" s="10">
        <f>AM54-AL54</f>
        <v>-12465.696249999994</v>
      </c>
      <c r="AO54" s="1">
        <f t="shared" si="4"/>
        <v>0</v>
      </c>
    </row>
    <row r="55" spans="1:41">
      <c r="A55" s="500">
        <f t="shared" si="0"/>
        <v>984</v>
      </c>
      <c r="B55" s="265"/>
      <c r="C55" s="265"/>
      <c r="D55" s="265" t="s">
        <v>12</v>
      </c>
      <c r="E55" s="265"/>
      <c r="F55" s="265"/>
      <c r="G55" s="265"/>
      <c r="H55" s="511">
        <f>+[16]XNV!H$55</f>
        <v>16267682.99</v>
      </c>
      <c r="I55" s="511">
        <f>+[16]XNV!I$55</f>
        <v>16267682.99</v>
      </c>
      <c r="J55" s="511">
        <f>+[16]XNV!J$55</f>
        <v>16267682.99</v>
      </c>
      <c r="K55" s="511">
        <f>+[16]XNV!K$55</f>
        <v>16267682.99</v>
      </c>
      <c r="L55" s="511">
        <f>+[16]XNV!L$55</f>
        <v>16267682.99</v>
      </c>
      <c r="M55" s="511">
        <f>+[16]XNV!M$55</f>
        <v>16267682.99</v>
      </c>
      <c r="N55" s="511">
        <f>+[16]XNV!N$55</f>
        <v>16267682.99</v>
      </c>
      <c r="O55" s="511">
        <f>+[16]XNV!O$55</f>
        <v>16267682.99</v>
      </c>
      <c r="P55" s="511">
        <f>+[16]XNV!P$55</f>
        <v>16297329.370000001</v>
      </c>
      <c r="Q55" s="511">
        <f>+[16]XNV!Q$55</f>
        <v>16297329.370000001</v>
      </c>
      <c r="R55" s="511">
        <f>+[16]XNV!R$55</f>
        <v>16297329.370000001</v>
      </c>
      <c r="S55" s="511">
        <f>+[16]XNV!S$55</f>
        <v>16297329.370000001</v>
      </c>
      <c r="T55" s="511">
        <f>+[16]XNV!T$55</f>
        <v>16297329.370000001</v>
      </c>
      <c r="U55" s="511"/>
      <c r="V55" s="510">
        <f>(SUM(I55:S55)+(0.5*T55)+(0.5*H55))/12</f>
        <v>16278800.3825</v>
      </c>
      <c r="Y55" s="510">
        <f>T55</f>
        <v>16297329.370000001</v>
      </c>
      <c r="Z55" s="510">
        <f t="shared" si="2"/>
        <v>16278800.3825</v>
      </c>
      <c r="AA55" s="511">
        <f>V55</f>
        <v>16278800.3825</v>
      </c>
      <c r="AB55" s="511">
        <f>T55</f>
        <v>16297329.370000001</v>
      </c>
      <c r="AC55" s="511">
        <f t="shared" si="3"/>
        <v>16278800.3825</v>
      </c>
      <c r="AD55" s="511">
        <f>AC55-T55</f>
        <v>-18528.987500000745</v>
      </c>
      <c r="AE55" s="216">
        <f t="shared" ref="AE55" si="44">+AE54+1</f>
        <v>48</v>
      </c>
      <c r="AF55" s="216">
        <f t="shared" si="35"/>
        <v>43</v>
      </c>
      <c r="AG55" s="1">
        <v>-249398.59208333306</v>
      </c>
      <c r="AH55" s="438"/>
      <c r="AI55" s="438"/>
      <c r="AJ55" s="438" t="s">
        <v>12</v>
      </c>
      <c r="AK55" s="438"/>
      <c r="AL55" s="439">
        <f>+T55</f>
        <v>16297329.370000001</v>
      </c>
      <c r="AM55" s="10">
        <f>AC55</f>
        <v>16278800.3825</v>
      </c>
      <c r="AN55" s="10">
        <f>AM55-AL55</f>
        <v>-18528.987500000745</v>
      </c>
      <c r="AO55" s="1">
        <f t="shared" si="4"/>
        <v>0</v>
      </c>
    </row>
    <row r="56" spans="1:41">
      <c r="A56" s="500">
        <f t="shared" si="0"/>
        <v>985</v>
      </c>
      <c r="B56" s="265"/>
      <c r="C56" s="265"/>
      <c r="D56" s="265" t="s">
        <v>145</v>
      </c>
      <c r="E56" s="265"/>
      <c r="F56" s="265"/>
      <c r="G56" s="265"/>
      <c r="H56" s="301">
        <f t="shared" ref="H56:T56" si="45">SUM(H54:H55)</f>
        <v>16267682.99</v>
      </c>
      <c r="I56" s="301">
        <f t="shared" si="45"/>
        <v>16267682.99</v>
      </c>
      <c r="J56" s="301">
        <f t="shared" si="45"/>
        <v>16367408.560000001</v>
      </c>
      <c r="K56" s="301">
        <f t="shared" si="45"/>
        <v>16367408.560000001</v>
      </c>
      <c r="L56" s="301">
        <f t="shared" si="45"/>
        <v>16367408.560000001</v>
      </c>
      <c r="M56" s="301">
        <f t="shared" si="45"/>
        <v>16367408.560000001</v>
      </c>
      <c r="N56" s="301">
        <f t="shared" si="45"/>
        <v>16367408.560000001</v>
      </c>
      <c r="O56" s="301">
        <f t="shared" si="45"/>
        <v>16367408.560000001</v>
      </c>
      <c r="P56" s="301">
        <f t="shared" si="45"/>
        <v>16397054.940000001</v>
      </c>
      <c r="Q56" s="301">
        <f t="shared" si="45"/>
        <v>16397054.940000001</v>
      </c>
      <c r="R56" s="301">
        <f t="shared" si="45"/>
        <v>16397054.940000001</v>
      </c>
      <c r="S56" s="301">
        <f t="shared" si="45"/>
        <v>16397054.940000001</v>
      </c>
      <c r="T56" s="301">
        <f t="shared" si="45"/>
        <v>16397054.940000001</v>
      </c>
      <c r="U56" s="301"/>
      <c r="V56" s="475">
        <f>SUM(V54:V55)</f>
        <v>16366060.25625</v>
      </c>
      <c r="Y56" s="475">
        <f>T56</f>
        <v>16397054.940000001</v>
      </c>
      <c r="Z56" s="475">
        <f t="shared" si="2"/>
        <v>16366060.25625</v>
      </c>
      <c r="AA56" s="301">
        <f>V56</f>
        <v>16366060.25625</v>
      </c>
      <c r="AB56" s="301">
        <f>T56</f>
        <v>16397054.940000001</v>
      </c>
      <c r="AC56" s="301">
        <f t="shared" si="3"/>
        <v>16366060.25625</v>
      </c>
      <c r="AD56" s="301">
        <f>SUM(AD54:AD55)</f>
        <v>-30994.683750000739</v>
      </c>
      <c r="AE56" s="216">
        <f t="shared" ref="AE56" si="46">+AE55+1</f>
        <v>49</v>
      </c>
      <c r="AF56" s="216">
        <f t="shared" si="35"/>
        <v>44</v>
      </c>
      <c r="AG56" s="1">
        <v>-249398.59208333306</v>
      </c>
      <c r="AH56" s="438"/>
      <c r="AI56" s="438"/>
      <c r="AJ56" s="438" t="s">
        <v>145</v>
      </c>
      <c r="AK56" s="438"/>
      <c r="AL56" s="439">
        <f>+T56</f>
        <v>16397054.940000001</v>
      </c>
      <c r="AM56" s="10">
        <f>AC56</f>
        <v>16366060.25625</v>
      </c>
      <c r="AN56" s="10">
        <f>AM56-AL56</f>
        <v>-30994.683750001714</v>
      </c>
      <c r="AO56" s="1">
        <f t="shared" si="4"/>
        <v>0</v>
      </c>
    </row>
    <row r="57" spans="1:41">
      <c r="A57" s="500">
        <f t="shared" si="0"/>
        <v>986</v>
      </c>
      <c r="B57" s="265"/>
      <c r="C57" s="265"/>
      <c r="D57" s="265"/>
      <c r="E57" s="265"/>
      <c r="F57" s="265"/>
      <c r="G57" s="265"/>
      <c r="AA57"/>
      <c r="AC57">
        <f t="shared" si="3"/>
        <v>0</v>
      </c>
      <c r="AE57" s="216">
        <f t="shared" ref="AE57" si="47">+AE56+1</f>
        <v>50</v>
      </c>
      <c r="AF57" s="216">
        <f t="shared" si="35"/>
        <v>45</v>
      </c>
      <c r="AG57" s="1">
        <v>0</v>
      </c>
      <c r="AH57" s="438"/>
      <c r="AI57" s="438"/>
      <c r="AJ57" s="438"/>
      <c r="AK57" s="438"/>
      <c r="AL57" s="439"/>
      <c r="AO57" s="1">
        <f t="shared" si="4"/>
        <v>0</v>
      </c>
    </row>
    <row r="58" spans="1:41">
      <c r="A58" s="500">
        <f t="shared" si="0"/>
        <v>987</v>
      </c>
      <c r="B58" s="265" t="s">
        <v>218</v>
      </c>
      <c r="C58" s="265" t="s">
        <v>219</v>
      </c>
      <c r="D58" s="265"/>
      <c r="E58" s="265"/>
      <c r="F58" s="265"/>
      <c r="G58" s="265"/>
      <c r="AA58"/>
      <c r="AC58">
        <f t="shared" si="3"/>
        <v>0</v>
      </c>
      <c r="AE58" s="216">
        <f t="shared" ref="AE58" si="48">+AE57+1</f>
        <v>51</v>
      </c>
      <c r="AF58" s="216">
        <f t="shared" si="35"/>
        <v>46</v>
      </c>
      <c r="AG58" s="1">
        <v>0</v>
      </c>
      <c r="AH58" s="438" t="s">
        <v>218</v>
      </c>
      <c r="AI58" s="438" t="s">
        <v>219</v>
      </c>
      <c r="AJ58" s="438"/>
      <c r="AK58" s="438"/>
      <c r="AL58" s="439"/>
      <c r="AO58" s="1">
        <f t="shared" si="4"/>
        <v>0</v>
      </c>
    </row>
    <row r="59" spans="1:41">
      <c r="A59" s="500">
        <f t="shared" si="0"/>
        <v>988</v>
      </c>
      <c r="B59" s="265"/>
      <c r="C59" s="265"/>
      <c r="D59" s="265" t="s">
        <v>23</v>
      </c>
      <c r="E59" s="265"/>
      <c r="F59" s="265"/>
      <c r="G59" s="265"/>
      <c r="H59" s="301">
        <f>+[16]XNV!H$59</f>
        <v>8373578.5999999996</v>
      </c>
      <c r="I59" s="301">
        <f>+[16]XNV!I$59</f>
        <v>8373578.5999999996</v>
      </c>
      <c r="J59" s="301">
        <f>+[16]XNV!J$59</f>
        <v>9454921.9299999997</v>
      </c>
      <c r="K59" s="301">
        <f>+[16]XNV!K$59</f>
        <v>9454921.9299999997</v>
      </c>
      <c r="L59" s="301">
        <f>+[16]XNV!L$59</f>
        <v>9455591.6500000004</v>
      </c>
      <c r="M59" s="301">
        <f>+[16]XNV!M$59</f>
        <v>9435237.9499999993</v>
      </c>
      <c r="N59" s="301">
        <f>+[16]XNV!N$59</f>
        <v>9435237.9499999993</v>
      </c>
      <c r="O59" s="301">
        <f>+[16]XNV!O$59</f>
        <v>9440959.9100000001</v>
      </c>
      <c r="P59" s="301">
        <f>+[16]XNV!P$59</f>
        <v>9440959.9100000001</v>
      </c>
      <c r="Q59" s="301">
        <f>+[16]XNV!Q$59</f>
        <v>9440959.9100000001</v>
      </c>
      <c r="R59" s="301">
        <f>+[16]XNV!R$59</f>
        <v>9440959.9100000001</v>
      </c>
      <c r="S59" s="301">
        <f>+[16]XNV!S$59</f>
        <v>9440959.9100000001</v>
      </c>
      <c r="T59" s="301">
        <f>+[16]XNV!T$59</f>
        <v>9440989.0399999991</v>
      </c>
      <c r="U59" s="301"/>
      <c r="V59" s="475">
        <f>(SUM(I59:S59)+(0.5*T59)+(0.5*H59))/12</f>
        <v>9310131.1149999984</v>
      </c>
      <c r="Y59" s="475">
        <f>T59</f>
        <v>9440989.0399999991</v>
      </c>
      <c r="Z59" s="475">
        <f t="shared" si="2"/>
        <v>9310131.1149999984</v>
      </c>
      <c r="AA59" s="301">
        <f>V59</f>
        <v>9310131.1149999984</v>
      </c>
      <c r="AB59" s="301">
        <f>T59</f>
        <v>9440989.0399999991</v>
      </c>
      <c r="AC59" s="301">
        <f t="shared" si="3"/>
        <v>9310131.1149999984</v>
      </c>
      <c r="AD59" s="301">
        <f>AC59-T59</f>
        <v>-130857.92500000075</v>
      </c>
      <c r="AE59" s="216">
        <f t="shared" ref="AE59" si="49">+AE58+1</f>
        <v>52</v>
      </c>
      <c r="AF59" s="216">
        <f t="shared" si="35"/>
        <v>47</v>
      </c>
      <c r="AG59" s="1">
        <v>-1233591.0141666662</v>
      </c>
      <c r="AH59" s="438"/>
      <c r="AI59" s="438"/>
      <c r="AJ59" s="438" t="s">
        <v>23</v>
      </c>
      <c r="AK59" s="438"/>
      <c r="AL59" s="439">
        <f>+T59</f>
        <v>9440989.0399999991</v>
      </c>
      <c r="AM59" s="10">
        <f>AC59</f>
        <v>9310131.1149999984</v>
      </c>
      <c r="AN59" s="10">
        <f>AM59-AL59</f>
        <v>-130857.92500000075</v>
      </c>
      <c r="AO59" s="1">
        <f t="shared" si="4"/>
        <v>0</v>
      </c>
    </row>
    <row r="60" spans="1:41">
      <c r="A60" s="500">
        <f t="shared" si="0"/>
        <v>989</v>
      </c>
      <c r="B60" s="265"/>
      <c r="C60" s="265"/>
      <c r="D60" s="265" t="s">
        <v>12</v>
      </c>
      <c r="E60" s="265"/>
      <c r="F60" s="265"/>
      <c r="G60" s="265"/>
      <c r="H60" s="511">
        <f>+[16]XNV!H$60</f>
        <v>138272843.69999999</v>
      </c>
      <c r="I60" s="511">
        <f>+[16]XNV!I$60</f>
        <v>140447947.42999998</v>
      </c>
      <c r="J60" s="511">
        <f>+[16]XNV!J$60</f>
        <v>139657056.57999995</v>
      </c>
      <c r="K60" s="511">
        <f>+[16]XNV!K$60</f>
        <v>140012828.69999996</v>
      </c>
      <c r="L60" s="511">
        <f>+[16]XNV!L$60</f>
        <v>141220474.54999995</v>
      </c>
      <c r="M60" s="511">
        <f>+[16]XNV!M$60</f>
        <v>142896189.98999998</v>
      </c>
      <c r="N60" s="511">
        <f>+[16]XNV!N$60</f>
        <v>147419557.04999998</v>
      </c>
      <c r="O60" s="511">
        <f>+[16]XNV!O$60</f>
        <v>149201950.89999998</v>
      </c>
      <c r="P60" s="511">
        <f>+[16]XNV!P$60</f>
        <v>152834035.34999996</v>
      </c>
      <c r="Q60" s="511">
        <f>+[16]XNV!Q$60</f>
        <v>153857110.79999995</v>
      </c>
      <c r="R60" s="511">
        <f>+[16]XNV!R$60</f>
        <v>155000981.00999996</v>
      </c>
      <c r="S60" s="511">
        <f>+[16]XNV!S$60</f>
        <v>155187321.16999996</v>
      </c>
      <c r="T60" s="511">
        <f>+[16]XNV!T$60</f>
        <v>155535743.92999995</v>
      </c>
      <c r="U60" s="511"/>
      <c r="V60" s="510">
        <f>(SUM(I60:S60)+(0.5*T60)+(0.5*H60))/12</f>
        <v>147053312.27874997</v>
      </c>
      <c r="Y60" s="510">
        <f>T60</f>
        <v>155535743.92999995</v>
      </c>
      <c r="Z60" s="510">
        <f t="shared" si="2"/>
        <v>147053312.27874997</v>
      </c>
      <c r="AA60" s="511">
        <f>V60</f>
        <v>147053312.27874997</v>
      </c>
      <c r="AB60" s="511">
        <f>T60</f>
        <v>155535743.92999995</v>
      </c>
      <c r="AC60" s="511">
        <f t="shared" si="3"/>
        <v>147053312.27874997</v>
      </c>
      <c r="AD60" s="511">
        <f>AC60-T60</f>
        <v>-8482431.651249975</v>
      </c>
      <c r="AE60" s="216">
        <f t="shared" ref="AE60" si="50">+AE59+1</f>
        <v>53</v>
      </c>
      <c r="AF60" s="216">
        <f t="shared" si="35"/>
        <v>48</v>
      </c>
      <c r="AG60" s="1">
        <v>-933290.67541667074</v>
      </c>
      <c r="AH60" s="438"/>
      <c r="AI60" s="438"/>
      <c r="AJ60" s="438" t="s">
        <v>12</v>
      </c>
      <c r="AK60" s="438"/>
      <c r="AL60" s="439">
        <f>+T60</f>
        <v>155535743.92999995</v>
      </c>
      <c r="AM60" s="10">
        <f>AC60</f>
        <v>147053312.27874997</v>
      </c>
      <c r="AN60" s="10">
        <f>AM60-AL60</f>
        <v>-8482431.651249975</v>
      </c>
      <c r="AO60" s="1">
        <f t="shared" si="4"/>
        <v>0</v>
      </c>
    </row>
    <row r="61" spans="1:41">
      <c r="A61" s="500">
        <f t="shared" si="0"/>
        <v>990</v>
      </c>
      <c r="B61" s="265"/>
      <c r="C61" s="265"/>
      <c r="D61" s="265" t="s">
        <v>145</v>
      </c>
      <c r="E61" s="265"/>
      <c r="F61" s="265"/>
      <c r="G61" s="265"/>
      <c r="H61" s="301">
        <f t="shared" ref="H61:T61" si="51">SUM(H59:H60)</f>
        <v>146646422.29999998</v>
      </c>
      <c r="I61" s="301">
        <f t="shared" si="51"/>
        <v>148821526.02999997</v>
      </c>
      <c r="J61" s="301">
        <f t="shared" si="51"/>
        <v>149111978.50999996</v>
      </c>
      <c r="K61" s="301">
        <f t="shared" si="51"/>
        <v>149467750.62999997</v>
      </c>
      <c r="L61" s="301">
        <f t="shared" si="51"/>
        <v>150676066.19999996</v>
      </c>
      <c r="M61" s="301">
        <f t="shared" si="51"/>
        <v>152331427.93999997</v>
      </c>
      <c r="N61" s="301">
        <f t="shared" si="51"/>
        <v>156854794.99999997</v>
      </c>
      <c r="O61" s="301">
        <f t="shared" si="51"/>
        <v>158642910.80999997</v>
      </c>
      <c r="P61" s="301">
        <f t="shared" si="51"/>
        <v>162274995.25999996</v>
      </c>
      <c r="Q61" s="301">
        <f t="shared" si="51"/>
        <v>163298070.70999995</v>
      </c>
      <c r="R61" s="301">
        <f t="shared" si="51"/>
        <v>164441940.91999996</v>
      </c>
      <c r="S61" s="301">
        <f t="shared" si="51"/>
        <v>164628281.07999995</v>
      </c>
      <c r="T61" s="301">
        <f t="shared" si="51"/>
        <v>164976732.96999994</v>
      </c>
      <c r="U61" s="301"/>
      <c r="V61" s="475">
        <f>SUM(V59:V60)</f>
        <v>156363443.39374998</v>
      </c>
      <c r="Y61" s="475">
        <f>T61</f>
        <v>164976732.96999994</v>
      </c>
      <c r="Z61" s="475">
        <f t="shared" si="2"/>
        <v>156363443.39374998</v>
      </c>
      <c r="AA61" s="301">
        <f>V61</f>
        <v>156363443.39374998</v>
      </c>
      <c r="AB61" s="301">
        <f>T61</f>
        <v>164976732.96999994</v>
      </c>
      <c r="AC61" s="301">
        <f t="shared" si="3"/>
        <v>156363443.39374998</v>
      </c>
      <c r="AD61" s="301">
        <f>SUM(AD59:AD60)</f>
        <v>-8613289.5762499757</v>
      </c>
      <c r="AE61" s="216">
        <f t="shared" ref="AE61" si="52">+AE60+1</f>
        <v>54</v>
      </c>
      <c r="AF61" s="216">
        <f t="shared" si="35"/>
        <v>49</v>
      </c>
      <c r="AG61" s="1">
        <v>-2166881.6895833369</v>
      </c>
      <c r="AH61" s="438"/>
      <c r="AI61" s="438"/>
      <c r="AJ61" s="438" t="s">
        <v>145</v>
      </c>
      <c r="AK61" s="438"/>
      <c r="AL61" s="439">
        <f>+T61</f>
        <v>164976732.96999994</v>
      </c>
      <c r="AM61" s="10">
        <f>AC61</f>
        <v>156363443.39374998</v>
      </c>
      <c r="AN61" s="10">
        <f>AM61-AL61</f>
        <v>-8613289.5762499571</v>
      </c>
      <c r="AO61" s="1">
        <f t="shared" si="4"/>
        <v>0</v>
      </c>
    </row>
    <row r="62" spans="1:41">
      <c r="A62" s="500">
        <f t="shared" si="0"/>
        <v>991</v>
      </c>
      <c r="B62" s="265"/>
      <c r="C62" s="265"/>
      <c r="D62" s="265"/>
      <c r="E62" s="265"/>
      <c r="F62" s="265"/>
      <c r="G62" s="265"/>
      <c r="AA62"/>
      <c r="AC62">
        <f t="shared" si="3"/>
        <v>0</v>
      </c>
      <c r="AE62" s="216">
        <f t="shared" ref="AE62" si="53">+AE61+1</f>
        <v>55</v>
      </c>
      <c r="AF62" s="216">
        <f t="shared" si="35"/>
        <v>50</v>
      </c>
      <c r="AG62" s="1">
        <v>0</v>
      </c>
      <c r="AH62" s="438"/>
      <c r="AI62" s="438"/>
      <c r="AJ62" s="438"/>
      <c r="AK62" s="438"/>
      <c r="AL62" s="439"/>
      <c r="AO62" s="1">
        <f t="shared" si="4"/>
        <v>0</v>
      </c>
    </row>
    <row r="63" spans="1:41">
      <c r="A63" s="500">
        <f t="shared" si="0"/>
        <v>992</v>
      </c>
      <c r="B63" s="265" t="s">
        <v>220</v>
      </c>
      <c r="C63" s="265" t="s">
        <v>722</v>
      </c>
      <c r="D63" s="265"/>
      <c r="E63" s="265"/>
      <c r="F63" s="265"/>
      <c r="G63" s="265"/>
      <c r="AA63"/>
      <c r="AC63">
        <f t="shared" si="3"/>
        <v>0</v>
      </c>
      <c r="AE63" s="216">
        <f t="shared" ref="AE63" si="54">+AE62+1</f>
        <v>56</v>
      </c>
      <c r="AF63" s="216">
        <f t="shared" si="35"/>
        <v>51</v>
      </c>
      <c r="AG63" s="1">
        <v>0</v>
      </c>
      <c r="AH63" s="438" t="s">
        <v>220</v>
      </c>
      <c r="AI63" s="438" t="s">
        <v>722</v>
      </c>
      <c r="AJ63" s="438"/>
      <c r="AK63" s="438"/>
      <c r="AL63" s="439"/>
      <c r="AO63" s="1">
        <f t="shared" si="4"/>
        <v>0</v>
      </c>
    </row>
    <row r="64" spans="1:41">
      <c r="A64" s="500">
        <f t="shared" si="0"/>
        <v>993</v>
      </c>
      <c r="B64" s="265"/>
      <c r="C64" s="265"/>
      <c r="D64" s="265" t="s">
        <v>23</v>
      </c>
      <c r="E64" s="265"/>
      <c r="F64" s="265"/>
      <c r="G64" s="265"/>
      <c r="H64" s="301">
        <f>+[16]XNV!H$64</f>
        <v>21911421.41</v>
      </c>
      <c r="I64" s="301">
        <f>+[16]XNV!I$64</f>
        <v>21911421.41</v>
      </c>
      <c r="J64" s="301">
        <f>+[16]XNV!J$64</f>
        <v>21911421.41</v>
      </c>
      <c r="K64" s="301">
        <f>+[16]XNV!K$64</f>
        <v>21911421.41</v>
      </c>
      <c r="L64" s="301">
        <f>+[16]XNV!L$64</f>
        <v>22204316.140000001</v>
      </c>
      <c r="M64" s="301">
        <f>+[16]XNV!M$64</f>
        <v>22204316.140000001</v>
      </c>
      <c r="N64" s="301">
        <f>+[16]XNV!N$64</f>
        <v>22190802.800000001</v>
      </c>
      <c r="O64" s="301">
        <f>+[16]XNV!O$64</f>
        <v>22190802.800000001</v>
      </c>
      <c r="P64" s="301">
        <f>+[16]XNV!P$64</f>
        <v>22190802.800000001</v>
      </c>
      <c r="Q64" s="301">
        <f>+[16]XNV!Q$64</f>
        <v>22190802.800000001</v>
      </c>
      <c r="R64" s="301">
        <f>+[16]XNV!R$64</f>
        <v>22190802.800000001</v>
      </c>
      <c r="S64" s="301">
        <f>+[16]XNV!S$64</f>
        <v>22190802.800000001</v>
      </c>
      <c r="T64" s="301">
        <f>+[16]XNV!T$64</f>
        <v>22190802.800000001</v>
      </c>
      <c r="U64" s="301"/>
      <c r="V64" s="475">
        <f>(SUM(I64:S64)+(0.5*T64)+(0.5*H64))/12</f>
        <v>22111568.784583341</v>
      </c>
      <c r="Y64" s="475">
        <f>T64</f>
        <v>22190802.800000001</v>
      </c>
      <c r="Z64" s="475">
        <f t="shared" si="2"/>
        <v>22111568.784583341</v>
      </c>
      <c r="AA64" s="301">
        <f>V64</f>
        <v>22111568.784583341</v>
      </c>
      <c r="AB64" s="301">
        <f>T64</f>
        <v>22190802.800000001</v>
      </c>
      <c r="AC64" s="301">
        <f t="shared" si="3"/>
        <v>22111568.784583341</v>
      </c>
      <c r="AD64" s="301">
        <f>AC64-T64</f>
        <v>-79234.015416659415</v>
      </c>
      <c r="AE64" s="216">
        <f t="shared" ref="AE64" si="55">+AE63+1</f>
        <v>57</v>
      </c>
      <c r="AF64" s="216">
        <f t="shared" si="35"/>
        <v>52</v>
      </c>
      <c r="AG64" s="1">
        <v>-962477.68875000067</v>
      </c>
      <c r="AH64" s="438"/>
      <c r="AI64" s="438"/>
      <c r="AJ64" s="438" t="s">
        <v>23</v>
      </c>
      <c r="AK64" s="438"/>
      <c r="AL64" s="439">
        <f>+T64</f>
        <v>22190802.800000001</v>
      </c>
      <c r="AM64" s="10">
        <f>AC64</f>
        <v>22111568.784583341</v>
      </c>
      <c r="AN64" s="10">
        <f>AM64-AL64</f>
        <v>-79234.015416659415</v>
      </c>
      <c r="AO64" s="1">
        <f t="shared" si="4"/>
        <v>0</v>
      </c>
    </row>
    <row r="65" spans="1:41">
      <c r="A65" s="500">
        <f t="shared" si="0"/>
        <v>994</v>
      </c>
      <c r="B65" s="265"/>
      <c r="C65" s="265"/>
      <c r="D65" s="265" t="s">
        <v>12</v>
      </c>
      <c r="E65" s="265"/>
      <c r="F65" s="265"/>
      <c r="G65" s="265"/>
      <c r="H65" s="511">
        <f>+[16]XNV!H$65</f>
        <v>420219789.01000005</v>
      </c>
      <c r="I65" s="511">
        <f>+[16]XNV!I$65</f>
        <v>420219789.01000005</v>
      </c>
      <c r="J65" s="511">
        <f>+[16]XNV!J$65</f>
        <v>420219789.01000005</v>
      </c>
      <c r="K65" s="511">
        <f>+[16]XNV!K$65</f>
        <v>420217596.93000007</v>
      </c>
      <c r="L65" s="511">
        <f>+[16]XNV!L$65</f>
        <v>420217596.93000013</v>
      </c>
      <c r="M65" s="511">
        <f>+[16]XNV!M$65</f>
        <v>420217596.93000013</v>
      </c>
      <c r="N65" s="511">
        <f>+[16]XNV!N$65</f>
        <v>420031218.00000012</v>
      </c>
      <c r="O65" s="511">
        <f>+[16]XNV!O$65</f>
        <v>420031218.00000012</v>
      </c>
      <c r="P65" s="511">
        <f>+[16]XNV!P$65</f>
        <v>420031076.50000012</v>
      </c>
      <c r="Q65" s="511">
        <f>+[16]XNV!Q$65</f>
        <v>420031076.50000012</v>
      </c>
      <c r="R65" s="511">
        <f>+[16]XNV!R$65</f>
        <v>420031076.50000012</v>
      </c>
      <c r="S65" s="511">
        <f>+[16]XNV!S$65</f>
        <v>420031076.50000012</v>
      </c>
      <c r="T65" s="511">
        <f>+[16]XNV!T$65</f>
        <v>420009417.19000012</v>
      </c>
      <c r="U65" s="511"/>
      <c r="V65" s="510">
        <f>(SUM(I65:S65)+(0.5*T65)+(0.5*H65))/12</f>
        <v>420116142.82583338</v>
      </c>
      <c r="Y65" s="510">
        <f>T65</f>
        <v>420009417.19000012</v>
      </c>
      <c r="Z65" s="510">
        <f t="shared" si="2"/>
        <v>420116142.82583338</v>
      </c>
      <c r="AA65" s="511">
        <f>V65</f>
        <v>420116142.82583338</v>
      </c>
      <c r="AB65" s="511">
        <f>T65</f>
        <v>420009417.19000012</v>
      </c>
      <c r="AC65" s="511">
        <f t="shared" si="3"/>
        <v>420116142.82583338</v>
      </c>
      <c r="AD65" s="511">
        <f>AC65-T65</f>
        <v>106725.6358332634</v>
      </c>
      <c r="AE65" s="216">
        <f t="shared" ref="AE65" si="56">+AE64+1</f>
        <v>58</v>
      </c>
      <c r="AF65" s="216">
        <f t="shared" si="35"/>
        <v>53</v>
      </c>
      <c r="AG65" s="1">
        <v>-5231149.1366665959</v>
      </c>
      <c r="AH65" s="438"/>
      <c r="AI65" s="438"/>
      <c r="AJ65" s="438" t="s">
        <v>12</v>
      </c>
      <c r="AK65" s="438"/>
      <c r="AL65" s="439">
        <f>+T65</f>
        <v>420009417.19000012</v>
      </c>
      <c r="AM65" s="10">
        <f>AC65</f>
        <v>420116142.82583338</v>
      </c>
      <c r="AN65" s="10">
        <f>AM65-AL65</f>
        <v>106725.6358332634</v>
      </c>
      <c r="AO65" s="1">
        <f t="shared" si="4"/>
        <v>0</v>
      </c>
    </row>
    <row r="66" spans="1:41">
      <c r="A66" s="500">
        <f t="shared" si="0"/>
        <v>995</v>
      </c>
      <c r="B66" s="265"/>
      <c r="C66" s="265"/>
      <c r="D66" s="265" t="s">
        <v>145</v>
      </c>
      <c r="E66" s="265"/>
      <c r="F66" s="265"/>
      <c r="G66" s="265"/>
      <c r="H66" s="301">
        <f t="shared" ref="H66:T66" si="57">SUM(H64:H65)</f>
        <v>442131210.42000008</v>
      </c>
      <c r="I66" s="301">
        <f t="shared" si="57"/>
        <v>442131210.42000008</v>
      </c>
      <c r="J66" s="301">
        <f t="shared" si="57"/>
        <v>442131210.42000008</v>
      </c>
      <c r="K66" s="301">
        <f t="shared" si="57"/>
        <v>442129018.34000009</v>
      </c>
      <c r="L66" s="301">
        <f t="shared" si="57"/>
        <v>442421913.07000011</v>
      </c>
      <c r="M66" s="301">
        <f t="shared" si="57"/>
        <v>442421913.07000011</v>
      </c>
      <c r="N66" s="301">
        <f t="shared" si="57"/>
        <v>442222020.80000013</v>
      </c>
      <c r="O66" s="301">
        <f t="shared" si="57"/>
        <v>442222020.80000013</v>
      </c>
      <c r="P66" s="301">
        <f t="shared" si="57"/>
        <v>442221879.30000013</v>
      </c>
      <c r="Q66" s="301">
        <f t="shared" si="57"/>
        <v>442221879.30000013</v>
      </c>
      <c r="R66" s="301">
        <f t="shared" si="57"/>
        <v>442221879.30000013</v>
      </c>
      <c r="S66" s="301">
        <f t="shared" si="57"/>
        <v>442221879.30000013</v>
      </c>
      <c r="T66" s="301">
        <f t="shared" si="57"/>
        <v>442200219.99000013</v>
      </c>
      <c r="U66" s="301"/>
      <c r="V66" s="475">
        <f>SUM(V64:V65)</f>
        <v>442227711.61041671</v>
      </c>
      <c r="Y66" s="475">
        <f>T66</f>
        <v>442200219.99000013</v>
      </c>
      <c r="Z66" s="475">
        <f t="shared" si="2"/>
        <v>442227711.61041671</v>
      </c>
      <c r="AA66" s="301">
        <f>V66</f>
        <v>442227711.61041671</v>
      </c>
      <c r="AB66" s="301">
        <f>T66</f>
        <v>442200219.99000013</v>
      </c>
      <c r="AC66" s="301">
        <f t="shared" si="3"/>
        <v>442227711.61041671</v>
      </c>
      <c r="AD66" s="301">
        <f>SUM(AD64:AD65)</f>
        <v>27491.620416603982</v>
      </c>
      <c r="AE66" s="216">
        <f t="shared" ref="AE66" si="58">+AE65+1</f>
        <v>59</v>
      </c>
      <c r="AF66" s="216">
        <f t="shared" si="35"/>
        <v>54</v>
      </c>
      <c r="AG66" s="1">
        <v>-6193626.8254165966</v>
      </c>
      <c r="AH66" s="438"/>
      <c r="AI66" s="438"/>
      <c r="AJ66" s="438" t="s">
        <v>145</v>
      </c>
      <c r="AK66" s="438"/>
      <c r="AL66" s="439">
        <f>+T66</f>
        <v>442200219.99000013</v>
      </c>
      <c r="AM66" s="10">
        <f>AC66</f>
        <v>442227711.61041671</v>
      </c>
      <c r="AN66" s="10">
        <f>AM66-AL66</f>
        <v>27491.620416581631</v>
      </c>
      <c r="AO66" s="1">
        <f t="shared" si="4"/>
        <v>0</v>
      </c>
    </row>
    <row r="67" spans="1:41">
      <c r="A67" s="500">
        <f t="shared" si="0"/>
        <v>996</v>
      </c>
      <c r="B67" s="265"/>
      <c r="C67" s="265"/>
      <c r="D67" s="265"/>
      <c r="E67" s="265"/>
      <c r="F67" s="265"/>
      <c r="G67" s="265"/>
      <c r="AA67"/>
      <c r="AC67">
        <f t="shared" si="3"/>
        <v>0</v>
      </c>
      <c r="AE67" s="216">
        <f t="shared" ref="AE67" si="59">+AE66+1</f>
        <v>60</v>
      </c>
      <c r="AF67" s="216">
        <f t="shared" si="35"/>
        <v>55</v>
      </c>
      <c r="AG67" s="1">
        <v>0</v>
      </c>
      <c r="AH67" s="438"/>
      <c r="AI67" s="438"/>
      <c r="AJ67" s="438"/>
      <c r="AK67" s="438"/>
      <c r="AL67" s="439"/>
      <c r="AO67" s="1">
        <f t="shared" si="4"/>
        <v>0</v>
      </c>
    </row>
    <row r="68" spans="1:41">
      <c r="A68" s="500">
        <f t="shared" si="0"/>
        <v>997</v>
      </c>
      <c r="B68" s="265" t="s">
        <v>221</v>
      </c>
      <c r="C68" s="265" t="s">
        <v>222</v>
      </c>
      <c r="D68" s="265"/>
      <c r="E68" s="265"/>
      <c r="F68" s="265"/>
      <c r="G68" s="265"/>
      <c r="AA68"/>
      <c r="AC68">
        <f t="shared" si="3"/>
        <v>0</v>
      </c>
      <c r="AE68" s="216">
        <f t="shared" ref="AE68" si="60">+AE67+1</f>
        <v>61</v>
      </c>
      <c r="AF68" s="216">
        <f t="shared" si="35"/>
        <v>56</v>
      </c>
      <c r="AG68" s="1">
        <v>0</v>
      </c>
      <c r="AH68" s="438" t="s">
        <v>221</v>
      </c>
      <c r="AI68" s="438" t="s">
        <v>222</v>
      </c>
      <c r="AJ68" s="438"/>
      <c r="AK68" s="438"/>
      <c r="AL68" s="439"/>
      <c r="AO68" s="1">
        <f t="shared" si="4"/>
        <v>0</v>
      </c>
    </row>
    <row r="69" spans="1:41">
      <c r="A69" s="500">
        <f t="shared" si="0"/>
        <v>998</v>
      </c>
      <c r="B69" s="265"/>
      <c r="C69" s="265"/>
      <c r="D69" s="265" t="s">
        <v>23</v>
      </c>
      <c r="E69" s="265"/>
      <c r="F69" s="265"/>
      <c r="G69" s="265"/>
      <c r="H69" s="301">
        <f>+[16]XNV!H$69</f>
        <v>10375938.16</v>
      </c>
      <c r="I69" s="301">
        <f>+[16]XNV!I$69</f>
        <v>10375938.16</v>
      </c>
      <c r="J69" s="301">
        <f>+[16]XNV!J$69</f>
        <v>10373806.26</v>
      </c>
      <c r="K69" s="301">
        <f>+[16]XNV!K$69</f>
        <v>10373806.26</v>
      </c>
      <c r="L69" s="301">
        <f>+[16]XNV!L$69</f>
        <v>10373749.42</v>
      </c>
      <c r="M69" s="301">
        <f>+[16]XNV!M$69</f>
        <v>10373749.42</v>
      </c>
      <c r="N69" s="301">
        <f>+[16]XNV!N$69</f>
        <v>10373749.42</v>
      </c>
      <c r="O69" s="301">
        <f>+[16]XNV!O$69</f>
        <v>10373749.42</v>
      </c>
      <c r="P69" s="301">
        <f>+[16]XNV!P$69</f>
        <v>10373749.42</v>
      </c>
      <c r="Q69" s="301">
        <f>+[16]XNV!Q$69</f>
        <v>10373749.42</v>
      </c>
      <c r="R69" s="301">
        <f>+[16]XNV!R$69</f>
        <v>10373749.42</v>
      </c>
      <c r="S69" s="301">
        <f>+[16]XNV!S$69</f>
        <v>10371781.85</v>
      </c>
      <c r="T69" s="301">
        <f>+[16]XNV!T$69</f>
        <v>10371128.219999999</v>
      </c>
      <c r="U69" s="301"/>
      <c r="V69" s="475">
        <f>(SUM(I69:S69)+(0.5*T69)+(0.5*H69))/12</f>
        <v>10373759.305</v>
      </c>
      <c r="Y69" s="475">
        <f>T69</f>
        <v>10371128.219999999</v>
      </c>
      <c r="Z69" s="475">
        <f t="shared" si="2"/>
        <v>10373759.305</v>
      </c>
      <c r="AA69" s="301">
        <f>V69</f>
        <v>10373759.305</v>
      </c>
      <c r="AB69" s="301">
        <f>T69</f>
        <v>10371128.219999999</v>
      </c>
      <c r="AC69" s="301">
        <f t="shared" si="3"/>
        <v>10373759.305</v>
      </c>
      <c r="AD69" s="301">
        <f>AC69-T69</f>
        <v>2631.0850000008941</v>
      </c>
      <c r="AE69" s="216">
        <f t="shared" ref="AE69" si="61">+AE68+1</f>
        <v>62</v>
      </c>
      <c r="AF69" s="216">
        <f t="shared" si="35"/>
        <v>57</v>
      </c>
      <c r="AG69" s="1">
        <v>-332098.96658333205</v>
      </c>
      <c r="AH69" s="438"/>
      <c r="AI69" s="438"/>
      <c r="AJ69" s="438" t="s">
        <v>23</v>
      </c>
      <c r="AK69" s="438"/>
      <c r="AL69" s="439">
        <f>+T69</f>
        <v>10371128.219999999</v>
      </c>
      <c r="AM69" s="10">
        <f>AC69</f>
        <v>10373759.305</v>
      </c>
      <c r="AN69" s="10">
        <f>AM69-AL69</f>
        <v>2631.0850000008941</v>
      </c>
      <c r="AO69" s="1">
        <f t="shared" si="4"/>
        <v>0</v>
      </c>
    </row>
    <row r="70" spans="1:41">
      <c r="A70" s="500">
        <f t="shared" si="0"/>
        <v>999</v>
      </c>
      <c r="B70" s="265"/>
      <c r="C70" s="265"/>
      <c r="D70" s="265" t="s">
        <v>12</v>
      </c>
      <c r="E70" s="265"/>
      <c r="F70" s="265"/>
      <c r="G70" s="265"/>
      <c r="H70" s="511">
        <f>+[16]XNV!H$70</f>
        <v>399776930.60957295</v>
      </c>
      <c r="I70" s="511">
        <f>+[16]XNV!I$70</f>
        <v>400353154.45957291</v>
      </c>
      <c r="J70" s="511">
        <f>+[16]XNV!J$70</f>
        <v>400288745.22957295</v>
      </c>
      <c r="K70" s="511">
        <f>+[16]XNV!K$70</f>
        <v>400288819.67957294</v>
      </c>
      <c r="L70" s="511">
        <f>+[16]XNV!L$70</f>
        <v>400406157.85957295</v>
      </c>
      <c r="M70" s="511">
        <f>+[16]XNV!M$70</f>
        <v>400406157.85957295</v>
      </c>
      <c r="N70" s="511">
        <f>+[16]XNV!N$70</f>
        <v>400378500.85957295</v>
      </c>
      <c r="O70" s="511">
        <f>+[16]XNV!O$70</f>
        <v>400294310.53957295</v>
      </c>
      <c r="P70" s="511">
        <f>+[16]XNV!P$70</f>
        <v>400320565.44957298</v>
      </c>
      <c r="Q70" s="511">
        <f>+[16]XNV!Q$70</f>
        <v>400320565.44957298</v>
      </c>
      <c r="R70" s="511">
        <f>+[16]XNV!R$70</f>
        <v>400286319.24957299</v>
      </c>
      <c r="S70" s="511">
        <f>+[16]XNV!S$70</f>
        <v>400236497.76957297</v>
      </c>
      <c r="T70" s="511">
        <f>+[16]XNV!T$70</f>
        <v>400193989.78957307</v>
      </c>
      <c r="U70" s="511"/>
      <c r="V70" s="510">
        <f>(SUM(I70:S70)+(0.5*T70)+(0.5*H70))/12</f>
        <v>400297104.55040628</v>
      </c>
      <c r="Y70" s="510">
        <f>T70</f>
        <v>400193989.78957307</v>
      </c>
      <c r="Z70" s="510">
        <f t="shared" si="2"/>
        <v>400297104.55040628</v>
      </c>
      <c r="AA70" s="511">
        <f>V70</f>
        <v>400297104.55040628</v>
      </c>
      <c r="AB70" s="511">
        <f>T70</f>
        <v>400193989.78957307</v>
      </c>
      <c r="AC70" s="511">
        <f t="shared" si="3"/>
        <v>400297104.55040628</v>
      </c>
      <c r="AD70" s="511">
        <f>AC70-T70</f>
        <v>103114.76083320379</v>
      </c>
      <c r="AE70" s="216">
        <f t="shared" ref="AE70" si="62">+AE69+1</f>
        <v>63</v>
      </c>
      <c r="AF70" s="216">
        <f t="shared" si="35"/>
        <v>58</v>
      </c>
      <c r="AG70" s="1">
        <v>-1803810.0100833476</v>
      </c>
      <c r="AH70" s="438"/>
      <c r="AI70" s="438"/>
      <c r="AJ70" s="438" t="s">
        <v>12</v>
      </c>
      <c r="AK70" s="438"/>
      <c r="AL70" s="439">
        <f>+T70</f>
        <v>400193989.78957307</v>
      </c>
      <c r="AM70" s="10">
        <f>AC70</f>
        <v>400297104.55040628</v>
      </c>
      <c r="AN70" s="10">
        <f>AM70-AL70</f>
        <v>103114.76083320379</v>
      </c>
      <c r="AO70" s="1">
        <f t="shared" si="4"/>
        <v>0</v>
      </c>
    </row>
    <row r="71" spans="1:41">
      <c r="A71" s="500">
        <f t="shared" si="0"/>
        <v>1000</v>
      </c>
      <c r="B71" s="265"/>
      <c r="C71" s="265"/>
      <c r="D71" s="265" t="s">
        <v>145</v>
      </c>
      <c r="E71" s="265"/>
      <c r="F71" s="265"/>
      <c r="G71" s="265"/>
      <c r="H71" s="301">
        <f t="shared" ref="H71:T71" si="63">SUM(H69:H70)</f>
        <v>410152868.76957297</v>
      </c>
      <c r="I71" s="301">
        <f t="shared" si="63"/>
        <v>410729092.61957294</v>
      </c>
      <c r="J71" s="301">
        <f t="shared" si="63"/>
        <v>410662551.48957294</v>
      </c>
      <c r="K71" s="301">
        <f t="shared" si="63"/>
        <v>410662625.93957293</v>
      </c>
      <c r="L71" s="301">
        <f t="shared" si="63"/>
        <v>410779907.27957296</v>
      </c>
      <c r="M71" s="301">
        <f t="shared" si="63"/>
        <v>410779907.27957296</v>
      </c>
      <c r="N71" s="301">
        <f t="shared" si="63"/>
        <v>410752250.27957296</v>
      </c>
      <c r="O71" s="301">
        <f t="shared" si="63"/>
        <v>410668059.95957297</v>
      </c>
      <c r="P71" s="301">
        <f t="shared" si="63"/>
        <v>410694314.869573</v>
      </c>
      <c r="Q71" s="301">
        <f t="shared" si="63"/>
        <v>410694314.869573</v>
      </c>
      <c r="R71" s="301">
        <f t="shared" si="63"/>
        <v>410660068.66957301</v>
      </c>
      <c r="S71" s="301">
        <f t="shared" si="63"/>
        <v>410608279.619573</v>
      </c>
      <c r="T71" s="301">
        <f t="shared" si="63"/>
        <v>410565118.0095731</v>
      </c>
      <c r="U71" s="301"/>
      <c r="V71" s="475">
        <f>SUM(V69:V70)</f>
        <v>410670863.85540628</v>
      </c>
      <c r="Y71" s="475">
        <f>T71</f>
        <v>410565118.0095731</v>
      </c>
      <c r="Z71" s="475">
        <f t="shared" si="2"/>
        <v>410670863.85540628</v>
      </c>
      <c r="AA71" s="301">
        <f>V71</f>
        <v>410670863.85540628</v>
      </c>
      <c r="AB71" s="301">
        <f>T71</f>
        <v>410565118.0095731</v>
      </c>
      <c r="AC71" s="301">
        <f t="shared" si="3"/>
        <v>410670863.85540628</v>
      </c>
      <c r="AD71" s="301">
        <f>SUM(AD69:AD70)</f>
        <v>105745.84583320469</v>
      </c>
      <c r="AE71" s="216">
        <f t="shared" ref="AE71" si="64">+AE70+1</f>
        <v>64</v>
      </c>
      <c r="AF71" s="216">
        <f t="shared" si="35"/>
        <v>59</v>
      </c>
      <c r="AG71" s="1">
        <v>-2135908.9766666796</v>
      </c>
      <c r="AH71" s="438"/>
      <c r="AI71" s="438"/>
      <c r="AJ71" s="438" t="s">
        <v>145</v>
      </c>
      <c r="AK71" s="438"/>
      <c r="AL71" s="439">
        <f>+T71</f>
        <v>410565118.0095731</v>
      </c>
      <c r="AM71" s="10">
        <f>AC71</f>
        <v>410670863.85540628</v>
      </c>
      <c r="AN71" s="10">
        <f>AM71-AL71</f>
        <v>105745.84583318233</v>
      </c>
      <c r="AO71" s="1">
        <f t="shared" si="4"/>
        <v>0</v>
      </c>
    </row>
    <row r="72" spans="1:41">
      <c r="A72" s="500">
        <f t="shared" si="0"/>
        <v>1001</v>
      </c>
      <c r="B72" s="265"/>
      <c r="C72" s="265"/>
      <c r="D72" s="265"/>
      <c r="E72" s="265"/>
      <c r="F72" s="265"/>
      <c r="G72" s="265"/>
      <c r="AA72"/>
      <c r="AC72">
        <f t="shared" si="3"/>
        <v>0</v>
      </c>
      <c r="AE72" s="216">
        <f t="shared" ref="AE72" si="65">+AE71+1</f>
        <v>65</v>
      </c>
      <c r="AF72" s="216">
        <f t="shared" si="35"/>
        <v>60</v>
      </c>
      <c r="AG72" s="1">
        <v>0</v>
      </c>
      <c r="AH72" s="438"/>
      <c r="AI72" s="438"/>
      <c r="AJ72" s="438"/>
      <c r="AK72" s="438"/>
      <c r="AL72" s="439"/>
      <c r="AO72" s="1">
        <f t="shared" si="4"/>
        <v>0</v>
      </c>
    </row>
    <row r="73" spans="1:41">
      <c r="A73" s="500">
        <f t="shared" si="0"/>
        <v>1002</v>
      </c>
      <c r="B73" s="265" t="s">
        <v>223</v>
      </c>
      <c r="C73" s="265" t="s">
        <v>224</v>
      </c>
      <c r="D73" s="265"/>
      <c r="E73" s="265"/>
      <c r="F73" s="265"/>
      <c r="G73" s="265"/>
      <c r="AA73"/>
      <c r="AC73">
        <f t="shared" si="3"/>
        <v>0</v>
      </c>
      <c r="AE73" s="216">
        <f t="shared" ref="AE73" si="66">+AE72+1</f>
        <v>66</v>
      </c>
      <c r="AF73" s="216">
        <f t="shared" si="35"/>
        <v>61</v>
      </c>
      <c r="AG73" s="1">
        <v>0</v>
      </c>
      <c r="AH73" s="438" t="s">
        <v>223</v>
      </c>
      <c r="AI73" s="438" t="s">
        <v>224</v>
      </c>
      <c r="AJ73" s="438"/>
      <c r="AK73" s="438"/>
      <c r="AL73" s="439"/>
      <c r="AO73" s="1">
        <f t="shared" si="4"/>
        <v>0</v>
      </c>
    </row>
    <row r="74" spans="1:41">
      <c r="A74" s="500">
        <f t="shared" si="0"/>
        <v>1003</v>
      </c>
      <c r="B74" s="265"/>
      <c r="C74" s="265"/>
      <c r="D74" s="265" t="s">
        <v>23</v>
      </c>
      <c r="E74" s="265"/>
      <c r="F74" s="265"/>
      <c r="G74" s="265"/>
      <c r="H74" s="301">
        <f>+[16]XNV!H$74</f>
        <v>440052.27</v>
      </c>
      <c r="I74" s="301">
        <f>+[16]XNV!I$74</f>
        <v>440052.27</v>
      </c>
      <c r="J74" s="301">
        <f>+[16]XNV!J$74</f>
        <v>440052.27</v>
      </c>
      <c r="K74" s="301">
        <f>+[16]XNV!K$74</f>
        <v>440052.27</v>
      </c>
      <c r="L74" s="301">
        <f>+[16]XNV!L$74</f>
        <v>440052.27</v>
      </c>
      <c r="M74" s="301">
        <f>+[16]XNV!M$74</f>
        <v>440052.27</v>
      </c>
      <c r="N74" s="301">
        <f>+[16]XNV!N$74</f>
        <v>440052.27</v>
      </c>
      <c r="O74" s="301">
        <f>+[16]XNV!O$74</f>
        <v>440052.27</v>
      </c>
      <c r="P74" s="301">
        <f>+[16]XNV!P$74</f>
        <v>440052.27</v>
      </c>
      <c r="Q74" s="301">
        <f>+[16]XNV!Q$74</f>
        <v>440052.27</v>
      </c>
      <c r="R74" s="301">
        <f>+[16]XNV!R$74</f>
        <v>440052.27</v>
      </c>
      <c r="S74" s="301">
        <f>+[16]XNV!S$74</f>
        <v>440052.27</v>
      </c>
      <c r="T74" s="301">
        <f>+[16]XNV!T$74</f>
        <v>440052.27</v>
      </c>
      <c r="U74" s="301"/>
      <c r="V74" s="475">
        <f>(SUM(I74:S74)+(0.5*T74)+(0.5*H74))/12</f>
        <v>440052.27</v>
      </c>
      <c r="Y74" s="475">
        <f>T74</f>
        <v>440052.27</v>
      </c>
      <c r="Z74" s="475">
        <f t="shared" si="2"/>
        <v>440052.27</v>
      </c>
      <c r="AA74" s="301">
        <f>V74</f>
        <v>440052.27</v>
      </c>
      <c r="AB74" s="301">
        <f>T74</f>
        <v>440052.27</v>
      </c>
      <c r="AC74" s="301">
        <f t="shared" si="3"/>
        <v>440052.27</v>
      </c>
      <c r="AD74" s="301">
        <f>AC74-T74</f>
        <v>0</v>
      </c>
      <c r="AE74" s="216">
        <f t="shared" ref="AE74" si="67">+AE73+1</f>
        <v>67</v>
      </c>
      <c r="AF74" s="216">
        <f t="shared" si="35"/>
        <v>62</v>
      </c>
      <c r="AG74" s="1">
        <v>0.76000000024214387</v>
      </c>
      <c r="AH74" s="438"/>
      <c r="AI74" s="438"/>
      <c r="AJ74" s="438" t="s">
        <v>23</v>
      </c>
      <c r="AK74" s="438"/>
      <c r="AL74" s="439">
        <f>+T74</f>
        <v>440052.27</v>
      </c>
      <c r="AM74" s="10">
        <f>AC74</f>
        <v>440052.27</v>
      </c>
      <c r="AN74" s="10">
        <f>AM74-AL74</f>
        <v>0</v>
      </c>
      <c r="AO74" s="1">
        <f t="shared" si="4"/>
        <v>0</v>
      </c>
    </row>
    <row r="75" spans="1:41">
      <c r="A75" s="500">
        <f t="shared" ref="A75:A138" si="68">+A74+1</f>
        <v>1004</v>
      </c>
      <c r="B75" s="265"/>
      <c r="C75" s="265"/>
      <c r="D75" s="265" t="s">
        <v>12</v>
      </c>
      <c r="E75" s="265"/>
      <c r="F75" s="265"/>
      <c r="G75" s="265"/>
      <c r="H75" s="511">
        <f>+[16]XNV!H$75</f>
        <v>14227956.720000001</v>
      </c>
      <c r="I75" s="511">
        <f>+[16]XNV!I$75</f>
        <v>14227956.720000001</v>
      </c>
      <c r="J75" s="511">
        <f>+[16]XNV!J$75</f>
        <v>14227956.720000001</v>
      </c>
      <c r="K75" s="511">
        <f>+[16]XNV!K$75</f>
        <v>14227956.720000001</v>
      </c>
      <c r="L75" s="511">
        <f>+[16]XNV!L$75</f>
        <v>14227956.720000001</v>
      </c>
      <c r="M75" s="511">
        <f>+[16]XNV!M$75</f>
        <v>14227956.720000001</v>
      </c>
      <c r="N75" s="511">
        <f>+[16]XNV!N$75</f>
        <v>14227956.720000001</v>
      </c>
      <c r="O75" s="511">
        <f>+[16]XNV!O$75</f>
        <v>14227956.720000001</v>
      </c>
      <c r="P75" s="511">
        <f>+[16]XNV!P$75</f>
        <v>14227956.720000001</v>
      </c>
      <c r="Q75" s="511">
        <f>+[16]XNV!Q$75</f>
        <v>14227956.720000001</v>
      </c>
      <c r="R75" s="511">
        <f>+[16]XNV!R$75</f>
        <v>14227956.720000001</v>
      </c>
      <c r="S75" s="511">
        <f>+[16]XNV!S$75</f>
        <v>14227956.720000001</v>
      </c>
      <c r="T75" s="511">
        <f>+[16]XNV!T$75</f>
        <v>14227956.720000001</v>
      </c>
      <c r="U75" s="511"/>
      <c r="V75" s="510">
        <f>(SUM(I75:S75)+(0.5*T75)+(0.5*H75))/12</f>
        <v>14227956.720000004</v>
      </c>
      <c r="Y75" s="510">
        <f>T75</f>
        <v>14227956.720000001</v>
      </c>
      <c r="Z75" s="510">
        <f t="shared" si="2"/>
        <v>14227956.720000004</v>
      </c>
      <c r="AA75" s="511">
        <f>V75</f>
        <v>14227956.720000004</v>
      </c>
      <c r="AB75" s="511">
        <f>T75</f>
        <v>14227956.720000001</v>
      </c>
      <c r="AC75" s="511">
        <f t="shared" si="3"/>
        <v>14227956.720000004</v>
      </c>
      <c r="AD75" s="511">
        <f>AC75-T75</f>
        <v>0</v>
      </c>
      <c r="AE75" s="216">
        <f t="shared" ref="AE75" si="69">+AE74+1</f>
        <v>68</v>
      </c>
      <c r="AF75" s="216">
        <f t="shared" si="35"/>
        <v>63</v>
      </c>
      <c r="AG75" s="1">
        <v>1219.1429166663438</v>
      </c>
      <c r="AH75" s="438"/>
      <c r="AI75" s="438"/>
      <c r="AJ75" s="438" t="s">
        <v>12</v>
      </c>
      <c r="AK75" s="438"/>
      <c r="AL75" s="439">
        <f>+T75</f>
        <v>14227956.720000001</v>
      </c>
      <c r="AM75" s="10">
        <f>AC75</f>
        <v>14227956.720000004</v>
      </c>
      <c r="AN75" s="10">
        <f>AM75-AL75</f>
        <v>0</v>
      </c>
      <c r="AO75" s="1">
        <f t="shared" si="4"/>
        <v>0</v>
      </c>
    </row>
    <row r="76" spans="1:41">
      <c r="A76" s="500">
        <f t="shared" si="68"/>
        <v>1005</v>
      </c>
      <c r="B76" s="265"/>
      <c r="C76" s="265"/>
      <c r="D76" s="265" t="s">
        <v>145</v>
      </c>
      <c r="E76" s="265"/>
      <c r="F76" s="265"/>
      <c r="G76" s="265"/>
      <c r="H76" s="301">
        <f t="shared" ref="H76:T76" si="70">SUM(H74:H75)</f>
        <v>14668008.99</v>
      </c>
      <c r="I76" s="301">
        <f t="shared" si="70"/>
        <v>14668008.99</v>
      </c>
      <c r="J76" s="301">
        <f t="shared" si="70"/>
        <v>14668008.99</v>
      </c>
      <c r="K76" s="301">
        <f t="shared" si="70"/>
        <v>14668008.99</v>
      </c>
      <c r="L76" s="301">
        <f t="shared" si="70"/>
        <v>14668008.99</v>
      </c>
      <c r="M76" s="301">
        <f t="shared" si="70"/>
        <v>14668008.99</v>
      </c>
      <c r="N76" s="301">
        <f t="shared" si="70"/>
        <v>14668008.99</v>
      </c>
      <c r="O76" s="301">
        <f t="shared" si="70"/>
        <v>14668008.99</v>
      </c>
      <c r="P76" s="301">
        <f t="shared" si="70"/>
        <v>14668008.99</v>
      </c>
      <c r="Q76" s="301">
        <f t="shared" si="70"/>
        <v>14668008.99</v>
      </c>
      <c r="R76" s="301">
        <f t="shared" si="70"/>
        <v>14668008.99</v>
      </c>
      <c r="S76" s="301">
        <f t="shared" si="70"/>
        <v>14668008.99</v>
      </c>
      <c r="T76" s="301">
        <f t="shared" si="70"/>
        <v>14668008.99</v>
      </c>
      <c r="U76" s="301"/>
      <c r="V76" s="475">
        <f>SUM(V74:V75)</f>
        <v>14668008.990000004</v>
      </c>
      <c r="Y76" s="475">
        <f>T76</f>
        <v>14668008.99</v>
      </c>
      <c r="Z76" s="475">
        <f t="shared" si="2"/>
        <v>14668008.990000004</v>
      </c>
      <c r="AA76" s="301">
        <f>V76</f>
        <v>14668008.990000004</v>
      </c>
      <c r="AB76" s="301">
        <f>T76</f>
        <v>14668008.99</v>
      </c>
      <c r="AC76" s="301">
        <f t="shared" si="3"/>
        <v>14668008.990000004</v>
      </c>
      <c r="AD76" s="301">
        <f>SUM(AD74:AD75)</f>
        <v>0</v>
      </c>
      <c r="AE76" s="216">
        <f t="shared" ref="AE76" si="71">+AE75+1</f>
        <v>69</v>
      </c>
      <c r="AF76" s="216">
        <f t="shared" si="35"/>
        <v>64</v>
      </c>
      <c r="AG76" s="1">
        <v>1219.902916666586</v>
      </c>
      <c r="AH76" s="438"/>
      <c r="AI76" s="438"/>
      <c r="AJ76" s="438" t="s">
        <v>145</v>
      </c>
      <c r="AK76" s="438"/>
      <c r="AL76" s="439">
        <f>+T76</f>
        <v>14668008.99</v>
      </c>
      <c r="AM76" s="10">
        <f>AC76</f>
        <v>14668008.990000004</v>
      </c>
      <c r="AN76" s="10">
        <f>AM76-AL76</f>
        <v>0</v>
      </c>
      <c r="AO76" s="1">
        <f t="shared" si="4"/>
        <v>0</v>
      </c>
    </row>
    <row r="77" spans="1:41">
      <c r="A77" s="500">
        <f t="shared" si="68"/>
        <v>1006</v>
      </c>
      <c r="B77" s="265"/>
      <c r="C77" s="265"/>
      <c r="D77" s="265"/>
      <c r="E77" s="265"/>
      <c r="F77" s="265"/>
      <c r="G77" s="265"/>
      <c r="AA77"/>
      <c r="AC77">
        <f t="shared" si="3"/>
        <v>0</v>
      </c>
      <c r="AE77" s="216">
        <f t="shared" ref="AE77" si="72">+AE76+1</f>
        <v>70</v>
      </c>
      <c r="AF77" s="216">
        <f t="shared" si="35"/>
        <v>65</v>
      </c>
      <c r="AG77" s="1">
        <v>0</v>
      </c>
      <c r="AH77" s="438"/>
      <c r="AI77" s="438"/>
      <c r="AJ77" s="438"/>
      <c r="AK77" s="438"/>
      <c r="AL77" s="439"/>
      <c r="AO77" s="1">
        <f t="shared" si="4"/>
        <v>0</v>
      </c>
    </row>
    <row r="78" spans="1:41">
      <c r="A78" s="500">
        <f t="shared" si="68"/>
        <v>1007</v>
      </c>
      <c r="B78" s="265" t="s">
        <v>225</v>
      </c>
      <c r="C78" s="265" t="s">
        <v>204</v>
      </c>
      <c r="D78" s="265"/>
      <c r="E78" s="265"/>
      <c r="F78" s="265"/>
      <c r="G78" s="265"/>
      <c r="AA78"/>
      <c r="AC78">
        <f t="shared" si="3"/>
        <v>0</v>
      </c>
      <c r="AE78" s="216">
        <f t="shared" ref="AE78" si="73">+AE77+1</f>
        <v>71</v>
      </c>
      <c r="AF78" s="216">
        <f t="shared" si="35"/>
        <v>66</v>
      </c>
      <c r="AG78" s="1">
        <v>0</v>
      </c>
      <c r="AH78" s="438" t="s">
        <v>225</v>
      </c>
      <c r="AI78" s="438" t="s">
        <v>204</v>
      </c>
      <c r="AJ78" s="438"/>
      <c r="AK78" s="438"/>
      <c r="AL78" s="439"/>
      <c r="AO78" s="1">
        <f t="shared" si="4"/>
        <v>0</v>
      </c>
    </row>
    <row r="79" spans="1:41">
      <c r="A79" s="500">
        <f t="shared" si="68"/>
        <v>1008</v>
      </c>
      <c r="B79" s="265"/>
      <c r="C79" s="265"/>
      <c r="D79" s="265" t="s">
        <v>23</v>
      </c>
      <c r="E79" s="265"/>
      <c r="F79" s="265"/>
      <c r="G79" s="265"/>
      <c r="H79" s="301">
        <f>+[16]XNV!H$79</f>
        <v>202488.79</v>
      </c>
      <c r="I79" s="301">
        <f>+[16]XNV!I$79</f>
        <v>202488.79</v>
      </c>
      <c r="J79" s="301">
        <f>+[16]XNV!J$79</f>
        <v>202488.79</v>
      </c>
      <c r="K79" s="301">
        <f>+[16]XNV!K$79</f>
        <v>202488.79</v>
      </c>
      <c r="L79" s="301">
        <f>+[16]XNV!L$79</f>
        <v>202488.79</v>
      </c>
      <c r="M79" s="301">
        <f>+[16]XNV!M$79</f>
        <v>202488.79</v>
      </c>
      <c r="N79" s="301">
        <f>+[16]XNV!N$79</f>
        <v>202488.79</v>
      </c>
      <c r="O79" s="301">
        <f>+[16]XNV!O$79</f>
        <v>202488.79</v>
      </c>
      <c r="P79" s="301">
        <f>+[16]XNV!P$79</f>
        <v>202488.79</v>
      </c>
      <c r="Q79" s="301">
        <f>+[16]XNV!Q$79</f>
        <v>810863.27</v>
      </c>
      <c r="R79" s="301">
        <f>+[16]XNV!R$79</f>
        <v>810863.27</v>
      </c>
      <c r="S79" s="301">
        <f>+[16]XNV!S$79</f>
        <v>810863.27</v>
      </c>
      <c r="T79" s="301">
        <f>+[16]XNV!T$79</f>
        <v>810863.27</v>
      </c>
      <c r="U79" s="301"/>
      <c r="V79" s="475">
        <f>(SUM(I79:S79)+(0.5*T79)+(0.5*H79))/12</f>
        <v>379931.34666666662</v>
      </c>
      <c r="Y79" s="475">
        <f>T79</f>
        <v>810863.27</v>
      </c>
      <c r="Z79" s="475">
        <f t="shared" ref="Z79:Z138" si="74">V79</f>
        <v>379931.34666666662</v>
      </c>
      <c r="AA79" s="301">
        <f>V79</f>
        <v>379931.34666666662</v>
      </c>
      <c r="AB79" s="301">
        <f>T79</f>
        <v>810863.27</v>
      </c>
      <c r="AC79" s="301">
        <f t="shared" ref="AC79:AC137" si="75">HLOOKUP($AC$8,RateBaseScenarios,AE79,FALSE)</f>
        <v>379931.34666666662</v>
      </c>
      <c r="AD79" s="301">
        <f>AC79-T79</f>
        <v>-430931.9233333334</v>
      </c>
      <c r="AE79" s="216">
        <f t="shared" ref="AE79" si="76">+AE78+1</f>
        <v>72</v>
      </c>
      <c r="AF79" s="216">
        <f t="shared" si="35"/>
        <v>67</v>
      </c>
      <c r="AG79" s="1">
        <v>0</v>
      </c>
      <c r="AH79" s="438"/>
      <c r="AI79" s="438"/>
      <c r="AJ79" s="438" t="s">
        <v>23</v>
      </c>
      <c r="AK79" s="438"/>
      <c r="AL79" s="439">
        <f>+T79</f>
        <v>810863.27</v>
      </c>
      <c r="AM79" s="10">
        <f>AC79</f>
        <v>379931.34666666662</v>
      </c>
      <c r="AN79" s="10">
        <f>AM79-AL79</f>
        <v>-430931.9233333334</v>
      </c>
      <c r="AO79" s="1">
        <f t="shared" si="4"/>
        <v>0</v>
      </c>
    </row>
    <row r="80" spans="1:41">
      <c r="A80" s="500">
        <f t="shared" si="68"/>
        <v>1009</v>
      </c>
      <c r="B80" s="265"/>
      <c r="C80" s="265"/>
      <c r="D80" s="265" t="s">
        <v>12</v>
      </c>
      <c r="E80" s="265"/>
      <c r="F80" s="265"/>
      <c r="G80" s="265"/>
      <c r="H80" s="511">
        <f>+[16]XNV!H$80</f>
        <v>3428318.4000000004</v>
      </c>
      <c r="I80" s="511">
        <f>+[16]XNV!I$80</f>
        <v>3428318.4000000004</v>
      </c>
      <c r="J80" s="511">
        <f>+[16]XNV!J$80</f>
        <v>3722957.8500000006</v>
      </c>
      <c r="K80" s="511">
        <f>+[16]XNV!K$80</f>
        <v>3722957.8500000006</v>
      </c>
      <c r="L80" s="511">
        <f>+[16]XNV!L$80</f>
        <v>3715486.5100000007</v>
      </c>
      <c r="M80" s="511">
        <f>+[16]XNV!M$80</f>
        <v>3715688.3100000005</v>
      </c>
      <c r="N80" s="511">
        <f>+[16]XNV!N$80</f>
        <v>4039910.8000000007</v>
      </c>
      <c r="O80" s="511">
        <f>+[16]XNV!O$80</f>
        <v>4039910.8000000007</v>
      </c>
      <c r="P80" s="511">
        <f>+[16]XNV!P$80</f>
        <v>5924646.2400000012</v>
      </c>
      <c r="Q80" s="511">
        <f>+[16]XNV!Q$80</f>
        <v>5331922.4300000016</v>
      </c>
      <c r="R80" s="511">
        <f>+[16]XNV!R$80</f>
        <v>5331922.4300000016</v>
      </c>
      <c r="S80" s="511">
        <f>+[16]XNV!S$80</f>
        <v>6213139.6800000016</v>
      </c>
      <c r="T80" s="511">
        <f>+[16]XNV!T$80</f>
        <v>6213197.9400000013</v>
      </c>
      <c r="U80" s="511"/>
      <c r="V80" s="510">
        <f>(SUM(I80:S80)+(0.5*T80)+(0.5*H80))/12</f>
        <v>4500634.9558333335</v>
      </c>
      <c r="Y80" s="510">
        <f>T80</f>
        <v>6213197.9400000013</v>
      </c>
      <c r="Z80" s="510">
        <f t="shared" si="74"/>
        <v>4500634.9558333335</v>
      </c>
      <c r="AA80" s="511">
        <f>V80</f>
        <v>4500634.9558333335</v>
      </c>
      <c r="AB80" s="511">
        <f>T80</f>
        <v>6213197.9400000013</v>
      </c>
      <c r="AC80" s="511">
        <f t="shared" si="75"/>
        <v>4500634.9558333335</v>
      </c>
      <c r="AD80" s="511">
        <f>AC80-T80</f>
        <v>-1712562.9841666678</v>
      </c>
      <c r="AE80" s="216">
        <f t="shared" ref="AE80" si="77">+AE79+1</f>
        <v>73</v>
      </c>
      <c r="AF80" s="216">
        <f t="shared" si="35"/>
        <v>68</v>
      </c>
      <c r="AG80" s="1">
        <v>322301.11791666655</v>
      </c>
      <c r="AH80" s="438"/>
      <c r="AI80" s="438"/>
      <c r="AJ80" s="438" t="s">
        <v>12</v>
      </c>
      <c r="AK80" s="438"/>
      <c r="AL80" s="439">
        <f>+T80</f>
        <v>6213197.9400000013</v>
      </c>
      <c r="AM80" s="10">
        <f>AC80</f>
        <v>4500634.9558333335</v>
      </c>
      <c r="AN80" s="10">
        <f>AM80-AL80</f>
        <v>-1712562.9841666678</v>
      </c>
      <c r="AO80" s="1">
        <f t="shared" ref="AO80:AO138" si="78">+AL80-T80</f>
        <v>0</v>
      </c>
    </row>
    <row r="81" spans="1:41">
      <c r="A81" s="500">
        <f t="shared" si="68"/>
        <v>1010</v>
      </c>
      <c r="B81" s="265"/>
      <c r="C81" s="265"/>
      <c r="D81" s="265" t="s">
        <v>145</v>
      </c>
      <c r="E81" s="265"/>
      <c r="F81" s="265"/>
      <c r="G81" s="265"/>
      <c r="H81" s="301">
        <f t="shared" ref="H81:T81" si="79">SUM(H79:H80)</f>
        <v>3630807.1900000004</v>
      </c>
      <c r="I81" s="301">
        <f t="shared" si="79"/>
        <v>3630807.1900000004</v>
      </c>
      <c r="J81" s="301">
        <f t="shared" si="79"/>
        <v>3925446.6400000006</v>
      </c>
      <c r="K81" s="301">
        <f t="shared" si="79"/>
        <v>3925446.6400000006</v>
      </c>
      <c r="L81" s="301">
        <f t="shared" si="79"/>
        <v>3917975.3000000007</v>
      </c>
      <c r="M81" s="301">
        <f t="shared" si="79"/>
        <v>3918177.1000000006</v>
      </c>
      <c r="N81" s="301">
        <f t="shared" si="79"/>
        <v>4242399.5900000008</v>
      </c>
      <c r="O81" s="301">
        <f t="shared" si="79"/>
        <v>4242399.5900000008</v>
      </c>
      <c r="P81" s="301">
        <f t="shared" si="79"/>
        <v>6127135.0300000012</v>
      </c>
      <c r="Q81" s="301">
        <f t="shared" si="79"/>
        <v>6142785.7000000011</v>
      </c>
      <c r="R81" s="301">
        <f t="shared" si="79"/>
        <v>6142785.7000000011</v>
      </c>
      <c r="S81" s="301">
        <f t="shared" si="79"/>
        <v>7024002.9500000011</v>
      </c>
      <c r="T81" s="301">
        <f t="shared" si="79"/>
        <v>7024061.2100000009</v>
      </c>
      <c r="U81" s="301"/>
      <c r="V81" s="475">
        <f>SUM(V79:V80)</f>
        <v>4880566.3025000002</v>
      </c>
      <c r="Y81" s="475">
        <f>T81</f>
        <v>7024061.2100000009</v>
      </c>
      <c r="Z81" s="475">
        <f t="shared" si="74"/>
        <v>4880566.3025000002</v>
      </c>
      <c r="AA81" s="301">
        <f>V81</f>
        <v>4880566.3025000002</v>
      </c>
      <c r="AB81" s="301">
        <f>T81</f>
        <v>7024061.2100000009</v>
      </c>
      <c r="AC81" s="301">
        <f t="shared" si="75"/>
        <v>4880566.3025000002</v>
      </c>
      <c r="AD81" s="301">
        <f>SUM(AD79:AD80)</f>
        <v>-2143494.9075000011</v>
      </c>
      <c r="AE81" s="216">
        <f t="shared" ref="AE81" si="80">+AE80+1</f>
        <v>74</v>
      </c>
      <c r="AF81" s="216">
        <f t="shared" si="35"/>
        <v>69</v>
      </c>
      <c r="AG81" s="1">
        <v>322301.11791666655</v>
      </c>
      <c r="AH81" s="438"/>
      <c r="AI81" s="438"/>
      <c r="AJ81" s="438" t="s">
        <v>145</v>
      </c>
      <c r="AK81" s="438"/>
      <c r="AL81" s="439">
        <f>+T81</f>
        <v>7024061.2100000009</v>
      </c>
      <c r="AM81" s="10">
        <f>AC81</f>
        <v>4880566.3025000002</v>
      </c>
      <c r="AN81" s="10">
        <f>AM81-AL81</f>
        <v>-2143494.9075000007</v>
      </c>
      <c r="AO81" s="1">
        <f t="shared" si="78"/>
        <v>0</v>
      </c>
    </row>
    <row r="82" spans="1:41">
      <c r="A82" s="500">
        <f t="shared" si="68"/>
        <v>1011</v>
      </c>
      <c r="B82" s="265"/>
      <c r="C82" s="265"/>
      <c r="D82" s="265"/>
      <c r="E82" s="265"/>
      <c r="F82" s="265"/>
      <c r="G82" s="265"/>
      <c r="AA82"/>
      <c r="AC82">
        <f t="shared" si="75"/>
        <v>0</v>
      </c>
      <c r="AE82" s="216">
        <f t="shared" ref="AE82" si="81">+AE81+1</f>
        <v>75</v>
      </c>
      <c r="AF82" s="216">
        <f t="shared" si="35"/>
        <v>70</v>
      </c>
      <c r="AG82" s="1">
        <v>0</v>
      </c>
      <c r="AH82" s="438"/>
      <c r="AI82" s="438"/>
      <c r="AJ82" s="438"/>
      <c r="AK82" s="438"/>
      <c r="AL82" s="439"/>
      <c r="AO82" s="1">
        <f t="shared" si="78"/>
        <v>0</v>
      </c>
    </row>
    <row r="83" spans="1:41">
      <c r="A83" s="500">
        <f t="shared" si="68"/>
        <v>1012</v>
      </c>
      <c r="B83" s="265"/>
      <c r="C83" s="265" t="s">
        <v>226</v>
      </c>
      <c r="D83" s="265"/>
      <c r="E83" s="265"/>
      <c r="F83" s="265"/>
      <c r="G83" s="265"/>
      <c r="H83" s="301">
        <f t="shared" ref="H83:T83" si="82">H81+H76+H71+H66+H61+H56+H51+H40+H35</f>
        <v>3230718359.9995723</v>
      </c>
      <c r="I83" s="301">
        <f t="shared" si="82"/>
        <v>3257582950.3295722</v>
      </c>
      <c r="J83" s="301">
        <f t="shared" si="82"/>
        <v>3262903938.259572</v>
      </c>
      <c r="K83" s="301">
        <f t="shared" si="82"/>
        <v>3272262791.1595726</v>
      </c>
      <c r="L83" s="301">
        <f t="shared" si="82"/>
        <v>3274668784.2595725</v>
      </c>
      <c r="M83" s="301">
        <f t="shared" si="82"/>
        <v>3284177300.799572</v>
      </c>
      <c r="N83" s="301">
        <f t="shared" si="82"/>
        <v>3330198017.569572</v>
      </c>
      <c r="O83" s="301">
        <f t="shared" si="82"/>
        <v>3333970066.5595722</v>
      </c>
      <c r="P83" s="301">
        <f t="shared" si="82"/>
        <v>3348607314.3595719</v>
      </c>
      <c r="Q83" s="301">
        <f t="shared" si="82"/>
        <v>3354931209.1895723</v>
      </c>
      <c r="R83" s="301">
        <f t="shared" si="82"/>
        <v>3359681418.3795729</v>
      </c>
      <c r="S83" s="301">
        <f t="shared" si="82"/>
        <v>3397612717.0695724</v>
      </c>
      <c r="T83" s="301">
        <f t="shared" si="82"/>
        <v>3402302207.7195725</v>
      </c>
      <c r="U83" s="301"/>
      <c r="V83" s="301">
        <f t="shared" ref="V83" si="83">V81+V76+V71+V66+V61+V56+V51+V40+V35</f>
        <v>3316092232.6495719</v>
      </c>
      <c r="Y83" s="475">
        <f>T83</f>
        <v>3402302207.7195725</v>
      </c>
      <c r="Z83" s="475">
        <f t="shared" si="74"/>
        <v>3316092232.6495719</v>
      </c>
      <c r="AA83" s="301">
        <f>V83</f>
        <v>3316092232.6495719</v>
      </c>
      <c r="AB83" s="301">
        <f>T83</f>
        <v>3402302207.7195725</v>
      </c>
      <c r="AC83" s="301">
        <f t="shared" si="75"/>
        <v>3316092232.6495719</v>
      </c>
      <c r="AD83" s="301">
        <f>AD81+AD76+AD71+AD66+AD61+AD56+AD51+AD40+AD35</f>
        <v>-86209975.070000082</v>
      </c>
      <c r="AE83" s="216">
        <f t="shared" ref="AE83" si="84">+AE82+1</f>
        <v>76</v>
      </c>
      <c r="AF83" s="216" t="e">
        <f>+#REF!+1</f>
        <v>#REF!</v>
      </c>
      <c r="AG83" s="1">
        <v>-63762675.068750136</v>
      </c>
      <c r="AH83" s="438"/>
      <c r="AI83" s="438" t="s">
        <v>226</v>
      </c>
      <c r="AJ83" s="438"/>
      <c r="AK83" s="438"/>
      <c r="AL83" s="439">
        <f>+T83</f>
        <v>3402302207.7195725</v>
      </c>
      <c r="AM83" s="10">
        <f>AC83</f>
        <v>3316092232.6495719</v>
      </c>
      <c r="AN83" s="10">
        <f>AM83-AL83</f>
        <v>-86209975.070000648</v>
      </c>
      <c r="AO83" s="1">
        <f t="shared" si="78"/>
        <v>0</v>
      </c>
    </row>
    <row r="84" spans="1:41">
      <c r="A84" s="500">
        <f t="shared" si="68"/>
        <v>1013</v>
      </c>
      <c r="B84" s="265"/>
      <c r="C84" s="265"/>
      <c r="D84" s="265"/>
      <c r="E84" s="265"/>
      <c r="F84" s="265"/>
      <c r="G84" s="265"/>
      <c r="AA84"/>
      <c r="AC84">
        <f t="shared" si="75"/>
        <v>0</v>
      </c>
      <c r="AE84" s="216">
        <f t="shared" ref="AE84" si="85">+AE83+1</f>
        <v>77</v>
      </c>
      <c r="AF84" s="216" t="e">
        <f t="shared" si="35"/>
        <v>#REF!</v>
      </c>
      <c r="AG84" s="1">
        <v>0</v>
      </c>
      <c r="AH84" s="438"/>
      <c r="AI84" s="438"/>
      <c r="AJ84" s="438"/>
      <c r="AK84" s="438"/>
      <c r="AL84" s="439"/>
      <c r="AO84" s="1">
        <f t="shared" si="78"/>
        <v>0</v>
      </c>
    </row>
    <row r="85" spans="1:41">
      <c r="A85" s="500">
        <f t="shared" si="68"/>
        <v>1014</v>
      </c>
      <c r="B85" s="423" t="s">
        <v>658</v>
      </c>
      <c r="C85" s="265"/>
      <c r="D85" s="265"/>
      <c r="E85" s="265"/>
      <c r="F85" s="265"/>
      <c r="G85" s="265"/>
      <c r="H85" s="301"/>
      <c r="I85" s="301"/>
      <c r="J85" s="301"/>
      <c r="K85" s="301"/>
      <c r="L85" s="301"/>
      <c r="M85" s="301"/>
      <c r="N85" s="301"/>
      <c r="O85" s="301"/>
      <c r="P85" s="301"/>
      <c r="Q85" s="301"/>
      <c r="R85" s="301"/>
      <c r="S85" s="301"/>
      <c r="T85" s="301"/>
      <c r="U85" s="301"/>
      <c r="V85" s="475"/>
      <c r="Y85" s="475"/>
      <c r="Z85" s="475"/>
      <c r="AA85" s="301"/>
      <c r="AB85" s="301"/>
      <c r="AC85" s="301">
        <f t="shared" si="75"/>
        <v>0</v>
      </c>
      <c r="AD85" s="301"/>
      <c r="AE85" s="216">
        <f t="shared" ref="AE85" si="86">+AE84+1</f>
        <v>78</v>
      </c>
      <c r="AF85" s="216" t="e">
        <f t="shared" si="35"/>
        <v>#REF!</v>
      </c>
      <c r="AG85" s="1">
        <v>0</v>
      </c>
      <c r="AH85" s="438"/>
      <c r="AI85" s="438"/>
      <c r="AJ85" s="438"/>
      <c r="AK85" s="438"/>
      <c r="AL85" s="439"/>
      <c r="AO85" s="1">
        <f t="shared" si="78"/>
        <v>0</v>
      </c>
    </row>
    <row r="86" spans="1:41">
      <c r="A86" s="500">
        <f t="shared" si="68"/>
        <v>1015</v>
      </c>
      <c r="B86" s="265" t="s">
        <v>227</v>
      </c>
      <c r="C86" s="265" t="s">
        <v>192</v>
      </c>
      <c r="D86" s="265"/>
      <c r="E86" s="265"/>
      <c r="F86" s="265"/>
      <c r="G86" s="265"/>
      <c r="H86" s="301"/>
      <c r="I86" s="301"/>
      <c r="J86" s="301"/>
      <c r="K86" s="301"/>
      <c r="L86" s="301"/>
      <c r="M86" s="301"/>
      <c r="N86" s="301"/>
      <c r="O86" s="301"/>
      <c r="P86" s="301"/>
      <c r="Q86" s="301"/>
      <c r="R86" s="301"/>
      <c r="S86" s="301"/>
      <c r="T86" s="301"/>
      <c r="U86" s="301"/>
      <c r="V86" s="475"/>
      <c r="Y86" s="475"/>
      <c r="Z86" s="475"/>
      <c r="AA86" s="301"/>
      <c r="AB86" s="301"/>
      <c r="AC86" s="301">
        <f t="shared" si="75"/>
        <v>0</v>
      </c>
      <c r="AD86" s="301"/>
      <c r="AE86" s="216">
        <f t="shared" ref="AE86" si="87">+AE85+1</f>
        <v>79</v>
      </c>
      <c r="AF86" s="216" t="e">
        <f t="shared" si="35"/>
        <v>#REF!</v>
      </c>
      <c r="AG86" s="1">
        <v>0</v>
      </c>
      <c r="AH86" s="438" t="s">
        <v>227</v>
      </c>
      <c r="AI86" s="438" t="s">
        <v>192</v>
      </c>
      <c r="AJ86" s="438"/>
      <c r="AK86" s="438"/>
      <c r="AL86" s="439"/>
      <c r="AO86" s="1">
        <f t="shared" si="78"/>
        <v>0</v>
      </c>
    </row>
    <row r="87" spans="1:41">
      <c r="A87" s="500">
        <f t="shared" si="68"/>
        <v>1016</v>
      </c>
      <c r="B87" s="265"/>
      <c r="C87" s="265"/>
      <c r="D87" s="265" t="s">
        <v>23</v>
      </c>
      <c r="E87" s="265"/>
      <c r="F87" s="265"/>
      <c r="G87" s="265"/>
      <c r="H87" s="301">
        <f>[16]XNV!$H$87</f>
        <v>11584.02</v>
      </c>
      <c r="I87" s="301">
        <f>[16]XNV!$I$87</f>
        <v>11584.02</v>
      </c>
      <c r="J87" s="301">
        <f>[16]XNV!$J$87</f>
        <v>11584.02</v>
      </c>
      <c r="K87" s="301">
        <f>[16]XNV!$K$87</f>
        <v>11584.02</v>
      </c>
      <c r="L87" s="301">
        <f>[16]XNV!$L$87</f>
        <v>15124.380000000001</v>
      </c>
      <c r="M87" s="301">
        <f>[16]XNV!$M$87</f>
        <v>15216.960000000001</v>
      </c>
      <c r="N87" s="301">
        <f>[16]XNV!$N$87</f>
        <v>15216.960000000001</v>
      </c>
      <c r="O87" s="301">
        <f>[16]XNV!$O$87</f>
        <v>15216.960000000001</v>
      </c>
      <c r="P87" s="301">
        <f>[16]XNV!$P$87</f>
        <v>15216.960000000001</v>
      </c>
      <c r="Q87" s="301">
        <f>[16]XNV!$Q$87</f>
        <v>15216.960000000001</v>
      </c>
      <c r="R87" s="301">
        <f>[16]XNV!$R$87</f>
        <v>15216.960000000001</v>
      </c>
      <c r="S87" s="301">
        <f>[16]XNV!$S$87</f>
        <v>15216.960000000001</v>
      </c>
      <c r="T87" s="301">
        <f>[16]XNV!$T$87</f>
        <v>15216.960000000001</v>
      </c>
      <c r="U87" s="301"/>
      <c r="V87" s="475">
        <f>(SUM(I87:S87)+(0.5*T87)+(0.5*H87))/12</f>
        <v>14149.637500000003</v>
      </c>
      <c r="Y87" s="475">
        <f>T87</f>
        <v>15216.960000000001</v>
      </c>
      <c r="Z87" s="475">
        <f t="shared" si="74"/>
        <v>14149.637500000003</v>
      </c>
      <c r="AA87" s="301">
        <f>V87</f>
        <v>14149.637500000003</v>
      </c>
      <c r="AB87" s="301">
        <f>T87</f>
        <v>15216.960000000001</v>
      </c>
      <c r="AC87" s="301">
        <f t="shared" si="75"/>
        <v>14149.637500000003</v>
      </c>
      <c r="AD87" s="301">
        <f>AC87-T87</f>
        <v>-1067.3224999999984</v>
      </c>
      <c r="AE87" s="216">
        <f t="shared" ref="AE87" si="88">+AE86+1</f>
        <v>80</v>
      </c>
      <c r="AF87" s="216" t="e">
        <f t="shared" si="35"/>
        <v>#REF!</v>
      </c>
      <c r="AG87" s="1">
        <v>3793.9500000000025</v>
      </c>
      <c r="AH87" s="438"/>
      <c r="AI87" s="438"/>
      <c r="AJ87" s="438" t="s">
        <v>542</v>
      </c>
      <c r="AK87" s="438"/>
      <c r="AL87" s="439">
        <f>+T87</f>
        <v>15216.960000000001</v>
      </c>
      <c r="AM87" s="10">
        <f>AC87</f>
        <v>14149.637500000003</v>
      </c>
      <c r="AN87" s="10">
        <f>AM87-AL87</f>
        <v>-1067.3224999999984</v>
      </c>
      <c r="AO87" s="1">
        <f t="shared" si="78"/>
        <v>0</v>
      </c>
    </row>
    <row r="88" spans="1:41">
      <c r="A88" s="500">
        <f t="shared" si="68"/>
        <v>1017</v>
      </c>
      <c r="B88" s="265"/>
      <c r="C88" s="265"/>
      <c r="D88" s="265" t="s">
        <v>12</v>
      </c>
      <c r="E88" s="265"/>
      <c r="F88" s="265"/>
      <c r="G88" s="265"/>
      <c r="H88" s="511">
        <f>[16]XNV!$H$88</f>
        <v>9773606.5699999984</v>
      </c>
      <c r="I88" s="511">
        <f>[16]XNV!$I$88</f>
        <v>9773606.5699999984</v>
      </c>
      <c r="J88" s="511">
        <f>[16]XNV!$J$88</f>
        <v>9773606.5699999984</v>
      </c>
      <c r="K88" s="511">
        <f>[16]XNV!$K$88</f>
        <v>9773606.5699999984</v>
      </c>
      <c r="L88" s="511">
        <f>[16]XNV!$L$88</f>
        <v>9774391.6099999975</v>
      </c>
      <c r="M88" s="511">
        <f>[16]XNV!$M$88</f>
        <v>9774629.1099999975</v>
      </c>
      <c r="N88" s="511">
        <f>[16]XNV!$N$88</f>
        <v>9783463.4699999969</v>
      </c>
      <c r="O88" s="511">
        <f>[16]XNV!$O$88</f>
        <v>9799474.5799999963</v>
      </c>
      <c r="P88" s="511">
        <f>[16]XNV!$P$88</f>
        <v>9912468.6699999962</v>
      </c>
      <c r="Q88" s="511">
        <f>[16]XNV!$Q$88</f>
        <v>9913832.4199999962</v>
      </c>
      <c r="R88" s="511">
        <f>[16]XNV!$R$88</f>
        <v>9913832.4199999962</v>
      </c>
      <c r="S88" s="511">
        <f>[16]XNV!$S$88</f>
        <v>9913861.6199999955</v>
      </c>
      <c r="T88" s="511">
        <f>[16]XNV!$T$88</f>
        <v>9913956.6199999955</v>
      </c>
      <c r="U88" s="511"/>
      <c r="V88" s="510">
        <f>(SUM(I88:S88)+(0.5*T88)+(0.5*H88))/12</f>
        <v>9829212.933749998</v>
      </c>
      <c r="Y88" s="510">
        <f>T88</f>
        <v>9913956.6199999955</v>
      </c>
      <c r="Z88" s="510">
        <f t="shared" si="74"/>
        <v>9829212.933749998</v>
      </c>
      <c r="AA88" s="511">
        <f>V88</f>
        <v>9829212.933749998</v>
      </c>
      <c r="AB88" s="511">
        <f>T88</f>
        <v>9913956.6199999955</v>
      </c>
      <c r="AC88" s="511">
        <f t="shared" si="75"/>
        <v>9829212.933749998</v>
      </c>
      <c r="AD88" s="511">
        <f>AC88-T88</f>
        <v>-84743.686249997467</v>
      </c>
      <c r="AE88" s="216">
        <f t="shared" ref="AE88" si="89">+AE87+1</f>
        <v>81</v>
      </c>
      <c r="AF88" s="216" t="e">
        <f t="shared" si="35"/>
        <v>#REF!</v>
      </c>
      <c r="AG88" s="1">
        <v>-251183.31041666726</v>
      </c>
      <c r="AH88" s="438"/>
      <c r="AI88" s="438"/>
      <c r="AJ88" s="438" t="s">
        <v>543</v>
      </c>
      <c r="AK88" s="438"/>
      <c r="AL88" s="439">
        <f>+T88</f>
        <v>9913956.6199999955</v>
      </c>
      <c r="AM88" s="10">
        <f>AC88</f>
        <v>9829212.933749998</v>
      </c>
      <c r="AN88" s="10">
        <f>AM88-AL88</f>
        <v>-84743.686249997467</v>
      </c>
      <c r="AO88" s="1">
        <f t="shared" si="78"/>
        <v>0</v>
      </c>
    </row>
    <row r="89" spans="1:41">
      <c r="A89" s="500">
        <f t="shared" si="68"/>
        <v>1018</v>
      </c>
      <c r="B89" s="265"/>
      <c r="C89" s="265"/>
      <c r="D89" s="265" t="s">
        <v>145</v>
      </c>
      <c r="E89" s="265"/>
      <c r="F89" s="265"/>
      <c r="G89" s="265"/>
      <c r="H89" s="301">
        <f t="shared" ref="H89:T89" si="90">SUM(H87:H88)</f>
        <v>9785190.589999998</v>
      </c>
      <c r="I89" s="301">
        <f t="shared" si="90"/>
        <v>9785190.589999998</v>
      </c>
      <c r="J89" s="301">
        <f t="shared" si="90"/>
        <v>9785190.589999998</v>
      </c>
      <c r="K89" s="301">
        <f t="shared" si="90"/>
        <v>9785190.589999998</v>
      </c>
      <c r="L89" s="301">
        <f t="shared" si="90"/>
        <v>9789515.9899999984</v>
      </c>
      <c r="M89" s="301">
        <f t="shared" si="90"/>
        <v>9789846.0699999984</v>
      </c>
      <c r="N89" s="301">
        <f t="shared" si="90"/>
        <v>9798680.4299999978</v>
      </c>
      <c r="O89" s="301">
        <f t="shared" si="90"/>
        <v>9814691.5399999972</v>
      </c>
      <c r="P89" s="301">
        <f t="shared" si="90"/>
        <v>9927685.6299999971</v>
      </c>
      <c r="Q89" s="301">
        <f t="shared" si="90"/>
        <v>9929049.3799999971</v>
      </c>
      <c r="R89" s="301">
        <f t="shared" si="90"/>
        <v>9929049.3799999971</v>
      </c>
      <c r="S89" s="301">
        <f t="shared" si="90"/>
        <v>9929078.5799999963</v>
      </c>
      <c r="T89" s="301">
        <f t="shared" si="90"/>
        <v>9929173.5799999963</v>
      </c>
      <c r="U89" s="301"/>
      <c r="V89" s="475">
        <f>SUM(V87:V88)</f>
        <v>9843362.5712499972</v>
      </c>
      <c r="Y89" s="475">
        <f>T89</f>
        <v>9929173.5799999963</v>
      </c>
      <c r="Z89" s="475">
        <f t="shared" si="74"/>
        <v>9843362.5712499972</v>
      </c>
      <c r="AA89" s="301">
        <f>V89</f>
        <v>9843362.5712499972</v>
      </c>
      <c r="AB89" s="301">
        <f>T89</f>
        <v>9929173.5799999963</v>
      </c>
      <c r="AC89" s="301">
        <f t="shared" si="75"/>
        <v>9843362.5712499972</v>
      </c>
      <c r="AD89" s="301">
        <f>AC89-T89</f>
        <v>-85811.008749999106</v>
      </c>
      <c r="AE89" s="216">
        <f t="shared" ref="AE89" si="91">+AE88+1</f>
        <v>82</v>
      </c>
      <c r="AF89" s="216" t="e">
        <f t="shared" si="35"/>
        <v>#REF!</v>
      </c>
      <c r="AG89" s="1">
        <v>-247389.36041666707</v>
      </c>
      <c r="AH89" s="438"/>
      <c r="AI89" s="438"/>
      <c r="AJ89" s="438" t="s">
        <v>145</v>
      </c>
      <c r="AK89" s="438"/>
      <c r="AL89" s="439">
        <f>+T89</f>
        <v>9929173.5799999963</v>
      </c>
      <c r="AM89" s="10">
        <f>AC89</f>
        <v>9843362.5712499972</v>
      </c>
      <c r="AN89" s="10">
        <f>AM89-AL89</f>
        <v>-85811.008749999106</v>
      </c>
      <c r="AO89" s="1">
        <f t="shared" si="78"/>
        <v>0</v>
      </c>
    </row>
    <row r="90" spans="1:41">
      <c r="A90" s="500">
        <f t="shared" si="68"/>
        <v>1019</v>
      </c>
      <c r="B90" s="265"/>
      <c r="C90" s="265"/>
      <c r="D90" s="265"/>
      <c r="E90" s="265"/>
      <c r="F90" s="265"/>
      <c r="G90" s="265"/>
      <c r="AA90"/>
      <c r="AC90">
        <f t="shared" si="75"/>
        <v>0</v>
      </c>
      <c r="AE90" s="216">
        <f t="shared" ref="AE90" si="92">+AE89+1</f>
        <v>83</v>
      </c>
      <c r="AF90" s="216" t="e">
        <f t="shared" si="35"/>
        <v>#REF!</v>
      </c>
      <c r="AG90" s="1">
        <v>0</v>
      </c>
      <c r="AH90" s="438"/>
      <c r="AI90" s="438"/>
      <c r="AJ90" s="438"/>
      <c r="AK90" s="438"/>
      <c r="AL90" s="439"/>
      <c r="AO90" s="1">
        <f t="shared" si="78"/>
        <v>0</v>
      </c>
    </row>
    <row r="91" spans="1:41">
      <c r="A91" s="500">
        <f t="shared" si="68"/>
        <v>1020</v>
      </c>
      <c r="B91" s="265" t="s">
        <v>228</v>
      </c>
      <c r="C91" s="265" t="s">
        <v>209</v>
      </c>
      <c r="D91" s="265"/>
      <c r="E91" s="265"/>
      <c r="F91" s="265"/>
      <c r="G91" s="265"/>
      <c r="AA91"/>
      <c r="AC91">
        <f t="shared" si="75"/>
        <v>0</v>
      </c>
      <c r="AE91" s="216">
        <f t="shared" ref="AE91" si="93">+AE90+1</f>
        <v>84</v>
      </c>
      <c r="AF91" s="216" t="e">
        <f t="shared" si="35"/>
        <v>#REF!</v>
      </c>
      <c r="AG91" s="1">
        <v>0</v>
      </c>
      <c r="AH91" s="438" t="s">
        <v>228</v>
      </c>
      <c r="AI91" s="438" t="s">
        <v>796</v>
      </c>
      <c r="AJ91" s="438"/>
      <c r="AK91" s="438"/>
      <c r="AL91" s="439"/>
      <c r="AO91" s="1">
        <f t="shared" si="78"/>
        <v>0</v>
      </c>
    </row>
    <row r="92" spans="1:41">
      <c r="A92" s="500">
        <f t="shared" si="68"/>
        <v>1021</v>
      </c>
      <c r="B92" s="265"/>
      <c r="C92" s="265"/>
      <c r="D92" s="265" t="s">
        <v>23</v>
      </c>
      <c r="E92" s="265"/>
      <c r="F92" s="265"/>
      <c r="G92" s="265"/>
      <c r="H92" s="301">
        <f>[16]XNV!$H$92</f>
        <v>6321488.3300000001</v>
      </c>
      <c r="I92" s="301">
        <f>[16]XNV!$I$92</f>
        <v>6321488.3300000001</v>
      </c>
      <c r="J92" s="301">
        <f>[16]XNV!$J$92</f>
        <v>6321488.3300000001</v>
      </c>
      <c r="K92" s="301">
        <f>[16]XNV!$K$92</f>
        <v>6321488.3300000001</v>
      </c>
      <c r="L92" s="301">
        <f>[16]XNV!$L$92</f>
        <v>6321488.3300000001</v>
      </c>
      <c r="M92" s="301">
        <f>[16]XNV!$M$92</f>
        <v>6343806.3499999996</v>
      </c>
      <c r="N92" s="301">
        <f>[16]XNV!$N$92</f>
        <v>6343806.3499999996</v>
      </c>
      <c r="O92" s="301">
        <f>[16]XNV!$O$92</f>
        <v>6343806.3499999996</v>
      </c>
      <c r="P92" s="301">
        <f>[16]XNV!$P$92</f>
        <v>6343806.3499999996</v>
      </c>
      <c r="Q92" s="301">
        <f>[16]XNV!$Q$92</f>
        <v>7121330.1399999997</v>
      </c>
      <c r="R92" s="301">
        <f>[16]XNV!$R$92</f>
        <v>7121330.1399999997</v>
      </c>
      <c r="S92" s="301">
        <f>[16]XNV!$S$92</f>
        <v>7121330.1399999997</v>
      </c>
      <c r="T92" s="301">
        <f>[16]XNV!$T$92</f>
        <v>7121330.1399999997</v>
      </c>
      <c r="U92" s="301"/>
      <c r="V92" s="475">
        <f>(SUM(I92:S92)+(0.5*T92)+(0.5*H92))/12</f>
        <v>6562214.864583333</v>
      </c>
      <c r="Y92" s="475">
        <f>T92</f>
        <v>7121330.1399999997</v>
      </c>
      <c r="Z92" s="475">
        <f t="shared" si="74"/>
        <v>6562214.864583333</v>
      </c>
      <c r="AA92" s="301">
        <f>V92</f>
        <v>6562214.864583333</v>
      </c>
      <c r="AB92" s="301">
        <f>T92</f>
        <v>7121330.1399999997</v>
      </c>
      <c r="AC92" s="301">
        <f t="shared" si="75"/>
        <v>6562214.864583333</v>
      </c>
      <c r="AD92" s="301">
        <f>AC92-T92</f>
        <v>-559115.27541666664</v>
      </c>
      <c r="AE92" s="216">
        <f t="shared" ref="AE92" si="94">+AE91+1</f>
        <v>85</v>
      </c>
      <c r="AF92" s="216" t="e">
        <f t="shared" si="35"/>
        <v>#REF!</v>
      </c>
      <c r="AG92" s="1">
        <v>0</v>
      </c>
      <c r="AH92" s="438"/>
      <c r="AI92" s="438"/>
      <c r="AJ92" s="438" t="s">
        <v>542</v>
      </c>
      <c r="AK92" s="438"/>
      <c r="AL92" s="439">
        <f>+T92</f>
        <v>7121330.1399999997</v>
      </c>
      <c r="AM92" s="10">
        <f>AC92</f>
        <v>6562214.864583333</v>
      </c>
      <c r="AN92" s="10">
        <f>AM92-AL92</f>
        <v>-559115.27541666664</v>
      </c>
      <c r="AO92" s="1">
        <f t="shared" si="78"/>
        <v>0</v>
      </c>
    </row>
    <row r="93" spans="1:41">
      <c r="A93" s="500">
        <f t="shared" si="68"/>
        <v>1022</v>
      </c>
      <c r="B93" s="265"/>
      <c r="C93" s="265"/>
      <c r="D93" s="265" t="s">
        <v>12</v>
      </c>
      <c r="E93" s="265"/>
      <c r="F93" s="265"/>
      <c r="G93" s="265"/>
      <c r="H93" s="301">
        <f>[16]XNV!$H$93</f>
        <v>45029463.009999931</v>
      </c>
      <c r="I93" s="301">
        <f>[16]XNV!$I$93</f>
        <v>45128469.199999914</v>
      </c>
      <c r="J93" s="301">
        <f>[16]XNV!$J$93</f>
        <v>45204988.149999931</v>
      </c>
      <c r="K93" s="301">
        <f>[16]XNV!$K$93</f>
        <v>45194621.079999946</v>
      </c>
      <c r="L93" s="301">
        <f>[16]XNV!$L$93</f>
        <v>45196129.379999936</v>
      </c>
      <c r="M93" s="301">
        <f>[16]XNV!$M$93</f>
        <v>47084815.039999977</v>
      </c>
      <c r="N93" s="301">
        <f>[16]XNV!$N$93</f>
        <v>47143463.309999965</v>
      </c>
      <c r="O93" s="301">
        <f>[16]XNV!$O$93</f>
        <v>47145512.719999924</v>
      </c>
      <c r="P93" s="301">
        <f>[16]XNV!$P$93</f>
        <v>49205942.949999928</v>
      </c>
      <c r="Q93" s="301">
        <f>[16]XNV!$Q$93</f>
        <v>48520431.349999927</v>
      </c>
      <c r="R93" s="301">
        <f>[16]XNV!$R$93</f>
        <v>48632505.369999953</v>
      </c>
      <c r="S93" s="301">
        <f>[16]XNV!$S$93</f>
        <v>48633786.889999941</v>
      </c>
      <c r="T93" s="301">
        <f>[16]XNV!$T$93</f>
        <v>48633786.889999963</v>
      </c>
      <c r="U93" s="301"/>
      <c r="V93" s="475">
        <f>(SUM(I93:S93)+(0.5*T93)+(0.5*H93))/12</f>
        <v>46993524.199166603</v>
      </c>
      <c r="Y93" s="475">
        <f>T93</f>
        <v>48633786.889999963</v>
      </c>
      <c r="Z93" s="475">
        <f t="shared" si="74"/>
        <v>46993524.199166603</v>
      </c>
      <c r="AA93" s="301">
        <f>V93</f>
        <v>46993524.199166603</v>
      </c>
      <c r="AB93" s="301">
        <f>T93</f>
        <v>48633786.889999963</v>
      </c>
      <c r="AC93" s="301">
        <f t="shared" si="75"/>
        <v>46993524.199166603</v>
      </c>
      <c r="AD93" s="301">
        <f>AC93-T93</f>
        <v>-1640262.69083336</v>
      </c>
      <c r="AE93" s="216">
        <f t="shared" ref="AE93" si="95">+AE92+1</f>
        <v>86</v>
      </c>
      <c r="AF93" s="216" t="e">
        <f t="shared" si="35"/>
        <v>#REF!</v>
      </c>
      <c r="AG93" s="1">
        <v>1243046.616666669</v>
      </c>
      <c r="AH93" s="438"/>
      <c r="AI93" s="438"/>
      <c r="AJ93" s="438" t="s">
        <v>543</v>
      </c>
      <c r="AK93" s="438"/>
      <c r="AL93" s="439">
        <f>+T93</f>
        <v>48633786.889999963</v>
      </c>
      <c r="AM93" s="10">
        <f>AC93</f>
        <v>46993524.199166603</v>
      </c>
      <c r="AN93" s="10">
        <f>AM93-AL93</f>
        <v>-1640262.69083336</v>
      </c>
      <c r="AO93" s="1">
        <f t="shared" si="78"/>
        <v>0</v>
      </c>
    </row>
    <row r="94" spans="1:41">
      <c r="A94" s="500">
        <f t="shared" si="68"/>
        <v>1023</v>
      </c>
      <c r="B94" s="265"/>
      <c r="C94" s="265"/>
      <c r="D94" s="265" t="s">
        <v>544</v>
      </c>
      <c r="E94" s="265"/>
      <c r="F94" s="265"/>
      <c r="G94" s="265"/>
      <c r="H94" s="301">
        <f>[16]XNV!$H$94</f>
        <v>53849849.990000069</v>
      </c>
      <c r="I94" s="301">
        <f>[16]XNV!$I$94</f>
        <v>53849849.990000084</v>
      </c>
      <c r="J94" s="301">
        <f>[16]XNV!$J$94</f>
        <v>53849849.990000069</v>
      </c>
      <c r="K94" s="301">
        <f>[16]XNV!$K$94</f>
        <v>53849849.990000062</v>
      </c>
      <c r="L94" s="301">
        <f>[16]XNV!$L$94</f>
        <v>53849849.990000069</v>
      </c>
      <c r="M94" s="301">
        <f>[16]XNV!$M$94</f>
        <v>53849849.990000032</v>
      </c>
      <c r="N94" s="301">
        <f>[16]XNV!$N$94</f>
        <v>53849849.990000039</v>
      </c>
      <c r="O94" s="301">
        <f>[16]XNV!$O$94</f>
        <v>53849849.990000077</v>
      </c>
      <c r="P94" s="301">
        <f>[16]XNV!$P$94</f>
        <v>53849849.990000077</v>
      </c>
      <c r="Q94" s="301">
        <f>[16]XNV!$Q$94</f>
        <v>53849849.990000077</v>
      </c>
      <c r="R94" s="301">
        <f>[16]XNV!$R$94</f>
        <v>53849849.990000047</v>
      </c>
      <c r="S94" s="301">
        <f>[16]XNV!$S$94</f>
        <v>53849849.990000054</v>
      </c>
      <c r="T94" s="301">
        <f>[16]XNV!$T$94</f>
        <v>53849849.990000032</v>
      </c>
      <c r="U94" s="511"/>
      <c r="V94" s="510">
        <f>(SUM(I94:S94)+(0.5*T94)+(0.5*H94))/12</f>
        <v>53849849.990000047</v>
      </c>
      <c r="Y94" s="510">
        <f>T94</f>
        <v>53849849.990000032</v>
      </c>
      <c r="Z94" s="510">
        <f t="shared" si="74"/>
        <v>53849849.990000047</v>
      </c>
      <c r="AA94" s="511">
        <f>V94</f>
        <v>53849849.990000047</v>
      </c>
      <c r="AB94" s="511">
        <f>T94</f>
        <v>53849849.990000032</v>
      </c>
      <c r="AC94" s="511">
        <f t="shared" si="75"/>
        <v>53849849.990000047</v>
      </c>
      <c r="AD94" s="511">
        <f>AC94-T94</f>
        <v>0</v>
      </c>
      <c r="AE94" s="216">
        <f t="shared" ref="AE94" si="96">+AE93+1</f>
        <v>87</v>
      </c>
      <c r="AF94" s="216" t="e">
        <f t="shared" si="35"/>
        <v>#REF!</v>
      </c>
      <c r="AG94" s="1">
        <v>-898441.75500001013</v>
      </c>
      <c r="AH94" s="438"/>
      <c r="AI94" s="438"/>
      <c r="AJ94" s="438" t="str">
        <f>D94</f>
        <v>General</v>
      </c>
      <c r="AK94" s="438"/>
      <c r="AL94" s="439">
        <f>+T94</f>
        <v>53849849.990000032</v>
      </c>
      <c r="AM94" s="10">
        <f>AC94</f>
        <v>53849849.990000047</v>
      </c>
      <c r="AN94" s="10">
        <f>AM94-AL94</f>
        <v>0</v>
      </c>
      <c r="AO94" s="1">
        <f t="shared" si="78"/>
        <v>0</v>
      </c>
    </row>
    <row r="95" spans="1:41">
      <c r="A95" s="500">
        <f t="shared" si="68"/>
        <v>1024</v>
      </c>
      <c r="B95" s="265"/>
      <c r="C95" s="265"/>
      <c r="D95" s="265" t="s">
        <v>145</v>
      </c>
      <c r="E95" s="265"/>
      <c r="F95" s="265"/>
      <c r="G95" s="265"/>
      <c r="H95" s="301">
        <f t="shared" ref="H95:T95" si="97">SUM(H92:H94)</f>
        <v>105200801.33</v>
      </c>
      <c r="I95" s="301">
        <f t="shared" si="97"/>
        <v>105299807.52</v>
      </c>
      <c r="J95" s="301">
        <f t="shared" si="97"/>
        <v>105376326.47</v>
      </c>
      <c r="K95" s="301">
        <f t="shared" si="97"/>
        <v>105365959.40000001</v>
      </c>
      <c r="L95" s="301">
        <f t="shared" si="97"/>
        <v>105367467.7</v>
      </c>
      <c r="M95" s="301">
        <f t="shared" si="97"/>
        <v>107278471.38000001</v>
      </c>
      <c r="N95" s="301">
        <f t="shared" si="97"/>
        <v>107337119.65000001</v>
      </c>
      <c r="O95" s="301">
        <f t="shared" si="97"/>
        <v>107339169.06</v>
      </c>
      <c r="P95" s="301">
        <f t="shared" si="97"/>
        <v>109399599.29000001</v>
      </c>
      <c r="Q95" s="301">
        <f t="shared" si="97"/>
        <v>109491611.48</v>
      </c>
      <c r="R95" s="301">
        <f t="shared" si="97"/>
        <v>109603685.5</v>
      </c>
      <c r="S95" s="301">
        <f t="shared" si="97"/>
        <v>109604967.02</v>
      </c>
      <c r="T95" s="301">
        <f t="shared" si="97"/>
        <v>109604967.02</v>
      </c>
      <c r="U95" s="301"/>
      <c r="V95" s="475">
        <f>SUM(V92:V94)</f>
        <v>107405589.05374998</v>
      </c>
      <c r="Y95" s="475">
        <f>SUM(Y92:Y94)</f>
        <v>109604967.02</v>
      </c>
      <c r="Z95" s="475">
        <f>SUM(Z92:Z94)</f>
        <v>107405589.05374998</v>
      </c>
      <c r="AA95" s="301">
        <f>SUM(AA92:AA94)</f>
        <v>107405589.05374998</v>
      </c>
      <c r="AB95" s="301">
        <f>SUM(AB92:AB94)</f>
        <v>109604967.02</v>
      </c>
      <c r="AC95" s="301">
        <f t="shared" si="75"/>
        <v>107405589.05374998</v>
      </c>
      <c r="AD95" s="301">
        <f>AC95-T95</f>
        <v>-2199377.9662500173</v>
      </c>
      <c r="AE95" s="216">
        <f t="shared" ref="AE95" si="98">+AE94+1</f>
        <v>88</v>
      </c>
      <c r="AF95" s="216" t="e">
        <f t="shared" si="35"/>
        <v>#REF!</v>
      </c>
      <c r="AG95" s="1">
        <v>344604.86166665703</v>
      </c>
      <c r="AH95" s="438"/>
      <c r="AI95" s="438"/>
      <c r="AJ95" s="438" t="s">
        <v>145</v>
      </c>
      <c r="AK95" s="438"/>
      <c r="AL95" s="439">
        <f>+T95</f>
        <v>109604967.02</v>
      </c>
      <c r="AM95" s="10">
        <f>AC95</f>
        <v>107405589.05374998</v>
      </c>
      <c r="AN95" s="10">
        <f>AM95-AL95</f>
        <v>-2199377.9662500173</v>
      </c>
      <c r="AO95" s="1">
        <f t="shared" si="78"/>
        <v>0</v>
      </c>
    </row>
    <row r="96" spans="1:41">
      <c r="A96" s="500">
        <f t="shared" si="68"/>
        <v>1025</v>
      </c>
      <c r="B96" s="265"/>
      <c r="C96" s="265"/>
      <c r="D96" s="265"/>
      <c r="E96" s="265"/>
      <c r="F96" s="265"/>
      <c r="G96" s="265"/>
      <c r="AA96"/>
      <c r="AC96">
        <f t="shared" si="75"/>
        <v>0</v>
      </c>
      <c r="AE96" s="216">
        <f t="shared" ref="AE96" si="99">+AE95+1</f>
        <v>89</v>
      </c>
      <c r="AF96" s="216" t="e">
        <f t="shared" si="35"/>
        <v>#REF!</v>
      </c>
      <c r="AG96" s="1">
        <v>0</v>
      </c>
      <c r="AH96" s="438"/>
      <c r="AI96" s="438"/>
      <c r="AJ96" s="438"/>
      <c r="AK96" s="438"/>
      <c r="AL96" s="439"/>
      <c r="AO96" s="1">
        <f t="shared" si="78"/>
        <v>0</v>
      </c>
    </row>
    <row r="97" spans="1:41">
      <c r="A97" s="500">
        <f t="shared" si="68"/>
        <v>1026</v>
      </c>
      <c r="B97" s="265" t="s">
        <v>229</v>
      </c>
      <c r="C97" s="265" t="s">
        <v>230</v>
      </c>
      <c r="D97" s="265"/>
      <c r="E97" s="265"/>
      <c r="F97" s="265"/>
      <c r="G97" s="265"/>
      <c r="AA97"/>
      <c r="AC97">
        <f t="shared" si="75"/>
        <v>0</v>
      </c>
      <c r="AE97" s="216">
        <f t="shared" ref="AE97" si="100">+AE96+1</f>
        <v>90</v>
      </c>
      <c r="AF97" s="216" t="e">
        <f t="shared" si="35"/>
        <v>#REF!</v>
      </c>
      <c r="AG97" s="1">
        <v>0</v>
      </c>
      <c r="AH97" s="438" t="s">
        <v>229</v>
      </c>
      <c r="AI97" s="438" t="s">
        <v>230</v>
      </c>
      <c r="AJ97" s="438"/>
      <c r="AK97" s="438"/>
      <c r="AL97" s="439"/>
      <c r="AO97" s="1">
        <f t="shared" si="78"/>
        <v>0</v>
      </c>
    </row>
    <row r="98" spans="1:41">
      <c r="A98" s="500">
        <f t="shared" si="68"/>
        <v>1027</v>
      </c>
      <c r="B98" s="265"/>
      <c r="C98" s="265"/>
      <c r="D98" s="265" t="s">
        <v>23</v>
      </c>
      <c r="E98" s="265"/>
      <c r="F98" s="265"/>
      <c r="G98" s="265"/>
      <c r="H98" s="301">
        <f>[16]XNV!$H$98</f>
        <v>131774.12</v>
      </c>
      <c r="I98" s="301">
        <f>[16]XNV!$I$98</f>
        <v>131774.12</v>
      </c>
      <c r="J98" s="301">
        <f>[16]XNV!$J$98</f>
        <v>131774.12</v>
      </c>
      <c r="K98" s="301">
        <f>[16]XNV!$K$98</f>
        <v>131774.12</v>
      </c>
      <c r="L98" s="301">
        <f>[16]XNV!$L$98</f>
        <v>131774.12</v>
      </c>
      <c r="M98" s="301">
        <f>[16]XNV!$M$98</f>
        <v>170984.29</v>
      </c>
      <c r="N98" s="301">
        <f>[16]XNV!$N$98</f>
        <v>170984.29</v>
      </c>
      <c r="O98" s="301">
        <f>[16]XNV!$O$98</f>
        <v>170984.29</v>
      </c>
      <c r="P98" s="301">
        <f>[16]XNV!$P$98</f>
        <v>170984.29</v>
      </c>
      <c r="Q98" s="301">
        <f>[16]XNV!$Q$98</f>
        <v>170984.29</v>
      </c>
      <c r="R98" s="301">
        <f>[16]XNV!$R$98</f>
        <v>170984.29</v>
      </c>
      <c r="S98" s="301">
        <f>[16]XNV!$S$98</f>
        <v>170984.29</v>
      </c>
      <c r="T98" s="301">
        <f>[16]XNV!$T$98</f>
        <v>170984.29</v>
      </c>
      <c r="U98" s="301"/>
      <c r="V98" s="475">
        <f>(SUM(I98:S98)+(0.5*T98)+(0.5*H98))/12</f>
        <v>156280.47625000004</v>
      </c>
      <c r="Y98" s="475">
        <f>T98</f>
        <v>170984.29</v>
      </c>
      <c r="Z98" s="475">
        <f t="shared" si="74"/>
        <v>156280.47625000004</v>
      </c>
      <c r="AA98" s="301">
        <f>V98</f>
        <v>156280.47625000004</v>
      </c>
      <c r="AB98" s="301">
        <f>T98</f>
        <v>170984.29</v>
      </c>
      <c r="AC98" s="301">
        <f t="shared" si="75"/>
        <v>156280.47625000004</v>
      </c>
      <c r="AD98" s="301">
        <f>AC98-T98</f>
        <v>-14703.813749999972</v>
      </c>
      <c r="AE98" s="216">
        <f t="shared" ref="AE98" si="101">+AE97+1</f>
        <v>91</v>
      </c>
      <c r="AF98" s="216" t="e">
        <f t="shared" si="35"/>
        <v>#REF!</v>
      </c>
      <c r="AG98" s="1">
        <v>-21539.822500000009</v>
      </c>
      <c r="AH98" s="438"/>
      <c r="AI98" s="438"/>
      <c r="AJ98" s="438" t="s">
        <v>542</v>
      </c>
      <c r="AK98" s="438"/>
      <c r="AL98" s="439">
        <f>+T98</f>
        <v>170984.29</v>
      </c>
      <c r="AM98" s="10">
        <f>AC98</f>
        <v>156280.47625000004</v>
      </c>
      <c r="AN98" s="10">
        <f>AM98-AL98</f>
        <v>-14703.813749999972</v>
      </c>
      <c r="AO98" s="1">
        <f t="shared" si="78"/>
        <v>0</v>
      </c>
    </row>
    <row r="99" spans="1:41">
      <c r="A99" s="500">
        <f t="shared" si="68"/>
        <v>1028</v>
      </c>
      <c r="B99" s="265"/>
      <c r="C99" s="265"/>
      <c r="D99" s="265" t="s">
        <v>12</v>
      </c>
      <c r="E99" s="265"/>
      <c r="F99" s="265"/>
      <c r="G99" s="265"/>
      <c r="H99" s="301">
        <f>[16]XNV!$H$99</f>
        <v>13969895.099999996</v>
      </c>
      <c r="I99" s="301">
        <f>[16]XNV!$I$99</f>
        <v>13990154.969999993</v>
      </c>
      <c r="J99" s="301">
        <f>[16]XNV!$J$99</f>
        <v>13987587.490000011</v>
      </c>
      <c r="K99" s="301">
        <f>[16]XNV!$K$99</f>
        <v>13971660.370000007</v>
      </c>
      <c r="L99" s="301">
        <f>[16]XNV!$L$99</f>
        <v>13969048.39000001</v>
      </c>
      <c r="M99" s="301">
        <f>[16]XNV!$M$99</f>
        <v>14063733.320000011</v>
      </c>
      <c r="N99" s="301">
        <f>[16]XNV!$N$99</f>
        <v>14101584.700000014</v>
      </c>
      <c r="O99" s="301">
        <f>[16]XNV!$O$99</f>
        <v>14098970.070000008</v>
      </c>
      <c r="P99" s="301">
        <f>[16]XNV!$P$99</f>
        <v>16250486.970000006</v>
      </c>
      <c r="Q99" s="301">
        <f>[16]XNV!$Q$99</f>
        <v>16247870.540000007</v>
      </c>
      <c r="R99" s="301">
        <f>[16]XNV!$R$99</f>
        <v>16245246.000000011</v>
      </c>
      <c r="S99" s="301">
        <f>[16]XNV!$S$99</f>
        <v>17003304.540000007</v>
      </c>
      <c r="T99" s="301">
        <f>[16]XNV!$T$99</f>
        <v>17000678.300000004</v>
      </c>
      <c r="U99" s="301"/>
      <c r="V99" s="475">
        <f>(SUM(I99:S99)+(0.5*T99)+(0.5*H99))/12</f>
        <v>14951244.505000008</v>
      </c>
      <c r="Y99" s="475">
        <f>T99</f>
        <v>17000678.300000004</v>
      </c>
      <c r="Z99" s="475">
        <f t="shared" si="74"/>
        <v>14951244.505000008</v>
      </c>
      <c r="AA99" s="301">
        <f>V99</f>
        <v>14951244.505000008</v>
      </c>
      <c r="AB99" s="301">
        <f>T99</f>
        <v>17000678.300000004</v>
      </c>
      <c r="AC99" s="301">
        <f>HLOOKUP($AC$8,RateBaseScenarios,AE99,FALSE)</f>
        <v>14951244.505000008</v>
      </c>
      <c r="AD99" s="301">
        <f>AC99-T99</f>
        <v>-2049433.7949999962</v>
      </c>
      <c r="AE99" s="216">
        <f t="shared" ref="AE99" si="102">+AE98+1</f>
        <v>92</v>
      </c>
      <c r="AF99" s="216" t="e">
        <f t="shared" si="35"/>
        <v>#REF!</v>
      </c>
      <c r="AG99" s="1">
        <v>1649957.3104166612</v>
      </c>
      <c r="AH99" s="438"/>
      <c r="AI99" s="438"/>
      <c r="AJ99" s="438" t="s">
        <v>543</v>
      </c>
      <c r="AK99" s="438"/>
      <c r="AL99" s="439">
        <f>+T99</f>
        <v>17000678.300000004</v>
      </c>
      <c r="AM99" s="10">
        <f>AC99</f>
        <v>14951244.505000008</v>
      </c>
      <c r="AN99" s="10">
        <f>AM99-AL99</f>
        <v>-2049433.7949999962</v>
      </c>
      <c r="AO99" s="1">
        <f t="shared" si="78"/>
        <v>0</v>
      </c>
    </row>
    <row r="100" spans="1:41">
      <c r="A100" s="500">
        <f t="shared" si="68"/>
        <v>1029</v>
      </c>
      <c r="B100" s="265"/>
      <c r="C100" s="265"/>
      <c r="D100" s="265" t="s">
        <v>544</v>
      </c>
      <c r="E100" s="265"/>
      <c r="F100" s="265"/>
      <c r="G100" s="265"/>
      <c r="H100" s="511">
        <f>[16]XNV!$H$100</f>
        <v>31476469.139999989</v>
      </c>
      <c r="I100" s="511">
        <f>[16]XNV!$I$100</f>
        <v>31453642.519999992</v>
      </c>
      <c r="J100" s="511">
        <f>[16]XNV!$J$100</f>
        <v>31453642.519999977</v>
      </c>
      <c r="K100" s="511">
        <f>[16]XNV!$K$100</f>
        <v>31453642.519999985</v>
      </c>
      <c r="L100" s="511">
        <f>[16]XNV!$L$100</f>
        <v>31453642.519999985</v>
      </c>
      <c r="M100" s="511">
        <f>[16]XNV!$M$100</f>
        <v>31453642.519999985</v>
      </c>
      <c r="N100" s="511">
        <f>[16]XNV!$N$100</f>
        <v>31453642.519999985</v>
      </c>
      <c r="O100" s="511">
        <f>[16]XNV!$O$100</f>
        <v>31456142.519999988</v>
      </c>
      <c r="P100" s="511">
        <f>[16]XNV!$P$100</f>
        <v>31456142.519999988</v>
      </c>
      <c r="Q100" s="511">
        <f>[16]XNV!$Q$100</f>
        <v>31456142.519999988</v>
      </c>
      <c r="R100" s="511">
        <f>[16]XNV!$R$100</f>
        <v>31456142.519999985</v>
      </c>
      <c r="S100" s="511">
        <f>[16]XNV!$S$100</f>
        <v>31456142.519999988</v>
      </c>
      <c r="T100" s="511">
        <f>[16]XNV!$T$100</f>
        <v>31456142.519999988</v>
      </c>
      <c r="U100" s="511"/>
      <c r="V100" s="510">
        <f>(SUM(I100:S100)+(0.5*T100)+(0.5*H100))/12</f>
        <v>31455739.462499987</v>
      </c>
      <c r="Y100" s="510">
        <f>T100</f>
        <v>31456142.519999988</v>
      </c>
      <c r="Z100" s="510">
        <f t="shared" si="74"/>
        <v>31455739.462499987</v>
      </c>
      <c r="AA100" s="511">
        <f>V100</f>
        <v>31455739.462499987</v>
      </c>
      <c r="AB100" s="511">
        <f>T100</f>
        <v>31456142.519999988</v>
      </c>
      <c r="AC100" s="511">
        <f t="shared" si="75"/>
        <v>31455739.462499987</v>
      </c>
      <c r="AD100" s="511">
        <f>AC100-T100</f>
        <v>-403.05750000104308</v>
      </c>
      <c r="AE100" s="216">
        <f t="shared" ref="AE100" si="103">+AE99+1</f>
        <v>93</v>
      </c>
      <c r="AF100" s="216" t="e">
        <f t="shared" si="35"/>
        <v>#REF!</v>
      </c>
      <c r="AG100" s="1">
        <v>-827110.12958333641</v>
      </c>
      <c r="AH100" s="438"/>
      <c r="AI100" s="438"/>
      <c r="AJ100" s="438" t="s">
        <v>544</v>
      </c>
      <c r="AK100" s="438"/>
      <c r="AL100" s="439">
        <f>+T100</f>
        <v>31456142.519999988</v>
      </c>
      <c r="AM100" s="10">
        <f>AC100</f>
        <v>31455739.462499987</v>
      </c>
      <c r="AN100" s="10">
        <f>AM100-AL100</f>
        <v>-403.05750000104308</v>
      </c>
      <c r="AO100" s="1">
        <f t="shared" si="78"/>
        <v>0</v>
      </c>
    </row>
    <row r="101" spans="1:41">
      <c r="A101" s="500">
        <f t="shared" si="68"/>
        <v>1030</v>
      </c>
      <c r="B101" s="265"/>
      <c r="C101" s="265"/>
      <c r="D101" s="265" t="s">
        <v>145</v>
      </c>
      <c r="E101" s="265"/>
      <c r="F101" s="265"/>
      <c r="G101" s="265"/>
      <c r="H101" s="301">
        <f t="shared" ref="H101:T101" si="104">SUM(H98:H100)</f>
        <v>45578138.359999985</v>
      </c>
      <c r="I101" s="301">
        <f t="shared" si="104"/>
        <v>45575571.609999985</v>
      </c>
      <c r="J101" s="301">
        <f t="shared" si="104"/>
        <v>45573004.129999988</v>
      </c>
      <c r="K101" s="301">
        <f t="shared" si="104"/>
        <v>45557077.00999999</v>
      </c>
      <c r="L101" s="301">
        <f t="shared" si="104"/>
        <v>45554465.029999994</v>
      </c>
      <c r="M101" s="301">
        <f t="shared" si="104"/>
        <v>45688360.129999995</v>
      </c>
      <c r="N101" s="301">
        <f t="shared" si="104"/>
        <v>45726211.509999998</v>
      </c>
      <c r="O101" s="301">
        <f t="shared" si="104"/>
        <v>45726096.879999995</v>
      </c>
      <c r="P101" s="301">
        <f t="shared" si="104"/>
        <v>47877613.779999994</v>
      </c>
      <c r="Q101" s="301">
        <f t="shared" si="104"/>
        <v>47874997.349999994</v>
      </c>
      <c r="R101" s="301">
        <f t="shared" si="104"/>
        <v>47872372.809999995</v>
      </c>
      <c r="S101" s="301">
        <f t="shared" si="104"/>
        <v>48630431.349999994</v>
      </c>
      <c r="T101" s="301">
        <f t="shared" si="104"/>
        <v>48627805.109999992</v>
      </c>
      <c r="U101" s="301"/>
      <c r="V101" s="475">
        <f>SUM(V98:V100)</f>
        <v>46563264.443749994</v>
      </c>
      <c r="Y101" s="475">
        <f>T101</f>
        <v>48627805.109999992</v>
      </c>
      <c r="Z101" s="475">
        <f t="shared" si="74"/>
        <v>46563264.443749994</v>
      </c>
      <c r="AA101" s="301">
        <f>V101</f>
        <v>46563264.443749994</v>
      </c>
      <c r="AB101" s="301">
        <f>T101</f>
        <v>48627805.109999992</v>
      </c>
      <c r="AC101" s="301">
        <f t="shared" si="75"/>
        <v>46563264.443749994</v>
      </c>
      <c r="AD101" s="301">
        <f>AC101-T101</f>
        <v>-2064540.6662499979</v>
      </c>
      <c r="AE101" s="216">
        <f t="shared" ref="AE101" si="105">+AE100+1</f>
        <v>94</v>
      </c>
      <c r="AF101" s="216" t="e">
        <f t="shared" si="35"/>
        <v>#REF!</v>
      </c>
      <c r="AG101" s="1">
        <v>801307.35833332688</v>
      </c>
      <c r="AH101" s="438"/>
      <c r="AI101" s="438"/>
      <c r="AJ101" s="438" t="s">
        <v>145</v>
      </c>
      <c r="AK101" s="438"/>
      <c r="AL101" s="439">
        <f>+T101</f>
        <v>48627805.109999992</v>
      </c>
      <c r="AM101" s="10">
        <f>AC101</f>
        <v>46563264.443749994</v>
      </c>
      <c r="AN101" s="10">
        <f>AM101-AL101</f>
        <v>-2064540.6662499979</v>
      </c>
      <c r="AO101" s="1">
        <f t="shared" si="78"/>
        <v>0</v>
      </c>
    </row>
    <row r="102" spans="1:41">
      <c r="A102" s="500">
        <f t="shared" si="68"/>
        <v>1031</v>
      </c>
      <c r="B102" s="265"/>
      <c r="C102" s="265"/>
      <c r="D102" s="265"/>
      <c r="E102" s="265"/>
      <c r="F102" s="265"/>
      <c r="G102" s="265"/>
      <c r="AA102"/>
      <c r="AC102">
        <f t="shared" si="75"/>
        <v>0</v>
      </c>
      <c r="AE102" s="216">
        <f t="shared" ref="AE102" si="106">+AE101+1</f>
        <v>95</v>
      </c>
      <c r="AF102" s="216" t="e">
        <f t="shared" si="35"/>
        <v>#REF!</v>
      </c>
      <c r="AG102" s="1">
        <v>0</v>
      </c>
      <c r="AH102" s="438"/>
      <c r="AI102" s="438"/>
      <c r="AJ102" s="438"/>
      <c r="AK102" s="438"/>
      <c r="AL102" s="439"/>
      <c r="AO102" s="1">
        <f t="shared" si="78"/>
        <v>0</v>
      </c>
    </row>
    <row r="103" spans="1:41">
      <c r="A103" s="500">
        <f t="shared" si="68"/>
        <v>1032</v>
      </c>
      <c r="B103" s="265" t="s">
        <v>231</v>
      </c>
      <c r="C103" s="265" t="s">
        <v>232</v>
      </c>
      <c r="D103" s="265"/>
      <c r="E103" s="265"/>
      <c r="F103" s="265"/>
      <c r="G103" s="265"/>
      <c r="AA103"/>
      <c r="AC103">
        <f t="shared" si="75"/>
        <v>0</v>
      </c>
      <c r="AE103" s="216">
        <f t="shared" ref="AE103" si="107">+AE102+1</f>
        <v>96</v>
      </c>
      <c r="AF103" s="216" t="e">
        <f t="shared" si="35"/>
        <v>#REF!</v>
      </c>
      <c r="AG103" s="1">
        <v>0</v>
      </c>
      <c r="AH103" s="438" t="s">
        <v>231</v>
      </c>
      <c r="AI103" s="438" t="s">
        <v>232</v>
      </c>
      <c r="AJ103" s="438"/>
      <c r="AK103" s="438"/>
      <c r="AL103" s="439"/>
      <c r="AO103" s="1">
        <f t="shared" si="78"/>
        <v>0</v>
      </c>
    </row>
    <row r="104" spans="1:41">
      <c r="A104" s="500">
        <f t="shared" si="68"/>
        <v>1033</v>
      </c>
      <c r="B104" s="265"/>
      <c r="C104" s="265"/>
      <c r="D104" s="265" t="s">
        <v>23</v>
      </c>
      <c r="E104" s="265"/>
      <c r="F104" s="265"/>
      <c r="G104" s="265"/>
      <c r="H104" s="301">
        <f>[16]XNV!$H$104</f>
        <v>2596495.7999999998</v>
      </c>
      <c r="I104" s="301">
        <f>[16]XNV!$I$104</f>
        <v>2596495.7999999998</v>
      </c>
      <c r="J104" s="301">
        <f>[16]XNV!$J$104</f>
        <v>2605635.92</v>
      </c>
      <c r="K104" s="301">
        <f>[16]XNV!$K$104</f>
        <v>2605635.92</v>
      </c>
      <c r="L104" s="301">
        <f>[16]XNV!$L$104</f>
        <v>2598164.58</v>
      </c>
      <c r="M104" s="301">
        <f>[16]XNV!$M$104</f>
        <v>2770303.92</v>
      </c>
      <c r="N104" s="301">
        <f>[16]XNV!$N$104</f>
        <v>2782873.8</v>
      </c>
      <c r="O104" s="301">
        <f>[16]XNV!$O$104</f>
        <v>2782873.8</v>
      </c>
      <c r="P104" s="301">
        <f>[16]XNV!$P$104</f>
        <v>2782873.8</v>
      </c>
      <c r="Q104" s="301">
        <f>[16]XNV!$Q$104</f>
        <v>2792391.44</v>
      </c>
      <c r="R104" s="301">
        <f>[16]XNV!$R$104</f>
        <v>2826289.69</v>
      </c>
      <c r="S104" s="301">
        <f>[16]XNV!$S$104</f>
        <v>2826289.69</v>
      </c>
      <c r="T104" s="301">
        <f>[16]XNV!$T$104</f>
        <v>2856580.39</v>
      </c>
      <c r="U104" s="301"/>
      <c r="V104" s="475">
        <f>(SUM(I104:S104)+(0.5*T104)+(0.5*H104))/12</f>
        <v>2724697.2045833333</v>
      </c>
      <c r="Y104" s="475">
        <f>T104</f>
        <v>2856580.39</v>
      </c>
      <c r="Z104" s="475">
        <f t="shared" si="74"/>
        <v>2724697.2045833333</v>
      </c>
      <c r="AA104" s="301">
        <f>V104</f>
        <v>2724697.2045833333</v>
      </c>
      <c r="AB104" s="301">
        <f>T104</f>
        <v>2856580.39</v>
      </c>
      <c r="AC104" s="301">
        <f t="shared" si="75"/>
        <v>2724697.2045833333</v>
      </c>
      <c r="AD104" s="301">
        <f>AC104-T104</f>
        <v>-131883.18541666679</v>
      </c>
      <c r="AE104" s="216">
        <f t="shared" ref="AE104" si="108">+AE103+1</f>
        <v>97</v>
      </c>
      <c r="AF104" s="216" t="e">
        <f t="shared" si="35"/>
        <v>#REF!</v>
      </c>
      <c r="AG104" s="1">
        <v>-74623.420833333163</v>
      </c>
      <c r="AH104" s="438"/>
      <c r="AI104" s="438"/>
      <c r="AJ104" s="438" t="s">
        <v>542</v>
      </c>
      <c r="AK104" s="438"/>
      <c r="AL104" s="439">
        <f>+T104</f>
        <v>2856580.39</v>
      </c>
      <c r="AM104" s="10">
        <f>AC104</f>
        <v>2724697.2045833333</v>
      </c>
      <c r="AN104" s="10">
        <f>AM104-AL104</f>
        <v>-131883.18541666679</v>
      </c>
      <c r="AO104" s="1">
        <f t="shared" si="78"/>
        <v>0</v>
      </c>
    </row>
    <row r="105" spans="1:41">
      <c r="A105" s="500">
        <f t="shared" si="68"/>
        <v>1034</v>
      </c>
      <c r="B105" s="265"/>
      <c r="C105" s="265"/>
      <c r="D105" s="265" t="s">
        <v>12</v>
      </c>
      <c r="E105" s="265"/>
      <c r="F105" s="265"/>
      <c r="G105" s="265"/>
      <c r="H105" s="301">
        <f>[16]XNV!$H$105</f>
        <v>50483006.280000016</v>
      </c>
      <c r="I105" s="301">
        <f>[16]XNV!$I$105</f>
        <v>50506644.110000014</v>
      </c>
      <c r="J105" s="301">
        <f>[16]XNV!$J$105</f>
        <v>51076476.330000013</v>
      </c>
      <c r="K105" s="301">
        <f>[16]XNV!$K$105</f>
        <v>51197002.150000013</v>
      </c>
      <c r="L105" s="301">
        <f>[16]XNV!$L$105</f>
        <v>51197342.920000017</v>
      </c>
      <c r="M105" s="301">
        <f>[16]XNV!$M$105</f>
        <v>52605291.860000014</v>
      </c>
      <c r="N105" s="301">
        <f>[16]XNV!$N$105</f>
        <v>54010546.800000019</v>
      </c>
      <c r="O105" s="301">
        <f>[16]XNV!$O$105</f>
        <v>54301991.160000019</v>
      </c>
      <c r="P105" s="301">
        <f>[16]XNV!$P$105</f>
        <v>61921585.180000022</v>
      </c>
      <c r="Q105" s="301">
        <f>[16]XNV!$Q$105</f>
        <v>62100604.820000023</v>
      </c>
      <c r="R105" s="301">
        <f>[16]XNV!$R$105</f>
        <v>62348281.160000026</v>
      </c>
      <c r="S105" s="301">
        <f>[16]XNV!$S$105</f>
        <v>62365450.910000026</v>
      </c>
      <c r="T105" s="301">
        <f>[16]XNV!$T$105</f>
        <v>63996788.210000023</v>
      </c>
      <c r="U105" s="301"/>
      <c r="V105" s="475">
        <f>(SUM(I105:S105)+(0.5*T105)+(0.5*H105))/12</f>
        <v>55905926.220416695</v>
      </c>
      <c r="Y105" s="475">
        <f>T105</f>
        <v>63996788.210000023</v>
      </c>
      <c r="Z105" s="475">
        <f t="shared" si="74"/>
        <v>55905926.220416695</v>
      </c>
      <c r="AA105" s="301">
        <f>V105</f>
        <v>55905926.220416695</v>
      </c>
      <c r="AB105" s="301">
        <f>T105</f>
        <v>63996788.210000023</v>
      </c>
      <c r="AC105" s="301">
        <f t="shared" si="75"/>
        <v>55905926.220416695</v>
      </c>
      <c r="AD105" s="301">
        <f>AC105-T105</f>
        <v>-8090861.9895833284</v>
      </c>
      <c r="AE105" s="216">
        <f t="shared" ref="AE105" si="109">+AE104+1</f>
        <v>98</v>
      </c>
      <c r="AF105" s="216" t="e">
        <f t="shared" si="35"/>
        <v>#REF!</v>
      </c>
      <c r="AG105" s="1">
        <v>-718557.95083332807</v>
      </c>
      <c r="AH105" s="438"/>
      <c r="AI105" s="438"/>
      <c r="AJ105" s="438" t="s">
        <v>543</v>
      </c>
      <c r="AK105" s="438"/>
      <c r="AL105" s="439">
        <f>+T105</f>
        <v>63996788.210000023</v>
      </c>
      <c r="AM105" s="10">
        <f>AC105</f>
        <v>55905926.220416695</v>
      </c>
      <c r="AN105" s="10">
        <f>AM105-AL105</f>
        <v>-8090861.9895833284</v>
      </c>
      <c r="AO105" s="1">
        <f t="shared" si="78"/>
        <v>0</v>
      </c>
    </row>
    <row r="106" spans="1:41">
      <c r="A106" s="500">
        <f t="shared" si="68"/>
        <v>1035</v>
      </c>
      <c r="B106" s="265"/>
      <c r="C106" s="265"/>
      <c r="D106" s="265" t="s">
        <v>544</v>
      </c>
      <c r="E106" s="265"/>
      <c r="F106" s="265"/>
      <c r="G106" s="265"/>
      <c r="H106" s="511">
        <f>[16]XNV!$H$106</f>
        <v>0</v>
      </c>
      <c r="I106" s="511">
        <f>[16]XNV!$I$106</f>
        <v>0</v>
      </c>
      <c r="J106" s="511">
        <f>[16]XNV!$J$106</f>
        <v>0</v>
      </c>
      <c r="K106" s="511">
        <f>[16]XNV!$K$106</f>
        <v>0</v>
      </c>
      <c r="L106" s="511">
        <f>[16]XNV!$L$106</f>
        <v>0</v>
      </c>
      <c r="M106" s="511">
        <f>[16]XNV!$M$106</f>
        <v>0</v>
      </c>
      <c r="N106" s="511">
        <f>[16]XNV!$N$106</f>
        <v>0</v>
      </c>
      <c r="O106" s="511">
        <f>[16]XNV!$O$106</f>
        <v>0</v>
      </c>
      <c r="P106" s="511">
        <f>[16]XNV!$P$106</f>
        <v>0</v>
      </c>
      <c r="Q106" s="511">
        <f>[16]XNV!$Q$106</f>
        <v>0</v>
      </c>
      <c r="R106" s="511">
        <f>[16]XNV!$R$106</f>
        <v>0</v>
      </c>
      <c r="S106" s="511">
        <f>[16]XNV!$S$106</f>
        <v>0</v>
      </c>
      <c r="T106" s="511">
        <f>[16]XNV!$T$106</f>
        <v>0</v>
      </c>
      <c r="U106" s="511"/>
      <c r="V106" s="510">
        <f>(SUM(I106:S106)+(0.5*T106)+(0.5*H106))/12</f>
        <v>0</v>
      </c>
      <c r="Y106" s="510">
        <f>T106</f>
        <v>0</v>
      </c>
      <c r="Z106" s="510">
        <f t="shared" si="74"/>
        <v>0</v>
      </c>
      <c r="AA106" s="511">
        <f>V106</f>
        <v>0</v>
      </c>
      <c r="AB106" s="511">
        <f>T106</f>
        <v>0</v>
      </c>
      <c r="AC106" s="511">
        <f t="shared" si="75"/>
        <v>0</v>
      </c>
      <c r="AD106" s="511">
        <f>AC106-T106</f>
        <v>0</v>
      </c>
      <c r="AE106" s="216">
        <f t="shared" ref="AE106" si="110">+AE105+1</f>
        <v>99</v>
      </c>
      <c r="AF106" s="216" t="e">
        <f t="shared" si="35"/>
        <v>#REF!</v>
      </c>
      <c r="AG106" s="1">
        <v>0</v>
      </c>
      <c r="AH106" s="438"/>
      <c r="AI106" s="438"/>
      <c r="AJ106" s="438" t="s">
        <v>544</v>
      </c>
      <c r="AK106" s="438"/>
      <c r="AL106" s="439">
        <f>+T106</f>
        <v>0</v>
      </c>
      <c r="AM106" s="10">
        <f>AC106</f>
        <v>0</v>
      </c>
      <c r="AN106" s="10">
        <f>AM106-AL106</f>
        <v>0</v>
      </c>
      <c r="AO106" s="1">
        <f t="shared" si="78"/>
        <v>0</v>
      </c>
    </row>
    <row r="107" spans="1:41">
      <c r="A107" s="500">
        <f t="shared" si="68"/>
        <v>1036</v>
      </c>
      <c r="B107" s="265"/>
      <c r="C107" s="265"/>
      <c r="D107" s="265" t="s">
        <v>145</v>
      </c>
      <c r="E107" s="265"/>
      <c r="F107" s="265"/>
      <c r="G107" s="265"/>
      <c r="H107" s="301">
        <f t="shared" ref="H107:T107" si="111">SUM(H104:H106)</f>
        <v>53079502.080000013</v>
      </c>
      <c r="I107" s="301">
        <f t="shared" si="111"/>
        <v>53103139.910000011</v>
      </c>
      <c r="J107" s="301">
        <f t="shared" si="111"/>
        <v>53682112.250000015</v>
      </c>
      <c r="K107" s="301">
        <f t="shared" si="111"/>
        <v>53802638.070000015</v>
      </c>
      <c r="L107" s="301">
        <f t="shared" si="111"/>
        <v>53795507.500000015</v>
      </c>
      <c r="M107" s="301">
        <f t="shared" si="111"/>
        <v>55375595.780000016</v>
      </c>
      <c r="N107" s="301">
        <f t="shared" si="111"/>
        <v>56793420.600000016</v>
      </c>
      <c r="O107" s="301">
        <f t="shared" si="111"/>
        <v>57084864.960000016</v>
      </c>
      <c r="P107" s="301">
        <f t="shared" si="111"/>
        <v>64704458.980000019</v>
      </c>
      <c r="Q107" s="301">
        <f t="shared" si="111"/>
        <v>64892996.26000002</v>
      </c>
      <c r="R107" s="301">
        <f t="shared" si="111"/>
        <v>65174570.850000024</v>
      </c>
      <c r="S107" s="301">
        <f t="shared" si="111"/>
        <v>65191740.600000024</v>
      </c>
      <c r="T107" s="301">
        <f t="shared" si="111"/>
        <v>66853368.600000024</v>
      </c>
      <c r="U107" s="301"/>
      <c r="V107" s="475">
        <f>(SUM(I107:S107)+(0.5*T107)+(0.5*H107))/12</f>
        <v>58630623.425000012</v>
      </c>
      <c r="Y107" s="475">
        <f>T107</f>
        <v>66853368.600000024</v>
      </c>
      <c r="Z107" s="475">
        <f t="shared" si="74"/>
        <v>58630623.425000012</v>
      </c>
      <c r="AA107" s="301">
        <f>V107</f>
        <v>58630623.425000012</v>
      </c>
      <c r="AB107" s="301">
        <f>T107</f>
        <v>66853368.600000024</v>
      </c>
      <c r="AC107" s="301">
        <f t="shared" si="75"/>
        <v>58630623.425000012</v>
      </c>
      <c r="AD107" s="301">
        <f>AC107-T107</f>
        <v>-8222745.1750000119</v>
      </c>
      <c r="AE107" s="216">
        <f t="shared" ref="AE107" si="112">+AE106+1</f>
        <v>100</v>
      </c>
      <c r="AF107" s="216" t="e">
        <f t="shared" ref="AF107:AF165" si="113">+AF106+1</f>
        <v>#REF!</v>
      </c>
      <c r="AG107" s="1">
        <v>-793181.3716666624</v>
      </c>
      <c r="AH107" s="438"/>
      <c r="AI107" s="438"/>
      <c r="AJ107" s="438" t="s">
        <v>145</v>
      </c>
      <c r="AK107" s="438"/>
      <c r="AL107" s="439">
        <f>+T107</f>
        <v>66853368.600000024</v>
      </c>
      <c r="AM107" s="10">
        <f>AC107</f>
        <v>58630623.425000012</v>
      </c>
      <c r="AN107" s="10">
        <f>AM107-AL107</f>
        <v>-8222745.1750000119</v>
      </c>
      <c r="AO107" s="1">
        <f t="shared" si="78"/>
        <v>0</v>
      </c>
    </row>
    <row r="108" spans="1:41">
      <c r="A108" s="500">
        <f t="shared" si="68"/>
        <v>1037</v>
      </c>
      <c r="B108" s="265"/>
      <c r="C108" s="265"/>
      <c r="D108" s="265"/>
      <c r="E108" s="265"/>
      <c r="F108" s="265"/>
      <c r="G108" s="265"/>
      <c r="AA108"/>
      <c r="AC108">
        <f t="shared" si="75"/>
        <v>0</v>
      </c>
      <c r="AE108" s="216">
        <f t="shared" ref="AE108" si="114">+AE107+1</f>
        <v>101</v>
      </c>
      <c r="AF108" s="216" t="e">
        <f t="shared" si="113"/>
        <v>#REF!</v>
      </c>
      <c r="AG108" s="1">
        <v>0</v>
      </c>
      <c r="AH108" s="438"/>
      <c r="AI108" s="438"/>
      <c r="AJ108" s="438"/>
      <c r="AK108" s="438"/>
      <c r="AL108" s="439"/>
      <c r="AO108" s="1">
        <f t="shared" si="78"/>
        <v>0</v>
      </c>
    </row>
    <row r="109" spans="1:41">
      <c r="A109" s="500">
        <f t="shared" si="68"/>
        <v>1038</v>
      </c>
      <c r="B109" s="265" t="s">
        <v>233</v>
      </c>
      <c r="C109" s="265" t="s">
        <v>234</v>
      </c>
      <c r="D109" s="265"/>
      <c r="E109" s="265"/>
      <c r="F109" s="265"/>
      <c r="G109" s="265"/>
      <c r="AA109"/>
      <c r="AC109">
        <f t="shared" si="75"/>
        <v>0</v>
      </c>
      <c r="AE109" s="216">
        <f t="shared" ref="AE109" si="115">+AE108+1</f>
        <v>102</v>
      </c>
      <c r="AF109" s="216" t="e">
        <f t="shared" si="113"/>
        <v>#REF!</v>
      </c>
      <c r="AG109" s="1">
        <v>0</v>
      </c>
      <c r="AH109" s="438" t="s">
        <v>233</v>
      </c>
      <c r="AI109" s="438" t="s">
        <v>234</v>
      </c>
      <c r="AJ109" s="438"/>
      <c r="AK109" s="438"/>
      <c r="AL109" s="439"/>
      <c r="AO109" s="1">
        <f t="shared" si="78"/>
        <v>0</v>
      </c>
    </row>
    <row r="110" spans="1:41">
      <c r="A110" s="500">
        <f t="shared" si="68"/>
        <v>1039</v>
      </c>
      <c r="B110" s="265"/>
      <c r="C110" s="265"/>
      <c r="D110" s="265" t="s">
        <v>23</v>
      </c>
      <c r="E110" s="265"/>
      <c r="F110" s="265"/>
      <c r="G110" s="265"/>
      <c r="H110" s="301">
        <f>[16]XNV!$H$110</f>
        <v>12371.89</v>
      </c>
      <c r="I110" s="301">
        <f>[16]XNV!$I$110</f>
        <v>12371.89</v>
      </c>
      <c r="J110" s="301">
        <f>[16]XNV!$J$110</f>
        <v>12371.89</v>
      </c>
      <c r="K110" s="301">
        <f>[16]XNV!$K$110</f>
        <v>12371.89</v>
      </c>
      <c r="L110" s="301">
        <f>[16]XNV!$L$110</f>
        <v>12371.89</v>
      </c>
      <c r="M110" s="301">
        <f>[16]XNV!$M$110</f>
        <v>12371.89</v>
      </c>
      <c r="N110" s="301">
        <f>[16]XNV!$N$110</f>
        <v>12371.89</v>
      </c>
      <c r="O110" s="301">
        <f>[16]XNV!$O$110</f>
        <v>12371.89</v>
      </c>
      <c r="P110" s="301">
        <f>[16]XNV!$P$110</f>
        <v>12371.89</v>
      </c>
      <c r="Q110" s="301">
        <f>[16]XNV!$Q$110</f>
        <v>12371.89</v>
      </c>
      <c r="R110" s="301">
        <f>[16]XNV!$R$110</f>
        <v>12371.89</v>
      </c>
      <c r="S110" s="301">
        <f>[16]XNV!$S$110</f>
        <v>12371.89</v>
      </c>
      <c r="T110" s="301">
        <f>[16]XNV!$T$110</f>
        <v>12371.89</v>
      </c>
      <c r="U110" s="301"/>
      <c r="V110" s="475">
        <f>(SUM(I110:S110)+(0.5*T110)+(0.5*H110))/12</f>
        <v>12371.89</v>
      </c>
      <c r="Y110" s="475">
        <f>T110</f>
        <v>12371.89</v>
      </c>
      <c r="Z110" s="475">
        <f t="shared" si="74"/>
        <v>12371.89</v>
      </c>
      <c r="AA110" s="301">
        <f>V110</f>
        <v>12371.89</v>
      </c>
      <c r="AB110" s="301">
        <f>T110</f>
        <v>12371.89</v>
      </c>
      <c r="AC110" s="301">
        <f t="shared" si="75"/>
        <v>12371.89</v>
      </c>
      <c r="AD110" s="301">
        <f>AC110-T110</f>
        <v>0</v>
      </c>
      <c r="AE110" s="216">
        <f t="shared" ref="AE110" si="116">+AE109+1</f>
        <v>103</v>
      </c>
      <c r="AF110" s="216" t="e">
        <f t="shared" si="113"/>
        <v>#REF!</v>
      </c>
      <c r="AG110" s="1">
        <v>0</v>
      </c>
      <c r="AH110" s="438"/>
      <c r="AI110" s="438"/>
      <c r="AJ110" s="438" t="s">
        <v>542</v>
      </c>
      <c r="AK110" s="438"/>
      <c r="AL110" s="439">
        <f>+T110</f>
        <v>12371.89</v>
      </c>
      <c r="AM110" s="10">
        <f>AC110</f>
        <v>12371.89</v>
      </c>
      <c r="AN110" s="10">
        <f>AM110-AL110</f>
        <v>0</v>
      </c>
      <c r="AO110" s="1">
        <f t="shared" si="78"/>
        <v>0</v>
      </c>
    </row>
    <row r="111" spans="1:41">
      <c r="A111" s="500">
        <f t="shared" si="68"/>
        <v>1040</v>
      </c>
      <c r="B111" s="265"/>
      <c r="C111" s="265"/>
      <c r="D111" s="265" t="s">
        <v>12</v>
      </c>
      <c r="E111" s="265"/>
      <c r="F111" s="265"/>
      <c r="G111" s="265"/>
      <c r="H111" s="511">
        <f>[16]XNV!$H$111</f>
        <v>52487.310000000005</v>
      </c>
      <c r="I111" s="511">
        <f>[16]XNV!$I$111</f>
        <v>52487.310000000005</v>
      </c>
      <c r="J111" s="511">
        <f>[16]XNV!$J$111</f>
        <v>52487.310000000005</v>
      </c>
      <c r="K111" s="511">
        <f>[16]XNV!$K$111</f>
        <v>52487.310000000005</v>
      </c>
      <c r="L111" s="511">
        <f>[16]XNV!$L$111</f>
        <v>52487.310000000005</v>
      </c>
      <c r="M111" s="511">
        <f>[16]XNV!$M$111</f>
        <v>52487.310000000005</v>
      </c>
      <c r="N111" s="511">
        <f>[16]XNV!$N$111</f>
        <v>52487.310000000005</v>
      </c>
      <c r="O111" s="511">
        <f>[16]XNV!$O$111</f>
        <v>52487.310000000005</v>
      </c>
      <c r="P111" s="511">
        <f>[16]XNV!$P$111</f>
        <v>52487.310000000005</v>
      </c>
      <c r="Q111" s="511">
        <f>[16]XNV!$Q$111</f>
        <v>52487.310000000005</v>
      </c>
      <c r="R111" s="511">
        <f>[16]XNV!$R$111</f>
        <v>52487.310000000005</v>
      </c>
      <c r="S111" s="511">
        <f>[16]XNV!$S$111</f>
        <v>52487.310000000005</v>
      </c>
      <c r="T111" s="511">
        <f>[16]XNV!$T$111</f>
        <v>52487.310000000005</v>
      </c>
      <c r="U111" s="511"/>
      <c r="V111" s="510">
        <f>(SUM(I111:S111)+(0.5*T111)+(0.5*H111))/12</f>
        <v>52487.310000000019</v>
      </c>
      <c r="Y111" s="510">
        <f>T111</f>
        <v>52487.310000000005</v>
      </c>
      <c r="Z111" s="510">
        <f t="shared" si="74"/>
        <v>52487.310000000019</v>
      </c>
      <c r="AA111" s="511">
        <f>V111</f>
        <v>52487.310000000019</v>
      </c>
      <c r="AB111" s="511">
        <f>T111</f>
        <v>52487.310000000005</v>
      </c>
      <c r="AC111" s="511">
        <f t="shared" si="75"/>
        <v>52487.310000000019</v>
      </c>
      <c r="AD111" s="511">
        <f>AC111-T111</f>
        <v>0</v>
      </c>
      <c r="AE111" s="216">
        <f t="shared" ref="AE111" si="117">+AE110+1</f>
        <v>104</v>
      </c>
      <c r="AF111" s="216" t="e">
        <f t="shared" si="113"/>
        <v>#REF!</v>
      </c>
      <c r="AG111" s="1">
        <v>0</v>
      </c>
      <c r="AH111" s="438"/>
      <c r="AI111" s="438"/>
      <c r="AJ111" s="438" t="s">
        <v>543</v>
      </c>
      <c r="AK111" s="438"/>
      <c r="AL111" s="439">
        <f>+T111</f>
        <v>52487.310000000005</v>
      </c>
      <c r="AM111" s="10">
        <f>AC111</f>
        <v>52487.310000000019</v>
      </c>
      <c r="AN111" s="10">
        <f>AM111-AL111</f>
        <v>0</v>
      </c>
      <c r="AO111" s="1">
        <f t="shared" si="78"/>
        <v>0</v>
      </c>
    </row>
    <row r="112" spans="1:41">
      <c r="A112" s="500">
        <f t="shared" si="68"/>
        <v>1041</v>
      </c>
      <c r="B112" s="265"/>
      <c r="C112" s="265"/>
      <c r="D112" s="265" t="s">
        <v>145</v>
      </c>
      <c r="E112" s="265"/>
      <c r="F112" s="265"/>
      <c r="G112" s="265"/>
      <c r="H112" s="301">
        <f t="shared" ref="H112:T112" si="118">SUM(H110:H111)</f>
        <v>64859.200000000004</v>
      </c>
      <c r="I112" s="301">
        <f t="shared" si="118"/>
        <v>64859.200000000004</v>
      </c>
      <c r="J112" s="301">
        <f t="shared" si="118"/>
        <v>64859.200000000004</v>
      </c>
      <c r="K112" s="301">
        <f t="shared" si="118"/>
        <v>64859.200000000004</v>
      </c>
      <c r="L112" s="301">
        <f t="shared" si="118"/>
        <v>64859.200000000004</v>
      </c>
      <c r="M112" s="301">
        <f t="shared" si="118"/>
        <v>64859.200000000004</v>
      </c>
      <c r="N112" s="301">
        <f t="shared" si="118"/>
        <v>64859.200000000004</v>
      </c>
      <c r="O112" s="301">
        <f t="shared" si="118"/>
        <v>64859.200000000004</v>
      </c>
      <c r="P112" s="301">
        <f t="shared" si="118"/>
        <v>64859.200000000004</v>
      </c>
      <c r="Q112" s="301">
        <f t="shared" si="118"/>
        <v>64859.200000000004</v>
      </c>
      <c r="R112" s="301">
        <f t="shared" si="118"/>
        <v>64859.200000000004</v>
      </c>
      <c r="S112" s="301">
        <f t="shared" si="118"/>
        <v>64859.200000000004</v>
      </c>
      <c r="T112" s="301">
        <f t="shared" si="118"/>
        <v>64859.200000000004</v>
      </c>
      <c r="U112" s="301"/>
      <c r="V112" s="475">
        <f>SUM(V110:V111)</f>
        <v>64859.200000000019</v>
      </c>
      <c r="Y112" s="475">
        <f>T112</f>
        <v>64859.200000000004</v>
      </c>
      <c r="Z112" s="475">
        <f t="shared" si="74"/>
        <v>64859.200000000019</v>
      </c>
      <c r="AA112" s="301">
        <f>V112</f>
        <v>64859.200000000019</v>
      </c>
      <c r="AB112" s="301">
        <f>T112</f>
        <v>64859.200000000004</v>
      </c>
      <c r="AC112" s="301">
        <f t="shared" si="75"/>
        <v>64859.200000000019</v>
      </c>
      <c r="AD112" s="301">
        <f>AC112-T112</f>
        <v>0</v>
      </c>
      <c r="AE112" s="216">
        <f t="shared" ref="AE112" si="119">+AE111+1</f>
        <v>105</v>
      </c>
      <c r="AF112" s="216" t="e">
        <f t="shared" si="113"/>
        <v>#REF!</v>
      </c>
      <c r="AG112" s="1">
        <v>0</v>
      </c>
      <c r="AH112" s="438"/>
      <c r="AI112" s="438"/>
      <c r="AJ112" s="438" t="s">
        <v>145</v>
      </c>
      <c r="AK112" s="438"/>
      <c r="AL112" s="439">
        <f>+T112</f>
        <v>64859.200000000004</v>
      </c>
      <c r="AM112" s="10">
        <f>AC112</f>
        <v>64859.200000000019</v>
      </c>
      <c r="AN112" s="10">
        <f>AM112-AL112</f>
        <v>0</v>
      </c>
      <c r="AO112" s="1">
        <f t="shared" si="78"/>
        <v>0</v>
      </c>
    </row>
    <row r="113" spans="1:41">
      <c r="A113" s="500">
        <f t="shared" si="68"/>
        <v>1042</v>
      </c>
      <c r="B113" s="265"/>
      <c r="C113" s="265"/>
      <c r="D113" s="265"/>
      <c r="E113" s="265"/>
      <c r="F113" s="265"/>
      <c r="G113" s="265"/>
      <c r="AA113"/>
      <c r="AC113">
        <f t="shared" si="75"/>
        <v>0</v>
      </c>
      <c r="AE113" s="216">
        <f t="shared" ref="AE113" si="120">+AE112+1</f>
        <v>106</v>
      </c>
      <c r="AF113" s="216" t="e">
        <f t="shared" si="113"/>
        <v>#REF!</v>
      </c>
      <c r="AG113" s="1">
        <v>0</v>
      </c>
      <c r="AH113" s="438"/>
      <c r="AI113" s="438"/>
      <c r="AJ113" s="438"/>
      <c r="AK113" s="438"/>
      <c r="AL113" s="439"/>
      <c r="AO113" s="1">
        <f t="shared" si="78"/>
        <v>0</v>
      </c>
    </row>
    <row r="114" spans="1:41">
      <c r="A114" s="500">
        <f t="shared" si="68"/>
        <v>1043</v>
      </c>
      <c r="B114" s="265" t="s">
        <v>235</v>
      </c>
      <c r="C114" s="265" t="s">
        <v>236</v>
      </c>
      <c r="D114" s="265"/>
      <c r="E114" s="265"/>
      <c r="F114" s="265"/>
      <c r="G114" s="265"/>
      <c r="AA114"/>
      <c r="AC114">
        <f t="shared" si="75"/>
        <v>0</v>
      </c>
      <c r="AE114" s="216">
        <f t="shared" ref="AE114" si="121">+AE113+1</f>
        <v>107</v>
      </c>
      <c r="AF114" s="216" t="e">
        <f t="shared" si="113"/>
        <v>#REF!</v>
      </c>
      <c r="AG114" s="1">
        <v>0</v>
      </c>
      <c r="AH114" s="438" t="s">
        <v>235</v>
      </c>
      <c r="AI114" s="438" t="s">
        <v>236</v>
      </c>
      <c r="AJ114" s="438"/>
      <c r="AK114" s="438"/>
      <c r="AL114" s="439"/>
      <c r="AO114" s="1">
        <f t="shared" si="78"/>
        <v>0</v>
      </c>
    </row>
    <row r="115" spans="1:41">
      <c r="A115" s="500">
        <f t="shared" si="68"/>
        <v>1044</v>
      </c>
      <c r="B115" s="265"/>
      <c r="C115" s="265"/>
      <c r="D115" s="265" t="s">
        <v>23</v>
      </c>
      <c r="E115" s="265"/>
      <c r="F115" s="265"/>
      <c r="G115" s="265"/>
      <c r="H115" s="301">
        <f>[16]XNV!$H$115</f>
        <v>2021831.37</v>
      </c>
      <c r="I115" s="301">
        <f>[16]XNV!$I$115</f>
        <v>2021831.37</v>
      </c>
      <c r="J115" s="301">
        <f>[16]XNV!$J$115</f>
        <v>2021831.37</v>
      </c>
      <c r="K115" s="301">
        <f>[16]XNV!$K$115</f>
        <v>2028650.6</v>
      </c>
      <c r="L115" s="301">
        <f>[16]XNV!$L$115</f>
        <v>2028650.6</v>
      </c>
      <c r="M115" s="301">
        <f>[16]XNV!$M$115</f>
        <v>2101916.3199999998</v>
      </c>
      <c r="N115" s="301">
        <f>[16]XNV!$N$115</f>
        <v>2101916.3199999998</v>
      </c>
      <c r="O115" s="301">
        <f>[16]XNV!$O$115</f>
        <v>2101916.3199999998</v>
      </c>
      <c r="P115" s="301">
        <f>[16]XNV!$P$115</f>
        <v>2101916.3199999998</v>
      </c>
      <c r="Q115" s="301">
        <f>[16]XNV!$Q$115</f>
        <v>2233524.44</v>
      </c>
      <c r="R115" s="301">
        <f>[16]XNV!$R$115</f>
        <v>2233524.44</v>
      </c>
      <c r="S115" s="301">
        <f>[16]XNV!$S$115</f>
        <v>2238065.4</v>
      </c>
      <c r="T115" s="301">
        <f>[16]XNV!$T$115</f>
        <v>2238065.4</v>
      </c>
      <c r="U115" s="301"/>
      <c r="V115" s="475">
        <f>(SUM(I115:S115)+(0.5*T115)+(0.5*H115))/12</f>
        <v>2111974.32375</v>
      </c>
      <c r="Y115" s="475">
        <f>T115</f>
        <v>2238065.4</v>
      </c>
      <c r="Z115" s="475">
        <f t="shared" si="74"/>
        <v>2111974.32375</v>
      </c>
      <c r="AA115" s="301">
        <f>V115</f>
        <v>2111974.32375</v>
      </c>
      <c r="AB115" s="301">
        <f>T115</f>
        <v>2238065.4</v>
      </c>
      <c r="AC115" s="301">
        <f t="shared" si="75"/>
        <v>2111974.32375</v>
      </c>
      <c r="AD115" s="301">
        <f>AC115-T115</f>
        <v>-126091.07624999993</v>
      </c>
      <c r="AE115" s="216">
        <f t="shared" ref="AE115" si="122">+AE114+1</f>
        <v>108</v>
      </c>
      <c r="AF115" s="216" t="e">
        <f t="shared" si="113"/>
        <v>#REF!</v>
      </c>
      <c r="AG115" s="1">
        <v>-64580.444166666712</v>
      </c>
      <c r="AH115" s="438"/>
      <c r="AI115" s="438"/>
      <c r="AJ115" s="438" t="s">
        <v>542</v>
      </c>
      <c r="AK115" s="438"/>
      <c r="AL115" s="439">
        <f>+T115</f>
        <v>2238065.4</v>
      </c>
      <c r="AM115" s="10">
        <f>AC115</f>
        <v>2111974.32375</v>
      </c>
      <c r="AN115" s="10">
        <f>AM115-AL115</f>
        <v>-126091.07624999993</v>
      </c>
      <c r="AO115" s="1">
        <f t="shared" si="78"/>
        <v>0</v>
      </c>
    </row>
    <row r="116" spans="1:41">
      <c r="A116" s="500">
        <f t="shared" si="68"/>
        <v>1045</v>
      </c>
      <c r="B116" s="265"/>
      <c r="C116" s="265"/>
      <c r="D116" s="265" t="s">
        <v>12</v>
      </c>
      <c r="E116" s="265"/>
      <c r="F116" s="265"/>
      <c r="G116" s="265"/>
      <c r="H116" s="301">
        <f>[16]XNV!$H$116</f>
        <v>26909488.060000002</v>
      </c>
      <c r="I116" s="301">
        <f>[16]XNV!$I$116</f>
        <v>26953705.200000003</v>
      </c>
      <c r="J116" s="301">
        <f>[16]XNV!$J$116</f>
        <v>27004990.440000001</v>
      </c>
      <c r="K116" s="301">
        <f>[16]XNV!$K$116</f>
        <v>27046421.420000002</v>
      </c>
      <c r="L116" s="301">
        <f>[16]XNV!$L$116</f>
        <v>27100779.040000003</v>
      </c>
      <c r="M116" s="301">
        <f>[16]XNV!$M$116</f>
        <v>29228787.430000003</v>
      </c>
      <c r="N116" s="301">
        <f>[16]XNV!$N$116</f>
        <v>29855735.660000004</v>
      </c>
      <c r="O116" s="301">
        <f>[16]XNV!$O$116</f>
        <v>29968121.630000003</v>
      </c>
      <c r="P116" s="301">
        <f>[16]XNV!$P$116</f>
        <v>30684001.020000003</v>
      </c>
      <c r="Q116" s="301">
        <f>[16]XNV!$Q$116</f>
        <v>30602540.550000001</v>
      </c>
      <c r="R116" s="301">
        <f>[16]XNV!$R$116</f>
        <v>30612966.960000001</v>
      </c>
      <c r="S116" s="301">
        <f>[16]XNV!$S$116</f>
        <v>30743169.240000002</v>
      </c>
      <c r="T116" s="301">
        <f>[16]XNV!$T$116</f>
        <v>30743194.490000002</v>
      </c>
      <c r="U116" s="301"/>
      <c r="V116" s="475">
        <f>(SUM(I116:S116)+(0.5*T116)+(0.5*H116))/12</f>
        <v>29052296.655416667</v>
      </c>
      <c r="Y116" s="475">
        <f>T116</f>
        <v>30743194.490000002</v>
      </c>
      <c r="Z116" s="475">
        <f t="shared" si="74"/>
        <v>29052296.655416667</v>
      </c>
      <c r="AA116" s="301">
        <f>V116</f>
        <v>29052296.655416667</v>
      </c>
      <c r="AB116" s="301">
        <f>T116</f>
        <v>30743194.490000002</v>
      </c>
      <c r="AC116" s="301">
        <f t="shared" si="75"/>
        <v>29052296.655416667</v>
      </c>
      <c r="AD116" s="301">
        <f>AC116-T116</f>
        <v>-1690897.8345833346</v>
      </c>
      <c r="AE116" s="216">
        <f t="shared" ref="AE116" si="123">+AE115+1</f>
        <v>109</v>
      </c>
      <c r="AF116" s="216" t="e">
        <f t="shared" si="113"/>
        <v>#REF!</v>
      </c>
      <c r="AG116" s="1">
        <v>-1904880.1112500019</v>
      </c>
      <c r="AH116" s="438"/>
      <c r="AI116" s="438"/>
      <c r="AJ116" s="438" t="s">
        <v>543</v>
      </c>
      <c r="AK116" s="438"/>
      <c r="AL116" s="439">
        <f>+T116</f>
        <v>30743194.490000002</v>
      </c>
      <c r="AM116" s="10">
        <f>AC116</f>
        <v>29052296.655416667</v>
      </c>
      <c r="AN116" s="10">
        <f>AM116-AL116</f>
        <v>-1690897.8345833346</v>
      </c>
      <c r="AO116" s="1">
        <f t="shared" si="78"/>
        <v>0</v>
      </c>
    </row>
    <row r="117" spans="1:41">
      <c r="A117" s="500">
        <f t="shared" si="68"/>
        <v>1046</v>
      </c>
      <c r="B117" s="265"/>
      <c r="C117" s="265"/>
      <c r="D117" s="265" t="s">
        <v>544</v>
      </c>
      <c r="E117" s="265"/>
      <c r="F117" s="265"/>
      <c r="G117" s="265"/>
      <c r="H117" s="511">
        <f>[16]XNV!$H$117</f>
        <v>0</v>
      </c>
      <c r="I117" s="511">
        <f>[16]XNV!$I$117</f>
        <v>0</v>
      </c>
      <c r="J117" s="511">
        <f>[16]XNV!$J$117</f>
        <v>0</v>
      </c>
      <c r="K117" s="511">
        <f>[16]XNV!$K$117</f>
        <v>0</v>
      </c>
      <c r="L117" s="511">
        <f>[16]XNV!$L$117</f>
        <v>0</v>
      </c>
      <c r="M117" s="511">
        <f>[16]XNV!$M$117</f>
        <v>0</v>
      </c>
      <c r="N117" s="511">
        <f>[16]XNV!$N$117</f>
        <v>0</v>
      </c>
      <c r="O117" s="511">
        <f>[16]XNV!$O$117</f>
        <v>0</v>
      </c>
      <c r="P117" s="511">
        <f>[16]XNV!$P$117</f>
        <v>0</v>
      </c>
      <c r="Q117" s="511">
        <f>[16]XNV!$Q$117</f>
        <v>0</v>
      </c>
      <c r="R117" s="511">
        <f>[16]XNV!$R$117</f>
        <v>0</v>
      </c>
      <c r="S117" s="511">
        <f>[16]XNV!$S$117</f>
        <v>0</v>
      </c>
      <c r="T117" s="511">
        <f>[16]XNV!$T$117</f>
        <v>0</v>
      </c>
      <c r="U117" s="511"/>
      <c r="V117" s="510">
        <f>(SUM(I117:S117)+(0.5*T117)+(0.5*H117))/12</f>
        <v>0</v>
      </c>
      <c r="Y117" s="510">
        <f>T117</f>
        <v>0</v>
      </c>
      <c r="Z117" s="510">
        <f t="shared" si="74"/>
        <v>0</v>
      </c>
      <c r="AA117" s="511">
        <f>V117</f>
        <v>0</v>
      </c>
      <c r="AB117" s="511">
        <f>T117</f>
        <v>0</v>
      </c>
      <c r="AC117" s="511">
        <f t="shared" si="75"/>
        <v>0</v>
      </c>
      <c r="AD117" s="511">
        <f>AC117-T117</f>
        <v>0</v>
      </c>
      <c r="AE117" s="216">
        <f t="shared" ref="AE117" si="124">+AE116+1</f>
        <v>110</v>
      </c>
      <c r="AF117" s="216" t="e">
        <f t="shared" si="113"/>
        <v>#REF!</v>
      </c>
      <c r="AG117" s="1">
        <v>0</v>
      </c>
      <c r="AH117" s="438"/>
      <c r="AI117" s="438"/>
      <c r="AJ117" s="438" t="s">
        <v>544</v>
      </c>
      <c r="AK117" s="438"/>
      <c r="AL117" s="439">
        <f>+T117</f>
        <v>0</v>
      </c>
      <c r="AM117" s="10">
        <f>AC117</f>
        <v>0</v>
      </c>
      <c r="AN117" s="10">
        <f>AM117-AL117</f>
        <v>0</v>
      </c>
      <c r="AO117" s="1">
        <f t="shared" si="78"/>
        <v>0</v>
      </c>
    </row>
    <row r="118" spans="1:41">
      <c r="A118" s="500">
        <f t="shared" si="68"/>
        <v>1047</v>
      </c>
      <c r="B118" s="265"/>
      <c r="C118" s="265"/>
      <c r="D118" s="265" t="s">
        <v>145</v>
      </c>
      <c r="E118" s="265"/>
      <c r="F118" s="265"/>
      <c r="G118" s="265"/>
      <c r="H118" s="301">
        <f t="shared" ref="H118:T118" si="125">SUM(H115:H117)</f>
        <v>28931319.430000003</v>
      </c>
      <c r="I118" s="301">
        <f t="shared" si="125"/>
        <v>28975536.570000004</v>
      </c>
      <c r="J118" s="301">
        <f t="shared" si="125"/>
        <v>29026821.810000002</v>
      </c>
      <c r="K118" s="301">
        <f t="shared" si="125"/>
        <v>29075072.020000003</v>
      </c>
      <c r="L118" s="301">
        <f t="shared" si="125"/>
        <v>29129429.640000004</v>
      </c>
      <c r="M118" s="301">
        <f t="shared" si="125"/>
        <v>31330703.750000004</v>
      </c>
      <c r="N118" s="301">
        <f t="shared" si="125"/>
        <v>31957651.980000004</v>
      </c>
      <c r="O118" s="301">
        <f t="shared" si="125"/>
        <v>32070037.950000003</v>
      </c>
      <c r="P118" s="301">
        <f t="shared" si="125"/>
        <v>32785917.340000004</v>
      </c>
      <c r="Q118" s="301">
        <f t="shared" si="125"/>
        <v>32836064.990000002</v>
      </c>
      <c r="R118" s="301">
        <f t="shared" si="125"/>
        <v>32846491.400000002</v>
      </c>
      <c r="S118" s="301">
        <f t="shared" si="125"/>
        <v>32981234.640000001</v>
      </c>
      <c r="T118" s="301">
        <f t="shared" si="125"/>
        <v>32981259.890000001</v>
      </c>
      <c r="U118" s="301"/>
      <c r="V118" s="475">
        <f>SUM(V115:V117)</f>
        <v>31164270.979166668</v>
      </c>
      <c r="Y118" s="475">
        <f>T118</f>
        <v>32981259.890000001</v>
      </c>
      <c r="Z118" s="475">
        <f t="shared" si="74"/>
        <v>31164270.979166668</v>
      </c>
      <c r="AA118" s="301">
        <f>V118</f>
        <v>31164270.979166668</v>
      </c>
      <c r="AB118" s="301">
        <f>T118</f>
        <v>32981259.890000001</v>
      </c>
      <c r="AC118" s="301">
        <f t="shared" si="75"/>
        <v>31164270.979166668</v>
      </c>
      <c r="AD118" s="301">
        <f>AC118-T118</f>
        <v>-1816988.9108333327</v>
      </c>
      <c r="AE118" s="216">
        <f t="shared" ref="AE118" si="126">+AE117+1</f>
        <v>111</v>
      </c>
      <c r="AF118" s="216" t="e">
        <f t="shared" si="113"/>
        <v>#REF!</v>
      </c>
      <c r="AG118" s="1">
        <v>-1969460.555416666</v>
      </c>
      <c r="AH118" s="438"/>
      <c r="AI118" s="438"/>
      <c r="AJ118" s="438" t="s">
        <v>145</v>
      </c>
      <c r="AK118" s="438"/>
      <c r="AL118" s="439">
        <f>+T118</f>
        <v>32981259.890000001</v>
      </c>
      <c r="AM118" s="10">
        <f>AC118</f>
        <v>31164270.979166668</v>
      </c>
      <c r="AN118" s="10">
        <f>AM118-AL118</f>
        <v>-1816988.9108333327</v>
      </c>
      <c r="AO118" s="1">
        <f t="shared" si="78"/>
        <v>0</v>
      </c>
    </row>
    <row r="119" spans="1:41">
      <c r="A119" s="500">
        <f t="shared" si="68"/>
        <v>1048</v>
      </c>
      <c r="B119" s="265"/>
      <c r="C119" s="265"/>
      <c r="D119" s="265"/>
      <c r="E119" s="265"/>
      <c r="F119" s="265"/>
      <c r="G119" s="265"/>
      <c r="AA119"/>
      <c r="AC119">
        <f t="shared" si="75"/>
        <v>0</v>
      </c>
      <c r="AE119" s="216">
        <f t="shared" ref="AE119" si="127">+AE118+1</f>
        <v>112</v>
      </c>
      <c r="AF119" s="216" t="e">
        <f t="shared" si="113"/>
        <v>#REF!</v>
      </c>
      <c r="AG119" s="1">
        <v>0</v>
      </c>
      <c r="AH119" s="438"/>
      <c r="AI119" s="438"/>
      <c r="AJ119" s="438"/>
      <c r="AK119" s="438"/>
      <c r="AL119" s="439"/>
      <c r="AO119" s="1">
        <f t="shared" si="78"/>
        <v>0</v>
      </c>
    </row>
    <row r="120" spans="1:41">
      <c r="A120" s="500">
        <f t="shared" si="68"/>
        <v>1049</v>
      </c>
      <c r="B120" s="265" t="s">
        <v>237</v>
      </c>
      <c r="C120" s="265" t="s">
        <v>238</v>
      </c>
      <c r="D120" s="265"/>
      <c r="E120" s="265"/>
      <c r="F120" s="265"/>
      <c r="G120" s="265"/>
      <c r="AA120"/>
      <c r="AC120">
        <f t="shared" si="75"/>
        <v>0</v>
      </c>
      <c r="AE120" s="216">
        <f t="shared" ref="AE120" si="128">+AE119+1</f>
        <v>113</v>
      </c>
      <c r="AF120" s="216" t="e">
        <f t="shared" si="113"/>
        <v>#REF!</v>
      </c>
      <c r="AG120" s="1">
        <v>0</v>
      </c>
      <c r="AH120" s="438" t="s">
        <v>237</v>
      </c>
      <c r="AI120" s="438" t="s">
        <v>238</v>
      </c>
      <c r="AJ120" s="438"/>
      <c r="AK120" s="438"/>
      <c r="AL120" s="439"/>
      <c r="AO120" s="1">
        <f t="shared" si="78"/>
        <v>0</v>
      </c>
    </row>
    <row r="121" spans="1:41">
      <c r="A121" s="500">
        <f t="shared" si="68"/>
        <v>1050</v>
      </c>
      <c r="B121" s="265"/>
      <c r="C121" s="265"/>
      <c r="D121" s="265" t="s">
        <v>23</v>
      </c>
      <c r="E121" s="265"/>
      <c r="F121" s="265"/>
      <c r="G121" s="265"/>
      <c r="H121" s="301">
        <f>[16]XNV!$H$121</f>
        <v>0</v>
      </c>
      <c r="I121" s="301">
        <f>[16]XNV!$I$121</f>
        <v>0</v>
      </c>
      <c r="J121" s="301">
        <f>[16]XNV!$J$121</f>
        <v>0</v>
      </c>
      <c r="K121" s="301">
        <f>[16]XNV!$K$121</f>
        <v>0</v>
      </c>
      <c r="L121" s="301">
        <f>[16]XNV!$L$121</f>
        <v>0</v>
      </c>
      <c r="M121" s="301">
        <f>[16]XNV!$M$121</f>
        <v>0</v>
      </c>
      <c r="N121" s="301">
        <f>[16]XNV!$N$121</f>
        <v>0</v>
      </c>
      <c r="O121" s="301">
        <f>[16]XNV!$O$121</f>
        <v>0</v>
      </c>
      <c r="P121" s="301">
        <f>[16]XNV!$P$121</f>
        <v>0</v>
      </c>
      <c r="Q121" s="301">
        <f>[16]XNV!$Q$121</f>
        <v>0</v>
      </c>
      <c r="R121" s="301">
        <f>[16]XNV!$R$121</f>
        <v>0</v>
      </c>
      <c r="S121" s="301">
        <f>[16]XNV!$S$121</f>
        <v>0</v>
      </c>
      <c r="T121" s="301">
        <f>[16]XNV!$T$121</f>
        <v>0</v>
      </c>
      <c r="U121" s="301"/>
      <c r="V121" s="475">
        <f>(SUM(I121:S121)+(0.5*T121)+(0.5*H121))/12</f>
        <v>0</v>
      </c>
      <c r="Y121" s="475">
        <f>T121</f>
        <v>0</v>
      </c>
      <c r="Z121" s="475">
        <f t="shared" si="74"/>
        <v>0</v>
      </c>
      <c r="AA121" s="301">
        <f>V121</f>
        <v>0</v>
      </c>
      <c r="AB121" s="301">
        <f>T121</f>
        <v>0</v>
      </c>
      <c r="AC121" s="301">
        <f t="shared" si="75"/>
        <v>0</v>
      </c>
      <c r="AD121" s="301">
        <f>AC121-T121</f>
        <v>0</v>
      </c>
      <c r="AE121" s="216">
        <f t="shared" ref="AE121" si="129">+AE120+1</f>
        <v>114</v>
      </c>
      <c r="AF121" s="216" t="e">
        <f t="shared" si="113"/>
        <v>#REF!</v>
      </c>
      <c r="AG121" s="1">
        <v>0</v>
      </c>
      <c r="AH121" s="438"/>
      <c r="AI121" s="438"/>
      <c r="AJ121" s="438" t="s">
        <v>542</v>
      </c>
      <c r="AK121" s="438"/>
      <c r="AL121" s="439">
        <f>+T121</f>
        <v>0</v>
      </c>
      <c r="AM121" s="10">
        <f>AC121</f>
        <v>0</v>
      </c>
      <c r="AN121" s="10">
        <f>AM121-AL121</f>
        <v>0</v>
      </c>
      <c r="AO121" s="1">
        <f t="shared" si="78"/>
        <v>0</v>
      </c>
    </row>
    <row r="122" spans="1:41">
      <c r="A122" s="500">
        <f t="shared" si="68"/>
        <v>1051</v>
      </c>
      <c r="B122" s="265"/>
      <c r="C122" s="265"/>
      <c r="D122" s="265" t="s">
        <v>12</v>
      </c>
      <c r="E122" s="265"/>
      <c r="F122" s="265"/>
      <c r="G122" s="265"/>
      <c r="H122" s="301">
        <f>[16]XNV!$H$122</f>
        <v>3.637978807091713E-12</v>
      </c>
      <c r="I122" s="301">
        <f>[16]XNV!$I$122</f>
        <v>3.637978807091713E-12</v>
      </c>
      <c r="J122" s="301">
        <f>[16]XNV!$J$122</f>
        <v>3.637978807091713E-12</v>
      </c>
      <c r="K122" s="301">
        <f>[16]XNV!$K$122</f>
        <v>3.637978807091713E-12</v>
      </c>
      <c r="L122" s="301">
        <f>[16]XNV!$L$122</f>
        <v>3.637978807091713E-12</v>
      </c>
      <c r="M122" s="301">
        <f>[16]XNV!$M$122</f>
        <v>3.637978807091713E-12</v>
      </c>
      <c r="N122" s="301">
        <f>[16]XNV!$N$122</f>
        <v>3.637978807091713E-12</v>
      </c>
      <c r="O122" s="301">
        <f>[16]XNV!$O$122</f>
        <v>3.637978807091713E-12</v>
      </c>
      <c r="P122" s="301">
        <f>[16]XNV!$P$122</f>
        <v>3.637978807091713E-12</v>
      </c>
      <c r="Q122" s="301">
        <f>[16]XNV!$Q$122</f>
        <v>3.637978807091713E-12</v>
      </c>
      <c r="R122" s="301">
        <f>[16]XNV!$R$122</f>
        <v>3.637978807091713E-12</v>
      </c>
      <c r="S122" s="301">
        <f>[16]XNV!$S$122</f>
        <v>3.637978807091713E-12</v>
      </c>
      <c r="T122" s="301">
        <f>[16]XNV!$T$122</f>
        <v>3.637978807091713E-12</v>
      </c>
      <c r="U122" s="301"/>
      <c r="V122" s="475">
        <f>(SUM(I122:S122)+(0.5*T122)+(0.5*H122))/12</f>
        <v>3.637978807091713E-12</v>
      </c>
      <c r="Y122" s="475">
        <f>T122</f>
        <v>3.637978807091713E-12</v>
      </c>
      <c r="Z122" s="475">
        <f t="shared" si="74"/>
        <v>3.637978807091713E-12</v>
      </c>
      <c r="AA122" s="301">
        <f>V122</f>
        <v>3.637978807091713E-12</v>
      </c>
      <c r="AB122" s="301">
        <f>T122</f>
        <v>3.637978807091713E-12</v>
      </c>
      <c r="AC122" s="301">
        <f t="shared" si="75"/>
        <v>3.637978807091713E-12</v>
      </c>
      <c r="AD122" s="301">
        <f>AC122-T122</f>
        <v>0</v>
      </c>
      <c r="AE122" s="216">
        <f t="shared" ref="AE122" si="130">+AE121+1</f>
        <v>115</v>
      </c>
      <c r="AF122" s="216" t="e">
        <f t="shared" si="113"/>
        <v>#REF!</v>
      </c>
      <c r="AG122" s="1">
        <v>0</v>
      </c>
      <c r="AH122" s="438"/>
      <c r="AI122" s="438"/>
      <c r="AJ122" s="438" t="s">
        <v>543</v>
      </c>
      <c r="AK122" s="438"/>
      <c r="AL122" s="439">
        <f>+T122</f>
        <v>3.637978807091713E-12</v>
      </c>
      <c r="AM122" s="10">
        <f>AC122</f>
        <v>3.637978807091713E-12</v>
      </c>
      <c r="AN122" s="10">
        <f>AM122-AL122</f>
        <v>0</v>
      </c>
      <c r="AO122" s="1">
        <f t="shared" si="78"/>
        <v>0</v>
      </c>
    </row>
    <row r="123" spans="1:41">
      <c r="A123" s="500">
        <f t="shared" si="68"/>
        <v>1052</v>
      </c>
      <c r="B123" s="265"/>
      <c r="C123" s="265"/>
      <c r="D123" s="265" t="s">
        <v>544</v>
      </c>
      <c r="E123" s="265"/>
      <c r="F123" s="265"/>
      <c r="G123" s="265"/>
      <c r="H123" s="511">
        <f>[16]XNV!$H$123</f>
        <v>0</v>
      </c>
      <c r="I123" s="511">
        <f>[16]XNV!$I$123</f>
        <v>0</v>
      </c>
      <c r="J123" s="511">
        <f>[16]XNV!$J$123</f>
        <v>0</v>
      </c>
      <c r="K123" s="511">
        <f>[16]XNV!$K$123</f>
        <v>0</v>
      </c>
      <c r="L123" s="511">
        <f>[16]XNV!$L$123</f>
        <v>0</v>
      </c>
      <c r="M123" s="511">
        <f>[16]XNV!$M$123</f>
        <v>0</v>
      </c>
      <c r="N123" s="511">
        <f>[16]XNV!$N$123</f>
        <v>0</v>
      </c>
      <c r="O123" s="511">
        <f>[16]XNV!$O$123</f>
        <v>0</v>
      </c>
      <c r="P123" s="511">
        <f>[16]XNV!$P$123</f>
        <v>0</v>
      </c>
      <c r="Q123" s="511">
        <f>[16]XNV!$Q$123</f>
        <v>0</v>
      </c>
      <c r="R123" s="511">
        <f>[16]XNV!$R$123</f>
        <v>0</v>
      </c>
      <c r="S123" s="511">
        <f>[16]XNV!$S$123</f>
        <v>0</v>
      </c>
      <c r="T123" s="511">
        <f>[16]XNV!$T$123</f>
        <v>0</v>
      </c>
      <c r="U123" s="511"/>
      <c r="V123" s="510">
        <f>(SUM(I123:S123)+(0.5*T123)+(0.5*H123))/12</f>
        <v>0</v>
      </c>
      <c r="Y123" s="510">
        <f>T123</f>
        <v>0</v>
      </c>
      <c r="Z123" s="510">
        <f t="shared" si="74"/>
        <v>0</v>
      </c>
      <c r="AA123" s="511">
        <f>V123</f>
        <v>0</v>
      </c>
      <c r="AB123" s="511">
        <f>T123</f>
        <v>0</v>
      </c>
      <c r="AC123" s="511">
        <f t="shared" si="75"/>
        <v>0</v>
      </c>
      <c r="AD123" s="511">
        <f>AC123-T123</f>
        <v>0</v>
      </c>
      <c r="AE123" s="216">
        <f t="shared" ref="AE123" si="131">+AE122+1</f>
        <v>116</v>
      </c>
      <c r="AF123" s="216" t="e">
        <f t="shared" si="113"/>
        <v>#REF!</v>
      </c>
      <c r="AG123" s="1">
        <v>0</v>
      </c>
      <c r="AH123" s="438"/>
      <c r="AI123" s="438"/>
      <c r="AJ123" s="438" t="s">
        <v>544</v>
      </c>
      <c r="AK123" s="438"/>
      <c r="AL123" s="439">
        <v>0</v>
      </c>
      <c r="AM123" s="10">
        <f>AC123</f>
        <v>0</v>
      </c>
      <c r="AN123" s="10">
        <f>AM123-AL123</f>
        <v>0</v>
      </c>
      <c r="AO123" s="1">
        <f t="shared" si="78"/>
        <v>0</v>
      </c>
    </row>
    <row r="124" spans="1:41">
      <c r="A124" s="500">
        <f t="shared" si="68"/>
        <v>1053</v>
      </c>
      <c r="B124" s="265"/>
      <c r="C124" s="265"/>
      <c r="D124" s="265" t="s">
        <v>145</v>
      </c>
      <c r="E124" s="265"/>
      <c r="F124" s="265"/>
      <c r="G124" s="265"/>
      <c r="H124" s="301">
        <f t="shared" ref="H124:T124" si="132">SUM(H121:H123)</f>
        <v>3.637978807091713E-12</v>
      </c>
      <c r="I124" s="301">
        <f t="shared" si="132"/>
        <v>3.637978807091713E-12</v>
      </c>
      <c r="J124" s="301">
        <f t="shared" si="132"/>
        <v>3.637978807091713E-12</v>
      </c>
      <c r="K124" s="301">
        <f t="shared" si="132"/>
        <v>3.637978807091713E-12</v>
      </c>
      <c r="L124" s="301">
        <f t="shared" si="132"/>
        <v>3.637978807091713E-12</v>
      </c>
      <c r="M124" s="301">
        <f t="shared" si="132"/>
        <v>3.637978807091713E-12</v>
      </c>
      <c r="N124" s="301">
        <f t="shared" si="132"/>
        <v>3.637978807091713E-12</v>
      </c>
      <c r="O124" s="301">
        <f t="shared" si="132"/>
        <v>3.637978807091713E-12</v>
      </c>
      <c r="P124" s="301">
        <f t="shared" si="132"/>
        <v>3.637978807091713E-12</v>
      </c>
      <c r="Q124" s="301">
        <f t="shared" si="132"/>
        <v>3.637978807091713E-12</v>
      </c>
      <c r="R124" s="301">
        <f t="shared" si="132"/>
        <v>3.637978807091713E-12</v>
      </c>
      <c r="S124" s="301">
        <f t="shared" si="132"/>
        <v>3.637978807091713E-12</v>
      </c>
      <c r="T124" s="301">
        <f t="shared" si="132"/>
        <v>3.637978807091713E-12</v>
      </c>
      <c r="U124" s="301"/>
      <c r="V124" s="475">
        <f>SUM(V121:V123)</f>
        <v>3.637978807091713E-12</v>
      </c>
      <c r="Y124" s="475">
        <f>T124</f>
        <v>3.637978807091713E-12</v>
      </c>
      <c r="Z124" s="475">
        <f t="shared" si="74"/>
        <v>3.637978807091713E-12</v>
      </c>
      <c r="AA124" s="301">
        <f>V124</f>
        <v>3.637978807091713E-12</v>
      </c>
      <c r="AB124" s="301">
        <f>T124</f>
        <v>3.637978807091713E-12</v>
      </c>
      <c r="AC124" s="301">
        <f t="shared" si="75"/>
        <v>3.637978807091713E-12</v>
      </c>
      <c r="AD124" s="301">
        <f>AC124-T124</f>
        <v>0</v>
      </c>
      <c r="AE124" s="216">
        <f t="shared" ref="AE124" si="133">+AE123+1</f>
        <v>117</v>
      </c>
      <c r="AF124" s="216" t="e">
        <f t="shared" si="113"/>
        <v>#REF!</v>
      </c>
      <c r="AG124" s="1">
        <v>0</v>
      </c>
      <c r="AH124" s="438"/>
      <c r="AI124" s="438"/>
      <c r="AJ124" s="438" t="s">
        <v>145</v>
      </c>
      <c r="AK124" s="438"/>
      <c r="AL124" s="439">
        <f>+T124</f>
        <v>3.637978807091713E-12</v>
      </c>
      <c r="AM124" s="10">
        <f>AC124</f>
        <v>3.637978807091713E-12</v>
      </c>
      <c r="AN124" s="10">
        <f>AM124-AL124</f>
        <v>0</v>
      </c>
      <c r="AO124" s="1">
        <f t="shared" si="78"/>
        <v>0</v>
      </c>
    </row>
    <row r="125" spans="1:41">
      <c r="A125" s="500">
        <f t="shared" si="68"/>
        <v>1054</v>
      </c>
      <c r="B125" s="265"/>
      <c r="C125" s="265"/>
      <c r="D125" s="265"/>
      <c r="E125" s="265"/>
      <c r="F125" s="265"/>
      <c r="G125" s="265"/>
      <c r="AA125"/>
      <c r="AC125">
        <f t="shared" si="75"/>
        <v>0</v>
      </c>
      <c r="AE125" s="216">
        <f t="shared" ref="AE125" si="134">+AE124+1</f>
        <v>118</v>
      </c>
      <c r="AF125" s="216" t="e">
        <f t="shared" si="113"/>
        <v>#REF!</v>
      </c>
      <c r="AG125" s="1">
        <v>0</v>
      </c>
      <c r="AH125" s="438"/>
      <c r="AI125" s="438"/>
      <c r="AJ125" s="438"/>
      <c r="AK125" s="438"/>
      <c r="AL125" s="439"/>
      <c r="AO125" s="1">
        <f t="shared" si="78"/>
        <v>0</v>
      </c>
    </row>
    <row r="126" spans="1:41">
      <c r="A126" s="500">
        <f t="shared" si="68"/>
        <v>1055</v>
      </c>
      <c r="B126" s="265" t="s">
        <v>239</v>
      </c>
      <c r="C126" s="265" t="s">
        <v>240</v>
      </c>
      <c r="D126" s="265"/>
      <c r="E126" s="265"/>
      <c r="F126" s="265"/>
      <c r="G126" s="265"/>
      <c r="AA126"/>
      <c r="AC126">
        <f t="shared" si="75"/>
        <v>0</v>
      </c>
      <c r="AE126" s="216">
        <f t="shared" ref="AE126" si="135">+AE125+1</f>
        <v>119</v>
      </c>
      <c r="AF126" s="216" t="e">
        <f t="shared" si="113"/>
        <v>#REF!</v>
      </c>
      <c r="AG126" s="1">
        <v>0</v>
      </c>
      <c r="AH126" s="438" t="s">
        <v>239</v>
      </c>
      <c r="AI126" s="438" t="s">
        <v>240</v>
      </c>
      <c r="AJ126" s="438"/>
      <c r="AK126" s="438"/>
      <c r="AL126" s="439"/>
      <c r="AO126" s="1">
        <f t="shared" si="78"/>
        <v>0</v>
      </c>
    </row>
    <row r="127" spans="1:41">
      <c r="A127" s="500">
        <f t="shared" si="68"/>
        <v>1056</v>
      </c>
      <c r="B127" s="265"/>
      <c r="C127" s="265"/>
      <c r="D127" s="265" t="s">
        <v>23</v>
      </c>
      <c r="E127" s="265"/>
      <c r="F127" s="265"/>
      <c r="G127" s="265"/>
      <c r="H127" s="301">
        <f>[16]XNV!H127</f>
        <v>1291370.27</v>
      </c>
      <c r="I127" s="301">
        <f>[16]XNV!I127</f>
        <v>1291370.27</v>
      </c>
      <c r="J127" s="301">
        <f>[16]XNV!J127</f>
        <v>1291370.27</v>
      </c>
      <c r="K127" s="301">
        <f>[16]XNV!K127</f>
        <v>1291370.27</v>
      </c>
      <c r="L127" s="301">
        <f>[16]XNV!L127</f>
        <v>1291370.27</v>
      </c>
      <c r="M127" s="301">
        <f>[16]XNV!M127</f>
        <v>1291370.27</v>
      </c>
      <c r="N127" s="301">
        <f>[16]XNV!N127</f>
        <v>1291370.27</v>
      </c>
      <c r="O127" s="301">
        <f>[16]XNV!O127</f>
        <v>1291370.27</v>
      </c>
      <c r="P127" s="301">
        <f>[16]XNV!P127</f>
        <v>1291370.27</v>
      </c>
      <c r="Q127" s="301">
        <f>[16]XNV!Q127</f>
        <v>1291370.27</v>
      </c>
      <c r="R127" s="301">
        <f>[16]XNV!R127</f>
        <v>1291370.27</v>
      </c>
      <c r="S127" s="301">
        <f>[16]XNV!S127</f>
        <v>1291370.27</v>
      </c>
      <c r="T127" s="301">
        <f>[16]XNV!T127</f>
        <v>1276486.77</v>
      </c>
      <c r="U127" s="301"/>
      <c r="V127" s="475">
        <f>(SUM(I127:S127)+(0.5*T127)+(0.5*H127))/12</f>
        <v>1290750.1241666663</v>
      </c>
      <c r="Y127" s="475">
        <f t="shared" ref="Y127:Y135" si="136">T127</f>
        <v>1276486.77</v>
      </c>
      <c r="Z127" s="475">
        <f t="shared" si="74"/>
        <v>1290750.1241666663</v>
      </c>
      <c r="AA127" s="301">
        <f t="shared" ref="AA127:AA135" si="137">V127</f>
        <v>1290750.1241666663</v>
      </c>
      <c r="AB127" s="301">
        <f t="shared" ref="AB127:AB135" si="138">T127</f>
        <v>1276486.77</v>
      </c>
      <c r="AC127" s="301">
        <f t="shared" si="75"/>
        <v>1290750.1241666663</v>
      </c>
      <c r="AD127" s="301">
        <f>AC127-T127</f>
        <v>14263.354166666279</v>
      </c>
      <c r="AE127" s="216">
        <f t="shared" ref="AE127" si="139">+AE126+1</f>
        <v>120</v>
      </c>
      <c r="AF127" s="216" t="e">
        <f t="shared" si="113"/>
        <v>#REF!</v>
      </c>
      <c r="AG127" s="1">
        <v>-115290.82374999986</v>
      </c>
      <c r="AH127" s="438"/>
      <c r="AI127" s="438"/>
      <c r="AJ127" s="438" t="s">
        <v>542</v>
      </c>
      <c r="AK127" s="438"/>
      <c r="AL127" s="439">
        <f>+T127</f>
        <v>1276486.77</v>
      </c>
      <c r="AM127" s="10">
        <f>AC127</f>
        <v>1290750.1241666663</v>
      </c>
      <c r="AN127" s="10">
        <f>AM127-AL127</f>
        <v>14263.354166666279</v>
      </c>
      <c r="AO127" s="1">
        <f t="shared" si="78"/>
        <v>0</v>
      </c>
    </row>
    <row r="128" spans="1:41">
      <c r="A128" s="500">
        <f t="shared" si="68"/>
        <v>1057</v>
      </c>
      <c r="B128" s="265"/>
      <c r="C128" s="265"/>
      <c r="D128" s="265" t="s">
        <v>12</v>
      </c>
      <c r="E128" s="265"/>
      <c r="F128" s="265"/>
      <c r="G128" s="265"/>
      <c r="H128" s="301">
        <f>[16]XNV!H128</f>
        <v>15178306.790000001</v>
      </c>
      <c r="I128" s="301">
        <f>[16]XNV!I128</f>
        <v>15178306.790000001</v>
      </c>
      <c r="J128" s="301">
        <f>[16]XNV!J128</f>
        <v>15186011.130000001</v>
      </c>
      <c r="K128" s="301">
        <f>[16]XNV!K128</f>
        <v>15186011.130000001</v>
      </c>
      <c r="L128" s="301">
        <f>[16]XNV!L128</f>
        <v>15186011.130000001</v>
      </c>
      <c r="M128" s="301">
        <f>[16]XNV!M128</f>
        <v>16634519.48</v>
      </c>
      <c r="N128" s="301">
        <f>[16]XNV!N128</f>
        <v>16622667.09</v>
      </c>
      <c r="O128" s="301">
        <f>[16]XNV!O128</f>
        <v>16456493.84</v>
      </c>
      <c r="P128" s="301">
        <f>[16]XNV!P128</f>
        <v>16463629.07</v>
      </c>
      <c r="Q128" s="301">
        <f>[16]XNV!Q128</f>
        <v>16463629.07</v>
      </c>
      <c r="R128" s="301">
        <f>[16]XNV!R128</f>
        <v>16463629.07</v>
      </c>
      <c r="S128" s="301">
        <f>[16]XNV!S128</f>
        <v>16463629.07</v>
      </c>
      <c r="T128" s="301">
        <f>[16]XNV!T128</f>
        <v>16580901.280000001</v>
      </c>
      <c r="U128" s="301"/>
      <c r="V128" s="475">
        <f>(SUM(I128:S128)+(0.5*T128)+(0.5*H128))/12</f>
        <v>16015345.075416667</v>
      </c>
      <c r="Y128" s="475">
        <f t="shared" si="136"/>
        <v>16580901.280000001</v>
      </c>
      <c r="Z128" s="475">
        <f t="shared" si="74"/>
        <v>16015345.075416667</v>
      </c>
      <c r="AA128" s="301">
        <f t="shared" si="137"/>
        <v>16015345.075416667</v>
      </c>
      <c r="AB128" s="301">
        <f t="shared" si="138"/>
        <v>16580901.280000001</v>
      </c>
      <c r="AC128" s="301">
        <f t="shared" si="75"/>
        <v>16015345.075416667</v>
      </c>
      <c r="AD128" s="301">
        <f>AC128-T128</f>
        <v>-565556.20458333381</v>
      </c>
      <c r="AE128" s="216">
        <f t="shared" ref="AE128" si="140">+AE127+1</f>
        <v>121</v>
      </c>
      <c r="AF128" s="216" t="e">
        <f t="shared" si="113"/>
        <v>#REF!</v>
      </c>
      <c r="AG128" s="1">
        <v>-35777.456666668877</v>
      </c>
      <c r="AH128" s="438"/>
      <c r="AI128" s="438"/>
      <c r="AJ128" s="438" t="s">
        <v>543</v>
      </c>
      <c r="AK128" s="438"/>
      <c r="AL128" s="439">
        <f>+T128</f>
        <v>16580901.280000001</v>
      </c>
      <c r="AM128" s="10">
        <f>AC128</f>
        <v>16015345.075416667</v>
      </c>
      <c r="AN128" s="10">
        <f>AM128-AL128</f>
        <v>-565556.20458333381</v>
      </c>
      <c r="AO128" s="1">
        <f t="shared" si="78"/>
        <v>0</v>
      </c>
    </row>
    <row r="129" spans="1:41">
      <c r="A129" s="500">
        <f t="shared" si="68"/>
        <v>1058</v>
      </c>
      <c r="B129" s="265"/>
      <c r="C129" s="265"/>
      <c r="D129" s="265" t="s">
        <v>544</v>
      </c>
      <c r="E129" s="265"/>
      <c r="F129" s="265"/>
      <c r="G129" s="265"/>
      <c r="H129" s="511">
        <f>[16]XNV!H129</f>
        <v>0</v>
      </c>
      <c r="I129" s="511">
        <f>[16]XNV!I129</f>
        <v>0</v>
      </c>
      <c r="J129" s="511">
        <f>[16]XNV!J129</f>
        <v>0</v>
      </c>
      <c r="K129" s="511">
        <f>[16]XNV!K129</f>
        <v>0</v>
      </c>
      <c r="L129" s="511">
        <f>[16]XNV!L129</f>
        <v>0</v>
      </c>
      <c r="M129" s="511">
        <f>[16]XNV!M129</f>
        <v>0</v>
      </c>
      <c r="N129" s="511">
        <f>[16]XNV!N129</f>
        <v>0</v>
      </c>
      <c r="O129" s="511">
        <f>[16]XNV!O129</f>
        <v>0</v>
      </c>
      <c r="P129" s="511">
        <f>[16]XNV!P129</f>
        <v>0</v>
      </c>
      <c r="Q129" s="511">
        <f>[16]XNV!Q129</f>
        <v>0</v>
      </c>
      <c r="R129" s="511">
        <f>[16]XNV!R129</f>
        <v>0</v>
      </c>
      <c r="S129" s="511">
        <f>[16]XNV!S129</f>
        <v>0</v>
      </c>
      <c r="T129" s="511">
        <f>[16]XNV!T129</f>
        <v>0</v>
      </c>
      <c r="U129" s="511"/>
      <c r="V129" s="510">
        <f>(SUM(I129:S129)+(0.5*T129)+(0.5*H129))/12</f>
        <v>0</v>
      </c>
      <c r="Y129" s="510">
        <f t="shared" si="136"/>
        <v>0</v>
      </c>
      <c r="Z129" s="510">
        <f t="shared" si="74"/>
        <v>0</v>
      </c>
      <c r="AA129" s="511">
        <f t="shared" si="137"/>
        <v>0</v>
      </c>
      <c r="AB129" s="511">
        <f t="shared" si="138"/>
        <v>0</v>
      </c>
      <c r="AC129" s="511">
        <f t="shared" si="75"/>
        <v>0</v>
      </c>
      <c r="AD129" s="511">
        <f>AC129-T129</f>
        <v>0</v>
      </c>
      <c r="AE129" s="216">
        <f t="shared" ref="AE129" si="141">+AE128+1</f>
        <v>122</v>
      </c>
      <c r="AF129" s="216" t="e">
        <f t="shared" si="113"/>
        <v>#REF!</v>
      </c>
      <c r="AG129" s="1">
        <v>0</v>
      </c>
      <c r="AH129" s="438"/>
      <c r="AI129" s="438"/>
      <c r="AJ129" s="438" t="s">
        <v>544</v>
      </c>
      <c r="AK129" s="438"/>
      <c r="AL129" s="439">
        <f>+T129</f>
        <v>0</v>
      </c>
      <c r="AM129" s="10">
        <f>AC129</f>
        <v>0</v>
      </c>
      <c r="AN129" s="10">
        <f>AM129-AL129</f>
        <v>0</v>
      </c>
      <c r="AO129" s="1">
        <f t="shared" si="78"/>
        <v>0</v>
      </c>
    </row>
    <row r="130" spans="1:41">
      <c r="A130" s="500">
        <f t="shared" si="68"/>
        <v>1059</v>
      </c>
      <c r="B130" s="265"/>
      <c r="C130" s="265"/>
      <c r="D130" s="265" t="s">
        <v>145</v>
      </c>
      <c r="E130" s="265"/>
      <c r="F130" s="265"/>
      <c r="G130" s="265"/>
      <c r="H130" s="301">
        <f t="shared" ref="H130:T130" si="142">SUM(H127:H129)</f>
        <v>16469677.060000001</v>
      </c>
      <c r="I130" s="301">
        <f t="shared" si="142"/>
        <v>16469677.060000001</v>
      </c>
      <c r="J130" s="301">
        <f t="shared" si="142"/>
        <v>16477381.4</v>
      </c>
      <c r="K130" s="301">
        <f t="shared" si="142"/>
        <v>16477381.4</v>
      </c>
      <c r="L130" s="301">
        <f t="shared" si="142"/>
        <v>16477381.4</v>
      </c>
      <c r="M130" s="301">
        <f t="shared" si="142"/>
        <v>17925889.75</v>
      </c>
      <c r="N130" s="301">
        <f t="shared" si="142"/>
        <v>17914037.359999999</v>
      </c>
      <c r="O130" s="301">
        <f t="shared" si="142"/>
        <v>17747864.109999999</v>
      </c>
      <c r="P130" s="301">
        <f t="shared" si="142"/>
        <v>17754999.34</v>
      </c>
      <c r="Q130" s="301">
        <f t="shared" si="142"/>
        <v>17754999.34</v>
      </c>
      <c r="R130" s="301">
        <f t="shared" si="142"/>
        <v>17754999.34</v>
      </c>
      <c r="S130" s="301">
        <f t="shared" si="142"/>
        <v>17754999.34</v>
      </c>
      <c r="T130" s="301">
        <f t="shared" si="142"/>
        <v>17857388.050000001</v>
      </c>
      <c r="U130" s="301"/>
      <c r="V130" s="475">
        <f>SUM(V127:V129)</f>
        <v>17306095.199583333</v>
      </c>
      <c r="Y130" s="475">
        <f t="shared" si="136"/>
        <v>17857388.050000001</v>
      </c>
      <c r="Z130" s="475">
        <f t="shared" si="74"/>
        <v>17306095.199583333</v>
      </c>
      <c r="AA130" s="301">
        <f t="shared" si="137"/>
        <v>17306095.199583333</v>
      </c>
      <c r="AB130" s="301">
        <f t="shared" si="138"/>
        <v>17857388.050000001</v>
      </c>
      <c r="AC130" s="301">
        <f t="shared" si="75"/>
        <v>17306095.199583333</v>
      </c>
      <c r="AD130" s="301">
        <f>AC130-T130</f>
        <v>-551292.85041666776</v>
      </c>
      <c r="AE130" s="216">
        <f t="shared" ref="AE130" si="143">+AE129+1</f>
        <v>123</v>
      </c>
      <c r="AF130" s="216" t="e">
        <f t="shared" si="113"/>
        <v>#REF!</v>
      </c>
      <c r="AG130" s="1">
        <v>-151068.28041666932</v>
      </c>
      <c r="AH130" s="438"/>
      <c r="AI130" s="438"/>
      <c r="AJ130" s="438" t="s">
        <v>145</v>
      </c>
      <c r="AK130" s="438"/>
      <c r="AL130" s="439">
        <f>+T130</f>
        <v>17857388.050000001</v>
      </c>
      <c r="AM130" s="10">
        <f>AC130</f>
        <v>17306095.199583333</v>
      </c>
      <c r="AN130" s="10">
        <f>AM130-AL130</f>
        <v>-551292.85041666776</v>
      </c>
      <c r="AO130" s="1">
        <f t="shared" si="78"/>
        <v>0</v>
      </c>
    </row>
    <row r="131" spans="1:41">
      <c r="A131" s="500">
        <f t="shared" si="68"/>
        <v>1060</v>
      </c>
      <c r="B131" s="265"/>
      <c r="C131" s="265"/>
      <c r="D131" s="265"/>
      <c r="E131" s="265"/>
      <c r="F131" s="265"/>
      <c r="G131" s="265"/>
      <c r="Y131" s="3">
        <f t="shared" si="136"/>
        <v>0</v>
      </c>
      <c r="Z131" s="3">
        <f t="shared" si="74"/>
        <v>0</v>
      </c>
      <c r="AA131">
        <f t="shared" si="137"/>
        <v>0</v>
      </c>
      <c r="AB131">
        <f t="shared" si="138"/>
        <v>0</v>
      </c>
      <c r="AC131">
        <f t="shared" si="75"/>
        <v>0</v>
      </c>
      <c r="AE131" s="216">
        <f t="shared" ref="AE131" si="144">+AE130+1</f>
        <v>124</v>
      </c>
      <c r="AF131" s="216" t="e">
        <f t="shared" si="113"/>
        <v>#REF!</v>
      </c>
      <c r="AG131" s="1">
        <v>0</v>
      </c>
      <c r="AH131" s="438"/>
      <c r="AI131" s="438"/>
      <c r="AJ131" s="438"/>
      <c r="AK131" s="438"/>
      <c r="AL131" s="439"/>
      <c r="AO131" s="1">
        <f t="shared" si="78"/>
        <v>0</v>
      </c>
    </row>
    <row r="132" spans="1:41">
      <c r="A132" s="500">
        <f t="shared" si="68"/>
        <v>1061</v>
      </c>
      <c r="B132" s="265" t="s">
        <v>241</v>
      </c>
      <c r="C132" s="265" t="s">
        <v>242</v>
      </c>
      <c r="D132" s="265"/>
      <c r="E132" s="265"/>
      <c r="F132" s="265"/>
      <c r="G132" s="265"/>
      <c r="Y132" s="3">
        <f t="shared" si="136"/>
        <v>0</v>
      </c>
      <c r="Z132" s="3">
        <f t="shared" si="74"/>
        <v>0</v>
      </c>
      <c r="AA132">
        <f t="shared" si="137"/>
        <v>0</v>
      </c>
      <c r="AB132">
        <f t="shared" si="138"/>
        <v>0</v>
      </c>
      <c r="AC132">
        <f t="shared" si="75"/>
        <v>0</v>
      </c>
      <c r="AE132" s="216">
        <f t="shared" ref="AE132" si="145">+AE131+1</f>
        <v>125</v>
      </c>
      <c r="AF132" s="216" t="e">
        <f t="shared" si="113"/>
        <v>#REF!</v>
      </c>
      <c r="AG132" s="1">
        <v>0</v>
      </c>
      <c r="AH132" s="438" t="s">
        <v>241</v>
      </c>
      <c r="AI132" s="438" t="s">
        <v>242</v>
      </c>
      <c r="AJ132" s="438"/>
      <c r="AK132" s="438"/>
      <c r="AL132" s="439"/>
      <c r="AO132" s="1">
        <f t="shared" si="78"/>
        <v>0</v>
      </c>
    </row>
    <row r="133" spans="1:41">
      <c r="A133" s="500">
        <f t="shared" si="68"/>
        <v>1062</v>
      </c>
      <c r="B133" s="265"/>
      <c r="C133" s="265"/>
      <c r="D133" s="265" t="s">
        <v>23</v>
      </c>
      <c r="E133" s="265"/>
      <c r="F133" s="265"/>
      <c r="G133" s="265"/>
      <c r="H133" s="301">
        <f>[16]XNV!$H$133</f>
        <v>3108904.31</v>
      </c>
      <c r="I133" s="301">
        <f>[16]XNV!$I$133</f>
        <v>3108904.31</v>
      </c>
      <c r="J133" s="301">
        <f>[16]XNV!$J$133</f>
        <v>3108904.31</v>
      </c>
      <c r="K133" s="301">
        <f>[16]XNV!$K$133</f>
        <v>3108904.31</v>
      </c>
      <c r="L133" s="301">
        <f>[16]XNV!$L$133</f>
        <v>3108904.31</v>
      </c>
      <c r="M133" s="301">
        <f>[16]XNV!$M$133</f>
        <v>3108904.31</v>
      </c>
      <c r="N133" s="301">
        <f>[16]XNV!$N$133</f>
        <v>3108904.31</v>
      </c>
      <c r="O133" s="301">
        <f>[16]XNV!$O$133</f>
        <v>3108904.31</v>
      </c>
      <c r="P133" s="301">
        <f>[16]XNV!$P$133</f>
        <v>3108904.31</v>
      </c>
      <c r="Q133" s="301">
        <f>[16]XNV!$Q$133</f>
        <v>3108904.31</v>
      </c>
      <c r="R133" s="301">
        <f>[16]XNV!$R$133</f>
        <v>3108904.31</v>
      </c>
      <c r="S133" s="301">
        <f>[16]XNV!$S$133</f>
        <v>3108904.31</v>
      </c>
      <c r="T133" s="301">
        <f>[16]XNV!$T$133</f>
        <v>3108904.31</v>
      </c>
      <c r="U133" s="301"/>
      <c r="V133" s="475">
        <f>(SUM(I133:S133)+(0.5*T133)+(0.5*H133))/12</f>
        <v>3108904.31</v>
      </c>
      <c r="Y133" s="475">
        <f t="shared" si="136"/>
        <v>3108904.31</v>
      </c>
      <c r="Z133" s="475">
        <f t="shared" si="74"/>
        <v>3108904.31</v>
      </c>
      <c r="AA133" s="301">
        <f t="shared" si="137"/>
        <v>3108904.31</v>
      </c>
      <c r="AB133" s="301">
        <f t="shared" si="138"/>
        <v>3108904.31</v>
      </c>
      <c r="AC133" s="301">
        <f t="shared" si="75"/>
        <v>3108904.31</v>
      </c>
      <c r="AD133" s="301">
        <f>AC133-T133</f>
        <v>0</v>
      </c>
      <c r="AE133" s="216">
        <f t="shared" ref="AE133" si="146">+AE132+1</f>
        <v>126</v>
      </c>
      <c r="AF133" s="216" t="e">
        <f t="shared" si="113"/>
        <v>#REF!</v>
      </c>
      <c r="AG133" s="1">
        <v>45643.757500000298</v>
      </c>
      <c r="AH133" s="438"/>
      <c r="AI133" s="438"/>
      <c r="AJ133" s="438" t="s">
        <v>542</v>
      </c>
      <c r="AK133" s="438"/>
      <c r="AL133" s="439">
        <f>+T133</f>
        <v>3108904.31</v>
      </c>
      <c r="AM133" s="10">
        <f>AC133</f>
        <v>3108904.31</v>
      </c>
      <c r="AN133" s="10">
        <f>AM133-AL133</f>
        <v>0</v>
      </c>
      <c r="AO133" s="1">
        <f t="shared" si="78"/>
        <v>0</v>
      </c>
    </row>
    <row r="134" spans="1:41">
      <c r="A134" s="500">
        <f t="shared" si="68"/>
        <v>1063</v>
      </c>
      <c r="B134" s="265"/>
      <c r="C134" s="265"/>
      <c r="D134" s="265" t="s">
        <v>12</v>
      </c>
      <c r="E134" s="265"/>
      <c r="F134" s="265"/>
      <c r="G134" s="265"/>
      <c r="H134" s="511">
        <f>[16]XNV!$H$134</f>
        <v>13463709.920000002</v>
      </c>
      <c r="I134" s="511">
        <f>[16]XNV!$I$134</f>
        <v>13463709.920000002</v>
      </c>
      <c r="J134" s="511">
        <f>[16]XNV!$J$134</f>
        <v>13463709.920000002</v>
      </c>
      <c r="K134" s="511">
        <f>[16]XNV!$K$134</f>
        <v>13463709.920000002</v>
      </c>
      <c r="L134" s="511">
        <f>[16]XNV!$L$134</f>
        <v>13463709.920000002</v>
      </c>
      <c r="M134" s="511">
        <f>[16]XNV!$M$134</f>
        <v>13494590.600000001</v>
      </c>
      <c r="N134" s="511">
        <f>[16]XNV!$N$134</f>
        <v>13505291.240000002</v>
      </c>
      <c r="O134" s="511">
        <f>[16]XNV!$O$134</f>
        <v>13533592.060000002</v>
      </c>
      <c r="P134" s="511">
        <f>[16]XNV!$P$134</f>
        <v>13713112.130000001</v>
      </c>
      <c r="Q134" s="511">
        <f>[16]XNV!$Q$134</f>
        <v>13788731.92</v>
      </c>
      <c r="R134" s="511">
        <f>[16]XNV!$R$134</f>
        <v>13795795.540000001</v>
      </c>
      <c r="S134" s="511">
        <f>[16]XNV!$S$134</f>
        <v>13795843.529999999</v>
      </c>
      <c r="T134" s="511">
        <f>[16]XNV!$T$134</f>
        <v>13804510.429999998</v>
      </c>
      <c r="U134" s="511"/>
      <c r="V134" s="510">
        <f>(SUM(I134:S134)+(0.5*T134)+(0.5*H134))/12</f>
        <v>13592992.239583336</v>
      </c>
      <c r="Y134" s="510">
        <f t="shared" si="136"/>
        <v>13804510.429999998</v>
      </c>
      <c r="Z134" s="510">
        <f t="shared" si="74"/>
        <v>13592992.239583336</v>
      </c>
      <c r="AA134" s="511">
        <f t="shared" si="137"/>
        <v>13592992.239583336</v>
      </c>
      <c r="AB134" s="511">
        <f t="shared" si="138"/>
        <v>13804510.429999998</v>
      </c>
      <c r="AC134" s="511">
        <f t="shared" si="75"/>
        <v>13592992.239583336</v>
      </c>
      <c r="AD134" s="511">
        <f>AC134-T134</f>
        <v>-211518.19041666202</v>
      </c>
      <c r="AE134" s="216">
        <f t="shared" ref="AE134" si="147">+AE133+1</f>
        <v>127</v>
      </c>
      <c r="AF134" s="216" t="e">
        <f t="shared" si="113"/>
        <v>#REF!</v>
      </c>
      <c r="AG134" s="1">
        <v>5757580.4083333351</v>
      </c>
      <c r="AH134" s="438"/>
      <c r="AI134" s="438"/>
      <c r="AJ134" s="438" t="s">
        <v>543</v>
      </c>
      <c r="AK134" s="438"/>
      <c r="AL134" s="439">
        <f>+T134</f>
        <v>13804510.429999998</v>
      </c>
      <c r="AM134" s="10">
        <f>AC134</f>
        <v>13592992.239583336</v>
      </c>
      <c r="AN134" s="10">
        <f>AM134-AL134</f>
        <v>-211518.19041666202</v>
      </c>
      <c r="AO134" s="1">
        <f t="shared" si="78"/>
        <v>0</v>
      </c>
    </row>
    <row r="135" spans="1:41">
      <c r="A135" s="500">
        <f t="shared" si="68"/>
        <v>1064</v>
      </c>
      <c r="B135" s="265"/>
      <c r="C135" s="265"/>
      <c r="D135" s="265" t="s">
        <v>145</v>
      </c>
      <c r="E135" s="265"/>
      <c r="F135" s="265"/>
      <c r="G135" s="265"/>
      <c r="H135" s="301">
        <f t="shared" ref="H135:T135" si="148">SUM(H133:H134)</f>
        <v>16572614.230000002</v>
      </c>
      <c r="I135" s="301">
        <f t="shared" si="148"/>
        <v>16572614.230000002</v>
      </c>
      <c r="J135" s="301">
        <f t="shared" si="148"/>
        <v>16572614.230000002</v>
      </c>
      <c r="K135" s="301">
        <f t="shared" si="148"/>
        <v>16572614.230000002</v>
      </c>
      <c r="L135" s="301">
        <f t="shared" si="148"/>
        <v>16572614.230000002</v>
      </c>
      <c r="M135" s="301">
        <f t="shared" si="148"/>
        <v>16603494.910000002</v>
      </c>
      <c r="N135" s="301">
        <f t="shared" si="148"/>
        <v>16614195.550000003</v>
      </c>
      <c r="O135" s="301">
        <f t="shared" si="148"/>
        <v>16642496.370000003</v>
      </c>
      <c r="P135" s="301">
        <f t="shared" si="148"/>
        <v>16822016.440000001</v>
      </c>
      <c r="Q135" s="301">
        <f t="shared" si="148"/>
        <v>16897636.23</v>
      </c>
      <c r="R135" s="301">
        <f t="shared" si="148"/>
        <v>16904699.850000001</v>
      </c>
      <c r="S135" s="301">
        <f t="shared" si="148"/>
        <v>16904747.84</v>
      </c>
      <c r="T135" s="301">
        <f t="shared" si="148"/>
        <v>16913414.739999998</v>
      </c>
      <c r="U135" s="301"/>
      <c r="V135" s="475">
        <f>SUM(V133:V134)</f>
        <v>16701896.549583336</v>
      </c>
      <c r="Y135" s="475">
        <f t="shared" si="136"/>
        <v>16913414.739999998</v>
      </c>
      <c r="Z135" s="475">
        <f t="shared" si="74"/>
        <v>16701896.549583336</v>
      </c>
      <c r="AA135" s="301">
        <f t="shared" si="137"/>
        <v>16701896.549583336</v>
      </c>
      <c r="AB135" s="301">
        <f t="shared" si="138"/>
        <v>16913414.739999998</v>
      </c>
      <c r="AC135" s="301">
        <f t="shared" si="75"/>
        <v>16701896.549583336</v>
      </c>
      <c r="AD135" s="301">
        <f>AC135-T135</f>
        <v>-211518.19041666202</v>
      </c>
      <c r="AE135" s="216">
        <f t="shared" ref="AE135" si="149">+AE134+1</f>
        <v>128</v>
      </c>
      <c r="AF135" s="216" t="e">
        <f t="shared" si="113"/>
        <v>#REF!</v>
      </c>
      <c r="AG135" s="1">
        <v>5803224.1658333344</v>
      </c>
      <c r="AH135" s="438"/>
      <c r="AI135" s="438"/>
      <c r="AJ135" s="438" t="s">
        <v>145</v>
      </c>
      <c r="AK135" s="438"/>
      <c r="AL135" s="439">
        <f>+T135</f>
        <v>16913414.739999998</v>
      </c>
      <c r="AM135" s="10">
        <f>AC135</f>
        <v>16701896.549583336</v>
      </c>
      <c r="AN135" s="10">
        <f>AM135-AL135</f>
        <v>-211518.19041666202</v>
      </c>
      <c r="AO135" s="1">
        <f t="shared" si="78"/>
        <v>0</v>
      </c>
    </row>
    <row r="136" spans="1:41">
      <c r="A136" s="500">
        <f t="shared" si="68"/>
        <v>1065</v>
      </c>
      <c r="B136" s="265"/>
      <c r="C136" s="265"/>
      <c r="D136" s="265"/>
      <c r="E136" s="265"/>
      <c r="F136" s="265"/>
      <c r="G136" s="265"/>
      <c r="AA136"/>
      <c r="AC136">
        <f t="shared" si="75"/>
        <v>0</v>
      </c>
      <c r="AE136" s="216">
        <f t="shared" ref="AE136" si="150">+AE135+1</f>
        <v>129</v>
      </c>
      <c r="AF136" s="216" t="e">
        <f t="shared" si="113"/>
        <v>#REF!</v>
      </c>
      <c r="AG136" s="1">
        <v>0</v>
      </c>
      <c r="AH136" s="438"/>
      <c r="AI136" s="438"/>
      <c r="AJ136" s="438"/>
      <c r="AK136" s="438"/>
      <c r="AL136" s="439"/>
      <c r="AO136" s="1">
        <f t="shared" si="78"/>
        <v>0</v>
      </c>
    </row>
    <row r="137" spans="1:41">
      <c r="A137" s="500">
        <f t="shared" si="68"/>
        <v>1066</v>
      </c>
      <c r="B137" s="265" t="s">
        <v>243</v>
      </c>
      <c r="C137" s="265" t="s">
        <v>244</v>
      </c>
      <c r="D137" s="265"/>
      <c r="E137" s="265"/>
      <c r="F137" s="265"/>
      <c r="G137" s="265"/>
      <c r="AA137"/>
      <c r="AC137">
        <f t="shared" si="75"/>
        <v>0</v>
      </c>
      <c r="AE137" s="216">
        <f t="shared" ref="AE137" si="151">+AE136+1</f>
        <v>130</v>
      </c>
      <c r="AF137" s="216" t="e">
        <f t="shared" si="113"/>
        <v>#REF!</v>
      </c>
      <c r="AG137" s="1">
        <v>0</v>
      </c>
      <c r="AH137" s="438" t="s">
        <v>243</v>
      </c>
      <c r="AI137" s="438" t="s">
        <v>244</v>
      </c>
      <c r="AJ137" s="438"/>
      <c r="AK137" s="438"/>
      <c r="AL137" s="439"/>
      <c r="AO137" s="1">
        <f t="shared" si="78"/>
        <v>0</v>
      </c>
    </row>
    <row r="138" spans="1:41">
      <c r="A138" s="500">
        <f t="shared" si="68"/>
        <v>1067</v>
      </c>
      <c r="B138" s="265"/>
      <c r="C138" s="265"/>
      <c r="D138" s="265" t="s">
        <v>23</v>
      </c>
      <c r="E138" s="265"/>
      <c r="F138" s="265"/>
      <c r="G138" s="265"/>
      <c r="H138" s="301">
        <f>[16]XNV!$H$138</f>
        <v>18705.5</v>
      </c>
      <c r="I138" s="301">
        <f>[16]XNV!$I$138</f>
        <v>18705.5</v>
      </c>
      <c r="J138" s="301">
        <f>[16]XNV!$J$138</f>
        <v>29100.45</v>
      </c>
      <c r="K138" s="301">
        <f>[16]XNV!$K$138</f>
        <v>29100.45</v>
      </c>
      <c r="L138" s="301">
        <f>[16]XNV!$L$138</f>
        <v>29100.45</v>
      </c>
      <c r="M138" s="301">
        <f>[16]XNV!$M$138</f>
        <v>29100.45</v>
      </c>
      <c r="N138" s="301">
        <f>[16]XNV!$N$138</f>
        <v>29100.45</v>
      </c>
      <c r="O138" s="301">
        <f>[16]XNV!$O$138</f>
        <v>693441.18</v>
      </c>
      <c r="P138" s="301">
        <f>[16]XNV!$P$138</f>
        <v>693441.18</v>
      </c>
      <c r="Q138" s="301">
        <f>[16]XNV!$Q$138</f>
        <v>693549.91</v>
      </c>
      <c r="R138" s="301">
        <f>[16]XNV!$R$138</f>
        <v>693549.91</v>
      </c>
      <c r="S138" s="301">
        <f>[16]XNV!$S$138</f>
        <v>696465.62</v>
      </c>
      <c r="T138" s="301">
        <f>[16]XNV!$T$138</f>
        <v>700608.93</v>
      </c>
      <c r="U138" s="301"/>
      <c r="V138" s="475">
        <f>(SUM(I138:S138)+(0.5*T138)+(0.5*H138))/12</f>
        <v>332859.39708333334</v>
      </c>
      <c r="Y138" s="475">
        <f>T138</f>
        <v>700608.93</v>
      </c>
      <c r="Z138" s="475">
        <f t="shared" si="74"/>
        <v>332859.39708333334</v>
      </c>
      <c r="AA138" s="301">
        <f>V138</f>
        <v>332859.39708333334</v>
      </c>
      <c r="AB138" s="301">
        <f>T138</f>
        <v>700608.93</v>
      </c>
      <c r="AC138" s="301">
        <f t="shared" ref="AC138:AC203" si="152">HLOOKUP($AC$8,RateBaseScenarios,AE138,FALSE)</f>
        <v>332859.39708333334</v>
      </c>
      <c r="AD138" s="301">
        <f>AC138-T138</f>
        <v>-367749.53291666671</v>
      </c>
      <c r="AE138" s="216">
        <f t="shared" ref="AE138" si="153">+AE137+1</f>
        <v>131</v>
      </c>
      <c r="AF138" s="216" t="e">
        <f t="shared" si="113"/>
        <v>#REF!</v>
      </c>
      <c r="AG138" s="1">
        <v>-2736.9433333333336</v>
      </c>
      <c r="AH138" s="438"/>
      <c r="AI138" s="438"/>
      <c r="AJ138" s="438" t="s">
        <v>542</v>
      </c>
      <c r="AK138" s="438"/>
      <c r="AL138" s="439">
        <f>+T138</f>
        <v>700608.93</v>
      </c>
      <c r="AM138" s="10">
        <f>AC138</f>
        <v>332859.39708333334</v>
      </c>
      <c r="AN138" s="10">
        <f>AM138-AL138</f>
        <v>-367749.53291666671</v>
      </c>
      <c r="AO138" s="1">
        <f t="shared" si="78"/>
        <v>0</v>
      </c>
    </row>
    <row r="139" spans="1:41">
      <c r="A139" s="500">
        <f t="shared" ref="A139:A202" si="154">+A138+1</f>
        <v>1068</v>
      </c>
      <c r="B139" s="265"/>
      <c r="C139" s="265"/>
      <c r="D139" s="265" t="s">
        <v>12</v>
      </c>
      <c r="E139" s="265"/>
      <c r="F139" s="265"/>
      <c r="G139" s="265"/>
      <c r="H139" s="301">
        <f>[16]XNV!$H$139</f>
        <v>7886213.4099999992</v>
      </c>
      <c r="I139" s="301">
        <f>[16]XNV!$I$139</f>
        <v>7886213.4099999992</v>
      </c>
      <c r="J139" s="301">
        <f>[16]XNV!$J$139</f>
        <v>7922710.9699999988</v>
      </c>
      <c r="K139" s="301">
        <f>[16]XNV!$K$139</f>
        <v>8333284.9799999986</v>
      </c>
      <c r="L139" s="301">
        <f>[16]XNV!$L$139</f>
        <v>8488266.1399999987</v>
      </c>
      <c r="M139" s="301">
        <f>[16]XNV!$M$139</f>
        <v>8523912.6799999978</v>
      </c>
      <c r="N139" s="301">
        <f>[16]XNV!$N$139</f>
        <v>8724880.5599999987</v>
      </c>
      <c r="O139" s="301">
        <f>[16]XNV!$O$139</f>
        <v>8987701.5299999975</v>
      </c>
      <c r="P139" s="301">
        <f>[16]XNV!$P$139</f>
        <v>9190493.3899999969</v>
      </c>
      <c r="Q139" s="301">
        <f>[16]XNV!$Q$139</f>
        <v>9283269.5299999956</v>
      </c>
      <c r="R139" s="301">
        <f>[16]XNV!$R$139</f>
        <v>9402488.5399999954</v>
      </c>
      <c r="S139" s="301">
        <f>[16]XNV!$S$139</f>
        <v>9422788.6599999964</v>
      </c>
      <c r="T139" s="301">
        <f>[16]XNV!$T$139</f>
        <v>9424164.3399999961</v>
      </c>
      <c r="U139" s="301"/>
      <c r="V139" s="475">
        <f>(SUM(I139:S139)+(0.5*T139)+(0.5*H139))/12</f>
        <v>8735099.9387499988</v>
      </c>
      <c r="Y139" s="475">
        <f>T139</f>
        <v>9424164.3399999961</v>
      </c>
      <c r="Z139" s="475">
        <f>V139</f>
        <v>8735099.9387499988</v>
      </c>
      <c r="AA139" s="301">
        <f>V139</f>
        <v>8735099.9387499988</v>
      </c>
      <c r="AB139" s="301">
        <f>T139</f>
        <v>9424164.3399999961</v>
      </c>
      <c r="AC139" s="301">
        <f t="shared" si="152"/>
        <v>8735099.9387499988</v>
      </c>
      <c r="AD139" s="301">
        <f>AC139-T139</f>
        <v>-689064.40124999732</v>
      </c>
      <c r="AE139" s="216">
        <f t="shared" ref="AE139" si="155">+AE138+1</f>
        <v>132</v>
      </c>
      <c r="AF139" s="216" t="e">
        <f t="shared" si="113"/>
        <v>#REF!</v>
      </c>
      <c r="AG139" s="1">
        <v>-57224.493749999965</v>
      </c>
      <c r="AH139" s="438"/>
      <c r="AI139" s="438"/>
      <c r="AJ139" s="438" t="s">
        <v>543</v>
      </c>
      <c r="AK139" s="438"/>
      <c r="AL139" s="439">
        <f>+T139</f>
        <v>9424164.3399999961</v>
      </c>
      <c r="AM139" s="10">
        <f>AC139</f>
        <v>8735099.9387499988</v>
      </c>
      <c r="AN139" s="10">
        <f>AM139-AL139</f>
        <v>-689064.40124999732</v>
      </c>
      <c r="AO139" s="1">
        <f t="shared" ref="AO139:AO204" si="156">+AL139-T139</f>
        <v>0</v>
      </c>
    </row>
    <row r="140" spans="1:41">
      <c r="A140" s="500">
        <f t="shared" si="154"/>
        <v>1069</v>
      </c>
      <c r="B140" s="265"/>
      <c r="C140" s="265"/>
      <c r="D140" s="265" t="s">
        <v>544</v>
      </c>
      <c r="E140" s="265"/>
      <c r="F140" s="265"/>
      <c r="G140" s="265"/>
      <c r="H140" s="511">
        <f>[16]XNV!$H$140</f>
        <v>0</v>
      </c>
      <c r="I140" s="511">
        <f>[16]XNV!$I$140</f>
        <v>0</v>
      </c>
      <c r="J140" s="511">
        <f>[16]XNV!$J$140</f>
        <v>0</v>
      </c>
      <c r="K140" s="511">
        <f>[16]XNV!$K$140</f>
        <v>0</v>
      </c>
      <c r="L140" s="511">
        <f>[16]XNV!$L$140</f>
        <v>0</v>
      </c>
      <c r="M140" s="511">
        <f>[16]XNV!$M$140</f>
        <v>0</v>
      </c>
      <c r="N140" s="511">
        <f>[16]XNV!$N$140</f>
        <v>0</v>
      </c>
      <c r="O140" s="511">
        <f>[16]XNV!$O$140</f>
        <v>0</v>
      </c>
      <c r="P140" s="511">
        <f>[16]XNV!$P$140</f>
        <v>0</v>
      </c>
      <c r="Q140" s="511">
        <f>[16]XNV!$Q$140</f>
        <v>0</v>
      </c>
      <c r="R140" s="511">
        <f>[16]XNV!$R$140</f>
        <v>0</v>
      </c>
      <c r="S140" s="511">
        <f>[16]XNV!$S$140</f>
        <v>0</v>
      </c>
      <c r="T140" s="511">
        <f>[16]XNV!$T$140</f>
        <v>0</v>
      </c>
      <c r="U140" s="511"/>
      <c r="V140" s="510">
        <f>(SUM(I140:S140)+(0.5*T140)+(0.5*H140))/12</f>
        <v>0</v>
      </c>
      <c r="Y140" s="510">
        <f>T140</f>
        <v>0</v>
      </c>
      <c r="Z140" s="510">
        <f>V140</f>
        <v>0</v>
      </c>
      <c r="AA140" s="511">
        <f>V140</f>
        <v>0</v>
      </c>
      <c r="AB140" s="511">
        <f>T140</f>
        <v>0</v>
      </c>
      <c r="AC140" s="511">
        <f t="shared" si="152"/>
        <v>0</v>
      </c>
      <c r="AD140" s="511">
        <f>AC140-T140</f>
        <v>0</v>
      </c>
      <c r="AE140" s="216">
        <f t="shared" ref="AE140" si="157">+AE139+1</f>
        <v>133</v>
      </c>
      <c r="AF140" s="216" t="e">
        <f t="shared" si="113"/>
        <v>#REF!</v>
      </c>
      <c r="AG140" s="1">
        <v>0</v>
      </c>
      <c r="AH140" s="438"/>
      <c r="AI140" s="438"/>
      <c r="AJ140" s="438" t="s">
        <v>544</v>
      </c>
      <c r="AK140" s="438"/>
      <c r="AL140" s="439">
        <f>+T140</f>
        <v>0</v>
      </c>
      <c r="AM140" s="10">
        <f>AC140</f>
        <v>0</v>
      </c>
      <c r="AN140" s="10">
        <f>AM140-AL140</f>
        <v>0</v>
      </c>
      <c r="AO140" s="1">
        <f t="shared" si="156"/>
        <v>0</v>
      </c>
    </row>
    <row r="141" spans="1:41">
      <c r="A141" s="500">
        <f t="shared" si="154"/>
        <v>1070</v>
      </c>
      <c r="B141" s="265"/>
      <c r="C141" s="265"/>
      <c r="D141" s="265" t="s">
        <v>145</v>
      </c>
      <c r="E141" s="265"/>
      <c r="F141" s="265"/>
      <c r="G141" s="265"/>
      <c r="H141" s="301">
        <f t="shared" ref="H141:T141" si="158">SUM(H138:H140)</f>
        <v>7904918.9099999992</v>
      </c>
      <c r="I141" s="301">
        <f t="shared" si="158"/>
        <v>7904918.9099999992</v>
      </c>
      <c r="J141" s="301">
        <f t="shared" si="158"/>
        <v>7951811.419999999</v>
      </c>
      <c r="K141" s="301">
        <f t="shared" si="158"/>
        <v>8362385.4299999988</v>
      </c>
      <c r="L141" s="301">
        <f t="shared" si="158"/>
        <v>8517366.589999998</v>
      </c>
      <c r="M141" s="301">
        <f t="shared" si="158"/>
        <v>8553013.1299999971</v>
      </c>
      <c r="N141" s="301">
        <f t="shared" si="158"/>
        <v>8753981.0099999979</v>
      </c>
      <c r="O141" s="301">
        <f t="shared" si="158"/>
        <v>9681142.7099999972</v>
      </c>
      <c r="P141" s="301">
        <f t="shared" si="158"/>
        <v>9883934.5699999966</v>
      </c>
      <c r="Q141" s="301">
        <f t="shared" si="158"/>
        <v>9976819.4399999958</v>
      </c>
      <c r="R141" s="301">
        <f t="shared" si="158"/>
        <v>10096038.449999996</v>
      </c>
      <c r="S141" s="301">
        <f t="shared" si="158"/>
        <v>10119254.279999996</v>
      </c>
      <c r="T141" s="301">
        <f t="shared" si="158"/>
        <v>10124773.269999996</v>
      </c>
      <c r="U141" s="301"/>
      <c r="V141" s="475">
        <f>SUM(V138:V140)</f>
        <v>9067959.3358333316</v>
      </c>
      <c r="Y141" s="475">
        <f>T141</f>
        <v>10124773.269999996</v>
      </c>
      <c r="Z141" s="475">
        <f>V141</f>
        <v>9067959.3358333316</v>
      </c>
      <c r="AA141" s="301">
        <f>V141</f>
        <v>9067959.3358333316</v>
      </c>
      <c r="AB141" s="301">
        <f>T141</f>
        <v>10124773.269999996</v>
      </c>
      <c r="AC141" s="301">
        <f t="shared" si="152"/>
        <v>9067959.3358333316</v>
      </c>
      <c r="AD141" s="301">
        <f>AC141-T141</f>
        <v>-1056813.9341666643</v>
      </c>
      <c r="AE141" s="216">
        <f t="shared" ref="AE141" si="159">+AE140+1</f>
        <v>134</v>
      </c>
      <c r="AF141" s="216" t="e">
        <f t="shared" si="113"/>
        <v>#REF!</v>
      </c>
      <c r="AG141" s="1">
        <v>-59961.437083333323</v>
      </c>
      <c r="AH141" s="438"/>
      <c r="AI141" s="438"/>
      <c r="AJ141" s="438" t="s">
        <v>145</v>
      </c>
      <c r="AK141" s="438"/>
      <c r="AL141" s="439">
        <f>+T141</f>
        <v>10124773.269999996</v>
      </c>
      <c r="AM141" s="10">
        <f>AC141</f>
        <v>9067959.3358333316</v>
      </c>
      <c r="AN141" s="10">
        <f>AM141-AL141</f>
        <v>-1056813.9341666643</v>
      </c>
      <c r="AO141" s="1">
        <f t="shared" si="156"/>
        <v>0</v>
      </c>
    </row>
    <row r="142" spans="1:41">
      <c r="A142" s="500">
        <f t="shared" si="154"/>
        <v>1071</v>
      </c>
      <c r="B142" s="53"/>
      <c r="C142" s="265"/>
      <c r="D142" s="265"/>
      <c r="E142" s="265"/>
      <c r="F142" s="265"/>
      <c r="G142" s="265"/>
      <c r="AA142"/>
      <c r="AC142">
        <f t="shared" si="152"/>
        <v>0</v>
      </c>
      <c r="AE142" s="216">
        <f t="shared" ref="AE142" si="160">+AE141+1</f>
        <v>135</v>
      </c>
      <c r="AF142" s="216" t="e">
        <f t="shared" si="113"/>
        <v>#REF!</v>
      </c>
      <c r="AG142" s="1">
        <v>0</v>
      </c>
      <c r="AH142" s="53"/>
      <c r="AI142" s="438"/>
      <c r="AJ142" s="438"/>
      <c r="AK142" s="438"/>
      <c r="AL142" s="439"/>
      <c r="AO142" s="1">
        <f t="shared" si="156"/>
        <v>0</v>
      </c>
    </row>
    <row r="143" spans="1:41">
      <c r="A143" s="500">
        <f>+A142+1</f>
        <v>1072</v>
      </c>
      <c r="B143" s="265"/>
      <c r="C143" s="265" t="s">
        <v>245</v>
      </c>
      <c r="D143" s="265"/>
      <c r="E143" s="265"/>
      <c r="F143" s="265"/>
      <c r="G143" s="265"/>
      <c r="H143" s="301">
        <f>H141+H135+H130+H124+H118+H112+H107+H101+H95+H89+H17</f>
        <v>283587021.19</v>
      </c>
      <c r="I143" s="301">
        <f t="shared" ref="I143:T143" si="161">I141+I135+I130+I124+I118+I112+I107+I101+I95+I89+I17</f>
        <v>283751315.59999996</v>
      </c>
      <c r="J143" s="301">
        <f t="shared" si="161"/>
        <v>284510121.5</v>
      </c>
      <c r="K143" s="301">
        <f t="shared" si="161"/>
        <v>285063177.34999996</v>
      </c>
      <c r="L143" s="301">
        <f t="shared" si="161"/>
        <v>285268607.28000003</v>
      </c>
      <c r="M143" s="301">
        <f t="shared" si="161"/>
        <v>292610234.10000002</v>
      </c>
      <c r="N143" s="301">
        <f t="shared" si="161"/>
        <v>294960157.29000002</v>
      </c>
      <c r="O143" s="301">
        <f t="shared" si="161"/>
        <v>296171222.78000003</v>
      </c>
      <c r="P143" s="301">
        <f t="shared" si="161"/>
        <v>310934932.38999999</v>
      </c>
      <c r="Q143" s="301">
        <f t="shared" si="161"/>
        <v>311432881.49000001</v>
      </c>
      <c r="R143" s="301">
        <f t="shared" si="161"/>
        <v>312550553.47000003</v>
      </c>
      <c r="S143" s="301">
        <f t="shared" si="161"/>
        <v>313485660.74000001</v>
      </c>
      <c r="T143" s="301">
        <f t="shared" si="161"/>
        <v>315261357.34999996</v>
      </c>
      <c r="U143" s="301"/>
      <c r="V143" s="475">
        <f>V141+V135+V130+V124+V118+V112+V107+V101+V95+V89</f>
        <v>296747920.75791669</v>
      </c>
      <c r="Y143" s="475">
        <f>Y141+Y135+Y130+Y124+Y118+Y112+Y107+Y101+Y95+Y89</f>
        <v>312957009.45999998</v>
      </c>
      <c r="Z143" s="475">
        <f>Z141+Z135+Z130+Z124+Z118+Z112+Z107+Z101+Z95+Z89</f>
        <v>296747920.75791669</v>
      </c>
      <c r="AA143" s="475">
        <f>AA141+AA135+AA130+AA124+AA118+AA112+AA107+AA101+AA95+AA89</f>
        <v>296747920.75791669</v>
      </c>
      <c r="AB143" s="475">
        <f>AB141+AB135+AB130+AB124+AB118+AB112+AB107+AB101+AB95+AB89</f>
        <v>312957009.45999998</v>
      </c>
      <c r="AC143" s="301">
        <f t="shared" si="152"/>
        <v>296747920.75791669</v>
      </c>
      <c r="AD143" s="301">
        <f>AC143-T143</f>
        <v>-18513436.592083275</v>
      </c>
      <c r="AE143" s="216">
        <f>+AE142+1</f>
        <v>136</v>
      </c>
      <c r="AF143" s="216" t="e">
        <f>+#REF!+1</f>
        <v>#REF!</v>
      </c>
      <c r="AG143" s="1">
        <v>3720438.714166671</v>
      </c>
      <c r="AH143" s="438"/>
      <c r="AI143" s="438" t="s">
        <v>245</v>
      </c>
      <c r="AJ143" s="438"/>
      <c r="AK143" s="438"/>
      <c r="AL143" s="439">
        <f>+T143</f>
        <v>315261357.34999996</v>
      </c>
      <c r="AM143" s="10">
        <f>AC143</f>
        <v>296747920.75791669</v>
      </c>
      <c r="AN143" s="10">
        <f>AM143-AL143</f>
        <v>-18513436.592083275</v>
      </c>
      <c r="AO143" s="1">
        <f t="shared" si="156"/>
        <v>0</v>
      </c>
    </row>
    <row r="144" spans="1:41">
      <c r="A144" s="500">
        <f t="shared" si="154"/>
        <v>1073</v>
      </c>
      <c r="B144" s="461"/>
      <c r="C144" s="265"/>
      <c r="D144" s="265"/>
      <c r="AA144"/>
      <c r="AC144">
        <f t="shared" si="152"/>
        <v>0</v>
      </c>
      <c r="AE144" s="216">
        <f t="shared" ref="AE144" si="162">+AE143+1</f>
        <v>137</v>
      </c>
      <c r="AF144" s="216" t="e">
        <f t="shared" si="113"/>
        <v>#REF!</v>
      </c>
      <c r="AG144" s="1">
        <v>0</v>
      </c>
      <c r="AH144" s="441"/>
      <c r="AI144" s="158"/>
      <c r="AJ144" s="438"/>
      <c r="AK144" s="438"/>
      <c r="AL144" s="439"/>
      <c r="AO144" s="1">
        <f t="shared" si="156"/>
        <v>0</v>
      </c>
    </row>
    <row r="145" spans="1:41">
      <c r="A145" s="500">
        <f t="shared" si="154"/>
        <v>1074</v>
      </c>
      <c r="B145" s="327">
        <v>101</v>
      </c>
      <c r="C145" s="265" t="s">
        <v>606</v>
      </c>
      <c r="D145" s="265"/>
      <c r="H145" s="301"/>
      <c r="I145" s="301"/>
      <c r="J145" s="301"/>
      <c r="K145" s="301"/>
      <c r="L145" s="301"/>
      <c r="M145" s="301"/>
      <c r="N145" s="301"/>
      <c r="O145" s="301"/>
      <c r="P145" s="301"/>
      <c r="Q145" s="301"/>
      <c r="R145" s="301"/>
      <c r="S145" s="301"/>
      <c r="T145" s="301"/>
      <c r="U145" s="301"/>
      <c r="V145" s="475"/>
      <c r="Y145" s="475"/>
      <c r="Z145" s="475"/>
      <c r="AA145" s="301"/>
      <c r="AB145" s="301"/>
      <c r="AC145" s="301">
        <f t="shared" si="152"/>
        <v>0</v>
      </c>
      <c r="AD145" s="301"/>
      <c r="AE145" s="216">
        <f t="shared" ref="AE145" si="163">+AE144+1</f>
        <v>138</v>
      </c>
      <c r="AF145" s="216" t="e">
        <f t="shared" si="113"/>
        <v>#REF!</v>
      </c>
      <c r="AG145" s="1">
        <v>0</v>
      </c>
      <c r="AH145" s="441"/>
      <c r="AI145" s="158"/>
      <c r="AJ145" s="438"/>
      <c r="AK145" s="438"/>
      <c r="AL145" s="439"/>
      <c r="AO145" s="1">
        <f t="shared" si="156"/>
        <v>0</v>
      </c>
    </row>
    <row r="146" spans="1:41">
      <c r="A146" s="500">
        <f t="shared" si="154"/>
        <v>1075</v>
      </c>
      <c r="B146" s="327"/>
      <c r="C146" s="265"/>
      <c r="D146" s="265" t="s">
        <v>399</v>
      </c>
      <c r="H146" s="277">
        <f t="shared" ref="H146" si="164">H29</f>
        <v>79968136</v>
      </c>
      <c r="I146" s="277">
        <f t="shared" ref="I146:J146" si="165">I29</f>
        <v>79968136</v>
      </c>
      <c r="J146" s="277">
        <f t="shared" si="165"/>
        <v>79968136</v>
      </c>
      <c r="K146" s="277">
        <f t="shared" ref="K146:L146" si="166">K29</f>
        <v>79968136</v>
      </c>
      <c r="L146" s="277">
        <f t="shared" si="166"/>
        <v>79968136</v>
      </c>
      <c r="M146" s="277">
        <f t="shared" ref="M146:N146" si="167">M29</f>
        <v>79968136</v>
      </c>
      <c r="N146" s="277">
        <f t="shared" si="167"/>
        <v>79968136</v>
      </c>
      <c r="O146" s="277">
        <f t="shared" ref="O146:P146" si="168">O29</f>
        <v>79968136</v>
      </c>
      <c r="P146" s="277">
        <f t="shared" si="168"/>
        <v>79968136</v>
      </c>
      <c r="Q146" s="277">
        <f t="shared" ref="Q146:R146" si="169">Q29</f>
        <v>79968136</v>
      </c>
      <c r="R146" s="277">
        <f t="shared" si="169"/>
        <v>79968136</v>
      </c>
      <c r="S146" s="277">
        <f t="shared" ref="S146:T146" si="170">S29</f>
        <v>79968136</v>
      </c>
      <c r="T146" s="277">
        <f t="shared" si="170"/>
        <v>79968136</v>
      </c>
      <c r="U146" s="277"/>
      <c r="V146" s="421">
        <f>(SUM(I146:S146)+(0.5*T146)+(0.5*H146))/12</f>
        <v>79968136</v>
      </c>
      <c r="Y146" s="421">
        <f>Y29</f>
        <v>79968136</v>
      </c>
      <c r="Z146" s="421">
        <f>Z29</f>
        <v>79968136</v>
      </c>
      <c r="AA146" s="277">
        <f>AA29</f>
        <v>79968136</v>
      </c>
      <c r="AB146" s="277">
        <f>AB29</f>
        <v>79968136</v>
      </c>
      <c r="AC146" s="277">
        <f t="shared" si="152"/>
        <v>79968136</v>
      </c>
      <c r="AD146" s="277">
        <f>AC146-T146</f>
        <v>0</v>
      </c>
      <c r="AE146" s="216">
        <f t="shared" ref="AE146" si="171">+AE145+1</f>
        <v>139</v>
      </c>
      <c r="AF146" s="216" t="e">
        <f t="shared" si="113"/>
        <v>#REF!</v>
      </c>
      <c r="AG146" s="1">
        <v>1209425.5162500143</v>
      </c>
      <c r="AH146" s="441" t="s">
        <v>174</v>
      </c>
      <c r="AI146" s="438"/>
      <c r="AJ146" s="438" t="s">
        <v>399</v>
      </c>
      <c r="AK146" s="438"/>
      <c r="AL146" s="439">
        <f>+T146</f>
        <v>79968136</v>
      </c>
      <c r="AM146" s="10">
        <f>AC146</f>
        <v>79968136</v>
      </c>
      <c r="AN146" s="10">
        <f>AM146-AL146</f>
        <v>0</v>
      </c>
      <c r="AO146" s="1">
        <f t="shared" si="156"/>
        <v>0</v>
      </c>
    </row>
    <row r="147" spans="1:41">
      <c r="A147" s="500">
        <f t="shared" si="154"/>
        <v>1076</v>
      </c>
      <c r="B147" s="327"/>
      <c r="C147" s="265"/>
      <c r="D147" s="265" t="s">
        <v>542</v>
      </c>
      <c r="H147" s="277">
        <f t="shared" ref="H147" si="172">H15+H33+H38+H46+H54+H59+H64+H69+H74+H79</f>
        <v>104008305.97999999</v>
      </c>
      <c r="I147" s="277">
        <f t="shared" ref="I147:J147" si="173">I15+I33+I38+I46+I54+I59+I64+I69+I74+I79</f>
        <v>104008305.97999999</v>
      </c>
      <c r="J147" s="277">
        <f t="shared" si="173"/>
        <v>105948624.16000001</v>
      </c>
      <c r="K147" s="277">
        <f t="shared" ref="K147:L147" si="174">K15+K33+K38+K46+K54+K59+K64+K69+K74+K79</f>
        <v>106084706.7</v>
      </c>
      <c r="L147" s="277">
        <f t="shared" si="174"/>
        <v>106378214.31</v>
      </c>
      <c r="M147" s="277">
        <f t="shared" ref="M147:N147" si="175">M15+M33+M38+M46+M54+M59+M64+M69+M74+M79</f>
        <v>106347011</v>
      </c>
      <c r="N147" s="277">
        <f t="shared" si="175"/>
        <v>106333527.33</v>
      </c>
      <c r="O147" s="277">
        <f t="shared" ref="O147:P147" si="176">O15+O33+O38+O46+O54+O59+O64+O69+O74+O79</f>
        <v>106339249.29000001</v>
      </c>
      <c r="P147" s="277">
        <f t="shared" si="176"/>
        <v>106339249.29000001</v>
      </c>
      <c r="Q147" s="277">
        <f t="shared" ref="Q147:R147" si="177">Q15+Q33+Q38+Q46+Q54+Q59+Q64+Q69+Q74+Q79</f>
        <v>107352657.09999999</v>
      </c>
      <c r="R147" s="277">
        <f t="shared" si="177"/>
        <v>107352657.09999999</v>
      </c>
      <c r="S147" s="277">
        <f t="shared" ref="S147:T147" si="178">S15+S33+S38+S46+S54+S59+S64+S69+S74+S79</f>
        <v>107768728.73999998</v>
      </c>
      <c r="T147" s="277">
        <f t="shared" si="178"/>
        <v>107916657.60999998</v>
      </c>
      <c r="U147" s="277"/>
      <c r="V147" s="421">
        <f>(SUM(I147:S147)+(0.5*T147)+(0.5*H147))/12</f>
        <v>106351284.39958334</v>
      </c>
      <c r="Y147" s="277">
        <f>Y15+Y33+Y38+Y46+Y54+Y59+Y64+Y69+Y74+Y79</f>
        <v>107816932.03999998</v>
      </c>
      <c r="Z147" s="277">
        <f>Z15+Z33+Z38+Z46+Z54+Z59+Z64+Z69+Z74+Z79</f>
        <v>106351284.39958332</v>
      </c>
      <c r="AA147" s="277">
        <f>AA15+AA33+AA38+AA46+AA54+AA59+AA64+AA69+AA74+AA79</f>
        <v>106264024.52583332</v>
      </c>
      <c r="AB147" s="277">
        <f>AB15+AB33+AB38+AB46+AB54+AB59+AB64+AB69+AB74+AB79</f>
        <v>107816932.03999998</v>
      </c>
      <c r="AC147" s="277">
        <f t="shared" si="152"/>
        <v>106351284.39958332</v>
      </c>
      <c r="AD147" s="1095">
        <f>AC147-T147</f>
        <v>-1565373.2104166597</v>
      </c>
      <c r="AE147" s="216">
        <f t="shared" ref="AE147" si="179">+AE146+1</f>
        <v>140</v>
      </c>
      <c r="AF147" s="216" t="e">
        <f t="shared" si="113"/>
        <v>#REF!</v>
      </c>
      <c r="AG147" s="1">
        <v>-3585042.2199166715</v>
      </c>
      <c r="AH147" s="441"/>
      <c r="AI147" s="438"/>
      <c r="AJ147" s="438" t="s">
        <v>542</v>
      </c>
      <c r="AK147" s="438"/>
      <c r="AL147" s="439">
        <f>+T147</f>
        <v>107916657.60999998</v>
      </c>
      <c r="AM147" s="10">
        <f>AC147</f>
        <v>106351284.39958332</v>
      </c>
      <c r="AN147" s="10">
        <f>AM147-AL147</f>
        <v>-1565373.2104166597</v>
      </c>
      <c r="AO147" s="1">
        <f t="shared" si="156"/>
        <v>0</v>
      </c>
    </row>
    <row r="148" spans="1:41">
      <c r="A148" s="500">
        <f t="shared" si="154"/>
        <v>1077</v>
      </c>
      <c r="B148" s="327"/>
      <c r="C148" s="265"/>
      <c r="D148" s="265" t="s">
        <v>543</v>
      </c>
      <c r="H148" s="277">
        <f t="shared" ref="H148" si="180">H16+H34+H39+H50+H55+H60+H65+H70+H75+H80</f>
        <v>3128934006.3995719</v>
      </c>
      <c r="I148" s="277">
        <f t="shared" ref="I148:J148" si="181">I16+I34+I39+I50+I55+I60+I65+I70+I75+I80</f>
        <v>3155798596.7295718</v>
      </c>
      <c r="J148" s="277">
        <f t="shared" si="181"/>
        <v>3159179266.4795713</v>
      </c>
      <c r="K148" s="277">
        <f t="shared" ref="K148:L148" si="182">K16+K34+K39+K50+K55+K60+K65+K70+K75+K80</f>
        <v>3168402036.839572</v>
      </c>
      <c r="L148" s="277">
        <f t="shared" si="182"/>
        <v>3170514522.3295727</v>
      </c>
      <c r="M148" s="277">
        <f t="shared" ref="M148:N148" si="183">M16+M34+M39+M50+M55+M60+M65+M70+M75+M80</f>
        <v>3180054242.1795716</v>
      </c>
      <c r="N148" s="277">
        <f t="shared" si="183"/>
        <v>3226088442.6195717</v>
      </c>
      <c r="O148" s="277">
        <f t="shared" ref="O148:P148" si="184">O16+O34+O39+O50+O55+O60+O65+O70+O75+O80</f>
        <v>3229854769.6495719</v>
      </c>
      <c r="P148" s="277">
        <f t="shared" si="184"/>
        <v>3244492017.4495711</v>
      </c>
      <c r="Q148" s="277">
        <f t="shared" ref="Q148:R148" si="185">Q16+Q34+Q39+Q50+Q55+Q60+Q65+Q70+Q75+Q80</f>
        <v>3249802504.4695716</v>
      </c>
      <c r="R148" s="277">
        <f t="shared" si="185"/>
        <v>3254552713.6595716</v>
      </c>
      <c r="S148" s="277">
        <f t="shared" ref="S148:T148" si="186">S16+S34+S39+S50+S55+S60+S65+S70+S75+S80</f>
        <v>3293850222.9795713</v>
      </c>
      <c r="T148" s="277">
        <f t="shared" si="186"/>
        <v>3299541907.3495717</v>
      </c>
      <c r="U148" s="277"/>
      <c r="V148" s="421">
        <f>(SUM(I148:S148)+(0.5*T148)+(0.5*H148))/12</f>
        <v>3212235607.6883216</v>
      </c>
      <c r="Y148" s="277">
        <f>Y16+Y34+Y39+Y50+Y55+Y60+Y65+Y70+Y75+Y80</f>
        <v>3299541907.3495717</v>
      </c>
      <c r="Z148" s="277">
        <f>Z16+Z34+Z39+Z50+Z55+Z60+Z65+Z70+Z75+Z80</f>
        <v>3212235607.6883221</v>
      </c>
      <c r="AA148" s="277">
        <f>AA16+AA34+AA39+AA50+AA55+AA60+AA65+AA70+AA75+AA80</f>
        <v>3212235607.6883221</v>
      </c>
      <c r="AB148" s="277">
        <f>AB16+AB34+AB39+AB50+AB55+AB60+AB65+AB70+AB75+AB80</f>
        <v>3299541907.3495717</v>
      </c>
      <c r="AC148" s="277">
        <f t="shared" si="152"/>
        <v>3212235607.6883221</v>
      </c>
      <c r="AD148" s="277">
        <f>AC148-T148</f>
        <v>-87306299.661249638</v>
      </c>
      <c r="AE148" s="216">
        <f t="shared" ref="AE148" si="187">+AE147+1</f>
        <v>141</v>
      </c>
      <c r="AF148" s="216" t="e">
        <f t="shared" si="113"/>
        <v>#REF!</v>
      </c>
      <c r="AG148" s="1">
        <v>-60177632.848833561</v>
      </c>
      <c r="AH148" s="441"/>
      <c r="AI148" s="438"/>
      <c r="AJ148" s="438" t="s">
        <v>543</v>
      </c>
      <c r="AK148" s="438"/>
      <c r="AL148" s="439">
        <f>+T148</f>
        <v>3299541907.3495717</v>
      </c>
      <c r="AM148" s="10">
        <f>AC148</f>
        <v>3212235607.6883221</v>
      </c>
      <c r="AN148" s="10">
        <f>AM148-AL148</f>
        <v>-87306299.661249638</v>
      </c>
      <c r="AO148" s="1">
        <f t="shared" si="156"/>
        <v>0</v>
      </c>
    </row>
    <row r="149" spans="1:41">
      <c r="A149" s="500">
        <f t="shared" si="154"/>
        <v>1078</v>
      </c>
      <c r="B149" s="327"/>
      <c r="C149" s="265"/>
      <c r="D149" s="265" t="s">
        <v>544</v>
      </c>
      <c r="H149" s="277">
        <f t="shared" ref="H149:T149" si="188">H143</f>
        <v>283587021.19</v>
      </c>
      <c r="I149" s="277">
        <f t="shared" si="188"/>
        <v>283751315.59999996</v>
      </c>
      <c r="J149" s="277">
        <f t="shared" si="188"/>
        <v>284510121.5</v>
      </c>
      <c r="K149" s="277">
        <f t="shared" si="188"/>
        <v>285063177.34999996</v>
      </c>
      <c r="L149" s="277">
        <f t="shared" si="188"/>
        <v>285268607.28000003</v>
      </c>
      <c r="M149" s="277">
        <f t="shared" si="188"/>
        <v>292610234.10000002</v>
      </c>
      <c r="N149" s="277">
        <f t="shared" si="188"/>
        <v>294960157.29000002</v>
      </c>
      <c r="O149" s="277">
        <f t="shared" si="188"/>
        <v>296171222.78000003</v>
      </c>
      <c r="P149" s="277">
        <f t="shared" si="188"/>
        <v>310934932.38999999</v>
      </c>
      <c r="Q149" s="277">
        <f t="shared" si="188"/>
        <v>311432881.49000001</v>
      </c>
      <c r="R149" s="277">
        <f t="shared" si="188"/>
        <v>312550553.47000003</v>
      </c>
      <c r="S149" s="277">
        <f t="shared" si="188"/>
        <v>313485660.74000001</v>
      </c>
      <c r="T149" s="277">
        <f t="shared" si="188"/>
        <v>315261357.34999996</v>
      </c>
      <c r="U149" s="277"/>
      <c r="V149" s="421">
        <f>(SUM(I149:S149)+(0.5*T149)+(0.5*H149))/12</f>
        <v>297513587.77166665</v>
      </c>
      <c r="Y149" s="421">
        <f>Y143</f>
        <v>312957009.45999998</v>
      </c>
      <c r="Z149" s="421">
        <f>Z143</f>
        <v>296747920.75791669</v>
      </c>
      <c r="AA149" s="277">
        <f>AA143</f>
        <v>296747920.75791669</v>
      </c>
      <c r="AB149" s="277">
        <f>AB143</f>
        <v>312957009.45999998</v>
      </c>
      <c r="AC149" s="277">
        <f t="shared" si="152"/>
        <v>296747920.75791669</v>
      </c>
      <c r="AD149" s="518">
        <f>AC149-T149</f>
        <v>-18513436.592083275</v>
      </c>
      <c r="AE149" s="216">
        <f t="shared" ref="AE149" si="189">+AE148+1</f>
        <v>142</v>
      </c>
      <c r="AF149" s="216" t="e">
        <f t="shared" si="113"/>
        <v>#REF!</v>
      </c>
      <c r="AG149" s="1">
        <v>3720438.714166671</v>
      </c>
      <c r="AH149" s="441"/>
      <c r="AI149" s="438"/>
      <c r="AJ149" s="438" t="s">
        <v>544</v>
      </c>
      <c r="AK149" s="438"/>
      <c r="AL149" s="439">
        <f>+T149</f>
        <v>315261357.34999996</v>
      </c>
      <c r="AM149" s="359">
        <f>AC149</f>
        <v>296747920.75791669</v>
      </c>
      <c r="AN149" s="359">
        <f>AM149-AL149</f>
        <v>-18513436.592083275</v>
      </c>
      <c r="AO149" s="1">
        <f t="shared" si="156"/>
        <v>0</v>
      </c>
    </row>
    <row r="150" spans="1:41">
      <c r="A150" s="500">
        <f t="shared" si="154"/>
        <v>1079</v>
      </c>
      <c r="B150" s="327"/>
      <c r="C150" s="265"/>
      <c r="D150" s="265" t="s">
        <v>606</v>
      </c>
      <c r="H150" s="1064">
        <f t="shared" ref="H150:T150" si="190">SUM(H146:H149)</f>
        <v>3596497469.569572</v>
      </c>
      <c r="I150" s="1064">
        <f t="shared" si="190"/>
        <v>3623526354.3095717</v>
      </c>
      <c r="J150" s="1064">
        <f t="shared" si="190"/>
        <v>3629606148.1395712</v>
      </c>
      <c r="K150" s="1064">
        <f t="shared" si="190"/>
        <v>3639518056.8895717</v>
      </c>
      <c r="L150" s="1064">
        <f t="shared" si="190"/>
        <v>3642129479.9195728</v>
      </c>
      <c r="M150" s="1064">
        <f t="shared" si="190"/>
        <v>3658979623.2795715</v>
      </c>
      <c r="N150" s="1064">
        <f t="shared" si="190"/>
        <v>3707350263.2395716</v>
      </c>
      <c r="O150" s="1064">
        <f t="shared" si="190"/>
        <v>3712333377.7195721</v>
      </c>
      <c r="P150" s="1064">
        <f t="shared" si="190"/>
        <v>3741734335.129571</v>
      </c>
      <c r="Q150" s="1064">
        <f t="shared" si="190"/>
        <v>3748556179.0595713</v>
      </c>
      <c r="R150" s="1064">
        <f t="shared" si="190"/>
        <v>3754424060.2295713</v>
      </c>
      <c r="S150" s="1064">
        <f t="shared" si="190"/>
        <v>3795072748.4595709</v>
      </c>
      <c r="T150" s="1064">
        <f t="shared" si="190"/>
        <v>3802688058.3095717</v>
      </c>
      <c r="U150" s="323"/>
      <c r="V150" s="512">
        <f>(SUM(I150:S150)+(0.5*T150)+(0.5*H150))/12</f>
        <v>3696068615.859571</v>
      </c>
      <c r="Y150" s="512">
        <f>SUM(Y146:Y149)</f>
        <v>3800283984.8495717</v>
      </c>
      <c r="Z150" s="512">
        <f>SUM(Z146:Z149)</f>
        <v>3695302948.8458223</v>
      </c>
      <c r="AA150" s="323">
        <f>SUM(AA146:AA149)</f>
        <v>3695215688.9720716</v>
      </c>
      <c r="AB150" s="323">
        <f>SUM(AB146:AB149)</f>
        <v>3800283984.8495717</v>
      </c>
      <c r="AC150" s="323">
        <f t="shared" si="152"/>
        <v>3695302948.8458223</v>
      </c>
      <c r="AD150" s="277">
        <f>AC150-T150</f>
        <v>-107385109.46374941</v>
      </c>
      <c r="AE150" s="216">
        <f t="shared" ref="AE150" si="191">+AE149+1</f>
        <v>143</v>
      </c>
      <c r="AF150" s="216" t="e">
        <f t="shared" si="113"/>
        <v>#REF!</v>
      </c>
      <c r="AG150" s="1">
        <v>-58832810.838333368</v>
      </c>
      <c r="AH150" s="441"/>
      <c r="AI150" s="438"/>
      <c r="AJ150" s="158" t="s">
        <v>606</v>
      </c>
      <c r="AK150" s="438"/>
      <c r="AL150" s="442">
        <f>SUM(AL146:AL149)</f>
        <v>3802688058.3095717</v>
      </c>
      <c r="AM150" s="10">
        <f>AC150</f>
        <v>3695302948.8458223</v>
      </c>
      <c r="AN150" s="10">
        <f>AM150-AL150</f>
        <v>-107385109.46374941</v>
      </c>
      <c r="AO150" s="1">
        <f t="shared" si="156"/>
        <v>0</v>
      </c>
    </row>
    <row r="151" spans="1:41">
      <c r="A151" s="500">
        <f t="shared" si="154"/>
        <v>1080</v>
      </c>
      <c r="B151" s="327"/>
      <c r="C151" s="265"/>
      <c r="D151" s="265"/>
      <c r="V151" s="222"/>
      <c r="Y151" s="222"/>
      <c r="AA151"/>
      <c r="AC151">
        <f t="shared" si="152"/>
        <v>0</v>
      </c>
      <c r="AE151" s="216">
        <f t="shared" ref="AE151" si="192">+AE150+1</f>
        <v>144</v>
      </c>
      <c r="AF151" s="216" t="e">
        <f t="shared" si="113"/>
        <v>#REF!</v>
      </c>
      <c r="AG151" s="1">
        <v>0</v>
      </c>
      <c r="AH151" s="441"/>
      <c r="AI151" s="438"/>
      <c r="AJ151" s="438"/>
      <c r="AK151" s="438"/>
      <c r="AL151" s="439"/>
      <c r="AO151" s="1">
        <f t="shared" si="156"/>
        <v>0</v>
      </c>
    </row>
    <row r="152" spans="1:41">
      <c r="A152" s="500">
        <f t="shared" si="154"/>
        <v>1081</v>
      </c>
      <c r="B152" s="327">
        <v>105</v>
      </c>
      <c r="C152" s="265" t="s">
        <v>265</v>
      </c>
      <c r="D152" s="265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AA152"/>
      <c r="AC152">
        <f t="shared" si="152"/>
        <v>0</v>
      </c>
      <c r="AE152" s="216">
        <f t="shared" ref="AE152" si="193">+AE151+1</f>
        <v>145</v>
      </c>
      <c r="AF152" s="216" t="e">
        <f t="shared" si="113"/>
        <v>#REF!</v>
      </c>
      <c r="AG152" s="1">
        <v>0</v>
      </c>
      <c r="AH152" s="441">
        <v>105</v>
      </c>
      <c r="AI152" s="438" t="s">
        <v>265</v>
      </c>
      <c r="AJ152" s="438"/>
      <c r="AK152" s="438"/>
      <c r="AL152" s="439"/>
      <c r="AO152" s="1">
        <f t="shared" si="156"/>
        <v>0</v>
      </c>
    </row>
    <row r="153" spans="1:41">
      <c r="A153" s="500">
        <f t="shared" si="154"/>
        <v>1082</v>
      </c>
      <c r="B153" s="327"/>
      <c r="C153" s="265"/>
      <c r="D153" s="265" t="s">
        <v>543</v>
      </c>
      <c r="H153" s="301">
        <f>[16]XNV!$H$153</f>
        <v>0</v>
      </c>
      <c r="I153" s="301">
        <f>[16]XNV!$I$153</f>
        <v>0</v>
      </c>
      <c r="J153" s="301">
        <f>[16]XNV!$J$153</f>
        <v>0</v>
      </c>
      <c r="K153" s="301">
        <f>[16]XNV!$K$153</f>
        <v>0</v>
      </c>
      <c r="L153" s="301">
        <f>[16]XNV!$L$153</f>
        <v>0</v>
      </c>
      <c r="M153" s="301">
        <f>[16]XNV!$M$153</f>
        <v>0</v>
      </c>
      <c r="N153" s="301">
        <f>[16]XNV!$N$153</f>
        <v>0</v>
      </c>
      <c r="O153" s="301">
        <f>[16]XNV!$O$153</f>
        <v>0</v>
      </c>
      <c r="P153" s="301">
        <f>[16]XNV!$P$153</f>
        <v>0</v>
      </c>
      <c r="Q153" s="301">
        <f>[16]XNV!$Q$153</f>
        <v>0</v>
      </c>
      <c r="R153" s="301">
        <f>[16]XNV!$R$153</f>
        <v>0</v>
      </c>
      <c r="S153" s="301">
        <f>[16]XNV!$S$153</f>
        <v>0</v>
      </c>
      <c r="T153" s="301">
        <f>[16]XNV!$T$153</f>
        <v>0</v>
      </c>
      <c r="U153" s="301"/>
      <c r="V153" s="475">
        <f>(SUM(I153:S153)+(0.5*T153)+(0.5*H153))/12</f>
        <v>0</v>
      </c>
      <c r="Y153" s="475">
        <f>T153</f>
        <v>0</v>
      </c>
      <c r="Z153" s="475">
        <f>V153</f>
        <v>0</v>
      </c>
      <c r="AA153" s="301">
        <f>V153</f>
        <v>0</v>
      </c>
      <c r="AB153" s="301">
        <f>T153</f>
        <v>0</v>
      </c>
      <c r="AC153" s="301">
        <f t="shared" si="152"/>
        <v>0</v>
      </c>
      <c r="AD153" s="301">
        <f>AC153-T153</f>
        <v>0</v>
      </c>
      <c r="AE153" s="216">
        <f t="shared" ref="AE153" si="194">+AE152+1</f>
        <v>146</v>
      </c>
      <c r="AF153" s="216" t="e">
        <f t="shared" si="113"/>
        <v>#REF!</v>
      </c>
      <c r="AG153" s="1">
        <v>0</v>
      </c>
      <c r="AH153" s="441"/>
      <c r="AI153" s="438"/>
      <c r="AJ153" s="438" t="s">
        <v>543</v>
      </c>
      <c r="AK153" s="438"/>
      <c r="AL153" s="439">
        <f>+T153</f>
        <v>0</v>
      </c>
      <c r="AM153" s="359">
        <f>AC153</f>
        <v>0</v>
      </c>
      <c r="AN153" s="359">
        <f>AM153-AL153</f>
        <v>0</v>
      </c>
      <c r="AO153" s="1">
        <f t="shared" si="156"/>
        <v>0</v>
      </c>
    </row>
    <row r="154" spans="1:41">
      <c r="A154" s="500">
        <f t="shared" si="154"/>
        <v>1083</v>
      </c>
      <c r="B154" s="327"/>
      <c r="C154" s="265"/>
      <c r="D154" s="265" t="s">
        <v>145</v>
      </c>
      <c r="H154" s="1064">
        <f t="shared" ref="H154:T154" si="195">SUM(H153)</f>
        <v>0</v>
      </c>
      <c r="I154" s="1064">
        <f t="shared" si="195"/>
        <v>0</v>
      </c>
      <c r="J154" s="1064">
        <f t="shared" si="195"/>
        <v>0</v>
      </c>
      <c r="K154" s="1064">
        <f t="shared" si="195"/>
        <v>0</v>
      </c>
      <c r="L154" s="1064">
        <f t="shared" si="195"/>
        <v>0</v>
      </c>
      <c r="M154" s="1064">
        <f t="shared" si="195"/>
        <v>0</v>
      </c>
      <c r="N154" s="1064">
        <f t="shared" si="195"/>
        <v>0</v>
      </c>
      <c r="O154" s="1064">
        <f t="shared" si="195"/>
        <v>0</v>
      </c>
      <c r="P154" s="1064">
        <f t="shared" si="195"/>
        <v>0</v>
      </c>
      <c r="Q154" s="1064">
        <f t="shared" si="195"/>
        <v>0</v>
      </c>
      <c r="R154" s="1064">
        <f t="shared" si="195"/>
        <v>0</v>
      </c>
      <c r="S154" s="1064">
        <f t="shared" si="195"/>
        <v>0</v>
      </c>
      <c r="T154" s="1064">
        <f t="shared" si="195"/>
        <v>0</v>
      </c>
      <c r="U154" s="323"/>
      <c r="V154" s="512">
        <f>(SUM(I154:S154)+(0.5*T154)+(0.5*H154))/12</f>
        <v>0</v>
      </c>
      <c r="Y154" s="512">
        <f>T154</f>
        <v>0</v>
      </c>
      <c r="Z154" s="512">
        <f>V154</f>
        <v>0</v>
      </c>
      <c r="AA154" s="323">
        <f>V154</f>
        <v>0</v>
      </c>
      <c r="AB154" s="323">
        <f>T154</f>
        <v>0</v>
      </c>
      <c r="AC154" s="323">
        <f t="shared" si="152"/>
        <v>0</v>
      </c>
      <c r="AD154" s="323">
        <f>AC154-T154</f>
        <v>0</v>
      </c>
      <c r="AE154" s="216">
        <f t="shared" ref="AE154" si="196">+AE153+1</f>
        <v>147</v>
      </c>
      <c r="AF154" s="216" t="e">
        <f t="shared" si="113"/>
        <v>#REF!</v>
      </c>
      <c r="AG154" s="1">
        <v>0</v>
      </c>
      <c r="AH154" s="441"/>
      <c r="AI154" s="438"/>
      <c r="AJ154" s="438" t="s">
        <v>145</v>
      </c>
      <c r="AK154" s="438"/>
      <c r="AL154" s="442">
        <f>SUM(AL153)</f>
        <v>0</v>
      </c>
      <c r="AM154" s="10">
        <f>AC154</f>
        <v>0</v>
      </c>
      <c r="AN154" s="10">
        <f>AM154-AL154</f>
        <v>0</v>
      </c>
      <c r="AO154" s="1">
        <f t="shared" si="156"/>
        <v>0</v>
      </c>
    </row>
    <row r="155" spans="1:41">
      <c r="A155" s="500">
        <f t="shared" si="154"/>
        <v>1084</v>
      </c>
      <c r="B155" s="327"/>
      <c r="C155" s="265"/>
      <c r="D155" s="265"/>
      <c r="AA155"/>
      <c r="AC155">
        <f t="shared" si="152"/>
        <v>0</v>
      </c>
      <c r="AE155" s="216">
        <f t="shared" ref="AE155" si="197">+AE154+1</f>
        <v>148</v>
      </c>
      <c r="AF155" s="216" t="e">
        <f t="shared" si="113"/>
        <v>#REF!</v>
      </c>
      <c r="AG155" s="1">
        <v>0</v>
      </c>
      <c r="AH155" s="441"/>
      <c r="AI155" s="438"/>
      <c r="AJ155" s="438"/>
      <c r="AK155" s="438"/>
      <c r="AL155" s="439"/>
      <c r="AO155" s="1">
        <f t="shared" si="156"/>
        <v>0</v>
      </c>
    </row>
    <row r="156" spans="1:41">
      <c r="A156" s="500">
        <f t="shared" si="154"/>
        <v>1085</v>
      </c>
      <c r="B156" s="327">
        <v>106</v>
      </c>
      <c r="C156" s="265" t="s">
        <v>927</v>
      </c>
      <c r="D156" s="265"/>
      <c r="AA156"/>
      <c r="AC156">
        <f t="shared" si="152"/>
        <v>0</v>
      </c>
      <c r="AE156" s="216">
        <f t="shared" ref="AE156" si="198">+AE155+1</f>
        <v>149</v>
      </c>
      <c r="AF156" s="216" t="e">
        <f t="shared" si="113"/>
        <v>#REF!</v>
      </c>
      <c r="AG156" s="1">
        <v>0</v>
      </c>
      <c r="AH156" s="441">
        <v>106</v>
      </c>
      <c r="AI156" s="265" t="s">
        <v>607</v>
      </c>
      <c r="AJ156" s="438"/>
      <c r="AK156" s="438"/>
      <c r="AL156" s="439"/>
      <c r="AO156" s="1">
        <f t="shared" si="156"/>
        <v>0</v>
      </c>
    </row>
    <row r="157" spans="1:41">
      <c r="A157" s="500">
        <f t="shared" si="154"/>
        <v>1086</v>
      </c>
      <c r="B157" s="327"/>
      <c r="C157" s="265"/>
      <c r="D157" s="265" t="s">
        <v>399</v>
      </c>
      <c r="H157" s="301">
        <f>[16]XNV!$H$157</f>
        <v>0</v>
      </c>
      <c r="I157" s="301">
        <f>[16]XNV!$I$157</f>
        <v>0</v>
      </c>
      <c r="J157" s="301">
        <f>[16]XNV!$J$157</f>
        <v>0</v>
      </c>
      <c r="K157" s="301">
        <f>[16]XNV!$K$157</f>
        <v>0</v>
      </c>
      <c r="L157" s="301">
        <f>[16]XNV!$L$157</f>
        <v>0</v>
      </c>
      <c r="M157" s="301">
        <f>[16]XNV!$M$157</f>
        <v>0</v>
      </c>
      <c r="N157" s="301">
        <f>[16]XNV!$N$157</f>
        <v>0</v>
      </c>
      <c r="O157" s="301">
        <f>[16]XNV!$O$157</f>
        <v>0</v>
      </c>
      <c r="P157" s="301">
        <f>[16]XNV!$P$157</f>
        <v>0</v>
      </c>
      <c r="Q157" s="301">
        <f>[16]XNV!$Q$157</f>
        <v>0</v>
      </c>
      <c r="R157" s="301">
        <f>[16]XNV!$R$157</f>
        <v>0</v>
      </c>
      <c r="S157" s="301">
        <f>[16]XNV!$S$157</f>
        <v>0</v>
      </c>
      <c r="T157" s="301">
        <f>[16]XNV!$T$157</f>
        <v>0</v>
      </c>
      <c r="U157" s="301"/>
      <c r="V157" s="475">
        <f>(SUM(I157:S157)+(0.5*T157)+(0.5*H157))/12</f>
        <v>0</v>
      </c>
      <c r="Y157" s="475">
        <f>T157</f>
        <v>0</v>
      </c>
      <c r="Z157" s="475">
        <f>V157</f>
        <v>0</v>
      </c>
      <c r="AA157" s="301">
        <f>V157</f>
        <v>0</v>
      </c>
      <c r="AB157" s="301">
        <f>T157</f>
        <v>0</v>
      </c>
      <c r="AC157" s="301">
        <f t="shared" si="152"/>
        <v>0</v>
      </c>
      <c r="AD157" s="301">
        <f>AC157-T157</f>
        <v>0</v>
      </c>
      <c r="AE157" s="216">
        <f t="shared" ref="AE157" si="199">+AE156+1</f>
        <v>150</v>
      </c>
      <c r="AF157" s="216" t="e">
        <f t="shared" si="113"/>
        <v>#REF!</v>
      </c>
      <c r="AG157" s="1">
        <v>0</v>
      </c>
      <c r="AH157" s="441"/>
      <c r="AI157" s="438"/>
      <c r="AJ157" s="438" t="s">
        <v>399</v>
      </c>
      <c r="AK157" s="438"/>
      <c r="AL157" s="439">
        <f>+T157</f>
        <v>0</v>
      </c>
      <c r="AM157" s="10">
        <f>AC157</f>
        <v>0</v>
      </c>
      <c r="AN157" s="10">
        <f>AM157-AL157</f>
        <v>0</v>
      </c>
      <c r="AO157" s="1">
        <f t="shared" si="156"/>
        <v>0</v>
      </c>
    </row>
    <row r="158" spans="1:41">
      <c r="A158" s="500">
        <f t="shared" si="154"/>
        <v>1087</v>
      </c>
      <c r="B158" s="327"/>
      <c r="C158" s="265"/>
      <c r="D158" s="265" t="s">
        <v>542</v>
      </c>
      <c r="H158" s="301">
        <f>[16]XNV!$H$158</f>
        <v>3998672.0700000003</v>
      </c>
      <c r="I158" s="301">
        <f>[16]XNV!$I$158</f>
        <v>4346474.74</v>
      </c>
      <c r="J158" s="301">
        <f>[16]XNV!$J$158</f>
        <v>3891877.2500000005</v>
      </c>
      <c r="K158" s="301">
        <f>[16]XNV!$K$158</f>
        <v>4351003.1099999994</v>
      </c>
      <c r="L158" s="301">
        <f>[16]XNV!$L$158</f>
        <v>4295503.1100000003</v>
      </c>
      <c r="M158" s="301">
        <f>[16]XNV!$M$158</f>
        <v>4498773.53</v>
      </c>
      <c r="N158" s="301">
        <f>[16]XNV!$N$158</f>
        <v>4820684.4799999986</v>
      </c>
      <c r="O158" s="301">
        <f>[16]XNV!$O$158</f>
        <v>5046231.93</v>
      </c>
      <c r="P158" s="301">
        <f>[16]XNV!$P$158</f>
        <v>4553052.4499999993</v>
      </c>
      <c r="Q158" s="301">
        <f>[16]XNV!$Q$158</f>
        <v>4514078.22</v>
      </c>
      <c r="R158" s="301">
        <f>[16]XNV!$R$158</f>
        <v>4657313.1199999992</v>
      </c>
      <c r="S158" s="301">
        <f>[16]XNV!$S$158</f>
        <v>4467193.3500000006</v>
      </c>
      <c r="T158" s="301">
        <f>[16]XNV!$T$158</f>
        <v>4597441.42</v>
      </c>
      <c r="U158" s="301"/>
      <c r="V158" s="475">
        <f>(SUM(I158:S158)+(0.5*T158)+(0.5*H158))/12</f>
        <v>4478353.5029166667</v>
      </c>
      <c r="Y158" s="475">
        <f>T158</f>
        <v>4597441.42</v>
      </c>
      <c r="Z158" s="475">
        <f>V158</f>
        <v>4478353.5029166667</v>
      </c>
      <c r="AA158" s="301">
        <f>V158</f>
        <v>4478353.5029166667</v>
      </c>
      <c r="AB158" s="301">
        <f>T158</f>
        <v>4597441.42</v>
      </c>
      <c r="AC158" s="301">
        <f t="shared" si="152"/>
        <v>4478353.5029166667</v>
      </c>
      <c r="AD158" s="301">
        <f>AC158-T158</f>
        <v>-119087.91708333325</v>
      </c>
      <c r="AE158" s="216">
        <f t="shared" ref="AE158" si="200">+AE157+1</f>
        <v>151</v>
      </c>
      <c r="AF158" s="216" t="e">
        <f t="shared" si="113"/>
        <v>#REF!</v>
      </c>
      <c r="AG158" s="1">
        <v>153652.13958333328</v>
      </c>
      <c r="AH158" s="441"/>
      <c r="AI158" s="438"/>
      <c r="AJ158" s="438" t="s">
        <v>542</v>
      </c>
      <c r="AK158" s="438"/>
      <c r="AL158" s="439">
        <f>+T158</f>
        <v>4597441.42</v>
      </c>
      <c r="AM158" s="10">
        <f>AC158</f>
        <v>4478353.5029166667</v>
      </c>
      <c r="AN158" s="10">
        <f>AM158-AL158</f>
        <v>-119087.91708333325</v>
      </c>
      <c r="AO158" s="1">
        <f t="shared" si="156"/>
        <v>0</v>
      </c>
    </row>
    <row r="159" spans="1:41">
      <c r="A159" s="500">
        <f t="shared" si="154"/>
        <v>1088</v>
      </c>
      <c r="B159" s="327"/>
      <c r="C159" s="265"/>
      <c r="D159" s="265" t="s">
        <v>543</v>
      </c>
      <c r="H159" s="301">
        <f>[16]XNV!$H$159</f>
        <v>171603655.01000002</v>
      </c>
      <c r="I159" s="301">
        <f>[16]XNV!$I$159</f>
        <v>160220195.93000001</v>
      </c>
      <c r="J159" s="301">
        <f>[16]XNV!$J$159</f>
        <v>170753665.65000001</v>
      </c>
      <c r="K159" s="301">
        <f>[16]XNV!$K$159</f>
        <v>178697305.61000001</v>
      </c>
      <c r="L159" s="301">
        <f>[16]XNV!$L$159</f>
        <v>253702153.80999997</v>
      </c>
      <c r="M159" s="301">
        <f>[16]XNV!$M$159</f>
        <v>264272798.98999998</v>
      </c>
      <c r="N159" s="301">
        <f>[16]XNV!$N$159</f>
        <v>419708103.70999998</v>
      </c>
      <c r="O159" s="301">
        <f>[16]XNV!$O$159</f>
        <v>457033451.43000001</v>
      </c>
      <c r="P159" s="301">
        <f>[16]XNV!$P$159</f>
        <v>456213652.14999998</v>
      </c>
      <c r="Q159" s="301">
        <f>[16]XNV!$Q$159</f>
        <v>495270981.40999997</v>
      </c>
      <c r="R159" s="301">
        <f>[16]XNV!$R$159</f>
        <v>500914967.29000002</v>
      </c>
      <c r="S159" s="301">
        <f>[16]XNV!$S$159</f>
        <v>482223590.99000001</v>
      </c>
      <c r="T159" s="301">
        <f>[16]XNV!$T$159</f>
        <v>497248000.40999997</v>
      </c>
      <c r="U159" s="301"/>
      <c r="V159" s="475">
        <f>(SUM(I159:S159)+(0.5*T159)+(0.5*H159))/12</f>
        <v>347786391.22333336</v>
      </c>
      <c r="Y159" s="475">
        <f>T159</f>
        <v>497248000.40999997</v>
      </c>
      <c r="Z159" s="475">
        <f>V159</f>
        <v>347786391.22333336</v>
      </c>
      <c r="AA159" s="301">
        <f>V159</f>
        <v>347786391.22333336</v>
      </c>
      <c r="AB159" s="301">
        <f>T159</f>
        <v>497248000.40999997</v>
      </c>
      <c r="AC159" s="301">
        <f t="shared" si="152"/>
        <v>347786391.22333336</v>
      </c>
      <c r="AD159" s="301">
        <f>AC159-T159</f>
        <v>-149461609.18666661</v>
      </c>
      <c r="AE159" s="216">
        <f t="shared" ref="AE159" si="201">+AE158+1</f>
        <v>152</v>
      </c>
      <c r="AF159" s="216" t="e">
        <f t="shared" si="113"/>
        <v>#REF!</v>
      </c>
      <c r="AG159" s="1">
        <v>-5127067.2633333337</v>
      </c>
      <c r="AH159" s="441"/>
      <c r="AI159" s="438"/>
      <c r="AJ159" s="438" t="s">
        <v>543</v>
      </c>
      <c r="AK159" s="438"/>
      <c r="AL159" s="439">
        <f>+T159</f>
        <v>497248000.40999997</v>
      </c>
      <c r="AM159" s="10">
        <f>AC159</f>
        <v>347786391.22333336</v>
      </c>
      <c r="AN159" s="10">
        <f>AM159-AL159</f>
        <v>-149461609.18666661</v>
      </c>
      <c r="AO159" s="1">
        <f t="shared" si="156"/>
        <v>0</v>
      </c>
    </row>
    <row r="160" spans="1:41">
      <c r="A160" s="500">
        <f t="shared" si="154"/>
        <v>1089</v>
      </c>
      <c r="B160" s="327"/>
      <c r="C160" s="265"/>
      <c r="D160" s="265" t="s">
        <v>544</v>
      </c>
      <c r="H160" s="301">
        <f>[16]XNV!$H$160</f>
        <v>14569062.15</v>
      </c>
      <c r="I160" s="301">
        <f>[16]XNV!$I$160</f>
        <v>15681908.509999998</v>
      </c>
      <c r="J160" s="301">
        <f>[16]XNV!$J$160</f>
        <v>15474032.73</v>
      </c>
      <c r="K160" s="301">
        <f>[16]XNV!$K$160</f>
        <v>15449749.789999999</v>
      </c>
      <c r="L160" s="301">
        <f>[16]XNV!$L$160</f>
        <v>15451274.279999999</v>
      </c>
      <c r="M160" s="301">
        <f>[16]XNV!$M$160</f>
        <v>17471039.940000001</v>
      </c>
      <c r="N160" s="301">
        <f>[16]XNV!$N$160</f>
        <v>22044944.930000003</v>
      </c>
      <c r="O160" s="301">
        <f>[16]XNV!$O$160</f>
        <v>22190566.090000004</v>
      </c>
      <c r="P160" s="301">
        <f>[16]XNV!$P$160</f>
        <v>8415317.7899999991</v>
      </c>
      <c r="Q160" s="301">
        <f>[16]XNV!$Q$160</f>
        <v>9469801.3100000005</v>
      </c>
      <c r="R160" s="301">
        <f>[16]XNV!$R$160</f>
        <v>11987122.190000001</v>
      </c>
      <c r="S160" s="301">
        <f>[16]XNV!$S$160</f>
        <v>9717455.5099999998</v>
      </c>
      <c r="T160" s="301">
        <f>[16]XNV!$T$160</f>
        <v>9897094.6699999999</v>
      </c>
      <c r="U160" s="301"/>
      <c r="V160" s="475">
        <f>(SUM(I160:S160)+(0.5*T160)+(0.5*H160))/12</f>
        <v>14632190.956666665</v>
      </c>
      <c r="Y160" s="475">
        <f>T160</f>
        <v>9897094.6699999999</v>
      </c>
      <c r="Z160" s="475">
        <f>V160</f>
        <v>14632190.956666665</v>
      </c>
      <c r="AA160" s="301">
        <f>V160</f>
        <v>14632190.956666665</v>
      </c>
      <c r="AB160" s="301">
        <f>T160</f>
        <v>9897094.6699999999</v>
      </c>
      <c r="AC160" s="301">
        <f t="shared" si="152"/>
        <v>14632190.956666665</v>
      </c>
      <c r="AD160" s="301">
        <f>AC160-T160</f>
        <v>4735096.2866666652</v>
      </c>
      <c r="AE160" s="216">
        <f t="shared" ref="AE160" si="202">+AE159+1</f>
        <v>153</v>
      </c>
      <c r="AF160" s="216" t="e">
        <f t="shared" si="113"/>
        <v>#REF!</v>
      </c>
      <c r="AG160" s="1">
        <v>566482.32333333348</v>
      </c>
      <c r="AH160" s="441"/>
      <c r="AI160" s="438"/>
      <c r="AJ160" s="438" t="s">
        <v>544</v>
      </c>
      <c r="AK160" s="438"/>
      <c r="AL160" s="439">
        <f>+T160</f>
        <v>9897094.6699999999</v>
      </c>
      <c r="AM160" s="359">
        <f>AC160</f>
        <v>14632190.956666665</v>
      </c>
      <c r="AN160" s="359">
        <f>AM160-AL160</f>
        <v>4735096.2866666652</v>
      </c>
      <c r="AO160" s="1">
        <f t="shared" si="156"/>
        <v>0</v>
      </c>
    </row>
    <row r="161" spans="1:41">
      <c r="A161" s="500">
        <f t="shared" si="154"/>
        <v>1090</v>
      </c>
      <c r="B161" s="327"/>
      <c r="C161" s="265"/>
      <c r="D161" s="265" t="s">
        <v>145</v>
      </c>
      <c r="H161" s="1064">
        <f t="shared" ref="H161:T161" si="203">SUM(H157:H160)</f>
        <v>190171389.23000002</v>
      </c>
      <c r="I161" s="1064">
        <f t="shared" si="203"/>
        <v>180248579.18000001</v>
      </c>
      <c r="J161" s="1064">
        <f t="shared" si="203"/>
        <v>190119575.63</v>
      </c>
      <c r="K161" s="1064">
        <f t="shared" si="203"/>
        <v>198498058.51000002</v>
      </c>
      <c r="L161" s="1064">
        <f t="shared" si="203"/>
        <v>273448931.19999999</v>
      </c>
      <c r="M161" s="1064">
        <f t="shared" si="203"/>
        <v>286242612.45999998</v>
      </c>
      <c r="N161" s="1064">
        <f t="shared" si="203"/>
        <v>446573733.12</v>
      </c>
      <c r="O161" s="1064">
        <f t="shared" si="203"/>
        <v>484270249.45000005</v>
      </c>
      <c r="P161" s="1064">
        <f t="shared" si="203"/>
        <v>469182022.38999999</v>
      </c>
      <c r="Q161" s="1064">
        <f t="shared" si="203"/>
        <v>509254860.94</v>
      </c>
      <c r="R161" s="1064">
        <f t="shared" si="203"/>
        <v>517559402.60000002</v>
      </c>
      <c r="S161" s="1064">
        <f t="shared" si="203"/>
        <v>496408239.85000002</v>
      </c>
      <c r="T161" s="1064">
        <f t="shared" si="203"/>
        <v>511742536.5</v>
      </c>
      <c r="U161" s="323"/>
      <c r="V161" s="512">
        <f>(SUM(I161:S161)+(0.5*T161)+(0.5*H161))/12</f>
        <v>366896935.68291664</v>
      </c>
      <c r="Y161" s="512">
        <f>T161</f>
        <v>511742536.5</v>
      </c>
      <c r="Z161" s="512">
        <f>V161</f>
        <v>366896935.68291664</v>
      </c>
      <c r="AA161" s="323">
        <f>V161</f>
        <v>366896935.68291664</v>
      </c>
      <c r="AB161" s="323">
        <f>T161</f>
        <v>511742536.5</v>
      </c>
      <c r="AC161" s="323">
        <f t="shared" si="152"/>
        <v>366896935.68291664</v>
      </c>
      <c r="AD161" s="323">
        <f>AC161-T161</f>
        <v>-144845600.81708336</v>
      </c>
      <c r="AE161" s="216">
        <f t="shared" ref="AE161" si="204">+AE160+1</f>
        <v>154</v>
      </c>
      <c r="AF161" s="216" t="e">
        <f t="shared" si="113"/>
        <v>#REF!</v>
      </c>
      <c r="AG161" s="1">
        <v>-4406932.800416667</v>
      </c>
      <c r="AH161" s="441"/>
      <c r="AI161" s="438"/>
      <c r="AJ161" s="438" t="s">
        <v>145</v>
      </c>
      <c r="AK161" s="438"/>
      <c r="AL161" s="442">
        <f>SUM(AL157:AL160)</f>
        <v>511742536.5</v>
      </c>
      <c r="AM161" s="10">
        <f>AC161</f>
        <v>366896935.68291664</v>
      </c>
      <c r="AN161" s="10">
        <f>AM161-AL161</f>
        <v>-144845600.81708336</v>
      </c>
      <c r="AO161" s="1">
        <f t="shared" si="156"/>
        <v>0</v>
      </c>
    </row>
    <row r="162" spans="1:41">
      <c r="A162" s="500">
        <f t="shared" si="154"/>
        <v>1091</v>
      </c>
      <c r="B162" s="327"/>
      <c r="C162" s="265"/>
      <c r="D162" s="265"/>
      <c r="Y162" s="222"/>
      <c r="AA162"/>
      <c r="AC162">
        <f t="shared" si="152"/>
        <v>0</v>
      </c>
      <c r="AE162" s="216">
        <f t="shared" ref="AE162" si="205">+AE161+1</f>
        <v>155</v>
      </c>
      <c r="AF162" s="216" t="e">
        <f t="shared" si="113"/>
        <v>#REF!</v>
      </c>
      <c r="AG162" s="1">
        <v>0</v>
      </c>
      <c r="AH162" s="441"/>
      <c r="AI162" s="438"/>
      <c r="AJ162" s="438"/>
      <c r="AK162" s="438"/>
      <c r="AL162" s="439"/>
      <c r="AO162" s="1">
        <f t="shared" si="156"/>
        <v>0</v>
      </c>
    </row>
    <row r="163" spans="1:41">
      <c r="A163" s="500">
        <f t="shared" si="154"/>
        <v>1092</v>
      </c>
      <c r="B163" s="327">
        <v>108</v>
      </c>
      <c r="C163" s="265" t="s">
        <v>608</v>
      </c>
      <c r="D163" s="265"/>
      <c r="AA163"/>
      <c r="AC163">
        <f t="shared" si="152"/>
        <v>0</v>
      </c>
      <c r="AE163" s="216">
        <f t="shared" ref="AE163" si="206">+AE162+1</f>
        <v>156</v>
      </c>
      <c r="AF163" s="216" t="e">
        <f t="shared" si="113"/>
        <v>#REF!</v>
      </c>
      <c r="AG163" s="1">
        <v>0</v>
      </c>
      <c r="AH163" s="441">
        <v>108</v>
      </c>
      <c r="AI163" s="265" t="s">
        <v>798</v>
      </c>
      <c r="AJ163" s="438"/>
      <c r="AK163" s="438"/>
      <c r="AL163" s="439"/>
      <c r="AO163" s="1">
        <f t="shared" si="156"/>
        <v>0</v>
      </c>
    </row>
    <row r="164" spans="1:41">
      <c r="A164" s="500">
        <f t="shared" si="154"/>
        <v>1093</v>
      </c>
      <c r="B164" s="327"/>
      <c r="C164" s="265"/>
      <c r="D164" s="265" t="s">
        <v>399</v>
      </c>
      <c r="H164" s="301">
        <f>[16]XNV!$H$164</f>
        <v>-72335916.260000005</v>
      </c>
      <c r="I164" s="301">
        <f>[16]XNV!$I$164</f>
        <v>-72397633.75</v>
      </c>
      <c r="J164" s="301">
        <f>[16]XNV!$J$164</f>
        <v>-72460658.510000005</v>
      </c>
      <c r="K164" s="301">
        <f>[16]XNV!$K$164</f>
        <v>-72525282.510000005</v>
      </c>
      <c r="L164" s="301">
        <f>[16]XNV!$L$164</f>
        <v>-72589919.739999995</v>
      </c>
      <c r="M164" s="301">
        <f>[16]XNV!$M$164</f>
        <v>-72654580.310000002</v>
      </c>
      <c r="N164" s="301">
        <f>[16]XNV!$N$164</f>
        <v>-72717773.239999995</v>
      </c>
      <c r="O164" s="301">
        <f>[16]XNV!$O$164</f>
        <v>-72779802.680000007</v>
      </c>
      <c r="P164" s="301">
        <f>[16]XNV!$P$164</f>
        <v>-72842559.75</v>
      </c>
      <c r="Q164" s="301">
        <f>[16]XNV!$Q$164</f>
        <v>-72885177.739999995</v>
      </c>
      <c r="R164" s="301">
        <f>[16]XNV!$R$164</f>
        <v>-72927865.030000001</v>
      </c>
      <c r="S164" s="301">
        <f>[16]XNV!$S$164</f>
        <v>-72970552.469999999</v>
      </c>
      <c r="T164" s="301">
        <f>[16]XNV!$T$164</f>
        <v>-73013260.939999998</v>
      </c>
      <c r="U164" s="301"/>
      <c r="V164" s="475">
        <f>(SUM(I164:S164)+(0.5*T164)+(0.5*H164))/12</f>
        <v>-72702199.527500004</v>
      </c>
      <c r="Y164" s="475">
        <f>T164</f>
        <v>-73013260.939999998</v>
      </c>
      <c r="Z164" s="475">
        <f>V164</f>
        <v>-72702199.527500004</v>
      </c>
      <c r="AA164" s="301">
        <f>V164</f>
        <v>-72702199.527500004</v>
      </c>
      <c r="AB164" s="301">
        <f>T164</f>
        <v>-73013260.939999998</v>
      </c>
      <c r="AC164" s="301">
        <f t="shared" si="152"/>
        <v>-72702199.527500004</v>
      </c>
      <c r="AD164" s="301">
        <f>AC164-T164</f>
        <v>311061.41249999404</v>
      </c>
      <c r="AE164" s="216">
        <f t="shared" ref="AE164" si="207">+AE163+1</f>
        <v>157</v>
      </c>
      <c r="AF164" s="216" t="e">
        <f t="shared" si="113"/>
        <v>#REF!</v>
      </c>
      <c r="AG164" s="1">
        <v>-878477.78875000775</v>
      </c>
      <c r="AH164" s="441"/>
      <c r="AI164" s="438"/>
      <c r="AJ164" s="438" t="s">
        <v>399</v>
      </c>
      <c r="AK164" s="438"/>
      <c r="AL164" s="439">
        <f>+T164</f>
        <v>-73013260.939999998</v>
      </c>
      <c r="AM164" s="10">
        <f>AC164</f>
        <v>-72702199.527500004</v>
      </c>
      <c r="AN164" s="10">
        <f>AM164-AL164</f>
        <v>311061.41249999404</v>
      </c>
      <c r="AO164" s="1">
        <f t="shared" si="156"/>
        <v>0</v>
      </c>
    </row>
    <row r="165" spans="1:41">
      <c r="A165" s="500">
        <f t="shared" si="154"/>
        <v>1094</v>
      </c>
      <c r="B165" s="327"/>
      <c r="C165" s="304"/>
      <c r="D165" s="304" t="s">
        <v>542</v>
      </c>
      <c r="H165" s="301">
        <f>[16]XNV!$H$165</f>
        <v>-35819841.82</v>
      </c>
      <c r="I165" s="301">
        <f>[16]XNV!$I$165</f>
        <v>-35964403.729999997</v>
      </c>
      <c r="J165" s="301">
        <f>[16]XNV!$J$165</f>
        <v>-36107625.219999999</v>
      </c>
      <c r="K165" s="301">
        <f>[16]XNV!$K$165</f>
        <v>-36251048.710000001</v>
      </c>
      <c r="L165" s="301">
        <f>[16]XNV!$L$165</f>
        <v>-36396748.979999997</v>
      </c>
      <c r="M165" s="301">
        <f>[16]XNV!$M$165</f>
        <v>-36532830.5</v>
      </c>
      <c r="N165" s="301">
        <f>[16]XNV!$N$165</f>
        <v>-36665842.43</v>
      </c>
      <c r="O165" s="301">
        <f>[16]XNV!$O$165</f>
        <v>-36813982.18</v>
      </c>
      <c r="P165" s="301">
        <f>[16]XNV!$P$165</f>
        <v>-36962257.07</v>
      </c>
      <c r="Q165" s="301">
        <f>[16]XNV!$Q$165</f>
        <v>-37111261.619999997</v>
      </c>
      <c r="R165" s="301">
        <f>[16]XNV!$R$165</f>
        <v>-37260242.18</v>
      </c>
      <c r="S165" s="301">
        <f>[16]XNV!$S$165</f>
        <v>-37407053.310000002</v>
      </c>
      <c r="T165" s="301">
        <f>[16]XNV!$T$165</f>
        <v>-37555730.060000002</v>
      </c>
      <c r="U165" s="301"/>
      <c r="V165" s="475">
        <f>(SUM(I165:S165)+(0.5*T165)+(0.5*H165))/12</f>
        <v>-36680090.155833341</v>
      </c>
      <c r="Y165" s="475">
        <f>T165</f>
        <v>-37555730.060000002</v>
      </c>
      <c r="Z165" s="475">
        <f>V165</f>
        <v>-36680090.155833341</v>
      </c>
      <c r="AA165" s="301">
        <f>V165</f>
        <v>-36680090.155833341</v>
      </c>
      <c r="AB165" s="301">
        <f>T165</f>
        <v>-37555730.060000002</v>
      </c>
      <c r="AC165" s="301">
        <f t="shared" si="152"/>
        <v>-36680090.155833341</v>
      </c>
      <c r="AD165" s="301">
        <f>AC165-T165</f>
        <v>875639.9041666612</v>
      </c>
      <c r="AE165" s="216">
        <f t="shared" ref="AE165" si="208">+AE164+1</f>
        <v>158</v>
      </c>
      <c r="AF165" s="216" t="e">
        <f t="shared" si="113"/>
        <v>#REF!</v>
      </c>
      <c r="AG165" s="1">
        <v>691381.94208333269</v>
      </c>
      <c r="AH165" s="441"/>
      <c r="AI165" s="443"/>
      <c r="AJ165" s="443" t="s">
        <v>542</v>
      </c>
      <c r="AK165" s="438"/>
      <c r="AL165" s="439">
        <f>+T165</f>
        <v>-37555730.060000002</v>
      </c>
      <c r="AM165" s="10">
        <f>AC165</f>
        <v>-36680090.155833341</v>
      </c>
      <c r="AN165" s="10">
        <f>AM165-AL165</f>
        <v>875639.9041666612</v>
      </c>
      <c r="AO165" s="1">
        <f t="shared" si="156"/>
        <v>0</v>
      </c>
    </row>
    <row r="166" spans="1:41">
      <c r="A166" s="500">
        <f t="shared" si="154"/>
        <v>1095</v>
      </c>
      <c r="B166" s="327"/>
      <c r="C166" s="265"/>
      <c r="D166" s="304" t="s">
        <v>543</v>
      </c>
      <c r="H166" s="301">
        <f>[16]XNV!$H$166</f>
        <v>-689453326.44000006</v>
      </c>
      <c r="I166" s="301">
        <f>[16]XNV!$I$166</f>
        <v>-693992204.08000004</v>
      </c>
      <c r="J166" s="301">
        <f>[16]XNV!$J$166</f>
        <v>-698567131.17999995</v>
      </c>
      <c r="K166" s="301">
        <f>[16]XNV!$K$166</f>
        <v>-703244948.94000006</v>
      </c>
      <c r="L166" s="301">
        <f>[16]XNV!$L$166</f>
        <v>-707927383.92999995</v>
      </c>
      <c r="M166" s="301">
        <f>[16]XNV!$M$166</f>
        <v>-712687233.72000003</v>
      </c>
      <c r="N166" s="301">
        <f>[16]XNV!$N$166</f>
        <v>-717536550.57000005</v>
      </c>
      <c r="O166" s="301">
        <f>[16]XNV!$O$166</f>
        <v>-722622600.94000006</v>
      </c>
      <c r="P166" s="301">
        <f>[16]XNV!$P$166</f>
        <v>-727714394.13</v>
      </c>
      <c r="Q166" s="301">
        <f>[16]XNV!$Q$166</f>
        <v>-733338453.26999998</v>
      </c>
      <c r="R166" s="301">
        <f>[16]XNV!$R$166</f>
        <v>-738730300.27999997</v>
      </c>
      <c r="S166" s="301">
        <f>[16]XNV!$S$166</f>
        <v>-744140745.24000001</v>
      </c>
      <c r="T166" s="301">
        <f>[16]XNV!$T$166</f>
        <v>-749140372.40999997</v>
      </c>
      <c r="U166" s="301"/>
      <c r="V166" s="475">
        <f>(SUM(I166:S166)+(0.5*T166)+(0.5*H166))/12</f>
        <v>-718316566.30875003</v>
      </c>
      <c r="Y166" s="475">
        <f>T166</f>
        <v>-749140372.40999997</v>
      </c>
      <c r="Z166" s="475">
        <f>V166</f>
        <v>-718316566.30875003</v>
      </c>
      <c r="AA166" s="301">
        <f>V166</f>
        <v>-718316566.30875003</v>
      </c>
      <c r="AB166" s="301">
        <f>T166</f>
        <v>-749140372.40999997</v>
      </c>
      <c r="AC166" s="301">
        <f t="shared" si="152"/>
        <v>-718316566.30875003</v>
      </c>
      <c r="AD166" s="301">
        <f>AC166-T166</f>
        <v>30823806.101249933</v>
      </c>
      <c r="AE166" s="216">
        <f t="shared" ref="AE166" si="209">+AE165+1</f>
        <v>159</v>
      </c>
      <c r="AF166" s="216" t="e">
        <f t="shared" ref="AF166:AF236" si="210">+AF165+1</f>
        <v>#REF!</v>
      </c>
      <c r="AG166" s="1">
        <v>6647600.3374999166</v>
      </c>
      <c r="AH166" s="441"/>
      <c r="AI166" s="438"/>
      <c r="AJ166" s="443" t="s">
        <v>543</v>
      </c>
      <c r="AK166" s="438"/>
      <c r="AL166" s="439">
        <f>+T166</f>
        <v>-749140372.40999997</v>
      </c>
      <c r="AM166" s="10">
        <f>AC166</f>
        <v>-718316566.30875003</v>
      </c>
      <c r="AN166" s="10">
        <f>AM166-AL166</f>
        <v>30823806.101249933</v>
      </c>
      <c r="AO166" s="1">
        <f t="shared" si="156"/>
        <v>0</v>
      </c>
    </row>
    <row r="167" spans="1:41">
      <c r="A167" s="500">
        <f t="shared" si="154"/>
        <v>1096</v>
      </c>
      <c r="B167" s="327"/>
      <c r="C167" s="265"/>
      <c r="D167" s="265" t="s">
        <v>544</v>
      </c>
      <c r="H167" s="301">
        <f>[16]XNV!$H$167</f>
        <v>-134590671.06999999</v>
      </c>
      <c r="I167" s="301">
        <f>[16]XNV!$I$167</f>
        <v>-135754652.77000001</v>
      </c>
      <c r="J167" s="301">
        <f>[16]XNV!$J$167</f>
        <v>-136922227.09</v>
      </c>
      <c r="K167" s="301">
        <f>[16]XNV!$K$167</f>
        <v>-138085144.56</v>
      </c>
      <c r="L167" s="301">
        <f>[16]XNV!$L$167</f>
        <v>-139249899.16999999</v>
      </c>
      <c r="M167" s="301">
        <f>[16]XNV!$M$167</f>
        <v>-140363381.41999999</v>
      </c>
      <c r="N167" s="301">
        <f>[16]XNV!$N$167</f>
        <v>-141576794.11000001</v>
      </c>
      <c r="O167" s="301">
        <f>[16]XNV!$O$167</f>
        <v>-142622755.02000001</v>
      </c>
      <c r="P167" s="301">
        <f>[16]XNV!$P$167</f>
        <v>-143820988.56999999</v>
      </c>
      <c r="Q167" s="301">
        <f>[16]XNV!$Q$167</f>
        <v>-145034683.03</v>
      </c>
      <c r="R167" s="301">
        <f>[16]XNV!$R$167</f>
        <v>-146237540.13999999</v>
      </c>
      <c r="S167" s="301">
        <f>[16]XNV!$S$167</f>
        <v>-147463478.49000001</v>
      </c>
      <c r="T167" s="301">
        <f>[16]XNV!$T$167</f>
        <v>-148417722.16</v>
      </c>
      <c r="U167" s="301"/>
      <c r="V167" s="475">
        <f>(SUM(I167:S167)+(0.5*T167)+(0.5*H167))/12</f>
        <v>-141552978.41541669</v>
      </c>
      <c r="Y167" s="475">
        <f>T167</f>
        <v>-148417722.16</v>
      </c>
      <c r="Z167" s="475">
        <f>V167</f>
        <v>-141552978.41541669</v>
      </c>
      <c r="AA167" s="301">
        <f>V167</f>
        <v>-141552978.41541669</v>
      </c>
      <c r="AB167" s="301">
        <f>T167</f>
        <v>-148417722.16</v>
      </c>
      <c r="AC167" s="301">
        <f t="shared" si="152"/>
        <v>-141552978.41541669</v>
      </c>
      <c r="AD167" s="301">
        <f>AC167-T167</f>
        <v>6864743.7445833087</v>
      </c>
      <c r="AE167" s="216">
        <f t="shared" ref="AE167" si="211">+AE166+1</f>
        <v>160</v>
      </c>
      <c r="AF167" s="216" t="e">
        <f t="shared" si="210"/>
        <v>#REF!</v>
      </c>
      <c r="AG167" s="1">
        <v>-4716338.4020833522</v>
      </c>
      <c r="AH167" s="441"/>
      <c r="AI167" s="438"/>
      <c r="AJ167" s="438" t="s">
        <v>544</v>
      </c>
      <c r="AK167" s="438"/>
      <c r="AL167" s="439">
        <f>+T167</f>
        <v>-148417722.16</v>
      </c>
      <c r="AM167" s="10">
        <f>AC167</f>
        <v>-141552978.41541669</v>
      </c>
      <c r="AN167" s="10">
        <f>AM167-AL167</f>
        <v>6864743.7445833087</v>
      </c>
      <c r="AO167" s="1">
        <f t="shared" si="156"/>
        <v>0</v>
      </c>
    </row>
    <row r="168" spans="1:41">
      <c r="A168" s="500">
        <f t="shared" si="154"/>
        <v>1097</v>
      </c>
      <c r="B168" s="327"/>
      <c r="C168" s="265"/>
      <c r="D168" s="265" t="s">
        <v>145</v>
      </c>
      <c r="H168" s="1064">
        <f t="shared" ref="H168:T168" si="212">SUM(H164:H167)</f>
        <v>-932199755.59000015</v>
      </c>
      <c r="I168" s="1064">
        <f t="shared" si="212"/>
        <v>-938108894.33000004</v>
      </c>
      <c r="J168" s="1064">
        <f t="shared" si="212"/>
        <v>-944057642</v>
      </c>
      <c r="K168" s="1064">
        <f t="shared" si="212"/>
        <v>-950106424.72000003</v>
      </c>
      <c r="L168" s="1064">
        <f t="shared" si="212"/>
        <v>-956163951.81999993</v>
      </c>
      <c r="M168" s="1064">
        <f t="shared" si="212"/>
        <v>-962238025.94999993</v>
      </c>
      <c r="N168" s="1064">
        <f t="shared" si="212"/>
        <v>-968496960.35000002</v>
      </c>
      <c r="O168" s="1064">
        <f t="shared" si="212"/>
        <v>-974839140.82000005</v>
      </c>
      <c r="P168" s="1064">
        <f t="shared" si="212"/>
        <v>-981340199.51999998</v>
      </c>
      <c r="Q168" s="1064">
        <f t="shared" si="212"/>
        <v>-988369575.65999997</v>
      </c>
      <c r="R168" s="1064">
        <f t="shared" si="212"/>
        <v>-995155947.63</v>
      </c>
      <c r="S168" s="1064">
        <f t="shared" si="212"/>
        <v>-1001981829.51</v>
      </c>
      <c r="T168" s="1064">
        <f t="shared" si="212"/>
        <v>-1008127085.5699999</v>
      </c>
      <c r="U168" s="323"/>
      <c r="V168" s="512">
        <f>(SUM(I168:S168)+(0.5*T168)+(0.5*H168))/12</f>
        <v>-969251834.40749991</v>
      </c>
      <c r="Y168" s="512">
        <f>T168</f>
        <v>-1008127085.5699999</v>
      </c>
      <c r="Z168" s="512">
        <f>V168</f>
        <v>-969251834.40749991</v>
      </c>
      <c r="AA168" s="323">
        <f>V168</f>
        <v>-969251834.40749991</v>
      </c>
      <c r="AB168" s="323">
        <f>T168</f>
        <v>-1008127085.5699999</v>
      </c>
      <c r="AC168" s="323">
        <f t="shared" si="152"/>
        <v>-969251834.40749991</v>
      </c>
      <c r="AD168" s="323">
        <f>AC168-T168</f>
        <v>38875251.162500024</v>
      </c>
      <c r="AE168" s="216">
        <f t="shared" ref="AE168" si="213">+AE167+1</f>
        <v>161</v>
      </c>
      <c r="AF168" s="216" t="e">
        <f t="shared" si="210"/>
        <v>#REF!</v>
      </c>
      <c r="AG168" s="1">
        <v>1744166.0887498856</v>
      </c>
      <c r="AH168" s="441"/>
      <c r="AI168" s="438"/>
      <c r="AJ168" s="438" t="s">
        <v>145</v>
      </c>
      <c r="AK168" s="438"/>
      <c r="AL168" s="439">
        <f>SUM(AL164:AL167)</f>
        <v>-1008127085.5699999</v>
      </c>
      <c r="AM168" s="10">
        <f>AC168</f>
        <v>-969251834.40749991</v>
      </c>
      <c r="AN168" s="10">
        <f>AM168-AL168</f>
        <v>38875251.162500024</v>
      </c>
      <c r="AO168" s="1">
        <f t="shared" si="156"/>
        <v>0</v>
      </c>
    </row>
    <row r="169" spans="1:41">
      <c r="A169" s="500">
        <f t="shared" si="154"/>
        <v>1098</v>
      </c>
      <c r="B169" s="327"/>
      <c r="C169" s="265"/>
      <c r="D169" s="265"/>
      <c r="U169" s="1"/>
      <c r="AA169"/>
      <c r="AC169">
        <f t="shared" si="152"/>
        <v>0</v>
      </c>
      <c r="AE169" s="216">
        <f t="shared" ref="AE169" si="214">+AE168+1</f>
        <v>162</v>
      </c>
      <c r="AF169" s="216" t="e">
        <f t="shared" si="210"/>
        <v>#REF!</v>
      </c>
      <c r="AG169" s="1">
        <v>0</v>
      </c>
      <c r="AH169" s="441"/>
      <c r="AI169" s="438"/>
      <c r="AJ169" s="438"/>
      <c r="AK169" s="438"/>
      <c r="AL169" s="439"/>
      <c r="AO169" s="1">
        <f t="shared" si="156"/>
        <v>0</v>
      </c>
    </row>
    <row r="170" spans="1:41">
      <c r="A170" s="500">
        <f t="shared" si="154"/>
        <v>1099</v>
      </c>
      <c r="B170" s="327">
        <v>111</v>
      </c>
      <c r="C170" s="265" t="s">
        <v>266</v>
      </c>
      <c r="D170" s="265"/>
      <c r="AA170"/>
      <c r="AC170">
        <f t="shared" si="152"/>
        <v>0</v>
      </c>
      <c r="AE170" s="216">
        <f t="shared" ref="AE170" si="215">+AE169+1</f>
        <v>163</v>
      </c>
      <c r="AF170" s="216" t="e">
        <f t="shared" si="210"/>
        <v>#REF!</v>
      </c>
      <c r="AG170" s="1">
        <v>0</v>
      </c>
      <c r="AH170" s="441">
        <v>111</v>
      </c>
      <c r="AI170" s="265" t="s">
        <v>266</v>
      </c>
      <c r="AJ170" s="438"/>
      <c r="AK170" s="438"/>
      <c r="AL170" s="439"/>
      <c r="AO170" s="1">
        <f t="shared" si="156"/>
        <v>0</v>
      </c>
    </row>
    <row r="171" spans="1:41">
      <c r="A171" s="500">
        <f t="shared" si="154"/>
        <v>1100</v>
      </c>
      <c r="B171" s="461"/>
      <c r="C171" s="265"/>
      <c r="D171" s="265" t="s">
        <v>399</v>
      </c>
      <c r="H171" s="301">
        <f>[16]XNV!$H$171</f>
        <v>-6150276.6600000001</v>
      </c>
      <c r="I171" s="301">
        <f>[16]XNV!$I$171</f>
        <v>-6150276.6600000001</v>
      </c>
      <c r="J171" s="301">
        <f>[16]XNV!$J$171</f>
        <v>-6150276.6600000001</v>
      </c>
      <c r="K171" s="301">
        <f>[16]XNV!$K$171</f>
        <v>-6150276.6600000001</v>
      </c>
      <c r="L171" s="301">
        <f>[16]XNV!$L$171</f>
        <v>-6150276.6600000001</v>
      </c>
      <c r="M171" s="301">
        <f>[16]XNV!$M$171</f>
        <v>-6150276.6600000001</v>
      </c>
      <c r="N171" s="301">
        <f>[16]XNV!$N$171</f>
        <v>-6150276.6600000001</v>
      </c>
      <c r="O171" s="301">
        <f>[16]XNV!$O$171</f>
        <v>-6150276.6600000001</v>
      </c>
      <c r="P171" s="301">
        <f>[16]XNV!$P$171</f>
        <v>-6150276.6600000001</v>
      </c>
      <c r="Q171" s="301">
        <f>[16]XNV!$Q$171</f>
        <v>-6150276.6600000001</v>
      </c>
      <c r="R171" s="301">
        <f>[16]XNV!$R$171</f>
        <v>-6150276.6600000001</v>
      </c>
      <c r="S171" s="301">
        <f>[16]XNV!$S$171</f>
        <v>-6150276.6600000001</v>
      </c>
      <c r="T171" s="301">
        <f>[16]XNV!$T$171</f>
        <v>-6150276.6600000001</v>
      </c>
      <c r="U171" s="301"/>
      <c r="V171" s="475">
        <f>(SUM(I171:S171)+(0.5*T171)+(0.5*H171))/12</f>
        <v>-6150276.6599999992</v>
      </c>
      <c r="Y171" s="475">
        <f>T171</f>
        <v>-6150276.6600000001</v>
      </c>
      <c r="Z171" s="475">
        <f>V171</f>
        <v>-6150276.6599999992</v>
      </c>
      <c r="AA171" s="301">
        <f>V171</f>
        <v>-6150276.6599999992</v>
      </c>
      <c r="AB171" s="301">
        <f>T171</f>
        <v>-6150276.6600000001</v>
      </c>
      <c r="AC171" s="301">
        <f t="shared" si="152"/>
        <v>-6150276.6599999992</v>
      </c>
      <c r="AD171" s="301">
        <f>AC171-T171</f>
        <v>0</v>
      </c>
      <c r="AE171" s="216">
        <f t="shared" ref="AE171" si="216">+AE170+1</f>
        <v>164</v>
      </c>
      <c r="AF171" s="216" t="e">
        <f t="shared" si="210"/>
        <v>#REF!</v>
      </c>
      <c r="AG171" s="1">
        <v>5442.1537499995902</v>
      </c>
      <c r="AH171" s="440"/>
      <c r="AI171" s="438"/>
      <c r="AJ171" s="438" t="s">
        <v>399</v>
      </c>
      <c r="AK171" s="438"/>
      <c r="AL171" s="439">
        <f>+T171</f>
        <v>-6150276.6600000001</v>
      </c>
      <c r="AM171" s="10">
        <f>AC171</f>
        <v>-6150276.6599999992</v>
      </c>
      <c r="AN171" s="10">
        <f>AM171-AL171</f>
        <v>0</v>
      </c>
      <c r="AO171" s="1">
        <f t="shared" si="156"/>
        <v>0</v>
      </c>
    </row>
    <row r="172" spans="1:41">
      <c r="A172" s="500">
        <f t="shared" si="154"/>
        <v>1101</v>
      </c>
      <c r="B172" s="461"/>
      <c r="C172" s="265"/>
      <c r="D172" s="265" t="s">
        <v>542</v>
      </c>
      <c r="H172" s="301">
        <f>[16]XNV!$H$172</f>
        <v>-10883.08</v>
      </c>
      <c r="I172" s="301">
        <f>[16]XNV!$I$172</f>
        <v>-10883.08</v>
      </c>
      <c r="J172" s="301">
        <f>[16]XNV!$J$172</f>
        <v>-10883.08</v>
      </c>
      <c r="K172" s="301">
        <f>[16]XNV!$K$172</f>
        <v>-10883.08</v>
      </c>
      <c r="L172" s="301">
        <f>[16]XNV!$L$172</f>
        <v>-10883.08</v>
      </c>
      <c r="M172" s="301">
        <f>[16]XNV!$M$172</f>
        <v>-10883.08</v>
      </c>
      <c r="N172" s="301">
        <f>[16]XNV!$N$172</f>
        <v>-10883.08</v>
      </c>
      <c r="O172" s="301">
        <f>[16]XNV!$O$172</f>
        <v>-10883.08</v>
      </c>
      <c r="P172" s="301">
        <f>[16]XNV!$P$172</f>
        <v>-10883.08</v>
      </c>
      <c r="Q172" s="301">
        <f>[16]XNV!$Q$172</f>
        <v>-10883.08</v>
      </c>
      <c r="R172" s="301">
        <f>[16]XNV!$R$172</f>
        <v>-10883.08</v>
      </c>
      <c r="S172" s="301">
        <f>[16]XNV!$S$172</f>
        <v>-10883.08</v>
      </c>
      <c r="T172" s="301">
        <f>[16]XNV!$T$172</f>
        <v>-10883.08</v>
      </c>
      <c r="U172" s="301"/>
      <c r="V172" s="475">
        <f>(SUM(I172:S172)+(0.5*T172)+(0.5*H172))/12</f>
        <v>-10883.08</v>
      </c>
      <c r="Y172" s="475">
        <f>T172</f>
        <v>-10883.08</v>
      </c>
      <c r="Z172" s="475">
        <f>V172</f>
        <v>-10883.08</v>
      </c>
      <c r="AA172" s="301">
        <f>V172</f>
        <v>-10883.08</v>
      </c>
      <c r="AB172" s="301">
        <f>T172</f>
        <v>-10883.08</v>
      </c>
      <c r="AC172" s="301">
        <f t="shared" si="152"/>
        <v>-10883.08</v>
      </c>
      <c r="AD172" s="301">
        <f>AC172-T172</f>
        <v>0</v>
      </c>
      <c r="AE172" s="216">
        <f t="shared" ref="AE172" si="217">+AE171+1</f>
        <v>165</v>
      </c>
      <c r="AF172" s="216" t="e">
        <f t="shared" si="210"/>
        <v>#REF!</v>
      </c>
      <c r="AG172" s="1">
        <v>50</v>
      </c>
      <c r="AH172" s="440"/>
      <c r="AI172" s="438"/>
      <c r="AJ172" s="438" t="s">
        <v>542</v>
      </c>
      <c r="AK172" s="438"/>
      <c r="AL172" s="439">
        <f>+T172</f>
        <v>-10883.08</v>
      </c>
      <c r="AM172" s="10">
        <f>AC172</f>
        <v>-10883.08</v>
      </c>
      <c r="AN172" s="10">
        <f>AM172-AL172</f>
        <v>0</v>
      </c>
      <c r="AO172" s="1">
        <f t="shared" si="156"/>
        <v>0</v>
      </c>
    </row>
    <row r="173" spans="1:41">
      <c r="A173" s="500">
        <f t="shared" si="154"/>
        <v>1102</v>
      </c>
      <c r="B173" s="461"/>
      <c r="C173" s="265"/>
      <c r="D173" s="265" t="s">
        <v>543</v>
      </c>
      <c r="H173" s="301">
        <f>[16]XNV!$H$173</f>
        <v>-58742.89</v>
      </c>
      <c r="I173" s="301">
        <f>[16]XNV!$I$173</f>
        <v>-58742.89</v>
      </c>
      <c r="J173" s="301">
        <f>[16]XNV!$J$173</f>
        <v>-58742.89</v>
      </c>
      <c r="K173" s="301">
        <f>[16]XNV!$K$173</f>
        <v>-58742.89</v>
      </c>
      <c r="L173" s="301">
        <f>[16]XNV!$L$173</f>
        <v>-58742.89</v>
      </c>
      <c r="M173" s="301">
        <f>[16]XNV!$M$173</f>
        <v>-58742.89</v>
      </c>
      <c r="N173" s="301">
        <f>[16]XNV!$N$173</f>
        <v>-58742.89</v>
      </c>
      <c r="O173" s="301">
        <f>[16]XNV!$O$173</f>
        <v>-58742.89</v>
      </c>
      <c r="P173" s="301">
        <f>[16]XNV!$P$173</f>
        <v>-58742.89</v>
      </c>
      <c r="Q173" s="301">
        <f>[16]XNV!$Q$173</f>
        <v>-58742.89</v>
      </c>
      <c r="R173" s="301">
        <f>[16]XNV!$R$173</f>
        <v>-58742.89</v>
      </c>
      <c r="S173" s="301">
        <f>[16]XNV!$S$173</f>
        <v>-58742.89</v>
      </c>
      <c r="T173" s="301">
        <f>[16]XNV!$T$173</f>
        <v>-58742.89</v>
      </c>
      <c r="U173" s="301"/>
      <c r="V173" s="475">
        <f>(SUM(I173:S173)+(0.5*T173)+(0.5*H173))/12</f>
        <v>-58742.889999999992</v>
      </c>
      <c r="Y173" s="475">
        <f>T173</f>
        <v>-58742.89</v>
      </c>
      <c r="Z173" s="475">
        <f>V173</f>
        <v>-58742.889999999992</v>
      </c>
      <c r="AA173" s="301">
        <f>V173</f>
        <v>-58742.889999999992</v>
      </c>
      <c r="AB173" s="301">
        <f>T173</f>
        <v>-58742.89</v>
      </c>
      <c r="AC173" s="301">
        <f t="shared" si="152"/>
        <v>-58742.889999999992</v>
      </c>
      <c r="AD173" s="301">
        <f>AC173-T173</f>
        <v>0</v>
      </c>
      <c r="AE173" s="216">
        <f t="shared" ref="AE173" si="218">+AE172+1</f>
        <v>166</v>
      </c>
      <c r="AF173" s="216" t="e">
        <f t="shared" si="210"/>
        <v>#REF!</v>
      </c>
      <c r="AG173" s="1">
        <v>-50.000000000422006</v>
      </c>
      <c r="AH173" s="440"/>
      <c r="AI173" s="438"/>
      <c r="AJ173" s="438" t="s">
        <v>543</v>
      </c>
      <c r="AK173" s="438"/>
      <c r="AL173" s="439">
        <f>+T173</f>
        <v>-58742.89</v>
      </c>
      <c r="AM173" s="10">
        <f>AC173</f>
        <v>-58742.889999999992</v>
      </c>
      <c r="AN173" s="10">
        <f>AM173-AL173</f>
        <v>0</v>
      </c>
      <c r="AO173" s="1">
        <f t="shared" si="156"/>
        <v>0</v>
      </c>
    </row>
    <row r="174" spans="1:41">
      <c r="A174" s="500">
        <f t="shared" si="154"/>
        <v>1103</v>
      </c>
      <c r="B174" s="461"/>
      <c r="C174" s="265"/>
      <c r="D174" s="265" t="s">
        <v>544</v>
      </c>
      <c r="H174" s="301">
        <f>[16]XNV!$H$174</f>
        <v>-189896.92</v>
      </c>
      <c r="I174" s="301">
        <f>[16]XNV!$I$174</f>
        <v>-214057.84</v>
      </c>
      <c r="J174" s="301">
        <f>[16]XNV!$J$174</f>
        <v>-238235.4</v>
      </c>
      <c r="K174" s="301">
        <f>[16]XNV!$K$174</f>
        <v>-334750.53999999998</v>
      </c>
      <c r="L174" s="301">
        <f>[16]XNV!$L$174</f>
        <v>-358938.39</v>
      </c>
      <c r="M174" s="301">
        <f>[16]XNV!$M$174</f>
        <v>-383126.24</v>
      </c>
      <c r="N174" s="301">
        <f>[16]XNV!$N$174</f>
        <v>-416180.38</v>
      </c>
      <c r="O174" s="301">
        <f>[16]XNV!$O$174</f>
        <v>-453825.98</v>
      </c>
      <c r="P174" s="301">
        <f>[16]XNV!$P$174</f>
        <v>-491621.09</v>
      </c>
      <c r="Q174" s="301">
        <f>[16]XNV!$Q$174</f>
        <v>-529416.19999999995</v>
      </c>
      <c r="R174" s="301">
        <f>[16]XNV!$R$174</f>
        <v>-591823.21</v>
      </c>
      <c r="S174" s="301">
        <f>[16]XNV!$S$174</f>
        <v>-654234.9</v>
      </c>
      <c r="T174" s="301">
        <f>[16]XNV!$T$174</f>
        <v>-719799.43</v>
      </c>
      <c r="U174" s="301"/>
      <c r="V174" s="475">
        <f>(SUM(I174:S174)+(0.5*T174)+(0.5*H174))/12</f>
        <v>-426754.86208333331</v>
      </c>
      <c r="Y174" s="475">
        <f>T174</f>
        <v>-719799.43</v>
      </c>
      <c r="Z174" s="475">
        <f>V174</f>
        <v>-426754.86208333331</v>
      </c>
      <c r="AA174" s="301">
        <f>V174</f>
        <v>-426754.86208333331</v>
      </c>
      <c r="AB174" s="301">
        <f>T174</f>
        <v>-719799.43</v>
      </c>
      <c r="AC174" s="301">
        <f t="shared" si="152"/>
        <v>-426754.86208333331</v>
      </c>
      <c r="AD174" s="301">
        <f>AC174-T174</f>
        <v>293044.56791666674</v>
      </c>
      <c r="AE174" s="216">
        <f t="shared" ref="AE174" si="219">+AE173+1</f>
        <v>167</v>
      </c>
      <c r="AF174" s="216" t="e">
        <f t="shared" si="210"/>
        <v>#REF!</v>
      </c>
      <c r="AG174" s="1">
        <v>0</v>
      </c>
      <c r="AH174" s="440"/>
      <c r="AI174" s="438"/>
      <c r="AJ174" s="438" t="s">
        <v>544</v>
      </c>
      <c r="AK174" s="438"/>
      <c r="AL174" s="439">
        <f>+T174</f>
        <v>-719799.43</v>
      </c>
      <c r="AM174" s="359">
        <f>AC174</f>
        <v>-426754.86208333331</v>
      </c>
      <c r="AN174" s="359">
        <f>AM174-AL174</f>
        <v>293044.56791666674</v>
      </c>
      <c r="AO174" s="1">
        <f t="shared" si="156"/>
        <v>0</v>
      </c>
    </row>
    <row r="175" spans="1:41">
      <c r="A175" s="500">
        <f t="shared" si="154"/>
        <v>1104</v>
      </c>
      <c r="B175" s="461"/>
      <c r="C175" s="265"/>
      <c r="D175" s="265" t="s">
        <v>145</v>
      </c>
      <c r="H175" s="1064">
        <f t="shared" ref="H175:T175" si="220">SUM(H171:H174)</f>
        <v>-6409799.5499999998</v>
      </c>
      <c r="I175" s="1064">
        <f t="shared" si="220"/>
        <v>-6433960.4699999997</v>
      </c>
      <c r="J175" s="1064">
        <f t="shared" si="220"/>
        <v>-6458138.0300000003</v>
      </c>
      <c r="K175" s="1064">
        <f t="shared" si="220"/>
        <v>-6554653.1699999999</v>
      </c>
      <c r="L175" s="1064">
        <f t="shared" si="220"/>
        <v>-6578841.0199999996</v>
      </c>
      <c r="M175" s="1064">
        <f t="shared" si="220"/>
        <v>-6603028.8700000001</v>
      </c>
      <c r="N175" s="1064">
        <f t="shared" si="220"/>
        <v>-6636083.0099999998</v>
      </c>
      <c r="O175" s="1064">
        <f t="shared" si="220"/>
        <v>-6673728.6099999994</v>
      </c>
      <c r="P175" s="1064">
        <f t="shared" si="220"/>
        <v>-6711523.7199999997</v>
      </c>
      <c r="Q175" s="1064">
        <f t="shared" si="220"/>
        <v>-6749318.8300000001</v>
      </c>
      <c r="R175" s="1064">
        <f t="shared" si="220"/>
        <v>-6811725.8399999999</v>
      </c>
      <c r="S175" s="1064">
        <f t="shared" si="220"/>
        <v>-6874137.5300000003</v>
      </c>
      <c r="T175" s="1064">
        <f t="shared" si="220"/>
        <v>-6939702.0599999996</v>
      </c>
      <c r="U175" s="323"/>
      <c r="V175" s="512">
        <f>(SUM(I175:S175)+(0.5*T175)+(0.5*H175))/12</f>
        <v>-6646657.4920833334</v>
      </c>
      <c r="Y175" s="512">
        <f>T175</f>
        <v>-6939702.0599999996</v>
      </c>
      <c r="Z175" s="512">
        <f>V175</f>
        <v>-6646657.4920833334</v>
      </c>
      <c r="AA175" s="323">
        <f>V175</f>
        <v>-6646657.4920833334</v>
      </c>
      <c r="AB175" s="323">
        <f>T175</f>
        <v>-6939702.0599999996</v>
      </c>
      <c r="AC175" s="323">
        <f t="shared" si="152"/>
        <v>-6646657.4920833334</v>
      </c>
      <c r="AD175" s="323">
        <f>AC175-T175</f>
        <v>293044.56791666616</v>
      </c>
      <c r="AE175" s="216">
        <f t="shared" ref="AE175" si="221">+AE174+1</f>
        <v>168</v>
      </c>
      <c r="AF175" s="216" t="e">
        <f t="shared" si="210"/>
        <v>#REF!</v>
      </c>
      <c r="AG175" s="1">
        <v>5442.1537499986589</v>
      </c>
      <c r="AH175" s="440"/>
      <c r="AI175" s="438"/>
      <c r="AJ175" s="438" t="s">
        <v>145</v>
      </c>
      <c r="AK175" s="438"/>
      <c r="AL175" s="442">
        <f>SUM(AL171:AL174)</f>
        <v>-6939702.0599999996</v>
      </c>
      <c r="AM175" s="10">
        <f>AC175</f>
        <v>-6646657.4920833334</v>
      </c>
      <c r="AN175" s="10">
        <f>AM175-AL175</f>
        <v>293044.56791666616</v>
      </c>
      <c r="AO175" s="1">
        <f t="shared" si="156"/>
        <v>0</v>
      </c>
    </row>
    <row r="176" spans="1:41" ht="13.5" thickBot="1">
      <c r="A176" s="500">
        <f t="shared" si="154"/>
        <v>1105</v>
      </c>
      <c r="B176" s="461"/>
      <c r="C176" s="265"/>
      <c r="D176" s="265"/>
      <c r="AA176"/>
      <c r="AC176">
        <f t="shared" si="152"/>
        <v>0</v>
      </c>
      <c r="AE176" s="216">
        <f t="shared" ref="AE176" si="222">+AE175+1</f>
        <v>169</v>
      </c>
      <c r="AF176" s="216" t="e">
        <f t="shared" si="210"/>
        <v>#REF!</v>
      </c>
      <c r="AG176" s="1">
        <v>0</v>
      </c>
      <c r="AH176" s="440"/>
      <c r="AI176" s="438"/>
      <c r="AJ176" s="438"/>
      <c r="AK176" s="438"/>
      <c r="AL176" s="444"/>
      <c r="AM176" s="79"/>
      <c r="AN176" s="79"/>
      <c r="AO176" s="1">
        <f t="shared" si="156"/>
        <v>0</v>
      </c>
    </row>
    <row r="177" spans="1:41" ht="13.5" thickTop="1">
      <c r="A177" s="500">
        <f t="shared" si="154"/>
        <v>1106</v>
      </c>
      <c r="B177" s="876" t="s">
        <v>939</v>
      </c>
      <c r="C177" s="877" t="s">
        <v>940</v>
      </c>
      <c r="D177" s="878"/>
      <c r="AA177"/>
      <c r="AC177">
        <f t="shared" ref="AC177:AC183" si="223">HLOOKUP($AC$8,RateBaseScenarios,AE177,FALSE)</f>
        <v>0</v>
      </c>
      <c r="AE177" s="216">
        <f t="shared" ref="AE177" si="224">+AE176+1</f>
        <v>170</v>
      </c>
      <c r="AF177" s="216" t="e">
        <f t="shared" si="210"/>
        <v>#REF!</v>
      </c>
      <c r="AG177" s="1">
        <v>0</v>
      </c>
      <c r="AH177" s="327" t="s">
        <v>939</v>
      </c>
      <c r="AI177" s="265" t="s">
        <v>940</v>
      </c>
      <c r="AJ177" s="438"/>
      <c r="AK177" s="438"/>
      <c r="AL177" s="439"/>
      <c r="AO177" s="1">
        <f t="shared" ref="AO177:AO183" si="225">+AL177-T177</f>
        <v>0</v>
      </c>
    </row>
    <row r="178" spans="1:41">
      <c r="A178" s="500">
        <f t="shared" si="154"/>
        <v>1107</v>
      </c>
      <c r="B178" s="461"/>
      <c r="C178" s="265"/>
      <c r="D178" s="265" t="s">
        <v>399</v>
      </c>
      <c r="H178" s="301">
        <f>[16]XNV!$H$178</f>
        <v>75348.37</v>
      </c>
      <c r="I178" s="301">
        <f>[16]XNV!$I$178</f>
        <v>106681.97</v>
      </c>
      <c r="J178" s="301">
        <f>[16]XNV!$J$178</f>
        <v>152376.70000000001</v>
      </c>
      <c r="K178" s="301">
        <f>[16]XNV!$K$178</f>
        <v>156683.75</v>
      </c>
      <c r="L178" s="301">
        <f>[16]XNV!$L$178</f>
        <v>164329.35999999999</v>
      </c>
      <c r="M178" s="301">
        <f>[16]XNV!$M$178</f>
        <v>168038.65</v>
      </c>
      <c r="N178" s="301">
        <f>[16]XNV!$N$178</f>
        <v>170196.72</v>
      </c>
      <c r="O178" s="301">
        <f>[16]XNV!$O$178</f>
        <v>166428.64000000001</v>
      </c>
      <c r="P178" s="301">
        <f>[16]XNV!$P$178</f>
        <v>166442.98000000001</v>
      </c>
      <c r="Q178" s="301">
        <f>[16]XNV!$Q$178</f>
        <v>171373.08</v>
      </c>
      <c r="R178" s="301">
        <f>[16]XNV!$R$178</f>
        <v>170283.41</v>
      </c>
      <c r="S178" s="301">
        <f>[16]XNV!$S$178</f>
        <v>168864.47</v>
      </c>
      <c r="T178" s="301">
        <f>[16]XNV!$T$178</f>
        <v>170187.76</v>
      </c>
      <c r="U178" s="301"/>
      <c r="V178" s="475">
        <f>(SUM(I178:S178)+(0.5*T178)+(0.5*H178))/12</f>
        <v>157038.98291666666</v>
      </c>
      <c r="Y178" s="475">
        <f>T178</f>
        <v>170187.76</v>
      </c>
      <c r="Z178" s="475">
        <f>V178</f>
        <v>157038.98291666666</v>
      </c>
      <c r="AA178" s="301">
        <f>V178</f>
        <v>157038.98291666666</v>
      </c>
      <c r="AB178" s="301">
        <f>T178</f>
        <v>170187.76</v>
      </c>
      <c r="AC178" s="301">
        <f t="shared" si="223"/>
        <v>157038.98291666666</v>
      </c>
      <c r="AD178" s="301">
        <f>AC178-T178</f>
        <v>-13148.777083333349</v>
      </c>
      <c r="AE178" s="216">
        <f t="shared" ref="AE178" si="226">+AE177+1</f>
        <v>171</v>
      </c>
      <c r="AF178" s="216" t="e">
        <f t="shared" si="210"/>
        <v>#REF!</v>
      </c>
      <c r="AG178" s="1">
        <v>5442.1537499995902</v>
      </c>
      <c r="AH178" s="440"/>
      <c r="AI178" s="438"/>
      <c r="AJ178" s="438" t="s">
        <v>399</v>
      </c>
      <c r="AK178" s="438"/>
      <c r="AL178" s="439">
        <f>+T178</f>
        <v>170187.76</v>
      </c>
      <c r="AM178" s="10">
        <f>AC178</f>
        <v>157038.98291666666</v>
      </c>
      <c r="AN178" s="10">
        <f>AM178-AL178</f>
        <v>-13148.777083333349</v>
      </c>
      <c r="AO178" s="1">
        <f t="shared" si="225"/>
        <v>0</v>
      </c>
    </row>
    <row r="179" spans="1:41">
      <c r="A179" s="500">
        <f t="shared" si="154"/>
        <v>1108</v>
      </c>
      <c r="B179" s="461"/>
      <c r="C179" s="265"/>
      <c r="D179" s="265" t="s">
        <v>542</v>
      </c>
      <c r="H179" s="301">
        <f>[16]XNV!$H$179</f>
        <v>-6794498.5499999998</v>
      </c>
      <c r="I179" s="301">
        <f>[16]XNV!$I$179</f>
        <v>-6835906.4900000002</v>
      </c>
      <c r="J179" s="301">
        <f>[16]XNV!$J$179</f>
        <v>-6883324.5199999996</v>
      </c>
      <c r="K179" s="301">
        <f>[16]XNV!$K$179</f>
        <v>-6834655.3600000003</v>
      </c>
      <c r="L179" s="301">
        <f>[16]XNV!$L$179</f>
        <v>-6870275</v>
      </c>
      <c r="M179" s="301">
        <f>[16]XNV!$M$179</f>
        <v>-6919596.8099999996</v>
      </c>
      <c r="N179" s="301">
        <f>[16]XNV!$N$179</f>
        <v>-6972733.9800000004</v>
      </c>
      <c r="O179" s="301">
        <f>[16]XNV!$O$179</f>
        <v>-7030844.8499999996</v>
      </c>
      <c r="P179" s="301">
        <f>[16]XNV!$P$179</f>
        <v>-7085712.1600000001</v>
      </c>
      <c r="Q179" s="301">
        <f>[16]XNV!$Q$179</f>
        <v>-7146285.0199999996</v>
      </c>
      <c r="R179" s="301">
        <f>[16]XNV!$R$179</f>
        <v>-7206785.5700000003</v>
      </c>
      <c r="S179" s="301">
        <f>[16]XNV!$S$179</f>
        <v>-7265315.4299999997</v>
      </c>
      <c r="T179" s="301">
        <f>[16]XNV!$T$179</f>
        <v>-7311522.3600000003</v>
      </c>
      <c r="U179" s="301"/>
      <c r="V179" s="475">
        <f>(SUM(I179:S179)+(0.5*T179)+(0.5*H179))/12</f>
        <v>-7008703.8037500009</v>
      </c>
      <c r="Y179" s="475">
        <f>T179</f>
        <v>-7311522.3600000003</v>
      </c>
      <c r="Z179" s="475">
        <f>V179</f>
        <v>-7008703.8037500009</v>
      </c>
      <c r="AA179" s="301">
        <f>V179</f>
        <v>-7008703.8037500009</v>
      </c>
      <c r="AB179" s="301">
        <f>T179</f>
        <v>-7311522.3600000003</v>
      </c>
      <c r="AC179" s="301">
        <f t="shared" si="223"/>
        <v>-7008703.8037500009</v>
      </c>
      <c r="AD179" s="301">
        <f>AC179-T179</f>
        <v>302818.55624999944</v>
      </c>
      <c r="AE179" s="216">
        <f t="shared" ref="AE179" si="227">+AE178+1</f>
        <v>172</v>
      </c>
      <c r="AF179" s="216" t="e">
        <f t="shared" si="210"/>
        <v>#REF!</v>
      </c>
      <c r="AG179" s="1">
        <v>50</v>
      </c>
      <c r="AH179" s="440"/>
      <c r="AI179" s="438"/>
      <c r="AJ179" s="438" t="s">
        <v>542</v>
      </c>
      <c r="AK179" s="438"/>
      <c r="AL179" s="439">
        <f>+T179</f>
        <v>-7311522.3600000003</v>
      </c>
      <c r="AM179" s="10">
        <f>AC179</f>
        <v>-7008703.8037500009</v>
      </c>
      <c r="AN179" s="10">
        <f>AM179-AL179</f>
        <v>302818.55624999944</v>
      </c>
      <c r="AO179" s="1">
        <f t="shared" si="225"/>
        <v>0</v>
      </c>
    </row>
    <row r="180" spans="1:41">
      <c r="A180" s="500">
        <f t="shared" si="154"/>
        <v>1109</v>
      </c>
      <c r="B180" s="461"/>
      <c r="C180" s="265"/>
      <c r="D180" s="265" t="s">
        <v>543</v>
      </c>
      <c r="H180" s="301">
        <f>[16]XNV!$H$180</f>
        <v>-177495137.71000001</v>
      </c>
      <c r="I180" s="301">
        <f>[16]XNV!$I$180</f>
        <v>-178698166.81999999</v>
      </c>
      <c r="J180" s="301">
        <f>[16]XNV!$J$180</f>
        <v>-179672850.25999999</v>
      </c>
      <c r="K180" s="301">
        <f>[16]XNV!$K$180</f>
        <v>-176986964.43000001</v>
      </c>
      <c r="L180" s="301">
        <f>[16]XNV!$L$180</f>
        <v>-177684428.16999999</v>
      </c>
      <c r="M180" s="301">
        <f>[16]XNV!$M$180</f>
        <v>-178622822.59999999</v>
      </c>
      <c r="N180" s="301">
        <f>[16]XNV!$N$180</f>
        <v>-178918736.16999999</v>
      </c>
      <c r="O180" s="301">
        <f>[16]XNV!$O$180</f>
        <v>-180342706.63999999</v>
      </c>
      <c r="P180" s="301">
        <f>[16]XNV!$P$180</f>
        <v>-181286534.00999999</v>
      </c>
      <c r="Q180" s="301">
        <f>[16]XNV!$Q$180</f>
        <v>-180117448.94999999</v>
      </c>
      <c r="R180" s="301">
        <f>[16]XNV!$R$180</f>
        <v>-181320462.22</v>
      </c>
      <c r="S180" s="301">
        <f>[16]XNV!$S$180</f>
        <v>-182717321.74000001</v>
      </c>
      <c r="T180" s="301">
        <f>[16]XNV!$T$180</f>
        <v>-183219730.84999999</v>
      </c>
      <c r="U180" s="301"/>
      <c r="V180" s="475">
        <f>(SUM(I180:S180)+(0.5*T180)+(0.5*H180))/12</f>
        <v>-179727156.35749999</v>
      </c>
      <c r="Y180" s="475">
        <f>T180</f>
        <v>-183219730.84999999</v>
      </c>
      <c r="Z180" s="475">
        <f>V180</f>
        <v>-179727156.35749999</v>
      </c>
      <c r="AA180" s="301">
        <f>V180</f>
        <v>-179727156.35749999</v>
      </c>
      <c r="AB180" s="301">
        <f>T180</f>
        <v>-183219730.84999999</v>
      </c>
      <c r="AC180" s="301">
        <f t="shared" si="223"/>
        <v>-179727156.35749999</v>
      </c>
      <c r="AD180" s="301">
        <f>AC180-T180</f>
        <v>3492574.4925000072</v>
      </c>
      <c r="AE180" s="216">
        <f t="shared" ref="AE180" si="228">+AE179+1</f>
        <v>173</v>
      </c>
      <c r="AF180" s="216" t="e">
        <f t="shared" si="210"/>
        <v>#REF!</v>
      </c>
      <c r="AG180" s="1">
        <v>-50.000000000422006</v>
      </c>
      <c r="AH180" s="440"/>
      <c r="AI180" s="438"/>
      <c r="AJ180" s="438" t="s">
        <v>543</v>
      </c>
      <c r="AK180" s="438"/>
      <c r="AL180" s="439">
        <f>+T180</f>
        <v>-183219730.84999999</v>
      </c>
      <c r="AM180" s="10">
        <f>AC180</f>
        <v>-179727156.35749999</v>
      </c>
      <c r="AN180" s="10">
        <f>AM180-AL180</f>
        <v>3492574.4925000072</v>
      </c>
      <c r="AO180" s="1">
        <f t="shared" si="225"/>
        <v>0</v>
      </c>
    </row>
    <row r="181" spans="1:41">
      <c r="A181" s="500">
        <f t="shared" si="154"/>
        <v>1110</v>
      </c>
      <c r="B181" s="461"/>
      <c r="C181" s="265"/>
      <c r="D181" s="265" t="s">
        <v>544</v>
      </c>
      <c r="H181" s="301">
        <f>[16]XNV!$H$181</f>
        <v>-227170542.60999998</v>
      </c>
      <c r="I181" s="301">
        <f>[16]XNV!$I$181</f>
        <v>-227065406.15000001</v>
      </c>
      <c r="J181" s="301">
        <f>[16]XNV!$J$181</f>
        <v>-226530785.15000001</v>
      </c>
      <c r="K181" s="301">
        <f>[16]XNV!$K$181</f>
        <v>-225974991.53</v>
      </c>
      <c r="L181" s="301">
        <f>[16]XNV!$L$181</f>
        <v>-225389659.90000001</v>
      </c>
      <c r="M181" s="301">
        <f>[16]XNV!$M$181</f>
        <v>-225516131.09</v>
      </c>
      <c r="N181" s="301">
        <f>[16]XNV!$N$181</f>
        <v>-224639108.58000001</v>
      </c>
      <c r="O181" s="301">
        <f>[16]XNV!$O$181</f>
        <v>-224312807.43000001</v>
      </c>
      <c r="P181" s="301">
        <f>[16]XNV!$P$181</f>
        <v>-223930814.64000002</v>
      </c>
      <c r="Q181" s="301">
        <f>[16]XNV!$Q$181</f>
        <v>-223097440.55000001</v>
      </c>
      <c r="R181" s="301">
        <f>[16]XNV!$R$181</f>
        <v>-222740576.80000001</v>
      </c>
      <c r="S181" s="301">
        <f>[16]XNV!$S$181</f>
        <v>-222367425</v>
      </c>
      <c r="T181" s="301">
        <f>[16]XNV!$T$181</f>
        <v>-223154902.15000001</v>
      </c>
      <c r="U181" s="301"/>
      <c r="V181" s="475">
        <f>(SUM(I181:S181)+(0.5*T181)+(0.5*H181))/12</f>
        <v>-224727322.43333331</v>
      </c>
      <c r="Y181" s="475">
        <f>T181</f>
        <v>-223154902.15000001</v>
      </c>
      <c r="Z181" s="475">
        <f>V181</f>
        <v>-224727322.43333331</v>
      </c>
      <c r="AA181" s="301">
        <f>V181</f>
        <v>-224727322.43333331</v>
      </c>
      <c r="AB181" s="301">
        <f>T181</f>
        <v>-223154902.15000001</v>
      </c>
      <c r="AC181" s="301">
        <f>HLOOKUP($AC$8,RateBaseScenarios,AE181,FALSE)</f>
        <v>-224727322.43333331</v>
      </c>
      <c r="AD181" s="301">
        <f>AC181-T181</f>
        <v>-1572420.2833333015</v>
      </c>
      <c r="AE181" s="216">
        <f t="shared" ref="AE181" si="229">+AE180+1</f>
        <v>174</v>
      </c>
      <c r="AF181" s="216" t="e">
        <f t="shared" si="210"/>
        <v>#REF!</v>
      </c>
      <c r="AG181" s="1">
        <v>0</v>
      </c>
      <c r="AH181" s="440"/>
      <c r="AI181" s="438"/>
      <c r="AJ181" s="438" t="s">
        <v>544</v>
      </c>
      <c r="AK181" s="438"/>
      <c r="AL181" s="439">
        <f>+T181</f>
        <v>-223154902.15000001</v>
      </c>
      <c r="AM181" s="359">
        <f>AC181</f>
        <v>-224727322.43333331</v>
      </c>
      <c r="AN181" s="359">
        <f>AM181-AL181</f>
        <v>-1572420.2833333015</v>
      </c>
      <c r="AO181" s="1">
        <f t="shared" si="225"/>
        <v>0</v>
      </c>
    </row>
    <row r="182" spans="1:41">
      <c r="A182" s="500">
        <f t="shared" si="154"/>
        <v>1111</v>
      </c>
      <c r="B182" s="461"/>
      <c r="C182" s="265"/>
      <c r="D182" s="265" t="s">
        <v>145</v>
      </c>
      <c r="H182" s="1064">
        <f t="shared" ref="H182:T182" si="230">SUM(H178:H181)</f>
        <v>-411384830.5</v>
      </c>
      <c r="I182" s="1064">
        <f t="shared" si="230"/>
        <v>-412492797.49000001</v>
      </c>
      <c r="J182" s="1064">
        <f t="shared" si="230"/>
        <v>-412934583.23000002</v>
      </c>
      <c r="K182" s="1064">
        <f t="shared" si="230"/>
        <v>-409639927.57000005</v>
      </c>
      <c r="L182" s="1064">
        <f t="shared" si="230"/>
        <v>-409780033.70999998</v>
      </c>
      <c r="M182" s="1064">
        <f t="shared" si="230"/>
        <v>-410890511.85000002</v>
      </c>
      <c r="N182" s="1064">
        <f t="shared" si="230"/>
        <v>-410360382.00999999</v>
      </c>
      <c r="O182" s="1064">
        <f t="shared" si="230"/>
        <v>-411519930.27999997</v>
      </c>
      <c r="P182" s="1064">
        <f t="shared" si="230"/>
        <v>-412136617.83000004</v>
      </c>
      <c r="Q182" s="1064">
        <f t="shared" si="230"/>
        <v>-410189801.44</v>
      </c>
      <c r="R182" s="1064">
        <f t="shared" si="230"/>
        <v>-411097541.18000001</v>
      </c>
      <c r="S182" s="1064">
        <f t="shared" si="230"/>
        <v>-412181197.70000005</v>
      </c>
      <c r="T182" s="1064">
        <f t="shared" si="230"/>
        <v>-413515967.60000002</v>
      </c>
      <c r="U182" s="323"/>
      <c r="V182" s="512">
        <f>(SUM(I182:S182)+(0.5*T182)+(0.5*H182))/12</f>
        <v>-411306143.61166662</v>
      </c>
      <c r="Y182" s="512">
        <f>T182</f>
        <v>-413515967.60000002</v>
      </c>
      <c r="Z182" s="512">
        <f>V182</f>
        <v>-411306143.61166662</v>
      </c>
      <c r="AA182" s="323">
        <f>V182</f>
        <v>-411306143.61166662</v>
      </c>
      <c r="AB182" s="323">
        <f>T182</f>
        <v>-413515967.60000002</v>
      </c>
      <c r="AC182" s="323">
        <f t="shared" si="223"/>
        <v>-411306143.61166662</v>
      </c>
      <c r="AD182" s="323">
        <f>AC182-T182</f>
        <v>2209823.9883334041</v>
      </c>
      <c r="AE182" s="216">
        <f t="shared" ref="AE182" si="231">+AE181+1</f>
        <v>175</v>
      </c>
      <c r="AF182" s="216" t="e">
        <f t="shared" si="210"/>
        <v>#REF!</v>
      </c>
      <c r="AG182" s="1">
        <v>5442.1537499986589</v>
      </c>
      <c r="AH182" s="440"/>
      <c r="AI182" s="438"/>
      <c r="AJ182" s="438" t="s">
        <v>145</v>
      </c>
      <c r="AK182" s="438"/>
      <c r="AL182" s="442">
        <f>SUM(AL178:AL181)</f>
        <v>-413515967.60000002</v>
      </c>
      <c r="AM182" s="10">
        <f>AC182</f>
        <v>-411306143.61166662</v>
      </c>
      <c r="AN182" s="10">
        <f>AM182-AL182</f>
        <v>2209823.9883334041</v>
      </c>
      <c r="AO182" s="1">
        <f t="shared" si="225"/>
        <v>0</v>
      </c>
    </row>
    <row r="183" spans="1:41" ht="13.5" thickBot="1">
      <c r="A183" s="500">
        <f t="shared" si="154"/>
        <v>1112</v>
      </c>
      <c r="B183" s="461"/>
      <c r="C183" s="265"/>
      <c r="D183" s="265"/>
      <c r="AA183"/>
      <c r="AC183">
        <f t="shared" si="223"/>
        <v>0</v>
      </c>
      <c r="AE183" s="216">
        <f t="shared" ref="AE183" si="232">+AE182+1</f>
        <v>176</v>
      </c>
      <c r="AF183" s="216" t="e">
        <f t="shared" si="210"/>
        <v>#REF!</v>
      </c>
      <c r="AG183" s="1">
        <v>0</v>
      </c>
      <c r="AH183" s="440"/>
      <c r="AI183" s="438"/>
      <c r="AJ183" s="438"/>
      <c r="AK183" s="438"/>
      <c r="AL183" s="444"/>
      <c r="AM183" s="79"/>
      <c r="AN183" s="79"/>
      <c r="AO183" s="1">
        <f t="shared" si="225"/>
        <v>0</v>
      </c>
    </row>
    <row r="184" spans="1:41" ht="13.5" thickTop="1">
      <c r="A184" s="500">
        <f t="shared" si="154"/>
        <v>1113</v>
      </c>
      <c r="B184" s="461"/>
      <c r="C184" s="265"/>
      <c r="D184" s="265"/>
      <c r="AA184"/>
      <c r="AC184">
        <f t="shared" si="152"/>
        <v>0</v>
      </c>
      <c r="AE184" s="216">
        <f t="shared" ref="AE184" si="233">+AE183+1</f>
        <v>177</v>
      </c>
      <c r="AF184" s="216" t="e">
        <f>+AF176+1</f>
        <v>#REF!</v>
      </c>
      <c r="AG184" s="1">
        <v>0</v>
      </c>
      <c r="AH184" s="440"/>
      <c r="AI184" s="438"/>
      <c r="AJ184" s="438"/>
      <c r="AK184" s="438"/>
      <c r="AL184" s="439"/>
      <c r="AO184" s="1">
        <f t="shared" si="156"/>
        <v>0</v>
      </c>
    </row>
    <row r="185" spans="1:41">
      <c r="A185" s="500">
        <f t="shared" si="154"/>
        <v>1114</v>
      </c>
      <c r="B185" s="116" t="s">
        <v>609</v>
      </c>
      <c r="C185" s="265"/>
      <c r="D185" s="265"/>
      <c r="H185" s="301"/>
      <c r="I185" s="301"/>
      <c r="J185" s="301"/>
      <c r="K185" s="301"/>
      <c r="L185" s="301"/>
      <c r="M185" s="301"/>
      <c r="N185" s="301"/>
      <c r="O185" s="301"/>
      <c r="P185" s="301"/>
      <c r="Q185" s="301"/>
      <c r="R185" s="301"/>
      <c r="S185" s="301"/>
      <c r="T185" s="301"/>
      <c r="U185" s="301"/>
      <c r="V185" s="475"/>
      <c r="Y185" s="475"/>
      <c r="Z185" s="475"/>
      <c r="AA185" s="301"/>
      <c r="AB185" s="301"/>
      <c r="AC185" s="301">
        <f t="shared" si="152"/>
        <v>0</v>
      </c>
      <c r="AD185" s="301"/>
      <c r="AE185" s="216">
        <f t="shared" ref="AE185" si="234">+AE184+1</f>
        <v>178</v>
      </c>
      <c r="AF185" s="216" t="e">
        <f t="shared" si="210"/>
        <v>#REF!</v>
      </c>
      <c r="AG185" s="1">
        <v>0</v>
      </c>
      <c r="AH185" s="116" t="s">
        <v>609</v>
      </c>
      <c r="AI185" s="438"/>
      <c r="AJ185" s="438"/>
      <c r="AK185" s="438"/>
      <c r="AL185" s="439"/>
      <c r="AO185" s="1">
        <f t="shared" si="156"/>
        <v>0</v>
      </c>
    </row>
    <row r="186" spans="1:41">
      <c r="A186" s="500">
        <f t="shared" si="154"/>
        <v>1115</v>
      </c>
      <c r="B186" s="461"/>
      <c r="C186" s="265" t="s">
        <v>399</v>
      </c>
      <c r="D186" s="265"/>
      <c r="H186" s="301">
        <f t="shared" ref="H186:T186" si="235">H146+H157+H164+H171+H178</f>
        <v>1557291.4499999946</v>
      </c>
      <c r="I186" s="301">
        <f t="shared" si="235"/>
        <v>1526907.5599999998</v>
      </c>
      <c r="J186" s="301">
        <f t="shared" si="235"/>
        <v>1509577.5299999944</v>
      </c>
      <c r="K186" s="301">
        <f t="shared" si="235"/>
        <v>1449260.5799999945</v>
      </c>
      <c r="L186" s="301">
        <f t="shared" si="235"/>
        <v>1392268.9600000051</v>
      </c>
      <c r="M186" s="301">
        <f t="shared" si="235"/>
        <v>1331317.6799999974</v>
      </c>
      <c r="N186" s="301">
        <f t="shared" si="235"/>
        <v>1270282.8200000052</v>
      </c>
      <c r="O186" s="301">
        <f t="shared" si="235"/>
        <v>1204485.2999999928</v>
      </c>
      <c r="P186" s="301">
        <f t="shared" si="235"/>
        <v>1141742.5699999998</v>
      </c>
      <c r="Q186" s="301">
        <f t="shared" si="235"/>
        <v>1104054.6800000053</v>
      </c>
      <c r="R186" s="301">
        <f t="shared" si="235"/>
        <v>1060277.7199999986</v>
      </c>
      <c r="S186" s="301">
        <f t="shared" si="235"/>
        <v>1016171.340000001</v>
      </c>
      <c r="T186" s="301">
        <f t="shared" si="235"/>
        <v>974786.16000000224</v>
      </c>
      <c r="U186" s="301"/>
      <c r="V186" s="301">
        <f t="shared" ref="V186" si="236">V146+V157+V164+V171+V178</f>
        <v>1272698.7954166639</v>
      </c>
      <c r="Y186" s="475">
        <f>T186</f>
        <v>974786.16000000224</v>
      </c>
      <c r="Z186" s="475">
        <f>V186</f>
        <v>1272698.7954166639</v>
      </c>
      <c r="AA186" s="301">
        <f>V186</f>
        <v>1272698.7954166639</v>
      </c>
      <c r="AB186" s="301">
        <f>T186</f>
        <v>974786.16000000224</v>
      </c>
      <c r="AC186" s="301">
        <f t="shared" si="152"/>
        <v>1272698.7954166639</v>
      </c>
      <c r="AD186" s="301">
        <f>AC186-T186</f>
        <v>297912.63541666162</v>
      </c>
      <c r="AE186" s="216">
        <f t="shared" ref="AE186" si="237">+AE185+1</f>
        <v>179</v>
      </c>
      <c r="AF186" s="216" t="e">
        <f t="shared" si="210"/>
        <v>#REF!</v>
      </c>
      <c r="AG186" s="1">
        <v>336389.88124999125</v>
      </c>
      <c r="AH186" s="440"/>
      <c r="AI186" s="438" t="s">
        <v>399</v>
      </c>
      <c r="AJ186" s="438"/>
      <c r="AK186" s="438"/>
      <c r="AL186" s="301">
        <f t="shared" ref="AL186" si="238">AL146+AL157+AL164+AL171+AL178</f>
        <v>974786.16000000224</v>
      </c>
      <c r="AM186" s="10">
        <f>AC186</f>
        <v>1272698.7954166639</v>
      </c>
      <c r="AN186" s="10">
        <f>AM186-AL186</f>
        <v>297912.63541666162</v>
      </c>
      <c r="AO186" s="1">
        <f t="shared" si="156"/>
        <v>0</v>
      </c>
    </row>
    <row r="187" spans="1:41">
      <c r="A187" s="500">
        <f t="shared" si="154"/>
        <v>1116</v>
      </c>
      <c r="B187" s="461"/>
      <c r="C187" s="265" t="s">
        <v>542</v>
      </c>
      <c r="D187" s="265"/>
      <c r="H187" s="301">
        <f t="shared" ref="H187" si="239">H147+H158+H165+H172+H179</f>
        <v>65381754.599999994</v>
      </c>
      <c r="I187" s="301">
        <f t="shared" ref="I187:J187" si="240">I147+I158+I165+I172+I179</f>
        <v>65543587.419999979</v>
      </c>
      <c r="J187" s="301">
        <f t="shared" si="240"/>
        <v>66838668.590000018</v>
      </c>
      <c r="K187" s="301">
        <f t="shared" ref="K187:L187" si="241">K147+K158+K165+K172+K179</f>
        <v>67339122.659999996</v>
      </c>
      <c r="L187" s="301">
        <f t="shared" si="241"/>
        <v>67395810.359999999</v>
      </c>
      <c r="M187" s="301">
        <f t="shared" ref="M187:N187" si="242">M147+M158+M165+M172+M179</f>
        <v>67382474.140000001</v>
      </c>
      <c r="N187" s="301">
        <f t="shared" si="242"/>
        <v>67504752.319999993</v>
      </c>
      <c r="O187" s="301">
        <f t="shared" ref="O187:P187" si="243">O147+O158+O165+O172+O179</f>
        <v>67529771.109999999</v>
      </c>
      <c r="P187" s="301">
        <f t="shared" si="243"/>
        <v>66833449.430000022</v>
      </c>
      <c r="Q187" s="301">
        <f t="shared" ref="Q187:R187" si="244">Q147+Q158+Q165+Q172+Q179</f>
        <v>67598305.599999994</v>
      </c>
      <c r="R187" s="301">
        <f t="shared" si="244"/>
        <v>67532059.389999986</v>
      </c>
      <c r="S187" s="301">
        <f t="shared" ref="S187:T187" si="245">S147+S158+S165+S172+S179</f>
        <v>67552670.269999981</v>
      </c>
      <c r="T187" s="301">
        <f t="shared" si="245"/>
        <v>67635963.529999986</v>
      </c>
      <c r="U187" s="301"/>
      <c r="V187" s="301">
        <f t="shared" ref="V187" si="246">V147+V158+V165+V172+V179</f>
        <v>67129960.862916678</v>
      </c>
      <c r="Y187" s="475">
        <f>T187</f>
        <v>67635963.529999986</v>
      </c>
      <c r="Z187" s="475">
        <f>V187</f>
        <v>67129960.862916678</v>
      </c>
      <c r="AA187" s="301">
        <f>V187</f>
        <v>67129960.862916678</v>
      </c>
      <c r="AB187" s="301">
        <f>T187</f>
        <v>67635963.529999986</v>
      </c>
      <c r="AC187" s="301">
        <f t="shared" si="152"/>
        <v>67129960.862916678</v>
      </c>
      <c r="AD187" s="301">
        <f>AC187-T187</f>
        <v>-506002.6670833081</v>
      </c>
      <c r="AE187" s="216">
        <f t="shared" ref="AE187" si="247">+AE186+1</f>
        <v>180</v>
      </c>
      <c r="AF187" s="216" t="e">
        <f t="shared" si="210"/>
        <v>#REF!</v>
      </c>
      <c r="AG187" s="1">
        <v>-2739958.1382499933</v>
      </c>
      <c r="AH187" s="440"/>
      <c r="AI187" s="438" t="s">
        <v>542</v>
      </c>
      <c r="AJ187" s="438"/>
      <c r="AK187" s="438"/>
      <c r="AL187" s="301">
        <f t="shared" ref="AL187" si="248">AL147+AL158+AL165+AL172+AL179</f>
        <v>67635963.529999986</v>
      </c>
      <c r="AM187" s="10">
        <f>AC187</f>
        <v>67129960.862916678</v>
      </c>
      <c r="AN187" s="10">
        <f>AM187-AL187</f>
        <v>-506002.6670833081</v>
      </c>
      <c r="AO187" s="1">
        <f t="shared" si="156"/>
        <v>0</v>
      </c>
    </row>
    <row r="188" spans="1:41">
      <c r="A188" s="500">
        <f t="shared" si="154"/>
        <v>1117</v>
      </c>
      <c r="B188" s="461"/>
      <c r="C188" s="265" t="s">
        <v>543</v>
      </c>
      <c r="D188" s="265"/>
      <c r="H188" s="301">
        <f t="shared" ref="H188:T188" si="249">H148+H159+H166+H173+H180+H153</f>
        <v>2433530454.3695722</v>
      </c>
      <c r="I188" s="301">
        <f t="shared" si="249"/>
        <v>2443269678.8695717</v>
      </c>
      <c r="J188" s="301">
        <f t="shared" si="249"/>
        <v>2451634207.799572</v>
      </c>
      <c r="K188" s="301">
        <f t="shared" si="249"/>
        <v>2466808686.1895723</v>
      </c>
      <c r="L188" s="301">
        <f t="shared" si="249"/>
        <v>2538546121.1495728</v>
      </c>
      <c r="M188" s="301">
        <f t="shared" si="249"/>
        <v>2552958241.9595718</v>
      </c>
      <c r="N188" s="301">
        <f t="shared" si="249"/>
        <v>2749282516.6995716</v>
      </c>
      <c r="O188" s="301">
        <f t="shared" si="249"/>
        <v>2783864170.6095719</v>
      </c>
      <c r="P188" s="301">
        <f t="shared" si="249"/>
        <v>2791645998.5695715</v>
      </c>
      <c r="Q188" s="301">
        <f t="shared" si="249"/>
        <v>2831558840.7695718</v>
      </c>
      <c r="R188" s="301">
        <f t="shared" si="249"/>
        <v>2835358175.5595722</v>
      </c>
      <c r="S188" s="301">
        <f t="shared" si="249"/>
        <v>2849157004.0995712</v>
      </c>
      <c r="T188" s="301">
        <f t="shared" si="249"/>
        <v>2864371061.6095719</v>
      </c>
      <c r="U188" s="301"/>
      <c r="V188" s="301">
        <f>V148+V159+V166+V173+V180+V153</f>
        <v>2661919533.3554049</v>
      </c>
      <c r="Y188" s="475">
        <f>T188</f>
        <v>2864371061.6095719</v>
      </c>
      <c r="Z188" s="475">
        <f>V188</f>
        <v>2661919533.3554049</v>
      </c>
      <c r="AA188" s="301">
        <f>V188</f>
        <v>2661919533.3554049</v>
      </c>
      <c r="AB188" s="301">
        <f>T188</f>
        <v>2864371061.6095719</v>
      </c>
      <c r="AC188" s="301">
        <f t="shared" si="152"/>
        <v>2661919533.3554049</v>
      </c>
      <c r="AD188" s="301">
        <f>AC188-T188</f>
        <v>-202451528.25416708</v>
      </c>
      <c r="AE188" s="216">
        <f t="shared" ref="AE188" si="250">+AE187+1</f>
        <v>181</v>
      </c>
      <c r="AF188" s="216" t="e">
        <f t="shared" si="210"/>
        <v>#REF!</v>
      </c>
      <c r="AG188" s="1">
        <v>-58657149.774667144</v>
      </c>
      <c r="AH188" s="440"/>
      <c r="AI188" s="438" t="s">
        <v>543</v>
      </c>
      <c r="AJ188" s="438"/>
      <c r="AK188" s="438"/>
      <c r="AL188" s="301">
        <f>AL148+AL159+AL166+AL173+AL180+AL153</f>
        <v>2864371061.6095719</v>
      </c>
      <c r="AM188" s="10">
        <f>AC188</f>
        <v>2661919533.3554049</v>
      </c>
      <c r="AN188" s="10">
        <f>AM188-AL188</f>
        <v>-202451528.25416708</v>
      </c>
      <c r="AO188" s="1">
        <f t="shared" si="156"/>
        <v>0</v>
      </c>
    </row>
    <row r="189" spans="1:41">
      <c r="A189" s="500">
        <f t="shared" si="154"/>
        <v>1118</v>
      </c>
      <c r="B189" s="461"/>
      <c r="C189" s="265" t="s">
        <v>544</v>
      </c>
      <c r="D189" s="265"/>
      <c r="H189" s="301">
        <f t="shared" ref="H189:T189" si="251">H149+H160+H167+H174+H181</f>
        <v>-63795027.25999999</v>
      </c>
      <c r="I189" s="301">
        <f t="shared" si="251"/>
        <v>-63600892.650000066</v>
      </c>
      <c r="J189" s="301">
        <f t="shared" si="251"/>
        <v>-63707093.409999996</v>
      </c>
      <c r="K189" s="301">
        <f t="shared" si="251"/>
        <v>-63881959.49000001</v>
      </c>
      <c r="L189" s="301">
        <f t="shared" si="251"/>
        <v>-64278615.899999976</v>
      </c>
      <c r="M189" s="301">
        <f t="shared" si="251"/>
        <v>-56181364.709999979</v>
      </c>
      <c r="N189" s="301">
        <f t="shared" si="251"/>
        <v>-49626980.849999994</v>
      </c>
      <c r="O189" s="301">
        <f t="shared" si="251"/>
        <v>-49027599.560000002</v>
      </c>
      <c r="P189" s="301">
        <f t="shared" si="251"/>
        <v>-48893174.120000005</v>
      </c>
      <c r="Q189" s="301">
        <f t="shared" si="251"/>
        <v>-47758856.979999989</v>
      </c>
      <c r="R189" s="301">
        <f t="shared" si="251"/>
        <v>-45032264.48999998</v>
      </c>
      <c r="S189" s="301">
        <f t="shared" si="251"/>
        <v>-47282022.140000015</v>
      </c>
      <c r="T189" s="301">
        <f t="shared" si="251"/>
        <v>-47133971.720000029</v>
      </c>
      <c r="U189" s="301"/>
      <c r="V189" s="301">
        <f t="shared" ref="V189" si="252">V149+V160+V167+V174+V181</f>
        <v>-54561276.982500046</v>
      </c>
      <c r="Y189" s="475">
        <f>T189</f>
        <v>-47133971.720000029</v>
      </c>
      <c r="Z189" s="475">
        <f>V189</f>
        <v>-54561276.982500046</v>
      </c>
      <c r="AA189" s="301">
        <f>V189</f>
        <v>-54561276.982500046</v>
      </c>
      <c r="AB189" s="301">
        <f>T189</f>
        <v>-47133971.720000029</v>
      </c>
      <c r="AC189" s="301">
        <f t="shared" si="152"/>
        <v>-54561276.982500046</v>
      </c>
      <c r="AD189" s="301">
        <f>AC189-T189</f>
        <v>-7427305.2625000179</v>
      </c>
      <c r="AE189" s="216">
        <f t="shared" ref="AE189" si="253">+AE188+1</f>
        <v>182</v>
      </c>
      <c r="AF189" s="216" t="e">
        <f t="shared" si="210"/>
        <v>#REF!</v>
      </c>
      <c r="AG189" s="1">
        <v>-429417.36458337307</v>
      </c>
      <c r="AH189" s="440"/>
      <c r="AI189" s="438" t="s">
        <v>544</v>
      </c>
      <c r="AJ189" s="438"/>
      <c r="AK189" s="438"/>
      <c r="AL189" s="301">
        <f>AL149+AL160+AL167+AL174+AL181</f>
        <v>-47133971.720000029</v>
      </c>
      <c r="AM189" s="10">
        <f>AC189</f>
        <v>-54561276.982500046</v>
      </c>
      <c r="AN189" s="10">
        <f>AM189-AL189</f>
        <v>-7427305.2625000179</v>
      </c>
      <c r="AO189" s="1">
        <f t="shared" si="156"/>
        <v>0</v>
      </c>
    </row>
    <row r="190" spans="1:41" ht="13.5" thickBot="1">
      <c r="A190" s="500">
        <f t="shared" si="154"/>
        <v>1119</v>
      </c>
      <c r="B190" s="461"/>
      <c r="C190" s="265"/>
      <c r="D190" s="265"/>
      <c r="H190" s="470"/>
      <c r="I190" s="470"/>
      <c r="J190" s="470"/>
      <c r="K190" s="470"/>
      <c r="L190" s="470"/>
      <c r="M190" s="470"/>
      <c r="N190" s="470"/>
      <c r="O190" s="470"/>
      <c r="P190" s="470"/>
      <c r="Q190" s="470"/>
      <c r="R190" s="470"/>
      <c r="S190" s="470"/>
      <c r="T190" s="470"/>
      <c r="U190" s="470"/>
      <c r="V190" s="513"/>
      <c r="Y190" s="513"/>
      <c r="Z190" s="513"/>
      <c r="AA190" s="470"/>
      <c r="AB190" s="470"/>
      <c r="AC190" s="470">
        <f t="shared" si="152"/>
        <v>0</v>
      </c>
      <c r="AD190" s="470"/>
      <c r="AE190" s="216">
        <f t="shared" ref="AE190" si="254">+AE189+1</f>
        <v>183</v>
      </c>
      <c r="AF190" s="216" t="e">
        <f t="shared" si="210"/>
        <v>#REF!</v>
      </c>
      <c r="AG190" s="1">
        <v>0</v>
      </c>
      <c r="AH190" s="440"/>
      <c r="AI190" s="438"/>
      <c r="AJ190" s="438"/>
      <c r="AK190" s="438"/>
      <c r="AL190" s="444"/>
      <c r="AM190" s="79"/>
      <c r="AN190" s="79"/>
      <c r="AO190" s="1">
        <f t="shared" si="156"/>
        <v>0</v>
      </c>
    </row>
    <row r="191" spans="1:41" ht="13.5" thickTop="1">
      <c r="A191" s="500">
        <f t="shared" si="154"/>
        <v>1120</v>
      </c>
      <c r="B191" s="461"/>
      <c r="C191" s="265"/>
      <c r="D191" s="265"/>
      <c r="H191" s="301"/>
      <c r="I191" s="301"/>
      <c r="J191" s="301"/>
      <c r="K191" s="301"/>
      <c r="L191" s="301"/>
      <c r="M191" s="301"/>
      <c r="N191" s="301"/>
      <c r="O191" s="301"/>
      <c r="P191" s="301"/>
      <c r="Q191" s="301"/>
      <c r="R191" s="301"/>
      <c r="S191" s="301"/>
      <c r="T191" s="301"/>
      <c r="U191" s="301"/>
      <c r="V191" s="475"/>
      <c r="Y191" s="475"/>
      <c r="Z191" s="475"/>
      <c r="AA191" s="301"/>
      <c r="AB191" s="301"/>
      <c r="AC191" s="301">
        <f t="shared" si="152"/>
        <v>0</v>
      </c>
      <c r="AD191" s="301"/>
      <c r="AE191" s="216">
        <f t="shared" ref="AE191" si="255">+AE190+1</f>
        <v>184</v>
      </c>
      <c r="AF191" s="216" t="e">
        <f t="shared" si="210"/>
        <v>#REF!</v>
      </c>
      <c r="AG191" s="1">
        <v>0</v>
      </c>
      <c r="AH191" s="440"/>
      <c r="AI191" s="438"/>
      <c r="AJ191" s="438"/>
      <c r="AK191" s="438"/>
      <c r="AL191" s="439"/>
      <c r="AO191" s="1">
        <f t="shared" si="156"/>
        <v>0</v>
      </c>
    </row>
    <row r="192" spans="1:41">
      <c r="A192" s="500">
        <f t="shared" si="154"/>
        <v>1121</v>
      </c>
      <c r="B192" s="136"/>
      <c r="C192" s="141" t="s">
        <v>609</v>
      </c>
      <c r="D192" s="47"/>
      <c r="H192" s="301">
        <f t="shared" ref="H192:T192" si="256">SUM(H186:H189)</f>
        <v>2436674473.1595726</v>
      </c>
      <c r="I192" s="301">
        <f t="shared" si="256"/>
        <v>2446739281.1995716</v>
      </c>
      <c r="J192" s="301">
        <f t="shared" si="256"/>
        <v>2456275360.509572</v>
      </c>
      <c r="K192" s="301">
        <f t="shared" si="256"/>
        <v>2471715109.9395723</v>
      </c>
      <c r="L192" s="301">
        <f t="shared" si="256"/>
        <v>2543055584.5695729</v>
      </c>
      <c r="M192" s="301">
        <f t="shared" si="256"/>
        <v>2565490669.069572</v>
      </c>
      <c r="N192" s="301">
        <f t="shared" si="256"/>
        <v>2768430570.9895716</v>
      </c>
      <c r="O192" s="301">
        <f t="shared" si="256"/>
        <v>2803570827.4595718</v>
      </c>
      <c r="P192" s="301">
        <f t="shared" si="256"/>
        <v>2810728016.4495716</v>
      </c>
      <c r="Q192" s="301">
        <f t="shared" si="256"/>
        <v>2852502344.069572</v>
      </c>
      <c r="R192" s="301">
        <f t="shared" si="256"/>
        <v>2858918248.1795726</v>
      </c>
      <c r="S192" s="301">
        <f t="shared" si="256"/>
        <v>2870443823.5695715</v>
      </c>
      <c r="T192" s="301">
        <f t="shared" si="256"/>
        <v>2885847839.5795717</v>
      </c>
      <c r="U192" s="301"/>
      <c r="V192" s="475">
        <f>SUM(V186:V189)</f>
        <v>2675760916.0312381</v>
      </c>
      <c r="Y192" s="475">
        <f>T192</f>
        <v>2885847839.5795717</v>
      </c>
      <c r="Z192" s="475">
        <f>V192</f>
        <v>2675760916.0312381</v>
      </c>
      <c r="AA192" s="301">
        <f>V192</f>
        <v>2675760916.0312381</v>
      </c>
      <c r="AB192" s="301">
        <f>T192</f>
        <v>2885847839.5795717</v>
      </c>
      <c r="AC192" s="301">
        <f t="shared" si="152"/>
        <v>2675760916.0312381</v>
      </c>
      <c r="AD192" s="301">
        <f>AC192-T192</f>
        <v>-210086923.54833364</v>
      </c>
      <c r="AE192" s="216">
        <f t="shared" ref="AE192" si="257">+AE191+1</f>
        <v>185</v>
      </c>
      <c r="AF192" s="216" t="e">
        <f t="shared" si="210"/>
        <v>#REF!</v>
      </c>
      <c r="AG192" s="1">
        <v>-61490135.396250725</v>
      </c>
      <c r="AH192" s="136"/>
      <c r="AI192" s="141" t="s">
        <v>609</v>
      </c>
      <c r="AJ192" s="47"/>
      <c r="AK192" s="47"/>
      <c r="AL192" s="7">
        <f>SUM(AL186:AL189)</f>
        <v>2885847839.5795717</v>
      </c>
      <c r="AM192" s="10">
        <f>AC192</f>
        <v>2675760916.0312381</v>
      </c>
      <c r="AN192" s="10">
        <f>AM192-AL192</f>
        <v>-210086923.54833364</v>
      </c>
      <c r="AO192" s="1">
        <f t="shared" si="156"/>
        <v>0</v>
      </c>
    </row>
    <row r="193" spans="1:41">
      <c r="A193" s="500">
        <f t="shared" si="154"/>
        <v>1122</v>
      </c>
      <c r="B193" s="136"/>
      <c r="C193" s="47"/>
      <c r="D193" s="47"/>
      <c r="H193" s="301"/>
      <c r="I193" s="301"/>
      <c r="J193" s="301"/>
      <c r="K193" s="301"/>
      <c r="L193" s="301"/>
      <c r="M193" s="301"/>
      <c r="N193" s="301"/>
      <c r="O193" s="301"/>
      <c r="P193" s="301"/>
      <c r="Q193" s="301"/>
      <c r="R193" s="301"/>
      <c r="S193" s="301"/>
      <c r="T193" s="301"/>
      <c r="U193" s="301"/>
      <c r="V193" s="475"/>
      <c r="Y193" s="475"/>
      <c r="Z193" s="475"/>
      <c r="AA193" s="301"/>
      <c r="AB193" s="301"/>
      <c r="AC193" s="301">
        <f t="shared" si="152"/>
        <v>0</v>
      </c>
      <c r="AD193" s="301"/>
      <c r="AE193" s="216">
        <f t="shared" ref="AE193" si="258">+AE192+1</f>
        <v>186</v>
      </c>
      <c r="AF193" s="216" t="e">
        <f t="shared" si="210"/>
        <v>#REF!</v>
      </c>
      <c r="AG193" s="1">
        <v>0</v>
      </c>
      <c r="AH193" s="136"/>
      <c r="AI193" s="47"/>
      <c r="AJ193" s="47"/>
      <c r="AK193" s="47"/>
      <c r="AL193" s="7"/>
      <c r="AO193" s="1">
        <f t="shared" si="156"/>
        <v>0</v>
      </c>
    </row>
    <row r="194" spans="1:41">
      <c r="A194" s="500">
        <f t="shared" si="154"/>
        <v>1123</v>
      </c>
      <c r="B194" s="136"/>
      <c r="C194" s="47"/>
      <c r="D194" s="47"/>
      <c r="H194" s="301"/>
      <c r="I194" s="301"/>
      <c r="J194" s="301"/>
      <c r="K194" s="301"/>
      <c r="L194" s="301"/>
      <c r="M194" s="301"/>
      <c r="N194" s="301"/>
      <c r="O194" s="301"/>
      <c r="P194" s="301"/>
      <c r="Q194" s="301"/>
      <c r="R194" s="301"/>
      <c r="S194" s="301"/>
      <c r="T194" s="301"/>
      <c r="U194" s="301"/>
      <c r="V194" s="475"/>
      <c r="Y194" s="475"/>
      <c r="Z194" s="475"/>
      <c r="AA194" s="301"/>
      <c r="AB194" s="301"/>
      <c r="AC194" s="301">
        <f t="shared" si="152"/>
        <v>0</v>
      </c>
      <c r="AD194" s="301"/>
      <c r="AE194" s="216">
        <f t="shared" ref="AE194" si="259">+AE193+1</f>
        <v>187</v>
      </c>
      <c r="AF194" s="216" t="e">
        <f t="shared" si="210"/>
        <v>#REF!</v>
      </c>
      <c r="AG194" s="1">
        <v>0</v>
      </c>
      <c r="AH194" s="136"/>
      <c r="AI194" s="47"/>
      <c r="AJ194" s="47"/>
      <c r="AK194" s="47"/>
      <c r="AL194" s="7"/>
      <c r="AO194" s="1">
        <f t="shared" si="156"/>
        <v>0</v>
      </c>
    </row>
    <row r="195" spans="1:41">
      <c r="A195" s="500">
        <f t="shared" si="154"/>
        <v>1124</v>
      </c>
      <c r="B195" s="116" t="s">
        <v>272</v>
      </c>
      <c r="C195" s="47"/>
      <c r="D195" s="47"/>
      <c r="H195" s="301"/>
      <c r="I195" s="301"/>
      <c r="J195" s="301"/>
      <c r="K195" s="301"/>
      <c r="L195" s="301"/>
      <c r="M195" s="301"/>
      <c r="N195" s="301"/>
      <c r="O195" s="301"/>
      <c r="P195" s="301"/>
      <c r="Q195" s="301"/>
      <c r="R195" s="301"/>
      <c r="S195" s="301"/>
      <c r="T195" s="301"/>
      <c r="U195" s="301"/>
      <c r="V195" s="475"/>
      <c r="Y195" s="475"/>
      <c r="Z195" s="475"/>
      <c r="AA195" s="301"/>
      <c r="AB195" s="301"/>
      <c r="AC195" s="301">
        <f t="shared" si="152"/>
        <v>0</v>
      </c>
      <c r="AD195" s="301"/>
      <c r="AE195" s="216">
        <f t="shared" ref="AE195" si="260">+AE194+1</f>
        <v>188</v>
      </c>
      <c r="AF195" s="216" t="e">
        <f t="shared" si="210"/>
        <v>#REF!</v>
      </c>
      <c r="AG195" s="1">
        <v>0</v>
      </c>
      <c r="AH195" s="116" t="s">
        <v>272</v>
      </c>
      <c r="AI195" s="47"/>
      <c r="AJ195" s="47"/>
      <c r="AK195" s="47"/>
      <c r="AL195" s="7"/>
      <c r="AO195" s="1">
        <f t="shared" si="156"/>
        <v>0</v>
      </c>
    </row>
    <row r="196" spans="1:41">
      <c r="A196" s="500">
        <f t="shared" si="154"/>
        <v>1125</v>
      </c>
      <c r="B196" s="136"/>
      <c r="C196" s="47"/>
      <c r="D196" s="47"/>
      <c r="H196" s="301"/>
      <c r="I196" s="301"/>
      <c r="J196" s="301"/>
      <c r="K196" s="301"/>
      <c r="L196" s="301"/>
      <c r="M196" s="301"/>
      <c r="N196" s="301"/>
      <c r="O196" s="301"/>
      <c r="P196" s="301"/>
      <c r="Q196" s="301"/>
      <c r="R196" s="301"/>
      <c r="S196" s="301"/>
      <c r="T196" s="301"/>
      <c r="U196" s="301"/>
      <c r="V196" s="475"/>
      <c r="Y196" s="475"/>
      <c r="Z196" s="475"/>
      <c r="AA196" s="301"/>
      <c r="AB196" s="301"/>
      <c r="AC196" s="301">
        <f t="shared" si="152"/>
        <v>0</v>
      </c>
      <c r="AD196" s="301"/>
      <c r="AE196" s="216">
        <f t="shared" ref="AE196" si="261">+AE195+1</f>
        <v>189</v>
      </c>
      <c r="AF196" s="216" t="e">
        <f t="shared" si="210"/>
        <v>#REF!</v>
      </c>
      <c r="AG196" s="1">
        <v>0</v>
      </c>
      <c r="AH196" s="136"/>
      <c r="AI196" s="47"/>
      <c r="AJ196" s="47"/>
      <c r="AK196" s="47"/>
      <c r="AL196" s="7"/>
      <c r="AO196" s="1">
        <f t="shared" si="156"/>
        <v>0</v>
      </c>
    </row>
    <row r="197" spans="1:41">
      <c r="A197" s="500">
        <f t="shared" si="154"/>
        <v>1126</v>
      </c>
      <c r="B197" s="327">
        <v>154</v>
      </c>
      <c r="C197" s="265" t="s">
        <v>273</v>
      </c>
      <c r="D197" s="265"/>
      <c r="H197" s="301"/>
      <c r="I197" s="301"/>
      <c r="J197" s="301"/>
      <c r="K197" s="301"/>
      <c r="L197" s="301"/>
      <c r="M197" s="301"/>
      <c r="N197" s="301"/>
      <c r="O197" s="301"/>
      <c r="P197" s="301"/>
      <c r="Q197" s="301"/>
      <c r="R197" s="301"/>
      <c r="S197" s="301"/>
      <c r="T197" s="301"/>
      <c r="U197" s="301"/>
      <c r="V197" s="475"/>
      <c r="Y197" s="475"/>
      <c r="Z197" s="475"/>
      <c r="AA197" s="301"/>
      <c r="AB197" s="301"/>
      <c r="AC197" s="301">
        <f t="shared" si="152"/>
        <v>0</v>
      </c>
      <c r="AD197" s="301"/>
      <c r="AE197" s="216">
        <f t="shared" ref="AE197" si="262">+AE196+1</f>
        <v>190</v>
      </c>
      <c r="AF197" s="216" t="e">
        <f t="shared" si="210"/>
        <v>#REF!</v>
      </c>
      <c r="AG197" s="1">
        <v>0</v>
      </c>
      <c r="AH197" s="692">
        <v>154</v>
      </c>
      <c r="AI197" s="693" t="s">
        <v>273</v>
      </c>
      <c r="AJ197" s="693"/>
      <c r="AK197" s="693"/>
      <c r="AL197" s="694"/>
      <c r="AO197" s="1">
        <f t="shared" si="156"/>
        <v>0</v>
      </c>
    </row>
    <row r="198" spans="1:41">
      <c r="A198" s="500">
        <f t="shared" si="154"/>
        <v>1127</v>
      </c>
      <c r="B198" s="327"/>
      <c r="C198" s="265"/>
      <c r="D198" s="265" t="s">
        <v>542</v>
      </c>
      <c r="H198" s="301">
        <f>[16]XNV!$H$198</f>
        <v>671891.60441216081</v>
      </c>
      <c r="I198" s="301">
        <f>[16]XNV!$I$198</f>
        <v>707394.54099547118</v>
      </c>
      <c r="J198" s="301">
        <f>[16]XNV!$J$198</f>
        <v>670231.79109110311</v>
      </c>
      <c r="K198" s="301">
        <f>[16]XNV!$K$198</f>
        <v>671658.08898918331</v>
      </c>
      <c r="L198" s="301">
        <f>[16]XNV!$L$198</f>
        <v>693587.73019993678</v>
      </c>
      <c r="M198" s="301">
        <f>[16]XNV!$M$198</f>
        <v>690398.2687154077</v>
      </c>
      <c r="N198" s="301">
        <f>[16]XNV!$N$198</f>
        <v>705800.97357967868</v>
      </c>
      <c r="O198" s="301">
        <f>[16]XNV!$O$198</f>
        <v>742631.12971977517</v>
      </c>
      <c r="P198" s="301">
        <f>[16]XNV!$P$198</f>
        <v>777951.17889297381</v>
      </c>
      <c r="Q198" s="301">
        <f>[16]XNV!$Q$198</f>
        <v>859348.09719967842</v>
      </c>
      <c r="R198" s="301">
        <f>[16]XNV!$R$198</f>
        <v>943230.7099779509</v>
      </c>
      <c r="S198" s="301">
        <f>[16]XNV!$S$198</f>
        <v>944312.88137278333</v>
      </c>
      <c r="T198" s="301">
        <f>[16]XNV!$T$198</f>
        <v>1048658.99678725</v>
      </c>
      <c r="U198" s="301"/>
      <c r="V198" s="475">
        <f>(SUM(I198:S198)+(0.5*T198)+(0.5*H198))/12</f>
        <v>772235.05761113728</v>
      </c>
      <c r="Y198" s="475">
        <f>T198</f>
        <v>1048658.99678725</v>
      </c>
      <c r="Z198" s="475">
        <f>V198</f>
        <v>772235.05761113728</v>
      </c>
      <c r="AA198" s="301">
        <f>+V198</f>
        <v>772235.05761113728</v>
      </c>
      <c r="AB198" s="301">
        <f>+T198</f>
        <v>1048658.99678725</v>
      </c>
      <c r="AC198" s="301">
        <f t="shared" si="152"/>
        <v>772235.05761113728</v>
      </c>
      <c r="AD198" s="301">
        <f>AC198-T198</f>
        <v>-276423.93917611276</v>
      </c>
      <c r="AE198" s="216">
        <f t="shared" ref="AE198" si="263">+AE197+1</f>
        <v>191</v>
      </c>
      <c r="AF198" s="216" t="e">
        <f t="shared" si="210"/>
        <v>#REF!</v>
      </c>
      <c r="AG198" s="1">
        <v>82345.167690369359</v>
      </c>
      <c r="AH198" s="692"/>
      <c r="AI198" s="693"/>
      <c r="AJ198" s="693" t="s">
        <v>542</v>
      </c>
      <c r="AK198" s="693"/>
      <c r="AL198" s="694">
        <f>+T198</f>
        <v>1048658.99678725</v>
      </c>
      <c r="AM198" s="10">
        <f>AC198</f>
        <v>772235.05761113728</v>
      </c>
      <c r="AN198" s="10">
        <f>AM198-AL198</f>
        <v>-276423.93917611276</v>
      </c>
      <c r="AO198" s="1">
        <f t="shared" si="156"/>
        <v>0</v>
      </c>
    </row>
    <row r="199" spans="1:41">
      <c r="A199" s="500">
        <f t="shared" si="154"/>
        <v>1128</v>
      </c>
      <c r="B199" s="327"/>
      <c r="C199" s="265"/>
      <c r="D199" s="265" t="s">
        <v>543</v>
      </c>
      <c r="H199" s="301">
        <f>[16]XNV!$H$199</f>
        <v>23322865.995587837</v>
      </c>
      <c r="I199" s="301">
        <f>[16]XNV!$I$199</f>
        <v>24555252.629004527</v>
      </c>
      <c r="J199" s="301">
        <f>[16]XNV!$J$199</f>
        <v>23265250.148908895</v>
      </c>
      <c r="K199" s="301">
        <f>[16]XNV!$K$199</f>
        <v>23314760.151010815</v>
      </c>
      <c r="L199" s="301">
        <f>[16]XNV!$L$199</f>
        <v>24075987.22980006</v>
      </c>
      <c r="M199" s="301">
        <f>[16]XNV!$M$199</f>
        <v>23965273.861284591</v>
      </c>
      <c r="N199" s="301">
        <f>[16]XNV!$N$199</f>
        <v>24499936.326420322</v>
      </c>
      <c r="O199" s="301">
        <f>[16]XNV!$O$199</f>
        <v>25778393.730280224</v>
      </c>
      <c r="P199" s="301">
        <f>[16]XNV!$P$199</f>
        <v>27004431.931107026</v>
      </c>
      <c r="Q199" s="301">
        <f>[16]XNV!$Q$199</f>
        <v>29829901.702800322</v>
      </c>
      <c r="R199" s="301">
        <f>[16]XNV!$R$199</f>
        <v>32741655.510022055</v>
      </c>
      <c r="S199" s="301">
        <f>[16]XNV!$S$199</f>
        <v>32779220.108627219</v>
      </c>
      <c r="T199" s="301">
        <f>[16]XNV!$T$199</f>
        <v>36401308.033212751</v>
      </c>
      <c r="U199" s="301"/>
      <c r="V199" s="475">
        <f>(SUM(I199:S199)+(0.5*T199)+(0.5*H199))/12</f>
        <v>26806012.528638866</v>
      </c>
      <c r="Y199" s="475">
        <f>T199</f>
        <v>36401308.033212751</v>
      </c>
      <c r="Z199" s="475">
        <f>V199</f>
        <v>26806012.528638866</v>
      </c>
      <c r="AA199" s="301">
        <f>+V199</f>
        <v>26806012.528638866</v>
      </c>
      <c r="AB199" s="301">
        <f>+T199</f>
        <v>36401308.033212751</v>
      </c>
      <c r="AC199" s="301">
        <f t="shared" si="152"/>
        <v>26806012.528638866</v>
      </c>
      <c r="AD199" s="301">
        <f>AC199-T199</f>
        <v>-9595295.5045738854</v>
      </c>
      <c r="AE199" s="216">
        <f t="shared" ref="AE199" si="264">+AE198+1</f>
        <v>192</v>
      </c>
      <c r="AF199" s="216" t="e">
        <f t="shared" si="210"/>
        <v>#REF!</v>
      </c>
      <c r="AG199" s="1">
        <v>2267927.2110596318</v>
      </c>
      <c r="AH199" s="692"/>
      <c r="AI199" s="693"/>
      <c r="AJ199" s="693" t="s">
        <v>543</v>
      </c>
      <c r="AK199" s="693"/>
      <c r="AL199" s="694">
        <f>+T199</f>
        <v>36401308.033212751</v>
      </c>
      <c r="AM199" s="359">
        <f>AC199</f>
        <v>26806012.528638866</v>
      </c>
      <c r="AN199" s="359">
        <f>AM199-AL199</f>
        <v>-9595295.5045738854</v>
      </c>
      <c r="AO199" s="1">
        <f t="shared" si="156"/>
        <v>0</v>
      </c>
    </row>
    <row r="200" spans="1:41">
      <c r="A200" s="500">
        <f t="shared" si="154"/>
        <v>1129</v>
      </c>
      <c r="B200" s="327"/>
      <c r="C200" s="265"/>
      <c r="D200" s="265" t="s">
        <v>145</v>
      </c>
      <c r="H200" s="1064">
        <f t="shared" ref="H200:T200" si="265">SUM(H198:H199)</f>
        <v>23994757.599999998</v>
      </c>
      <c r="I200" s="1064">
        <f t="shared" si="265"/>
        <v>25262647.169999998</v>
      </c>
      <c r="J200" s="1064">
        <f t="shared" si="265"/>
        <v>23935481.939999998</v>
      </c>
      <c r="K200" s="1064">
        <f t="shared" si="265"/>
        <v>23986418.239999998</v>
      </c>
      <c r="L200" s="1064">
        <f t="shared" si="265"/>
        <v>24769574.959999997</v>
      </c>
      <c r="M200" s="1064">
        <f t="shared" si="265"/>
        <v>24655672.129999999</v>
      </c>
      <c r="N200" s="1064">
        <f t="shared" si="265"/>
        <v>25205737.300000001</v>
      </c>
      <c r="O200" s="1064">
        <f t="shared" si="265"/>
        <v>26521024.859999999</v>
      </c>
      <c r="P200" s="1064">
        <f t="shared" si="265"/>
        <v>27782383.109999999</v>
      </c>
      <c r="Q200" s="1064">
        <f t="shared" si="265"/>
        <v>30689249.800000001</v>
      </c>
      <c r="R200" s="1064">
        <f t="shared" si="265"/>
        <v>33684886.220000006</v>
      </c>
      <c r="S200" s="1064">
        <f t="shared" si="265"/>
        <v>33723532.990000002</v>
      </c>
      <c r="T200" s="1064">
        <f t="shared" si="265"/>
        <v>37449967.030000001</v>
      </c>
      <c r="U200" s="323"/>
      <c r="V200" s="512">
        <f>(SUM(I200:S200)+(0.5*T200)+(0.5*H200))/12</f>
        <v>27578247.586249996</v>
      </c>
      <c r="Y200" s="512">
        <f>SUM(Y198:Y199)</f>
        <v>37449967.030000001</v>
      </c>
      <c r="Z200" s="512">
        <f>SUM(Z198:Z199)</f>
        <v>27578247.586250003</v>
      </c>
      <c r="AA200" s="323">
        <f>+V200</f>
        <v>27578247.586249996</v>
      </c>
      <c r="AB200" s="323">
        <f>+T200</f>
        <v>37449967.030000001</v>
      </c>
      <c r="AC200" s="323">
        <f t="shared" si="152"/>
        <v>27578247.586250003</v>
      </c>
      <c r="AD200" s="323">
        <f>AC200-T200</f>
        <v>-9871719.4437499978</v>
      </c>
      <c r="AE200" s="216">
        <f t="shared" ref="AE200" si="266">+AE199+1</f>
        <v>193</v>
      </c>
      <c r="AF200" s="216" t="e">
        <f t="shared" si="210"/>
        <v>#REF!</v>
      </c>
      <c r="AG200" s="1">
        <v>2350272.378750002</v>
      </c>
      <c r="AH200" s="692"/>
      <c r="AI200" s="693"/>
      <c r="AJ200" s="693" t="s">
        <v>145</v>
      </c>
      <c r="AK200" s="693"/>
      <c r="AL200" s="695">
        <f>SUM(AL198:AL199)</f>
        <v>37449967.030000001</v>
      </c>
      <c r="AM200" s="10">
        <f>AC200</f>
        <v>27578247.586250003</v>
      </c>
      <c r="AN200" s="10">
        <f>AM200-AL200</f>
        <v>-9871719.4437499978</v>
      </c>
      <c r="AO200" s="1">
        <f t="shared" si="156"/>
        <v>0</v>
      </c>
    </row>
    <row r="201" spans="1:41">
      <c r="A201" s="500">
        <f t="shared" si="154"/>
        <v>1130</v>
      </c>
      <c r="B201" s="137"/>
      <c r="C201" s="47"/>
      <c r="D201" s="47"/>
      <c r="AA201"/>
      <c r="AC201">
        <f t="shared" si="152"/>
        <v>0</v>
      </c>
      <c r="AE201" s="216">
        <f t="shared" ref="AE201" si="267">+AE200+1</f>
        <v>194</v>
      </c>
      <c r="AF201" s="216" t="e">
        <f t="shared" si="210"/>
        <v>#REF!</v>
      </c>
      <c r="AG201" s="1">
        <v>0</v>
      </c>
      <c r="AH201" s="137"/>
      <c r="AI201" s="47"/>
      <c r="AJ201" s="47"/>
      <c r="AK201" s="47"/>
      <c r="AL201" s="7"/>
      <c r="AO201" s="1">
        <f t="shared" si="156"/>
        <v>0</v>
      </c>
    </row>
    <row r="202" spans="1:41">
      <c r="A202" s="500">
        <f t="shared" si="154"/>
        <v>1131</v>
      </c>
      <c r="B202" s="137" t="s">
        <v>251</v>
      </c>
      <c r="C202" s="47" t="s">
        <v>274</v>
      </c>
      <c r="D202" s="47"/>
      <c r="AA202"/>
      <c r="AC202">
        <f t="shared" si="152"/>
        <v>0</v>
      </c>
      <c r="AE202" s="216">
        <f t="shared" ref="AE202" si="268">+AE201+1</f>
        <v>195</v>
      </c>
      <c r="AF202" s="216" t="e">
        <f t="shared" si="210"/>
        <v>#REF!</v>
      </c>
      <c r="AG202" s="1">
        <v>0</v>
      </c>
      <c r="AH202" s="137" t="s">
        <v>251</v>
      </c>
      <c r="AI202" s="47" t="s">
        <v>274</v>
      </c>
      <c r="AJ202" s="47"/>
      <c r="AK202" s="47"/>
      <c r="AL202" s="7"/>
      <c r="AO202" s="1">
        <f t="shared" si="156"/>
        <v>0</v>
      </c>
    </row>
    <row r="203" spans="1:41">
      <c r="A203" s="500">
        <f t="shared" ref="A203:A266" si="269">+A202+1</f>
        <v>1132</v>
      </c>
      <c r="B203" s="137"/>
      <c r="C203" s="47"/>
      <c r="D203" s="47" t="s">
        <v>399</v>
      </c>
      <c r="H203" s="301">
        <f>[16]XNV!$H$203</f>
        <v>9042867.9100000001</v>
      </c>
      <c r="I203" s="301">
        <f>[16]XNV!$I$203</f>
        <v>16864248.25</v>
      </c>
      <c r="J203" s="301">
        <f>[16]XNV!$J$203</f>
        <v>25992902.780000001</v>
      </c>
      <c r="K203" s="301">
        <f>[16]XNV!$K$203</f>
        <v>40957960.210000001</v>
      </c>
      <c r="L203" s="301">
        <f>[16]XNV!$L$203</f>
        <v>53451265.520000003</v>
      </c>
      <c r="M203" s="301">
        <f>[16]XNV!$M$203</f>
        <v>54725203.509999998</v>
      </c>
      <c r="N203" s="301">
        <f>[16]XNV!$N$203</f>
        <v>48124018.939999998</v>
      </c>
      <c r="O203" s="301">
        <f>[16]XNV!$O$203</f>
        <v>38171290.57</v>
      </c>
      <c r="P203" s="301">
        <f>[16]XNV!$P$203</f>
        <v>25855835.190000001</v>
      </c>
      <c r="Q203" s="301">
        <f>[16]XNV!$Q$203</f>
        <v>15888860.289999999</v>
      </c>
      <c r="R203" s="301">
        <f>[16]XNV!$R$203</f>
        <v>7968757.0199999996</v>
      </c>
      <c r="S203" s="301">
        <f>[16]XNV!$S$203</f>
        <v>12876983</v>
      </c>
      <c r="T203" s="301">
        <f>[16]XNV!$T$203</f>
        <v>19959087.870000001</v>
      </c>
      <c r="U203" s="301"/>
      <c r="V203" s="512">
        <f>(SUM(I203:S203)+(0.5*T203)+(0.5*H203))/12</f>
        <v>29614858.5975</v>
      </c>
      <c r="Y203" s="475">
        <f>T203</f>
        <v>19959087.870000001</v>
      </c>
      <c r="Z203" s="475">
        <f>T203</f>
        <v>19959087.870000001</v>
      </c>
      <c r="AA203" s="301">
        <f>V203</f>
        <v>29614858.5975</v>
      </c>
      <c r="AB203" s="301">
        <f>T203</f>
        <v>19959087.870000001</v>
      </c>
      <c r="AC203" s="301">
        <f t="shared" si="152"/>
        <v>19959087.870000001</v>
      </c>
      <c r="AD203" s="301">
        <f>AC203-T203</f>
        <v>0</v>
      </c>
      <c r="AE203" s="216">
        <f t="shared" ref="AE203" si="270">+AE202+1</f>
        <v>196</v>
      </c>
      <c r="AF203" s="216" t="e">
        <f t="shared" si="210"/>
        <v>#REF!</v>
      </c>
      <c r="AG203" s="1">
        <v>-2394924.5354166701</v>
      </c>
      <c r="AH203" s="137"/>
      <c r="AI203" s="47"/>
      <c r="AJ203" s="47" t="s">
        <v>399</v>
      </c>
      <c r="AK203" s="47"/>
      <c r="AL203" s="7">
        <f>+T203</f>
        <v>19959087.870000001</v>
      </c>
      <c r="AM203" s="359">
        <f>AC203</f>
        <v>19959087.870000001</v>
      </c>
      <c r="AN203" s="359">
        <f>AM203-AL203</f>
        <v>0</v>
      </c>
      <c r="AO203" s="1">
        <f t="shared" si="156"/>
        <v>0</v>
      </c>
    </row>
    <row r="204" spans="1:41">
      <c r="A204" s="500">
        <f t="shared" si="269"/>
        <v>1133</v>
      </c>
      <c r="B204" s="137"/>
      <c r="C204" s="47"/>
      <c r="D204" s="47" t="s">
        <v>145</v>
      </c>
      <c r="H204" s="1064">
        <f t="shared" ref="H204:T204" si="271">SUM(H203)</f>
        <v>9042867.9100000001</v>
      </c>
      <c r="I204" s="1064">
        <f t="shared" si="271"/>
        <v>16864248.25</v>
      </c>
      <c r="J204" s="1064">
        <f t="shared" si="271"/>
        <v>25992902.780000001</v>
      </c>
      <c r="K204" s="1064">
        <f t="shared" si="271"/>
        <v>40957960.210000001</v>
      </c>
      <c r="L204" s="1064">
        <f t="shared" si="271"/>
        <v>53451265.520000003</v>
      </c>
      <c r="M204" s="1064">
        <f t="shared" si="271"/>
        <v>54725203.509999998</v>
      </c>
      <c r="N204" s="1064">
        <f t="shared" si="271"/>
        <v>48124018.939999998</v>
      </c>
      <c r="O204" s="1064">
        <f t="shared" si="271"/>
        <v>38171290.57</v>
      </c>
      <c r="P204" s="1064">
        <f t="shared" si="271"/>
        <v>25855835.190000001</v>
      </c>
      <c r="Q204" s="1064">
        <f t="shared" si="271"/>
        <v>15888860.289999999</v>
      </c>
      <c r="R204" s="1064">
        <f t="shared" si="271"/>
        <v>7968757.0199999996</v>
      </c>
      <c r="S204" s="1064">
        <f t="shared" si="271"/>
        <v>12876983</v>
      </c>
      <c r="T204" s="1064">
        <f t="shared" si="271"/>
        <v>19959087.870000001</v>
      </c>
      <c r="U204" s="323"/>
      <c r="V204" s="512">
        <f>(SUM(I204:S204)+(0.5*T204)+(0.5*H204))/12</f>
        <v>29614858.5975</v>
      </c>
      <c r="Y204" s="512">
        <f>+Y203</f>
        <v>19959087.870000001</v>
      </c>
      <c r="Z204" s="512">
        <f>+Z203</f>
        <v>19959087.870000001</v>
      </c>
      <c r="AA204" s="323">
        <f>+AA203</f>
        <v>29614858.5975</v>
      </c>
      <c r="AB204" s="323">
        <f>+AB203</f>
        <v>19959087.870000001</v>
      </c>
      <c r="AC204" s="323">
        <f t="shared" ref="AC204:AC267" si="272">HLOOKUP($AC$8,RateBaseScenarios,AE204,FALSE)</f>
        <v>19959087.870000001</v>
      </c>
      <c r="AD204" s="323">
        <f>SUM(AD203)</f>
        <v>0</v>
      </c>
      <c r="AE204" s="216">
        <f t="shared" ref="AE204" si="273">+AE203+1</f>
        <v>197</v>
      </c>
      <c r="AF204" s="216" t="e">
        <f t="shared" si="210"/>
        <v>#REF!</v>
      </c>
      <c r="AG204" s="1">
        <v>-2394924.5354166701</v>
      </c>
      <c r="AH204" s="137"/>
      <c r="AI204" s="47"/>
      <c r="AJ204" s="47" t="s">
        <v>145</v>
      </c>
      <c r="AK204" s="47"/>
      <c r="AL204" s="140">
        <f>SUM(AL203)</f>
        <v>19959087.870000001</v>
      </c>
      <c r="AM204" s="10">
        <f>AC204</f>
        <v>19959087.870000001</v>
      </c>
      <c r="AN204" s="10">
        <f>AM204-AL204</f>
        <v>0</v>
      </c>
      <c r="AO204" s="1">
        <f t="shared" si="156"/>
        <v>0</v>
      </c>
    </row>
    <row r="205" spans="1:41">
      <c r="A205" s="500">
        <f t="shared" si="269"/>
        <v>1134</v>
      </c>
      <c r="B205" s="137"/>
      <c r="C205" s="47"/>
      <c r="D205" s="47"/>
      <c r="AA205"/>
      <c r="AC205">
        <f t="shared" si="272"/>
        <v>0</v>
      </c>
      <c r="AE205" s="216">
        <f t="shared" ref="AE205" si="274">+AE204+1</f>
        <v>198</v>
      </c>
      <c r="AF205" s="216" t="e">
        <f t="shared" si="210"/>
        <v>#REF!</v>
      </c>
      <c r="AG205" s="1">
        <v>0</v>
      </c>
      <c r="AH205" s="137"/>
      <c r="AI205" s="47"/>
      <c r="AJ205" s="47"/>
      <c r="AK205" s="47"/>
      <c r="AL205" s="7"/>
      <c r="AO205" s="1">
        <f t="shared" ref="AO205:AO268" si="275">+AL205-T205</f>
        <v>0</v>
      </c>
    </row>
    <row r="206" spans="1:41">
      <c r="A206" s="500">
        <f t="shared" si="269"/>
        <v>1135</v>
      </c>
      <c r="B206" s="327" t="s">
        <v>179</v>
      </c>
      <c r="C206" s="265" t="s">
        <v>275</v>
      </c>
      <c r="D206" s="265"/>
      <c r="AA206"/>
      <c r="AC206">
        <f t="shared" si="272"/>
        <v>0</v>
      </c>
      <c r="AE206" s="216">
        <f t="shared" ref="AE206" si="276">+AE205+1</f>
        <v>199</v>
      </c>
      <c r="AF206" s="216" t="e">
        <f t="shared" si="210"/>
        <v>#REF!</v>
      </c>
      <c r="AG206" s="1">
        <v>0</v>
      </c>
      <c r="AH206" s="692" t="s">
        <v>179</v>
      </c>
      <c r="AI206" s="693" t="s">
        <v>275</v>
      </c>
      <c r="AJ206" s="693"/>
      <c r="AK206" s="693"/>
      <c r="AL206" s="694"/>
      <c r="AO206" s="1">
        <f t="shared" si="275"/>
        <v>0</v>
      </c>
    </row>
    <row r="207" spans="1:41">
      <c r="A207" s="500">
        <f t="shared" si="269"/>
        <v>1136</v>
      </c>
      <c r="B207" s="327"/>
      <c r="C207" s="265"/>
      <c r="D207" s="265" t="s">
        <v>544</v>
      </c>
      <c r="H207" s="1064">
        <f>[16]XNV!$H$207</f>
        <v>7391762.5199999996</v>
      </c>
      <c r="I207" s="1064">
        <f>[16]XNV!$I$207</f>
        <v>7622393.2999999998</v>
      </c>
      <c r="J207" s="1064">
        <f>[16]XNV!$J$207</f>
        <v>7124196.21</v>
      </c>
      <c r="K207" s="1064">
        <f>[16]XNV!$K$207</f>
        <v>8735459.1600000001</v>
      </c>
      <c r="L207" s="1064">
        <f>[16]XNV!$L$207</f>
        <v>8321446.0899999999</v>
      </c>
      <c r="M207" s="1064">
        <f>[16]XNV!$M$207</f>
        <v>128654.34</v>
      </c>
      <c r="N207" s="1064">
        <f>[16]XNV!$N$207</f>
        <v>1512116.55</v>
      </c>
      <c r="O207" s="1064">
        <f>[16]XNV!$O$207</f>
        <v>2734947.77</v>
      </c>
      <c r="P207" s="1064">
        <f>[16]XNV!$P$207</f>
        <v>2488759.29</v>
      </c>
      <c r="Q207" s="1064">
        <f>[16]XNV!$Q$207</f>
        <v>2390666.52</v>
      </c>
      <c r="R207" s="1064">
        <f>[16]XNV!$R$207</f>
        <v>2523294.88</v>
      </c>
      <c r="S207" s="1064">
        <f>[16]XNV!$S$207</f>
        <v>2424454.4300000002</v>
      </c>
      <c r="T207" s="1064">
        <f>[16]XNV!$T$207</f>
        <v>2392122.9500000002</v>
      </c>
      <c r="U207" s="323"/>
      <c r="V207" s="512">
        <f>(SUM(I207:S207)+(0.5*T207)+(0.5*H207))/12</f>
        <v>4241527.6062500002</v>
      </c>
      <c r="Y207" s="512">
        <f>T207</f>
        <v>2392122.9500000002</v>
      </c>
      <c r="Z207" s="512">
        <f t="shared" ref="Z207:Z267" si="277">V207</f>
        <v>4241527.6062500002</v>
      </c>
      <c r="AA207" s="323">
        <f>+V207</f>
        <v>4241527.6062500002</v>
      </c>
      <c r="AB207" s="323">
        <f>+T207</f>
        <v>2392122.9500000002</v>
      </c>
      <c r="AC207" s="323">
        <f t="shared" si="272"/>
        <v>4241527.6062500002</v>
      </c>
      <c r="AD207" s="323">
        <f>AC207-T207</f>
        <v>1849404.65625</v>
      </c>
      <c r="AE207" s="216">
        <f t="shared" ref="AE207" si="278">+AE206+1</f>
        <v>200</v>
      </c>
      <c r="AF207" s="216" t="e">
        <f t="shared" si="210"/>
        <v>#REF!</v>
      </c>
      <c r="AG207" s="1">
        <v>-1381077.9216666676</v>
      </c>
      <c r="AH207" s="692"/>
      <c r="AI207" s="693"/>
      <c r="AJ207" s="693" t="s">
        <v>544</v>
      </c>
      <c r="AK207" s="693"/>
      <c r="AL207" s="694">
        <f>+T207</f>
        <v>2392122.9500000002</v>
      </c>
      <c r="AM207" s="359">
        <f>AC207</f>
        <v>4241527.6062500002</v>
      </c>
      <c r="AN207" s="359">
        <f>AM207-AL207</f>
        <v>1849404.65625</v>
      </c>
      <c r="AO207" s="1">
        <f t="shared" si="275"/>
        <v>0</v>
      </c>
    </row>
    <row r="208" spans="1:41">
      <c r="A208" s="500">
        <f t="shared" si="269"/>
        <v>1137</v>
      </c>
      <c r="B208" s="327"/>
      <c r="C208" s="265"/>
      <c r="D208" s="265" t="s">
        <v>145</v>
      </c>
      <c r="H208" s="1064">
        <f t="shared" ref="H208:T208" si="279">SUM(H207)</f>
        <v>7391762.5199999996</v>
      </c>
      <c r="I208" s="1064">
        <f t="shared" si="279"/>
        <v>7622393.2999999998</v>
      </c>
      <c r="J208" s="1064">
        <f t="shared" si="279"/>
        <v>7124196.21</v>
      </c>
      <c r="K208" s="1064">
        <f t="shared" si="279"/>
        <v>8735459.1600000001</v>
      </c>
      <c r="L208" s="1064">
        <f t="shared" si="279"/>
        <v>8321446.0899999999</v>
      </c>
      <c r="M208" s="1064">
        <f t="shared" si="279"/>
        <v>128654.34</v>
      </c>
      <c r="N208" s="1064">
        <f t="shared" si="279"/>
        <v>1512116.55</v>
      </c>
      <c r="O208" s="1064">
        <f t="shared" si="279"/>
        <v>2734947.77</v>
      </c>
      <c r="P208" s="1064">
        <f t="shared" si="279"/>
        <v>2488759.29</v>
      </c>
      <c r="Q208" s="1064">
        <f t="shared" si="279"/>
        <v>2390666.52</v>
      </c>
      <c r="R208" s="1064">
        <f t="shared" si="279"/>
        <v>2523294.88</v>
      </c>
      <c r="S208" s="1064">
        <f t="shared" si="279"/>
        <v>2424454.4300000002</v>
      </c>
      <c r="T208" s="1064">
        <f t="shared" si="279"/>
        <v>2392122.9500000002</v>
      </c>
      <c r="U208" s="323"/>
      <c r="V208" s="512">
        <f>(SUM(I208:S208)+(0.5*T208)+(0.5*H208))/12</f>
        <v>4241527.6062500002</v>
      </c>
      <c r="Y208" s="512">
        <f>T208</f>
        <v>2392122.9500000002</v>
      </c>
      <c r="Z208" s="512">
        <f t="shared" si="277"/>
        <v>4241527.6062500002</v>
      </c>
      <c r="AA208" s="323">
        <f>+V208</f>
        <v>4241527.6062500002</v>
      </c>
      <c r="AB208" s="323">
        <f>+T208</f>
        <v>2392122.9500000002</v>
      </c>
      <c r="AC208" s="323">
        <f t="shared" si="272"/>
        <v>4241527.6062500002</v>
      </c>
      <c r="AD208" s="323">
        <f>AC208-T208</f>
        <v>1849404.65625</v>
      </c>
      <c r="AE208" s="216">
        <f t="shared" ref="AE208" si="280">+AE207+1</f>
        <v>201</v>
      </c>
      <c r="AF208" s="216" t="e">
        <f t="shared" si="210"/>
        <v>#REF!</v>
      </c>
      <c r="AG208" s="1">
        <v>-1381077.9216666676</v>
      </c>
      <c r="AH208" s="692"/>
      <c r="AI208" s="693"/>
      <c r="AJ208" s="693" t="s">
        <v>145</v>
      </c>
      <c r="AK208" s="693"/>
      <c r="AL208" s="695">
        <f>SUM(AL207)</f>
        <v>2392122.9500000002</v>
      </c>
      <c r="AM208" s="10">
        <f>AC208</f>
        <v>4241527.6062500002</v>
      </c>
      <c r="AN208" s="10">
        <f>AM208-AL208</f>
        <v>1849404.65625</v>
      </c>
      <c r="AO208" s="1">
        <f t="shared" si="275"/>
        <v>0</v>
      </c>
    </row>
    <row r="209" spans="1:41">
      <c r="A209" s="500">
        <f t="shared" si="269"/>
        <v>1138</v>
      </c>
      <c r="B209" s="137"/>
      <c r="C209" s="47"/>
      <c r="D209" s="47"/>
      <c r="AA209"/>
      <c r="AC209">
        <f t="shared" si="272"/>
        <v>0</v>
      </c>
      <c r="AE209" s="216">
        <f t="shared" ref="AE209" si="281">+AE208+1</f>
        <v>202</v>
      </c>
      <c r="AF209" s="216" t="e">
        <f t="shared" si="210"/>
        <v>#REF!</v>
      </c>
      <c r="AG209" s="1">
        <v>0</v>
      </c>
      <c r="AH209" s="137"/>
      <c r="AI209" s="47"/>
      <c r="AJ209" s="47"/>
      <c r="AK209" s="47"/>
      <c r="AL209" s="7"/>
      <c r="AO209" s="1">
        <f t="shared" si="275"/>
        <v>0</v>
      </c>
    </row>
    <row r="210" spans="1:41">
      <c r="A210" s="500">
        <f t="shared" si="269"/>
        <v>1139</v>
      </c>
      <c r="B210" s="307" t="s">
        <v>268</v>
      </c>
      <c r="C210" s="152" t="s">
        <v>270</v>
      </c>
      <c r="D210" s="47"/>
      <c r="E210" s="47"/>
      <c r="F210" s="47"/>
      <c r="G210" s="47"/>
      <c r="AA210"/>
      <c r="AC210">
        <f t="shared" si="272"/>
        <v>0</v>
      </c>
      <c r="AE210" s="216">
        <f t="shared" ref="AE210" si="282">+AE209+1</f>
        <v>203</v>
      </c>
      <c r="AF210" s="216" t="e">
        <f t="shared" si="210"/>
        <v>#REF!</v>
      </c>
      <c r="AG210" s="1">
        <v>0</v>
      </c>
      <c r="AH210" s="307" t="s">
        <v>268</v>
      </c>
      <c r="AI210" s="152" t="s">
        <v>270</v>
      </c>
      <c r="AJ210" s="47"/>
      <c r="AK210" s="47"/>
      <c r="AL210" s="7"/>
      <c r="AO210" s="1">
        <f t="shared" si="275"/>
        <v>0</v>
      </c>
    </row>
    <row r="211" spans="1:41">
      <c r="A211" s="500">
        <f t="shared" si="269"/>
        <v>1140</v>
      </c>
      <c r="B211" s="137"/>
      <c r="C211" s="47"/>
      <c r="D211" s="47" t="s">
        <v>399</v>
      </c>
      <c r="E211" s="47"/>
      <c r="F211" s="47"/>
      <c r="G211" s="47"/>
      <c r="H211" s="301">
        <f>[16]XNV!$H$211</f>
        <v>0</v>
      </c>
      <c r="I211" s="301">
        <f>[16]XNV!$I$211</f>
        <v>0</v>
      </c>
      <c r="J211" s="301">
        <f>[16]XNV!$J$211</f>
        <v>0</v>
      </c>
      <c r="K211" s="301">
        <f>[16]XNV!$K$211</f>
        <v>0</v>
      </c>
      <c r="L211" s="301">
        <f>[16]XNV!$L$211</f>
        <v>0</v>
      </c>
      <c r="M211" s="301">
        <f>[16]XNV!$M$211</f>
        <v>0</v>
      </c>
      <c r="N211" s="301">
        <f>[16]XNV!$N$211</f>
        <v>0</v>
      </c>
      <c r="O211" s="301">
        <f>[16]XNV!$O$211</f>
        <v>0</v>
      </c>
      <c r="P211" s="301">
        <f>[16]XNV!$P$211</f>
        <v>0</v>
      </c>
      <c r="Q211" s="301">
        <f>[16]XNV!$Q$211</f>
        <v>0</v>
      </c>
      <c r="R211" s="301">
        <f>[16]XNV!$R$211</f>
        <v>0</v>
      </c>
      <c r="S211" s="301">
        <f>[16]XNV!$S$211</f>
        <v>0</v>
      </c>
      <c r="T211" s="301">
        <f>[16]XNV!$T$211</f>
        <v>0</v>
      </c>
      <c r="U211" s="301"/>
      <c r="V211" s="475">
        <f>(SUM(I211:S211)+(0.5*T211)+(0.5*H211))/12</f>
        <v>0</v>
      </c>
      <c r="Y211" s="475">
        <f>T211</f>
        <v>0</v>
      </c>
      <c r="Z211" s="475">
        <f t="shared" si="277"/>
        <v>0</v>
      </c>
      <c r="AA211" s="301">
        <f>V211</f>
        <v>0</v>
      </c>
      <c r="AB211" s="301">
        <f>T211</f>
        <v>0</v>
      </c>
      <c r="AC211" s="301">
        <f t="shared" si="272"/>
        <v>0</v>
      </c>
      <c r="AD211" s="301">
        <f>AC211-T211</f>
        <v>0</v>
      </c>
      <c r="AE211" s="216">
        <f t="shared" ref="AE211" si="283">+AE210+1</f>
        <v>204</v>
      </c>
      <c r="AF211" s="216" t="e">
        <f t="shared" si="210"/>
        <v>#REF!</v>
      </c>
      <c r="AG211" s="1">
        <v>0</v>
      </c>
      <c r="AH211" s="137"/>
      <c r="AI211" s="47"/>
      <c r="AJ211" s="47" t="s">
        <v>399</v>
      </c>
      <c r="AK211" s="47"/>
      <c r="AL211" s="7">
        <f>+T211</f>
        <v>0</v>
      </c>
      <c r="AM211" s="10">
        <f>AC211</f>
        <v>0</v>
      </c>
      <c r="AN211" s="10">
        <f>AM211-AL211</f>
        <v>0</v>
      </c>
      <c r="AO211" s="1">
        <f t="shared" si="275"/>
        <v>0</v>
      </c>
    </row>
    <row r="212" spans="1:41">
      <c r="A212" s="500">
        <f t="shared" si="269"/>
        <v>1141</v>
      </c>
      <c r="B212" s="137"/>
      <c r="C212" s="47"/>
      <c r="D212" s="47" t="s">
        <v>542</v>
      </c>
      <c r="E212" s="47"/>
      <c r="F212" s="47"/>
      <c r="G212" s="47"/>
      <c r="H212" s="301">
        <f>[16]XNV!$H$212</f>
        <v>0</v>
      </c>
      <c r="I212" s="301">
        <f>[16]XNV!$I$212</f>
        <v>0</v>
      </c>
      <c r="J212" s="301">
        <f>[16]XNV!$J$212</f>
        <v>0</v>
      </c>
      <c r="K212" s="301">
        <f>[16]XNV!$K$212</f>
        <v>0</v>
      </c>
      <c r="L212" s="301">
        <f>[16]XNV!$L$212</f>
        <v>0</v>
      </c>
      <c r="M212" s="301">
        <f>[16]XNV!$M$212</f>
        <v>0</v>
      </c>
      <c r="N212" s="301">
        <f>[16]XNV!$N$212</f>
        <v>0</v>
      </c>
      <c r="O212" s="301">
        <f>[16]XNV!$O$212</f>
        <v>0</v>
      </c>
      <c r="P212" s="301">
        <f>[16]XNV!$P$212</f>
        <v>0</v>
      </c>
      <c r="Q212" s="301">
        <f>[16]XNV!$Q$212</f>
        <v>0</v>
      </c>
      <c r="R212" s="301">
        <f>[16]XNV!$R$212</f>
        <v>0</v>
      </c>
      <c r="S212" s="301">
        <f>[16]XNV!$S$212</f>
        <v>0</v>
      </c>
      <c r="T212" s="301">
        <f>[16]XNV!$T$212</f>
        <v>0</v>
      </c>
      <c r="U212" s="301"/>
      <c r="V212" s="475">
        <f>(SUM(I212:S212)+(0.5*T212)+(0.5*H212))/12</f>
        <v>0</v>
      </c>
      <c r="Y212" s="475">
        <f>T212</f>
        <v>0</v>
      </c>
      <c r="Z212" s="475">
        <f t="shared" si="277"/>
        <v>0</v>
      </c>
      <c r="AA212" s="301">
        <f>V212</f>
        <v>0</v>
      </c>
      <c r="AB212" s="301">
        <f>T212</f>
        <v>0</v>
      </c>
      <c r="AC212" s="301">
        <f t="shared" si="272"/>
        <v>0</v>
      </c>
      <c r="AD212" s="301">
        <f>AC212-T212</f>
        <v>0</v>
      </c>
      <c r="AE212" s="216">
        <f t="shared" ref="AE212" si="284">+AE211+1</f>
        <v>205</v>
      </c>
      <c r="AF212" s="216" t="e">
        <f t="shared" si="210"/>
        <v>#REF!</v>
      </c>
      <c r="AG212" s="1">
        <v>-14555.48653412491</v>
      </c>
      <c r="AH212" s="137"/>
      <c r="AI212" s="47"/>
      <c r="AJ212" s="47" t="s">
        <v>542</v>
      </c>
      <c r="AK212" s="47"/>
      <c r="AL212" s="7">
        <f>+T212</f>
        <v>0</v>
      </c>
      <c r="AM212" s="10">
        <f>AC212</f>
        <v>0</v>
      </c>
      <c r="AN212" s="10">
        <f>AM212-AL212</f>
        <v>0</v>
      </c>
      <c r="AO212" s="1">
        <f t="shared" si="275"/>
        <v>0</v>
      </c>
    </row>
    <row r="213" spans="1:41">
      <c r="A213" s="500">
        <f t="shared" si="269"/>
        <v>1142</v>
      </c>
      <c r="B213" s="137"/>
      <c r="C213" s="47"/>
      <c r="D213" s="47" t="s">
        <v>543</v>
      </c>
      <c r="E213" s="47"/>
      <c r="F213" s="47"/>
      <c r="G213" s="47"/>
      <c r="H213" s="301">
        <f>[16]XNV!$H$213</f>
        <v>0</v>
      </c>
      <c r="I213" s="301">
        <f>[16]XNV!$I$213</f>
        <v>0</v>
      </c>
      <c r="J213" s="301">
        <f>[16]XNV!$J$213</f>
        <v>0</v>
      </c>
      <c r="K213" s="301">
        <f>[16]XNV!$K$213</f>
        <v>0</v>
      </c>
      <c r="L213" s="301">
        <f>[16]XNV!$L$213</f>
        <v>0</v>
      </c>
      <c r="M213" s="301">
        <f>[16]XNV!$M$213</f>
        <v>0</v>
      </c>
      <c r="N213" s="301">
        <f>[16]XNV!$N$213</f>
        <v>0</v>
      </c>
      <c r="O213" s="301">
        <f>[16]XNV!$O$213</f>
        <v>0</v>
      </c>
      <c r="P213" s="301">
        <f>[16]XNV!$P$213</f>
        <v>0</v>
      </c>
      <c r="Q213" s="301">
        <f>[16]XNV!$Q$213</f>
        <v>0</v>
      </c>
      <c r="R213" s="301">
        <f>[16]XNV!$R$213</f>
        <v>0</v>
      </c>
      <c r="S213" s="301">
        <f>[16]XNV!$S$213</f>
        <v>0</v>
      </c>
      <c r="T213" s="301">
        <f>[16]XNV!$T$213</f>
        <v>0</v>
      </c>
      <c r="U213" s="301"/>
      <c r="V213" s="475">
        <f>(SUM(I213:S213)+(0.5*T213)+(0.5*H213))/12</f>
        <v>0</v>
      </c>
      <c r="Y213" s="475">
        <f>T213</f>
        <v>0</v>
      </c>
      <c r="Z213" s="475">
        <f t="shared" si="277"/>
        <v>0</v>
      </c>
      <c r="AA213" s="301">
        <f>V213</f>
        <v>0</v>
      </c>
      <c r="AB213" s="301">
        <f>T213</f>
        <v>0</v>
      </c>
      <c r="AC213" s="301">
        <f t="shared" si="272"/>
        <v>0</v>
      </c>
      <c r="AD213" s="301">
        <f>AC213-T213</f>
        <v>0</v>
      </c>
      <c r="AE213" s="216">
        <f t="shared" ref="AE213" si="285">+AE212+1</f>
        <v>206</v>
      </c>
      <c r="AF213" s="216" t="e">
        <f t="shared" si="210"/>
        <v>#REF!</v>
      </c>
      <c r="AG213" s="1">
        <v>-341777.34346587677</v>
      </c>
      <c r="AH213" s="137"/>
      <c r="AI213" s="47"/>
      <c r="AJ213" s="47" t="s">
        <v>543</v>
      </c>
      <c r="AK213" s="47"/>
      <c r="AL213" s="7">
        <f>+T213</f>
        <v>0</v>
      </c>
      <c r="AM213" s="10">
        <f>AC213</f>
        <v>0</v>
      </c>
      <c r="AN213" s="10">
        <f>AM213-AL213</f>
        <v>0</v>
      </c>
      <c r="AO213" s="1">
        <f t="shared" si="275"/>
        <v>0</v>
      </c>
    </row>
    <row r="214" spans="1:41">
      <c r="A214" s="500">
        <f t="shared" si="269"/>
        <v>1143</v>
      </c>
      <c r="B214" s="137"/>
      <c r="C214" s="47"/>
      <c r="D214" s="47" t="s">
        <v>544</v>
      </c>
      <c r="E214" s="47"/>
      <c r="F214" s="47"/>
      <c r="G214" s="47"/>
      <c r="H214" s="301">
        <f>[16]XNV!$H$214</f>
        <v>44158775.420000002</v>
      </c>
      <c r="I214" s="301">
        <f>[16]XNV!$I$214</f>
        <v>43421216.670000002</v>
      </c>
      <c r="J214" s="301">
        <f>[16]XNV!$J$214</f>
        <v>43037704.009999998</v>
      </c>
      <c r="K214" s="301">
        <f>[16]XNV!$K$214</f>
        <v>42230610.009999998</v>
      </c>
      <c r="L214" s="301">
        <f>[16]XNV!$L$214</f>
        <v>41901058.18</v>
      </c>
      <c r="M214" s="301">
        <f>[16]XNV!$M$214</f>
        <v>41745525.93</v>
      </c>
      <c r="N214" s="301">
        <f>[16]XNV!$N$214</f>
        <v>14248609.73</v>
      </c>
      <c r="O214" s="301">
        <f>[16]XNV!$O$214</f>
        <v>14091342.42</v>
      </c>
      <c r="P214" s="301">
        <f>[16]XNV!$P$214</f>
        <v>12479158.449999999</v>
      </c>
      <c r="Q214" s="301">
        <f>[16]XNV!$Q$214</f>
        <v>12494493.17</v>
      </c>
      <c r="R214" s="301">
        <f>[16]XNV!$R$214</f>
        <v>12303250.710000001</v>
      </c>
      <c r="S214" s="301">
        <f>[16]XNV!$S$214</f>
        <v>11724621.710000001</v>
      </c>
      <c r="T214" s="301">
        <f>[16]XNV!$T$214</f>
        <v>11766835.779999999</v>
      </c>
      <c r="U214" s="301"/>
      <c r="V214" s="475">
        <f>(SUM(I214:S214)+(0.5*T214)+(0.5*H214))/12</f>
        <v>26470033.049166661</v>
      </c>
      <c r="Y214" s="475">
        <f>T214</f>
        <v>11766835.779999999</v>
      </c>
      <c r="Z214" s="475">
        <f t="shared" si="277"/>
        <v>26470033.049166661</v>
      </c>
      <c r="AA214" s="301">
        <f>V214</f>
        <v>26470033.049166661</v>
      </c>
      <c r="AB214" s="301">
        <f>T214</f>
        <v>11766835.779999999</v>
      </c>
      <c r="AC214" s="301">
        <f t="shared" si="272"/>
        <v>26470033.049166661</v>
      </c>
      <c r="AD214" s="301">
        <f>AC214-T214</f>
        <v>14703197.269166661</v>
      </c>
      <c r="AE214" s="216">
        <f t="shared" ref="AE214" si="286">+AE213+1</f>
        <v>207</v>
      </c>
      <c r="AF214" s="216" t="e">
        <f t="shared" si="210"/>
        <v>#REF!</v>
      </c>
      <c r="AG214" s="1">
        <v>0</v>
      </c>
      <c r="AH214" s="137"/>
      <c r="AI214" s="47"/>
      <c r="AJ214" s="47" t="s">
        <v>544</v>
      </c>
      <c r="AK214" s="47"/>
      <c r="AL214" s="7">
        <f>+T214</f>
        <v>11766835.779999999</v>
      </c>
      <c r="AM214" s="359">
        <f>AC214</f>
        <v>26470033.049166661</v>
      </c>
      <c r="AN214" s="359">
        <f>AM214-AL214</f>
        <v>14703197.269166661</v>
      </c>
      <c r="AO214" s="1">
        <f t="shared" si="275"/>
        <v>0</v>
      </c>
    </row>
    <row r="215" spans="1:41">
      <c r="A215" s="500">
        <f t="shared" si="269"/>
        <v>1144</v>
      </c>
      <c r="B215" s="137"/>
      <c r="C215" s="47"/>
      <c r="D215" s="47" t="s">
        <v>145</v>
      </c>
      <c r="E215" s="47"/>
      <c r="F215" s="47"/>
      <c r="G215" s="47"/>
      <c r="H215" s="1064">
        <f t="shared" ref="H215:T215" si="287">SUM(H211:H214)</f>
        <v>44158775.420000002</v>
      </c>
      <c r="I215" s="1064">
        <f t="shared" si="287"/>
        <v>43421216.670000002</v>
      </c>
      <c r="J215" s="1064">
        <f t="shared" si="287"/>
        <v>43037704.009999998</v>
      </c>
      <c r="K215" s="1064">
        <f t="shared" si="287"/>
        <v>42230610.009999998</v>
      </c>
      <c r="L215" s="1064">
        <f t="shared" si="287"/>
        <v>41901058.18</v>
      </c>
      <c r="M215" s="1064">
        <f t="shared" si="287"/>
        <v>41745525.93</v>
      </c>
      <c r="N215" s="1064">
        <f t="shared" si="287"/>
        <v>14248609.73</v>
      </c>
      <c r="O215" s="1064">
        <f t="shared" si="287"/>
        <v>14091342.42</v>
      </c>
      <c r="P215" s="1064">
        <f t="shared" si="287"/>
        <v>12479158.449999999</v>
      </c>
      <c r="Q215" s="1064">
        <f t="shared" si="287"/>
        <v>12494493.17</v>
      </c>
      <c r="R215" s="1064">
        <f t="shared" si="287"/>
        <v>12303250.710000001</v>
      </c>
      <c r="S215" s="1064">
        <f t="shared" si="287"/>
        <v>11724621.710000001</v>
      </c>
      <c r="T215" s="1064">
        <f t="shared" si="287"/>
        <v>11766835.779999999</v>
      </c>
      <c r="U215" s="323"/>
      <c r="V215" s="512">
        <f>(SUM(I215:S215)+(0.5*T215)+(0.5*H215))/12</f>
        <v>26470033.049166661</v>
      </c>
      <c r="Y215" s="512">
        <f>T215</f>
        <v>11766835.779999999</v>
      </c>
      <c r="Z215" s="512">
        <f t="shared" si="277"/>
        <v>26470033.049166661</v>
      </c>
      <c r="AA215" s="323">
        <f>V215</f>
        <v>26470033.049166661</v>
      </c>
      <c r="AB215" s="323">
        <f>T215</f>
        <v>11766835.779999999</v>
      </c>
      <c r="AC215" s="323">
        <f t="shared" si="272"/>
        <v>26470033.049166661</v>
      </c>
      <c r="AD215" s="323">
        <f>AC215-T215</f>
        <v>14703197.269166661</v>
      </c>
      <c r="AE215" s="216">
        <f t="shared" ref="AE215" si="288">+AE214+1</f>
        <v>208</v>
      </c>
      <c r="AF215" s="216" t="e">
        <f t="shared" si="210"/>
        <v>#REF!</v>
      </c>
      <c r="AG215" s="1">
        <v>-356332.83000000194</v>
      </c>
      <c r="AH215" s="137"/>
      <c r="AI215" s="47"/>
      <c r="AJ215" s="47" t="s">
        <v>145</v>
      </c>
      <c r="AK215" s="47"/>
      <c r="AL215" s="140">
        <f>SUM(AL211:AL214)</f>
        <v>11766835.779999999</v>
      </c>
      <c r="AM215" s="10">
        <f>AC215</f>
        <v>26470033.049166661</v>
      </c>
      <c r="AN215" s="10">
        <f>AM215-AL215</f>
        <v>14703197.269166661</v>
      </c>
      <c r="AO215" s="1">
        <f t="shared" si="275"/>
        <v>0</v>
      </c>
    </row>
    <row r="216" spans="1:41">
      <c r="A216" s="500">
        <f t="shared" si="269"/>
        <v>1145</v>
      </c>
      <c r="B216" s="137"/>
      <c r="C216" s="47"/>
      <c r="D216" s="47"/>
      <c r="E216" s="47"/>
      <c r="F216" s="47"/>
      <c r="G216" s="47"/>
      <c r="AA216"/>
      <c r="AC216">
        <f t="shared" si="272"/>
        <v>0</v>
      </c>
      <c r="AE216" s="216">
        <f t="shared" ref="AE216" si="289">+AE215+1</f>
        <v>209</v>
      </c>
      <c r="AF216" s="216" t="e">
        <f t="shared" si="210"/>
        <v>#REF!</v>
      </c>
      <c r="AG216" s="1">
        <v>0</v>
      </c>
      <c r="AH216" s="137"/>
      <c r="AI216" s="47"/>
      <c r="AJ216" s="47"/>
      <c r="AK216" s="47"/>
      <c r="AL216" s="7"/>
      <c r="AO216" s="1">
        <f t="shared" si="275"/>
        <v>0</v>
      </c>
    </row>
    <row r="217" spans="1:41">
      <c r="A217" s="500">
        <f t="shared" si="269"/>
        <v>1146</v>
      </c>
      <c r="B217" s="307" t="s">
        <v>269</v>
      </c>
      <c r="C217" s="152" t="s">
        <v>271</v>
      </c>
      <c r="D217" s="47"/>
      <c r="E217" s="47"/>
      <c r="F217" s="47"/>
      <c r="G217" s="47"/>
      <c r="AA217"/>
      <c r="AC217">
        <f t="shared" si="272"/>
        <v>0</v>
      </c>
      <c r="AE217" s="216">
        <f t="shared" ref="AE217" si="290">+AE216+1</f>
        <v>210</v>
      </c>
      <c r="AF217" s="216" t="e">
        <f t="shared" si="210"/>
        <v>#REF!</v>
      </c>
      <c r="AG217" s="1">
        <v>0</v>
      </c>
      <c r="AH217" s="307" t="s">
        <v>269</v>
      </c>
      <c r="AI217" s="152" t="s">
        <v>271</v>
      </c>
      <c r="AJ217" s="47"/>
      <c r="AK217" s="47"/>
      <c r="AL217" s="7"/>
      <c r="AO217" s="1">
        <f t="shared" si="275"/>
        <v>0</v>
      </c>
    </row>
    <row r="218" spans="1:41">
      <c r="A218" s="500">
        <f t="shared" si="269"/>
        <v>1147</v>
      </c>
      <c r="B218" s="137"/>
      <c r="C218" s="47"/>
      <c r="D218" s="47" t="s">
        <v>399</v>
      </c>
      <c r="E218" s="47"/>
      <c r="F218" s="47"/>
      <c r="G218" s="47"/>
      <c r="H218" s="301">
        <f>[16]XNV!$H$218</f>
        <v>-5189.3100000000004</v>
      </c>
      <c r="I218" s="301">
        <f>[16]XNV!$I$218</f>
        <v>-5189.3100000000004</v>
      </c>
      <c r="J218" s="301">
        <f>[16]XNV!$J$218</f>
        <v>-5189.3100000000004</v>
      </c>
      <c r="K218" s="301">
        <f>[16]XNV!$K$218</f>
        <v>-5189.3100000000004</v>
      </c>
      <c r="L218" s="301">
        <f>[16]XNV!$L$218</f>
        <v>-5189.3100000000004</v>
      </c>
      <c r="M218" s="301">
        <f>[16]XNV!$M$218</f>
        <v>-5189.3100000000004</v>
      </c>
      <c r="N218" s="301">
        <f>[16]XNV!$N$218</f>
        <v>-5189.3100000000004</v>
      </c>
      <c r="O218" s="301">
        <f>[16]XNV!$O$218</f>
        <v>-5189.3100000000004</v>
      </c>
      <c r="P218" s="301">
        <f>[16]XNV!$P$218</f>
        <v>-5189.3100000000004</v>
      </c>
      <c r="Q218" s="301">
        <f>[16]XNV!$Q$218</f>
        <v>-5189.3100000000004</v>
      </c>
      <c r="R218" s="301">
        <f>[16]XNV!$R$218</f>
        <v>-5189.3100000000004</v>
      </c>
      <c r="S218" s="301">
        <f>[16]XNV!$S$218</f>
        <v>-5189.3100000000004</v>
      </c>
      <c r="T218" s="301">
        <f>[16]XNV!$T$218</f>
        <v>-5189.3100000000004</v>
      </c>
      <c r="U218" s="301"/>
      <c r="V218" s="475">
        <f>(SUM(I218:S218)+(0.5*T218)+(0.5*H218))/12</f>
        <v>-5189.3099999999995</v>
      </c>
      <c r="Y218" s="475">
        <f>T218</f>
        <v>-5189.3100000000004</v>
      </c>
      <c r="Z218" s="475">
        <f t="shared" si="277"/>
        <v>-5189.3099999999995</v>
      </c>
      <c r="AA218" s="301">
        <f>V218</f>
        <v>-5189.3099999999995</v>
      </c>
      <c r="AB218" s="301">
        <f>T218</f>
        <v>-5189.3100000000004</v>
      </c>
      <c r="AC218" s="301">
        <f t="shared" si="272"/>
        <v>-5189.3099999999995</v>
      </c>
      <c r="AD218" s="301">
        <f>AC218-T218</f>
        <v>0</v>
      </c>
      <c r="AE218" s="216">
        <f t="shared" ref="AE218" si="291">+AE217+1</f>
        <v>211</v>
      </c>
      <c r="AF218" s="216" t="e">
        <f t="shared" si="210"/>
        <v>#REF!</v>
      </c>
      <c r="AG218" s="1">
        <v>0</v>
      </c>
      <c r="AH218" s="137"/>
      <c r="AI218" s="47"/>
      <c r="AJ218" s="47" t="s">
        <v>399</v>
      </c>
      <c r="AK218" s="47"/>
      <c r="AL218" s="7">
        <f>+T218</f>
        <v>-5189.3100000000004</v>
      </c>
      <c r="AM218" s="10">
        <f>AC218</f>
        <v>-5189.3099999999995</v>
      </c>
      <c r="AN218" s="10">
        <f>AM218-AL218</f>
        <v>0</v>
      </c>
      <c r="AO218" s="1">
        <f t="shared" si="275"/>
        <v>0</v>
      </c>
    </row>
    <row r="219" spans="1:41">
      <c r="A219" s="500">
        <f t="shared" si="269"/>
        <v>1148</v>
      </c>
      <c r="B219" s="137"/>
      <c r="C219" s="47"/>
      <c r="D219" s="47" t="s">
        <v>542</v>
      </c>
      <c r="E219" s="47"/>
      <c r="F219" s="47"/>
      <c r="G219" s="47"/>
      <c r="H219" s="301">
        <f>[16]XNV!$H$219</f>
        <v>0</v>
      </c>
      <c r="I219" s="301">
        <f>[16]XNV!$I$219</f>
        <v>0</v>
      </c>
      <c r="J219" s="301">
        <f>[16]XNV!$J$219</f>
        <v>0</v>
      </c>
      <c r="K219" s="301">
        <f>[16]XNV!$K$219</f>
        <v>0</v>
      </c>
      <c r="L219" s="301">
        <f>[16]XNV!$L$219</f>
        <v>0</v>
      </c>
      <c r="M219" s="301">
        <f>[16]XNV!$M$219</f>
        <v>0</v>
      </c>
      <c r="N219" s="301">
        <f>[16]XNV!$N$219</f>
        <v>0</v>
      </c>
      <c r="O219" s="301">
        <f>[16]XNV!$O$219</f>
        <v>0</v>
      </c>
      <c r="P219" s="301">
        <f>[16]XNV!$P$219</f>
        <v>0</v>
      </c>
      <c r="Q219" s="301">
        <f>[16]XNV!$Q$219</f>
        <v>0</v>
      </c>
      <c r="R219" s="301">
        <f>[16]XNV!$R$219</f>
        <v>0</v>
      </c>
      <c r="S219" s="301">
        <f>[16]XNV!$S$219</f>
        <v>0</v>
      </c>
      <c r="T219" s="301">
        <f>[16]XNV!$T$219</f>
        <v>0</v>
      </c>
      <c r="U219" s="301"/>
      <c r="V219" s="475">
        <f>(SUM(I219:S219)+(0.5*T219)+(0.5*H219))/12</f>
        <v>0</v>
      </c>
      <c r="Y219" s="475">
        <f>T219</f>
        <v>0</v>
      </c>
      <c r="Z219" s="475">
        <f t="shared" si="277"/>
        <v>0</v>
      </c>
      <c r="AA219" s="301">
        <f>V219</f>
        <v>0</v>
      </c>
      <c r="AB219" s="301">
        <f>T219</f>
        <v>0</v>
      </c>
      <c r="AC219" s="301">
        <f t="shared" si="272"/>
        <v>0</v>
      </c>
      <c r="AD219" s="301">
        <f>AC219-T219</f>
        <v>0</v>
      </c>
      <c r="AE219" s="216">
        <f t="shared" ref="AE219" si="292">+AE218+1</f>
        <v>212</v>
      </c>
      <c r="AF219" s="216" t="e">
        <f t="shared" si="210"/>
        <v>#REF!</v>
      </c>
      <c r="AG219" s="1">
        <v>0</v>
      </c>
      <c r="AH219" s="137"/>
      <c r="AI219" s="47"/>
      <c r="AJ219" s="47" t="s">
        <v>542</v>
      </c>
      <c r="AK219" s="47"/>
      <c r="AL219" s="7">
        <f>+T219</f>
        <v>0</v>
      </c>
      <c r="AM219" s="10">
        <f>AC219</f>
        <v>0</v>
      </c>
      <c r="AN219" s="10">
        <f>AM219-AL219</f>
        <v>0</v>
      </c>
      <c r="AO219" s="1">
        <f t="shared" si="275"/>
        <v>0</v>
      </c>
    </row>
    <row r="220" spans="1:41">
      <c r="A220" s="500">
        <f t="shared" si="269"/>
        <v>1149</v>
      </c>
      <c r="B220" s="137"/>
      <c r="C220" s="47"/>
      <c r="D220" s="47" t="s">
        <v>543</v>
      </c>
      <c r="E220" s="47"/>
      <c r="F220" s="47"/>
      <c r="G220" s="47"/>
      <c r="H220" s="301">
        <f>[16]XNV!$H$220</f>
        <v>0</v>
      </c>
      <c r="I220" s="301">
        <f>[16]XNV!$I$220</f>
        <v>0</v>
      </c>
      <c r="J220" s="301">
        <f>[16]XNV!$J$220</f>
        <v>0</v>
      </c>
      <c r="K220" s="301">
        <f>[16]XNV!$K$220</f>
        <v>0</v>
      </c>
      <c r="L220" s="301">
        <f>[16]XNV!$L$220</f>
        <v>0</v>
      </c>
      <c r="M220" s="301">
        <f>[16]XNV!$M$220</f>
        <v>0</v>
      </c>
      <c r="N220" s="301">
        <f>[16]XNV!$N$220</f>
        <v>0</v>
      </c>
      <c r="O220" s="301">
        <f>[16]XNV!$O$220</f>
        <v>0</v>
      </c>
      <c r="P220" s="301">
        <f>[16]XNV!$P$220</f>
        <v>0</v>
      </c>
      <c r="Q220" s="301">
        <f>[16]XNV!$Q$220</f>
        <v>0</v>
      </c>
      <c r="R220" s="301">
        <f>[16]XNV!$R$220</f>
        <v>0</v>
      </c>
      <c r="S220" s="301">
        <f>[16]XNV!$S$220</f>
        <v>0</v>
      </c>
      <c r="T220" s="301">
        <f>[16]XNV!$T$220</f>
        <v>0</v>
      </c>
      <c r="U220" s="301"/>
      <c r="V220" s="475">
        <f>(SUM(I220:S220)+(0.5*T220)+(0.5*H220))/12</f>
        <v>0</v>
      </c>
      <c r="Y220" s="475">
        <f>T220</f>
        <v>0</v>
      </c>
      <c r="Z220" s="475">
        <f t="shared" si="277"/>
        <v>0</v>
      </c>
      <c r="AA220" s="301">
        <f>V220</f>
        <v>0</v>
      </c>
      <c r="AB220" s="301">
        <f>T220</f>
        <v>0</v>
      </c>
      <c r="AC220" s="301">
        <f t="shared" si="272"/>
        <v>0</v>
      </c>
      <c r="AD220" s="301">
        <f>AC220-T220</f>
        <v>0</v>
      </c>
      <c r="AE220" s="216">
        <f t="shared" ref="AE220" si="293">+AE219+1</f>
        <v>213</v>
      </c>
      <c r="AF220" s="216" t="e">
        <f t="shared" si="210"/>
        <v>#REF!</v>
      </c>
      <c r="AG220" s="1">
        <v>-114944.73250000004</v>
      </c>
      <c r="AH220" s="137"/>
      <c r="AI220" s="47"/>
      <c r="AJ220" s="47" t="s">
        <v>543</v>
      </c>
      <c r="AK220" s="47"/>
      <c r="AL220" s="7">
        <f>+T220</f>
        <v>0</v>
      </c>
      <c r="AM220" s="10">
        <f>AC220</f>
        <v>0</v>
      </c>
      <c r="AN220" s="10">
        <f>AM220-AL220</f>
        <v>0</v>
      </c>
      <c r="AO220" s="1">
        <f t="shared" si="275"/>
        <v>0</v>
      </c>
    </row>
    <row r="221" spans="1:41">
      <c r="A221" s="500">
        <f t="shared" si="269"/>
        <v>1150</v>
      </c>
      <c r="B221" s="137"/>
      <c r="C221" s="47"/>
      <c r="D221" s="47" t="s">
        <v>544</v>
      </c>
      <c r="E221" s="47"/>
      <c r="F221" s="47"/>
      <c r="G221" s="47"/>
      <c r="H221" s="301">
        <f>[16]XNV!$H$221</f>
        <v>10248277.210000001</v>
      </c>
      <c r="I221" s="301">
        <f>[16]XNV!$I$221</f>
        <v>10077968.369999999</v>
      </c>
      <c r="J221" s="301">
        <f>[16]XNV!$J$221</f>
        <v>9989411.9299999997</v>
      </c>
      <c r="K221" s="301">
        <f>[16]XNV!$K$221</f>
        <v>9802815.9299999997</v>
      </c>
      <c r="L221" s="301">
        <f>[16]XNV!$L$221</f>
        <v>9718994.2599999998</v>
      </c>
      <c r="M221" s="301">
        <f>[16]XNV!$M$221</f>
        <v>9683164.7699999996</v>
      </c>
      <c r="N221" s="301">
        <f>[16]XNV!$N$221</f>
        <v>3287441.32</v>
      </c>
      <c r="O221" s="301">
        <f>[16]XNV!$O$221</f>
        <v>3251214.03</v>
      </c>
      <c r="P221" s="301">
        <f>[16]XNV!$P$221</f>
        <v>2879838.13</v>
      </c>
      <c r="Q221" s="301">
        <f>[16]XNV!$Q$221</f>
        <v>2759577.71</v>
      </c>
      <c r="R221" s="301">
        <f>[16]XNV!$R$221</f>
        <v>2717418.69</v>
      </c>
      <c r="S221" s="301">
        <f>[16]XNV!$S$221</f>
        <v>2589862.69</v>
      </c>
      <c r="T221" s="301">
        <f>[16]XNV!$T$221</f>
        <v>2599167.69</v>
      </c>
      <c r="U221" s="301"/>
      <c r="V221" s="475">
        <f>(SUM(I221:S221)+(0.5*T221)+(0.5*H221))/12</f>
        <v>6098452.5233333334</v>
      </c>
      <c r="Y221" s="475">
        <f>T221</f>
        <v>2599167.69</v>
      </c>
      <c r="Z221" s="475">
        <f t="shared" si="277"/>
        <v>6098452.5233333334</v>
      </c>
      <c r="AA221" s="301">
        <f>V221</f>
        <v>6098452.5233333334</v>
      </c>
      <c r="AB221" s="301">
        <f>T221</f>
        <v>2599167.69</v>
      </c>
      <c r="AC221" s="301">
        <f t="shared" si="272"/>
        <v>6098452.5233333334</v>
      </c>
      <c r="AD221" s="301">
        <f>AC221-T221</f>
        <v>3499284.8333333335</v>
      </c>
      <c r="AE221" s="216">
        <f t="shared" ref="AE221" si="294">+AE220+1</f>
        <v>214</v>
      </c>
      <c r="AF221" s="216" t="e">
        <f t="shared" si="210"/>
        <v>#REF!</v>
      </c>
      <c r="AG221" s="1">
        <v>0</v>
      </c>
      <c r="AH221" s="137"/>
      <c r="AI221" s="47"/>
      <c r="AJ221" s="47" t="s">
        <v>544</v>
      </c>
      <c r="AK221" s="47"/>
      <c r="AL221" s="7">
        <f>+T221</f>
        <v>2599167.69</v>
      </c>
      <c r="AM221" s="359">
        <f>AC221</f>
        <v>6098452.5233333334</v>
      </c>
      <c r="AN221" s="359">
        <f>AM221-AL221</f>
        <v>3499284.8333333335</v>
      </c>
      <c r="AO221" s="1">
        <f t="shared" si="275"/>
        <v>0</v>
      </c>
    </row>
    <row r="222" spans="1:41">
      <c r="A222" s="500">
        <f t="shared" si="269"/>
        <v>1151</v>
      </c>
      <c r="B222" s="137"/>
      <c r="C222" s="47"/>
      <c r="D222" s="47" t="s">
        <v>145</v>
      </c>
      <c r="E222" s="47"/>
      <c r="F222" s="47"/>
      <c r="G222" s="47"/>
      <c r="H222" s="1064">
        <f t="shared" ref="H222:T222" si="295">SUM(H218:H221)</f>
        <v>10243087.9</v>
      </c>
      <c r="I222" s="1064">
        <f t="shared" si="295"/>
        <v>10072779.059999999</v>
      </c>
      <c r="J222" s="1064">
        <f t="shared" si="295"/>
        <v>9984222.6199999992</v>
      </c>
      <c r="K222" s="1064">
        <f t="shared" si="295"/>
        <v>9797626.6199999992</v>
      </c>
      <c r="L222" s="1064">
        <f t="shared" si="295"/>
        <v>9713804.9499999993</v>
      </c>
      <c r="M222" s="1064">
        <f t="shared" si="295"/>
        <v>9677975.459999999</v>
      </c>
      <c r="N222" s="1064">
        <f t="shared" si="295"/>
        <v>3282252.01</v>
      </c>
      <c r="O222" s="1064">
        <f t="shared" si="295"/>
        <v>3246024.7199999997</v>
      </c>
      <c r="P222" s="1064">
        <f t="shared" si="295"/>
        <v>2874648.82</v>
      </c>
      <c r="Q222" s="1064">
        <f t="shared" si="295"/>
        <v>2754388.4</v>
      </c>
      <c r="R222" s="1064">
        <f t="shared" si="295"/>
        <v>2712229.38</v>
      </c>
      <c r="S222" s="1064">
        <f t="shared" si="295"/>
        <v>2584673.38</v>
      </c>
      <c r="T222" s="1064">
        <f t="shared" si="295"/>
        <v>2593978.38</v>
      </c>
      <c r="U222" s="323"/>
      <c r="V222" s="512">
        <f>SUM(V218:V221)</f>
        <v>6093263.2133333338</v>
      </c>
      <c r="Y222" s="512">
        <f>T222</f>
        <v>2593978.38</v>
      </c>
      <c r="Z222" s="512">
        <f t="shared" si="277"/>
        <v>6093263.2133333338</v>
      </c>
      <c r="AA222" s="323">
        <f>V222</f>
        <v>6093263.2133333338</v>
      </c>
      <c r="AB222" s="323">
        <f>T222</f>
        <v>2593978.38</v>
      </c>
      <c r="AC222" s="323">
        <f t="shared" si="272"/>
        <v>6093263.2133333338</v>
      </c>
      <c r="AD222" s="323">
        <f>AC222-T222</f>
        <v>3499284.833333334</v>
      </c>
      <c r="AE222" s="216">
        <f t="shared" ref="AE222" si="296">+AE221+1</f>
        <v>215</v>
      </c>
      <c r="AF222" s="216" t="e">
        <f t="shared" si="210"/>
        <v>#REF!</v>
      </c>
      <c r="AG222" s="1">
        <v>-114944.73250000004</v>
      </c>
      <c r="AH222" s="137"/>
      <c r="AI222" s="47"/>
      <c r="AJ222" s="47" t="s">
        <v>145</v>
      </c>
      <c r="AK222" s="47"/>
      <c r="AL222" s="140">
        <f>SUM(AL218:AL221)</f>
        <v>2593978.38</v>
      </c>
      <c r="AM222" s="10">
        <f>AC222</f>
        <v>6093263.2133333338</v>
      </c>
      <c r="AN222" s="10">
        <f>AM222-AL222</f>
        <v>3499284.833333334</v>
      </c>
      <c r="AO222" s="1">
        <f t="shared" si="275"/>
        <v>0</v>
      </c>
    </row>
    <row r="223" spans="1:41">
      <c r="A223" s="500">
        <f t="shared" si="269"/>
        <v>1152</v>
      </c>
      <c r="B223" s="137"/>
      <c r="C223" s="47"/>
      <c r="D223" s="47"/>
      <c r="AA223"/>
      <c r="AC223">
        <f t="shared" si="272"/>
        <v>0</v>
      </c>
      <c r="AE223" s="216">
        <f t="shared" ref="AE223" si="297">+AE222+1</f>
        <v>216</v>
      </c>
      <c r="AF223" s="216" t="e">
        <f t="shared" si="210"/>
        <v>#REF!</v>
      </c>
      <c r="AG223" s="1">
        <v>0</v>
      </c>
      <c r="AH223" s="137"/>
      <c r="AI223" s="47"/>
      <c r="AJ223" s="47"/>
      <c r="AK223" s="47"/>
      <c r="AL223" s="7"/>
      <c r="AO223" s="1">
        <f t="shared" si="275"/>
        <v>0</v>
      </c>
    </row>
    <row r="224" spans="1:41">
      <c r="A224" s="500">
        <f t="shared" si="269"/>
        <v>1153</v>
      </c>
      <c r="B224" s="692">
        <v>2351</v>
      </c>
      <c r="C224" s="265" t="s">
        <v>276</v>
      </c>
      <c r="D224" s="265"/>
      <c r="AA224"/>
      <c r="AC224">
        <f t="shared" si="272"/>
        <v>0</v>
      </c>
      <c r="AE224" s="216">
        <f t="shared" ref="AE224" si="298">+AE223+1</f>
        <v>217</v>
      </c>
      <c r="AF224" s="216" t="e">
        <f t="shared" si="210"/>
        <v>#REF!</v>
      </c>
      <c r="AG224" s="1">
        <v>0</v>
      </c>
      <c r="AH224" s="692">
        <v>2351</v>
      </c>
      <c r="AI224" s="693" t="s">
        <v>276</v>
      </c>
      <c r="AJ224" s="693"/>
      <c r="AK224" s="693"/>
      <c r="AL224" s="694"/>
      <c r="AO224" s="1">
        <f t="shared" si="275"/>
        <v>0</v>
      </c>
    </row>
    <row r="225" spans="1:41">
      <c r="A225" s="500">
        <f t="shared" si="269"/>
        <v>1154</v>
      </c>
      <c r="B225" s="692"/>
      <c r="C225" s="265"/>
      <c r="D225" s="265" t="s">
        <v>542</v>
      </c>
      <c r="H225" s="301">
        <f>[16]XNV!$H$225</f>
        <v>-125625.3</v>
      </c>
      <c r="I225" s="301">
        <f>[16]XNV!$I$225</f>
        <v>-125913.55</v>
      </c>
      <c r="J225" s="301">
        <f>[16]XNV!$J$225</f>
        <v>-129338.53</v>
      </c>
      <c r="K225" s="301">
        <f>[16]XNV!$K$225</f>
        <v>-128349.57</v>
      </c>
      <c r="L225" s="301">
        <f>[16]XNV!$L$225</f>
        <v>-112321.53</v>
      </c>
      <c r="M225" s="301">
        <f>[16]XNV!$M$225</f>
        <v>-105791.62</v>
      </c>
      <c r="N225" s="301">
        <f>[16]XNV!$N$225</f>
        <v>-100974.05</v>
      </c>
      <c r="O225" s="301">
        <f>[16]XNV!$O$225</f>
        <v>-100563.02</v>
      </c>
      <c r="P225" s="301">
        <f>[16]XNV!$P$225</f>
        <v>-98322.240000000005</v>
      </c>
      <c r="Q225" s="301">
        <f>[16]XNV!$Q$225</f>
        <v>-95979.83</v>
      </c>
      <c r="R225" s="301">
        <f>[16]XNV!$R$225</f>
        <v>-98935.28</v>
      </c>
      <c r="S225" s="301">
        <f>[16]XNV!$S$225</f>
        <v>-91592.29</v>
      </c>
      <c r="T225" s="301">
        <f>[16]XNV!$T$225</f>
        <v>-93636.49</v>
      </c>
      <c r="U225" s="301"/>
      <c r="V225" s="475">
        <f>(SUM(I225:S225)+(0.5*T225)+(0.5*H225))/12</f>
        <v>-108142.70041666667</v>
      </c>
      <c r="Y225" s="475">
        <f>T225</f>
        <v>-93636.49</v>
      </c>
      <c r="Z225" s="475">
        <f t="shared" si="277"/>
        <v>-108142.70041666667</v>
      </c>
      <c r="AA225" s="301">
        <f>+V225</f>
        <v>-108142.70041666667</v>
      </c>
      <c r="AB225" s="301">
        <f>+T225</f>
        <v>-93636.49</v>
      </c>
      <c r="AC225" s="301">
        <f t="shared" si="272"/>
        <v>-108142.70041666667</v>
      </c>
      <c r="AD225" s="301">
        <f>AC225-T225</f>
        <v>-14506.210416666669</v>
      </c>
      <c r="AE225" s="216">
        <f t="shared" ref="AE225" si="299">+AE224+1</f>
        <v>218</v>
      </c>
      <c r="AF225" s="216" t="e">
        <f t="shared" si="210"/>
        <v>#REF!</v>
      </c>
      <c r="AG225" s="1">
        <v>-1512.6362500000105</v>
      </c>
      <c r="AH225" s="692"/>
      <c r="AI225" s="693"/>
      <c r="AJ225" s="693" t="s">
        <v>542</v>
      </c>
      <c r="AK225" s="693"/>
      <c r="AL225" s="694">
        <f>+T225</f>
        <v>-93636.49</v>
      </c>
      <c r="AM225" s="10">
        <f>AC225</f>
        <v>-108142.70041666667</v>
      </c>
      <c r="AN225" s="10">
        <f>AM225-AL225</f>
        <v>-14506.210416666669</v>
      </c>
      <c r="AO225" s="1">
        <f t="shared" si="275"/>
        <v>0</v>
      </c>
    </row>
    <row r="226" spans="1:41">
      <c r="A226" s="500">
        <f t="shared" si="269"/>
        <v>1155</v>
      </c>
      <c r="B226" s="692"/>
      <c r="C226" s="265"/>
      <c r="D226" s="265" t="s">
        <v>543</v>
      </c>
      <c r="H226" s="301">
        <f>[16]XNV!$H$226</f>
        <v>-3382292.37</v>
      </c>
      <c r="I226" s="301">
        <f>[16]XNV!$I$226</f>
        <v>-3319594.78</v>
      </c>
      <c r="J226" s="301">
        <f>[16]XNV!$J$226</f>
        <v>-3216399.45</v>
      </c>
      <c r="K226" s="301">
        <f>[16]XNV!$K$226</f>
        <v>-3093313.13</v>
      </c>
      <c r="L226" s="301">
        <f>[16]XNV!$L$226</f>
        <v>-3017116.91</v>
      </c>
      <c r="M226" s="301">
        <f>[16]XNV!$M$226</f>
        <v>-2901865.22</v>
      </c>
      <c r="N226" s="301">
        <f>[16]XNV!$N$226</f>
        <v>-2754786.84</v>
      </c>
      <c r="O226" s="301">
        <f>[16]XNV!$O$226</f>
        <v>-3990024.25</v>
      </c>
      <c r="P226" s="301">
        <f>[16]XNV!$P$226</f>
        <v>-2602306.9700000002</v>
      </c>
      <c r="Q226" s="301">
        <f>[16]XNV!$Q$226</f>
        <v>-2691459.56</v>
      </c>
      <c r="R226" s="301">
        <f>[16]XNV!$R$226</f>
        <v>-2758137.71</v>
      </c>
      <c r="S226" s="301">
        <f>[16]XNV!$S$226</f>
        <v>-3188796.61</v>
      </c>
      <c r="T226" s="301">
        <f>[16]XNV!$T$226</f>
        <v>-3315393.55</v>
      </c>
      <c r="U226" s="301"/>
      <c r="V226" s="475">
        <f>(SUM(I226:S226)+(0.5*T226)+(0.5*H226))/12</f>
        <v>-3073553.6991666667</v>
      </c>
      <c r="Y226" s="475">
        <f>T226</f>
        <v>-3315393.55</v>
      </c>
      <c r="Z226" s="475">
        <f t="shared" si="277"/>
        <v>-3073553.6991666667</v>
      </c>
      <c r="AA226" s="301">
        <f>+V226</f>
        <v>-3073553.6991666667</v>
      </c>
      <c r="AB226" s="301">
        <f>+T226</f>
        <v>-3315393.55</v>
      </c>
      <c r="AC226" s="301">
        <f t="shared" si="272"/>
        <v>-3073553.6991666667</v>
      </c>
      <c r="AD226" s="301">
        <f>AC226-T226</f>
        <v>241839.8508333331</v>
      </c>
      <c r="AE226" s="216">
        <f t="shared" ref="AE226" si="300">+AE225+1</f>
        <v>219</v>
      </c>
      <c r="AF226" s="216" t="e">
        <f t="shared" si="210"/>
        <v>#REF!</v>
      </c>
      <c r="AG226" s="1">
        <v>-476537.93416666798</v>
      </c>
      <c r="AH226" s="692"/>
      <c r="AI226" s="693"/>
      <c r="AJ226" s="693" t="s">
        <v>543</v>
      </c>
      <c r="AK226" s="693"/>
      <c r="AL226" s="694">
        <f>+T226</f>
        <v>-3315393.55</v>
      </c>
      <c r="AM226" s="359">
        <f>AC226</f>
        <v>-3073553.6991666667</v>
      </c>
      <c r="AN226" s="359">
        <f>AM226-AL226</f>
        <v>241839.8508333331</v>
      </c>
      <c r="AO226" s="1">
        <f t="shared" si="275"/>
        <v>0</v>
      </c>
    </row>
    <row r="227" spans="1:41">
      <c r="A227" s="500">
        <f t="shared" si="269"/>
        <v>1156</v>
      </c>
      <c r="B227" s="692"/>
      <c r="C227" s="265"/>
      <c r="D227" s="265" t="s">
        <v>145</v>
      </c>
      <c r="H227" s="1064">
        <f t="shared" ref="H227:T227" si="301">SUM(H225:H226)</f>
        <v>-3507917.67</v>
      </c>
      <c r="I227" s="1064">
        <f t="shared" si="301"/>
        <v>-3445508.3299999996</v>
      </c>
      <c r="J227" s="1064">
        <f t="shared" si="301"/>
        <v>-3345737.98</v>
      </c>
      <c r="K227" s="1064">
        <f t="shared" si="301"/>
        <v>-3221662.6999999997</v>
      </c>
      <c r="L227" s="1064">
        <f t="shared" si="301"/>
        <v>-3129438.44</v>
      </c>
      <c r="M227" s="1064">
        <f t="shared" si="301"/>
        <v>-3007656.8400000003</v>
      </c>
      <c r="N227" s="1064">
        <f t="shared" si="301"/>
        <v>-2855760.8899999997</v>
      </c>
      <c r="O227" s="1064">
        <f t="shared" si="301"/>
        <v>-4090587.27</v>
      </c>
      <c r="P227" s="1064">
        <f t="shared" si="301"/>
        <v>-2700629.2100000004</v>
      </c>
      <c r="Q227" s="1064">
        <f t="shared" si="301"/>
        <v>-2787439.39</v>
      </c>
      <c r="R227" s="1064">
        <f t="shared" si="301"/>
        <v>-2857072.9899999998</v>
      </c>
      <c r="S227" s="1064">
        <f t="shared" si="301"/>
        <v>-3280388.9</v>
      </c>
      <c r="T227" s="1064">
        <f t="shared" si="301"/>
        <v>-3409030.04</v>
      </c>
      <c r="U227" s="323"/>
      <c r="V227" s="512">
        <f>(SUM(I227:S227)+(0.5*T227)+(0.5*H227))/12</f>
        <v>-3181696.3995833336</v>
      </c>
      <c r="Y227" s="512">
        <f>T227</f>
        <v>-3409030.04</v>
      </c>
      <c r="Z227" s="512">
        <f t="shared" si="277"/>
        <v>-3181696.3995833336</v>
      </c>
      <c r="AA227" s="323">
        <f>+V227</f>
        <v>-3181696.3995833336</v>
      </c>
      <c r="AB227" s="323">
        <f>+T227</f>
        <v>-3409030.04</v>
      </c>
      <c r="AC227" s="323">
        <f t="shared" si="272"/>
        <v>-3181696.3995833336</v>
      </c>
      <c r="AD227" s="323">
        <f>AC227-T227</f>
        <v>227333.6404166664</v>
      </c>
      <c r="AE227" s="216">
        <f t="shared" ref="AE227" si="302">+AE226+1</f>
        <v>220</v>
      </c>
      <c r="AF227" s="216" t="e">
        <f t="shared" si="210"/>
        <v>#REF!</v>
      </c>
      <c r="AG227" s="1">
        <v>-478050.57041666936</v>
      </c>
      <c r="AH227" s="692"/>
      <c r="AI227" s="693"/>
      <c r="AJ227" s="693" t="s">
        <v>145</v>
      </c>
      <c r="AK227" s="693"/>
      <c r="AL227" s="695">
        <f>SUM(AL225:AL226)</f>
        <v>-3409030.04</v>
      </c>
      <c r="AM227" s="10">
        <f>AC227</f>
        <v>-3181696.3995833336</v>
      </c>
      <c r="AN227" s="10">
        <f>AM227-AL227</f>
        <v>227333.6404166664</v>
      </c>
      <c r="AO227" s="1">
        <f t="shared" si="275"/>
        <v>0</v>
      </c>
    </row>
    <row r="228" spans="1:41">
      <c r="A228" s="500">
        <f t="shared" si="269"/>
        <v>1157</v>
      </c>
      <c r="B228" s="327"/>
      <c r="C228" s="265"/>
      <c r="D228" s="265"/>
      <c r="AA228"/>
      <c r="AC228">
        <f t="shared" si="272"/>
        <v>0</v>
      </c>
      <c r="AE228" s="216">
        <f t="shared" ref="AE228" si="303">+AE227+1</f>
        <v>221</v>
      </c>
      <c r="AF228" s="216" t="e">
        <f t="shared" si="210"/>
        <v>#REF!</v>
      </c>
      <c r="AG228" s="1">
        <v>0</v>
      </c>
      <c r="AH228" s="435"/>
      <c r="AI228" s="436"/>
      <c r="AJ228" s="436"/>
      <c r="AK228" s="436"/>
      <c r="AL228" s="437"/>
      <c r="AO228" s="1">
        <f t="shared" si="275"/>
        <v>0</v>
      </c>
    </row>
    <row r="229" spans="1:41">
      <c r="A229" s="500">
        <f t="shared" si="269"/>
        <v>1158</v>
      </c>
      <c r="B229" s="425">
        <v>252</v>
      </c>
      <c r="C229" s="300" t="s">
        <v>449</v>
      </c>
      <c r="D229" s="265"/>
      <c r="E229" s="265"/>
      <c r="F229" s="265"/>
      <c r="G229" s="265"/>
      <c r="AA229"/>
      <c r="AC229">
        <f t="shared" si="272"/>
        <v>0</v>
      </c>
      <c r="AE229" s="216">
        <f t="shared" ref="AE229" si="304">+AE228+1</f>
        <v>222</v>
      </c>
      <c r="AF229" s="216" t="e">
        <f t="shared" si="210"/>
        <v>#REF!</v>
      </c>
      <c r="AG229" s="1">
        <v>0</v>
      </c>
      <c r="AH229" s="445">
        <v>252</v>
      </c>
      <c r="AI229" s="436" t="s">
        <v>449</v>
      </c>
      <c r="AJ229" s="436"/>
      <c r="AK229" s="436"/>
      <c r="AL229" s="437"/>
      <c r="AO229" s="1">
        <f t="shared" si="275"/>
        <v>0</v>
      </c>
    </row>
    <row r="230" spans="1:41">
      <c r="A230" s="500">
        <f t="shared" si="269"/>
        <v>1159</v>
      </c>
      <c r="B230" s="425"/>
      <c r="C230" s="300"/>
      <c r="D230" s="265" t="s">
        <v>542</v>
      </c>
      <c r="E230" s="265"/>
      <c r="F230" s="265"/>
      <c r="G230" s="265"/>
      <c r="H230" s="301">
        <f>[16]XNV!$H$230</f>
        <v>0</v>
      </c>
      <c r="I230" s="301">
        <f>[16]XNV!$I$230</f>
        <v>0</v>
      </c>
      <c r="J230" s="301">
        <f>[16]XNV!$J$230</f>
        <v>0</v>
      </c>
      <c r="K230" s="301">
        <f>[16]XNV!$K$230</f>
        <v>0</v>
      </c>
      <c r="L230" s="301">
        <f>[16]XNV!$L$230</f>
        <v>0</v>
      </c>
      <c r="M230" s="301">
        <f>[16]XNV!$M$230</f>
        <v>0</v>
      </c>
      <c r="N230" s="301">
        <f>[16]XNV!$N$230</f>
        <v>0</v>
      </c>
      <c r="O230" s="301">
        <f>[16]XNV!$O$230</f>
        <v>0</v>
      </c>
      <c r="P230" s="301">
        <f>[16]XNV!$P$230</f>
        <v>0</v>
      </c>
      <c r="Q230" s="301">
        <f>[16]XNV!$Q$230</f>
        <v>0</v>
      </c>
      <c r="R230" s="301">
        <f>[16]XNV!$R$230</f>
        <v>0</v>
      </c>
      <c r="S230" s="301">
        <f>[16]XNV!$S$230</f>
        <v>0</v>
      </c>
      <c r="T230" s="301">
        <f>[16]XNV!$T$230</f>
        <v>0</v>
      </c>
      <c r="U230" s="301"/>
      <c r="V230" s="475">
        <f>(SUM(I230:S230)+(0.5*T230)+(0.5*H230))/12</f>
        <v>0</v>
      </c>
      <c r="Y230" s="475">
        <f>T230</f>
        <v>0</v>
      </c>
      <c r="Z230" s="475">
        <f t="shared" si="277"/>
        <v>0</v>
      </c>
      <c r="AA230" s="301">
        <f>V230</f>
        <v>0</v>
      </c>
      <c r="AB230" s="301">
        <f>T230</f>
        <v>0</v>
      </c>
      <c r="AC230" s="301">
        <f t="shared" si="272"/>
        <v>0</v>
      </c>
      <c r="AD230" s="301">
        <f>AC230-T230</f>
        <v>0</v>
      </c>
      <c r="AE230" s="216">
        <f t="shared" ref="AE230" si="305">+AE229+1</f>
        <v>223</v>
      </c>
      <c r="AF230" s="216" t="e">
        <f t="shared" si="210"/>
        <v>#REF!</v>
      </c>
      <c r="AG230" s="1">
        <v>-181737.61916666664</v>
      </c>
      <c r="AH230" s="445"/>
      <c r="AI230" s="436"/>
      <c r="AJ230" s="265" t="s">
        <v>542</v>
      </c>
      <c r="AK230" s="436"/>
      <c r="AL230" s="448">
        <f>+T230</f>
        <v>0</v>
      </c>
      <c r="AM230" s="10">
        <f>AC230</f>
        <v>0</v>
      </c>
      <c r="AN230" s="10">
        <f>AM230-AL230</f>
        <v>0</v>
      </c>
      <c r="AO230" s="1">
        <f t="shared" si="275"/>
        <v>0</v>
      </c>
    </row>
    <row r="231" spans="1:41">
      <c r="A231" s="500">
        <f t="shared" si="269"/>
        <v>1160</v>
      </c>
      <c r="B231" s="425"/>
      <c r="C231" s="265"/>
      <c r="D231" s="265" t="s">
        <v>543</v>
      </c>
      <c r="E231" s="265"/>
      <c r="F231" s="265"/>
      <c r="G231" s="265"/>
      <c r="H231" s="301">
        <f>[16]XNV!$H$231</f>
        <v>0</v>
      </c>
      <c r="I231" s="301">
        <f>[16]XNV!$I$231</f>
        <v>0</v>
      </c>
      <c r="J231" s="301">
        <f>[16]XNV!$J$231</f>
        <v>0</v>
      </c>
      <c r="K231" s="301">
        <f>[16]XNV!$K$231</f>
        <v>0</v>
      </c>
      <c r="L231" s="301">
        <f>[16]XNV!$L$231</f>
        <v>0</v>
      </c>
      <c r="M231" s="301">
        <f>[16]XNV!$M$231</f>
        <v>0</v>
      </c>
      <c r="N231" s="301">
        <f>[16]XNV!$N$231</f>
        <v>0</v>
      </c>
      <c r="O231" s="301">
        <f>[16]XNV!$O$231</f>
        <v>0</v>
      </c>
      <c r="P231" s="301">
        <f>[16]XNV!$P$231</f>
        <v>0</v>
      </c>
      <c r="Q231" s="301">
        <f>[16]XNV!$Q$231</f>
        <v>0</v>
      </c>
      <c r="R231" s="301">
        <f>[16]XNV!$R$231</f>
        <v>0</v>
      </c>
      <c r="S231" s="301">
        <f>[16]XNV!$S$231</f>
        <v>0</v>
      </c>
      <c r="T231" s="301">
        <f>[16]XNV!$T$231</f>
        <v>0</v>
      </c>
      <c r="U231" s="301"/>
      <c r="V231" s="475">
        <f>(SUM(I231:S231)+(0.5*T231)+(0.5*H231))/12</f>
        <v>0</v>
      </c>
      <c r="Y231" s="475">
        <f>T231</f>
        <v>0</v>
      </c>
      <c r="Z231" s="475">
        <f t="shared" si="277"/>
        <v>0</v>
      </c>
      <c r="AA231" s="301">
        <f>V231</f>
        <v>0</v>
      </c>
      <c r="AB231" s="301">
        <f>T231</f>
        <v>0</v>
      </c>
      <c r="AC231" s="301">
        <f t="shared" si="272"/>
        <v>0</v>
      </c>
      <c r="AD231" s="301">
        <f>AC231-T231</f>
        <v>0</v>
      </c>
      <c r="AE231" s="216">
        <f t="shared" ref="AE231" si="306">+AE230+1</f>
        <v>224</v>
      </c>
      <c r="AF231" s="216" t="e">
        <f t="shared" si="210"/>
        <v>#REF!</v>
      </c>
      <c r="AG231" s="1">
        <v>-3868243.7375000007</v>
      </c>
      <c r="AH231" s="447"/>
      <c r="AI231" s="446"/>
      <c r="AJ231" s="438" t="s">
        <v>543</v>
      </c>
      <c r="AK231" s="446"/>
      <c r="AL231" s="448">
        <f>+T231</f>
        <v>0</v>
      </c>
      <c r="AM231" s="359">
        <f>AC231</f>
        <v>0</v>
      </c>
      <c r="AN231" s="359">
        <f>AM231-AL231</f>
        <v>0</v>
      </c>
      <c r="AO231" s="1">
        <f t="shared" si="275"/>
        <v>0</v>
      </c>
    </row>
    <row r="232" spans="1:41">
      <c r="A232" s="500">
        <f t="shared" si="269"/>
        <v>1161</v>
      </c>
      <c r="B232" s="425"/>
      <c r="C232" s="265"/>
      <c r="D232" s="265" t="s">
        <v>145</v>
      </c>
      <c r="E232" s="265"/>
      <c r="F232" s="265"/>
      <c r="G232" s="265"/>
      <c r="H232" s="1064">
        <f t="shared" ref="H232:T232" si="307">SUM(H230:H231)</f>
        <v>0</v>
      </c>
      <c r="I232" s="1064">
        <f t="shared" si="307"/>
        <v>0</v>
      </c>
      <c r="J232" s="1064">
        <f t="shared" si="307"/>
        <v>0</v>
      </c>
      <c r="K232" s="1064">
        <f t="shared" si="307"/>
        <v>0</v>
      </c>
      <c r="L232" s="1064">
        <f t="shared" si="307"/>
        <v>0</v>
      </c>
      <c r="M232" s="1064">
        <f t="shared" si="307"/>
        <v>0</v>
      </c>
      <c r="N232" s="1064">
        <f t="shared" si="307"/>
        <v>0</v>
      </c>
      <c r="O232" s="1064">
        <f t="shared" si="307"/>
        <v>0</v>
      </c>
      <c r="P232" s="1064">
        <f t="shared" si="307"/>
        <v>0</v>
      </c>
      <c r="Q232" s="1064">
        <f t="shared" si="307"/>
        <v>0</v>
      </c>
      <c r="R232" s="1064">
        <f t="shared" si="307"/>
        <v>0</v>
      </c>
      <c r="S232" s="1064">
        <f t="shared" si="307"/>
        <v>0</v>
      </c>
      <c r="T232" s="1064">
        <f t="shared" si="307"/>
        <v>0</v>
      </c>
      <c r="U232" s="323"/>
      <c r="V232" s="512">
        <f>(SUM(I232:S232)+(0.5*T232)+(0.5*H232))/12</f>
        <v>0</v>
      </c>
      <c r="Y232" s="512">
        <f>T232</f>
        <v>0</v>
      </c>
      <c r="Z232" s="512">
        <f t="shared" si="277"/>
        <v>0</v>
      </c>
      <c r="AA232" s="323">
        <f>V232</f>
        <v>0</v>
      </c>
      <c r="AB232" s="323">
        <f>T232</f>
        <v>0</v>
      </c>
      <c r="AC232" s="323">
        <f t="shared" si="272"/>
        <v>0</v>
      </c>
      <c r="AD232" s="323">
        <f>AC232-T232</f>
        <v>0</v>
      </c>
      <c r="AE232" s="216">
        <f t="shared" ref="AE232" si="308">+AE231+1</f>
        <v>225</v>
      </c>
      <c r="AF232" s="216" t="e">
        <f t="shared" si="210"/>
        <v>#REF!</v>
      </c>
      <c r="AG232" s="1">
        <v>-4049981.3566666618</v>
      </c>
      <c r="AH232" s="441"/>
      <c r="AI232" s="438"/>
      <c r="AJ232" s="438" t="s">
        <v>145</v>
      </c>
      <c r="AK232" s="438"/>
      <c r="AL232" s="442">
        <f>SUM(AL230:AL231)</f>
        <v>0</v>
      </c>
      <c r="AM232" s="10">
        <f>SUM(AM230:AM231)</f>
        <v>0</v>
      </c>
      <c r="AN232" s="10">
        <f>SUM(AN230:AN231)</f>
        <v>0</v>
      </c>
      <c r="AO232" s="1">
        <f t="shared" si="275"/>
        <v>0</v>
      </c>
    </row>
    <row r="233" spans="1:41">
      <c r="A233" s="500">
        <f t="shared" si="269"/>
        <v>1162</v>
      </c>
      <c r="B233" s="189"/>
      <c r="C233" s="47"/>
      <c r="D233" s="47"/>
      <c r="E233" s="47"/>
      <c r="F233" s="47"/>
      <c r="G233" s="47"/>
      <c r="AA233"/>
      <c r="AC233">
        <f t="shared" si="272"/>
        <v>0</v>
      </c>
      <c r="AE233" s="216">
        <f t="shared" ref="AE233" si="309">+AE232+1</f>
        <v>226</v>
      </c>
      <c r="AF233" s="216" t="e">
        <f t="shared" si="210"/>
        <v>#REF!</v>
      </c>
      <c r="AG233" s="1">
        <v>0</v>
      </c>
      <c r="AH233" s="137"/>
      <c r="AI233" s="47"/>
      <c r="AJ233" s="47"/>
      <c r="AK233" s="47"/>
      <c r="AL233" s="7"/>
      <c r="AO233" s="1">
        <f t="shared" si="275"/>
        <v>0</v>
      </c>
    </row>
    <row r="234" spans="1:41">
      <c r="A234" s="500">
        <f t="shared" si="269"/>
        <v>1163</v>
      </c>
      <c r="B234" s="692">
        <v>2531</v>
      </c>
      <c r="C234" s="265" t="s">
        <v>277</v>
      </c>
      <c r="D234" s="265"/>
      <c r="AA234"/>
      <c r="AC234">
        <f t="shared" si="272"/>
        <v>0</v>
      </c>
      <c r="AE234" s="216">
        <f t="shared" ref="AE234" si="310">+AE233+1</f>
        <v>227</v>
      </c>
      <c r="AF234" s="216" t="e">
        <f t="shared" si="210"/>
        <v>#REF!</v>
      </c>
      <c r="AG234" s="1">
        <v>0</v>
      </c>
      <c r="AH234" s="692">
        <v>2531</v>
      </c>
      <c r="AI234" s="693" t="s">
        <v>277</v>
      </c>
      <c r="AJ234" s="693"/>
      <c r="AK234" s="693"/>
      <c r="AL234" s="694"/>
      <c r="AO234" s="1">
        <f t="shared" si="275"/>
        <v>0</v>
      </c>
    </row>
    <row r="235" spans="1:41">
      <c r="A235" s="500">
        <f t="shared" si="269"/>
        <v>1164</v>
      </c>
      <c r="B235" s="692"/>
      <c r="C235" s="265"/>
      <c r="D235" s="265" t="s">
        <v>544</v>
      </c>
      <c r="H235" s="301">
        <f>[16]XNV!$H$235</f>
        <v>-99673.5</v>
      </c>
      <c r="I235" s="301">
        <f>[16]XNV!$I$235</f>
        <v>-93222.15</v>
      </c>
      <c r="J235" s="301">
        <f>[16]XNV!$J$235</f>
        <v>-93934.98</v>
      </c>
      <c r="K235" s="301">
        <f>[16]XNV!$K$235</f>
        <v>-97090.23</v>
      </c>
      <c r="L235" s="301">
        <f>[16]XNV!$L$235</f>
        <v>-99109.24</v>
      </c>
      <c r="M235" s="301">
        <f>[16]XNV!$M$235</f>
        <v>-109100.69</v>
      </c>
      <c r="N235" s="301">
        <f>[16]XNV!$N$235</f>
        <v>-120981.89</v>
      </c>
      <c r="O235" s="301">
        <f>[16]XNV!$O$235</f>
        <v>-124748.42</v>
      </c>
      <c r="P235" s="301">
        <f>[16]XNV!$P$235</f>
        <v>-130385.63</v>
      </c>
      <c r="Q235" s="301">
        <f>[16]XNV!$Q$235</f>
        <v>-125531.67</v>
      </c>
      <c r="R235" s="301">
        <f>[16]XNV!$R$235</f>
        <v>-123351.27</v>
      </c>
      <c r="S235" s="301">
        <f>[16]XNV!$S$235</f>
        <v>-123573.07</v>
      </c>
      <c r="T235" s="301">
        <f>[16]XNV!$T$235</f>
        <v>-126945.45</v>
      </c>
      <c r="U235" s="301"/>
      <c r="V235" s="475">
        <f>(SUM(I235:S235)+(0.5*T235)+(0.5*H235))/12</f>
        <v>-112861.55958333334</v>
      </c>
      <c r="Y235" s="475">
        <f>T235</f>
        <v>-126945.45</v>
      </c>
      <c r="Z235" s="475">
        <f t="shared" si="277"/>
        <v>-112861.55958333334</v>
      </c>
      <c r="AA235" s="301">
        <f>+V235</f>
        <v>-112861.55958333334</v>
      </c>
      <c r="AB235" s="301">
        <f>+T235</f>
        <v>-126945.45</v>
      </c>
      <c r="AC235" s="301">
        <f t="shared" si="272"/>
        <v>-112861.55958333334</v>
      </c>
      <c r="AD235" s="301">
        <f>AC235-T235</f>
        <v>14083.890416666662</v>
      </c>
      <c r="AE235" s="216">
        <f t="shared" ref="AE235" si="311">+AE234+1</f>
        <v>228</v>
      </c>
      <c r="AF235" s="216" t="e">
        <f t="shared" si="210"/>
        <v>#REF!</v>
      </c>
      <c r="AG235" s="1">
        <v>32260.36083333334</v>
      </c>
      <c r="AH235" s="692"/>
      <c r="AI235" s="693"/>
      <c r="AJ235" s="693" t="s">
        <v>544</v>
      </c>
      <c r="AK235" s="693"/>
      <c r="AL235" s="694">
        <f>+T235</f>
        <v>-126945.45</v>
      </c>
      <c r="AM235" s="359">
        <f>AC235</f>
        <v>-112861.55958333334</v>
      </c>
      <c r="AN235" s="359">
        <f>AM235-AL235</f>
        <v>14083.890416666662</v>
      </c>
      <c r="AO235" s="1">
        <f t="shared" si="275"/>
        <v>0</v>
      </c>
    </row>
    <row r="236" spans="1:41">
      <c r="A236" s="500">
        <f t="shared" si="269"/>
        <v>1165</v>
      </c>
      <c r="B236" s="692"/>
      <c r="C236" s="265"/>
      <c r="D236" s="265" t="s">
        <v>145</v>
      </c>
      <c r="H236" s="1064">
        <f t="shared" ref="H236:T236" si="312">+H235</f>
        <v>-99673.5</v>
      </c>
      <c r="I236" s="1064">
        <f t="shared" si="312"/>
        <v>-93222.15</v>
      </c>
      <c r="J236" s="1064">
        <f t="shared" si="312"/>
        <v>-93934.98</v>
      </c>
      <c r="K236" s="1064">
        <f t="shared" si="312"/>
        <v>-97090.23</v>
      </c>
      <c r="L236" s="1064">
        <f t="shared" si="312"/>
        <v>-99109.24</v>
      </c>
      <c r="M236" s="1064">
        <f t="shared" si="312"/>
        <v>-109100.69</v>
      </c>
      <c r="N236" s="1064">
        <f t="shared" si="312"/>
        <v>-120981.89</v>
      </c>
      <c r="O236" s="1064">
        <f t="shared" si="312"/>
        <v>-124748.42</v>
      </c>
      <c r="P236" s="1064">
        <f t="shared" si="312"/>
        <v>-130385.63</v>
      </c>
      <c r="Q236" s="1064">
        <f t="shared" si="312"/>
        <v>-125531.67</v>
      </c>
      <c r="R236" s="1064">
        <f t="shared" si="312"/>
        <v>-123351.27</v>
      </c>
      <c r="S236" s="1064">
        <f t="shared" si="312"/>
        <v>-123573.07</v>
      </c>
      <c r="T236" s="1064">
        <f t="shared" si="312"/>
        <v>-126945.45</v>
      </c>
      <c r="U236" s="323"/>
      <c r="V236" s="512">
        <f>+V235</f>
        <v>-112861.55958333334</v>
      </c>
      <c r="Y236" s="512">
        <f>T236</f>
        <v>-126945.45</v>
      </c>
      <c r="Z236" s="512">
        <f t="shared" si="277"/>
        <v>-112861.55958333334</v>
      </c>
      <c r="AA236" s="323">
        <f>+V236</f>
        <v>-112861.55958333334</v>
      </c>
      <c r="AB236" s="323">
        <f>+T236</f>
        <v>-126945.45</v>
      </c>
      <c r="AC236" s="323">
        <f t="shared" si="272"/>
        <v>-112861.55958333334</v>
      </c>
      <c r="AD236" s="323">
        <f>AC236-T236</f>
        <v>14083.890416666662</v>
      </c>
      <c r="AE236" s="216">
        <f t="shared" ref="AE236" si="313">+AE235+1</f>
        <v>229</v>
      </c>
      <c r="AF236" s="216" t="e">
        <f t="shared" si="210"/>
        <v>#REF!</v>
      </c>
      <c r="AG236" s="1">
        <v>32260.36083333334</v>
      </c>
      <c r="AH236" s="692"/>
      <c r="AI236" s="693"/>
      <c r="AJ236" s="693" t="s">
        <v>145</v>
      </c>
      <c r="AK236" s="693"/>
      <c r="AL236" s="695">
        <f>SUM(AL235)</f>
        <v>-126945.45</v>
      </c>
      <c r="AM236" s="10">
        <f>AC236</f>
        <v>-112861.55958333334</v>
      </c>
      <c r="AN236" s="10">
        <f>AM236-AL236</f>
        <v>14083.890416666662</v>
      </c>
      <c r="AO236" s="1">
        <f t="shared" si="275"/>
        <v>0</v>
      </c>
    </row>
    <row r="237" spans="1:41">
      <c r="A237" s="500">
        <f t="shared" si="269"/>
        <v>1166</v>
      </c>
      <c r="B237" s="137"/>
      <c r="C237" s="47"/>
      <c r="D237" s="47"/>
      <c r="AA237"/>
      <c r="AC237">
        <f t="shared" si="272"/>
        <v>0</v>
      </c>
      <c r="AE237" s="216">
        <f t="shared" ref="AE237" si="314">+AE236+1</f>
        <v>230</v>
      </c>
      <c r="AF237" s="216" t="e">
        <f t="shared" ref="AF237:AF279" si="315">+AF236+1</f>
        <v>#REF!</v>
      </c>
      <c r="AG237" s="1">
        <v>0</v>
      </c>
      <c r="AH237" s="137"/>
      <c r="AI237" s="47"/>
      <c r="AJ237" s="47"/>
      <c r="AK237" s="47"/>
      <c r="AL237" s="7"/>
      <c r="AO237" s="1">
        <f t="shared" si="275"/>
        <v>0</v>
      </c>
    </row>
    <row r="238" spans="1:41">
      <c r="A238" s="500">
        <f t="shared" si="269"/>
        <v>1167</v>
      </c>
      <c r="B238" s="137">
        <v>255</v>
      </c>
      <c r="C238" s="47" t="s">
        <v>278</v>
      </c>
      <c r="D238" s="47"/>
      <c r="AA238"/>
      <c r="AC238">
        <f t="shared" si="272"/>
        <v>0</v>
      </c>
      <c r="AE238" s="216">
        <f t="shared" ref="AE238" si="316">+AE237+1</f>
        <v>231</v>
      </c>
      <c r="AF238" s="216" t="e">
        <f t="shared" si="315"/>
        <v>#REF!</v>
      </c>
      <c r="AG238" s="1">
        <v>0</v>
      </c>
      <c r="AH238" s="137">
        <v>255</v>
      </c>
      <c r="AI238" s="47" t="s">
        <v>797</v>
      </c>
      <c r="AJ238" s="47"/>
      <c r="AK238" s="47"/>
      <c r="AL238" s="7"/>
      <c r="AO238" s="1">
        <f t="shared" si="275"/>
        <v>0</v>
      </c>
    </row>
    <row r="239" spans="1:41">
      <c r="A239" s="500">
        <f t="shared" si="269"/>
        <v>1168</v>
      </c>
      <c r="B239" s="137"/>
      <c r="C239" s="47"/>
      <c r="D239" s="47" t="s">
        <v>399</v>
      </c>
      <c r="H239" s="301">
        <f>[16]XNV!$H$239</f>
        <v>0</v>
      </c>
      <c r="I239" s="301">
        <f>[16]XNV!$I$239</f>
        <v>0</v>
      </c>
      <c r="J239" s="301">
        <f>[16]XNV!$J$239</f>
        <v>0</v>
      </c>
      <c r="K239" s="301">
        <f>[16]XNV!$K$239</f>
        <v>0</v>
      </c>
      <c r="L239" s="301">
        <f>[16]XNV!$L$239</f>
        <v>0</v>
      </c>
      <c r="M239" s="301">
        <f>[16]XNV!$M$239</f>
        <v>0</v>
      </c>
      <c r="N239" s="301">
        <f>[16]XNV!$N$239</f>
        <v>0</v>
      </c>
      <c r="O239" s="301">
        <f>[16]XNV!$O$239</f>
        <v>0</v>
      </c>
      <c r="P239" s="301">
        <f>[16]XNV!$P$239</f>
        <v>0</v>
      </c>
      <c r="Q239" s="301">
        <f>[16]XNV!$Q$239</f>
        <v>0</v>
      </c>
      <c r="R239" s="301">
        <f>[16]XNV!$R$239</f>
        <v>0</v>
      </c>
      <c r="S239" s="301">
        <f>[16]XNV!$S$239</f>
        <v>0</v>
      </c>
      <c r="T239" s="301">
        <f>[16]XNV!$T$239</f>
        <v>0</v>
      </c>
      <c r="U239" s="301"/>
      <c r="V239" s="475">
        <f>(SUM(I239:S239)+(0.5*T239)+(0.5*H239))/12</f>
        <v>0</v>
      </c>
      <c r="Y239" s="475">
        <f>T239</f>
        <v>0</v>
      </c>
      <c r="Z239" s="475">
        <f t="shared" si="277"/>
        <v>0</v>
      </c>
      <c r="AA239" s="301">
        <f>V239</f>
        <v>0</v>
      </c>
      <c r="AB239" s="301">
        <f>T239</f>
        <v>0</v>
      </c>
      <c r="AC239" s="301">
        <f t="shared" si="272"/>
        <v>0</v>
      </c>
      <c r="AD239" s="301">
        <f>AC239-T239</f>
        <v>0</v>
      </c>
      <c r="AE239" s="216">
        <f t="shared" ref="AE239" si="317">+AE238+1</f>
        <v>232</v>
      </c>
      <c r="AF239" s="216" t="e">
        <f t="shared" si="315"/>
        <v>#REF!</v>
      </c>
      <c r="AG239" s="1">
        <v>-18118.680000000008</v>
      </c>
      <c r="AH239" s="137"/>
      <c r="AI239" s="47"/>
      <c r="AJ239" s="47" t="s">
        <v>399</v>
      </c>
      <c r="AK239" s="47"/>
      <c r="AL239" s="7">
        <f>+T239</f>
        <v>0</v>
      </c>
      <c r="AM239" s="10">
        <f>AC239</f>
        <v>0</v>
      </c>
      <c r="AN239" s="10">
        <f>AM239-AL239</f>
        <v>0</v>
      </c>
      <c r="AO239" s="1">
        <f t="shared" si="275"/>
        <v>0</v>
      </c>
    </row>
    <row r="240" spans="1:41">
      <c r="A240" s="500">
        <f t="shared" si="269"/>
        <v>1169</v>
      </c>
      <c r="B240" s="137"/>
      <c r="C240" s="47"/>
      <c r="D240" s="47" t="s">
        <v>542</v>
      </c>
      <c r="H240" s="301">
        <f>[16]XNV!$H$240</f>
        <v>0</v>
      </c>
      <c r="I240" s="301">
        <f>[16]XNV!$I$240</f>
        <v>0</v>
      </c>
      <c r="J240" s="301">
        <f>[16]XNV!$J$240</f>
        <v>0</v>
      </c>
      <c r="K240" s="301">
        <f>[16]XNV!$K$240</f>
        <v>0</v>
      </c>
      <c r="L240" s="301">
        <f>[16]XNV!$L$240</f>
        <v>0</v>
      </c>
      <c r="M240" s="301">
        <f>[16]XNV!$M$240</f>
        <v>0</v>
      </c>
      <c r="N240" s="301">
        <f>[16]XNV!$N$240</f>
        <v>0</v>
      </c>
      <c r="O240" s="301">
        <f>[16]XNV!$O$240</f>
        <v>0</v>
      </c>
      <c r="P240" s="301">
        <f>[16]XNV!$P$240</f>
        <v>0</v>
      </c>
      <c r="Q240" s="301">
        <f>[16]XNV!$Q$240</f>
        <v>0</v>
      </c>
      <c r="R240" s="301">
        <f>[16]XNV!$R$240</f>
        <v>0</v>
      </c>
      <c r="S240" s="301">
        <f>[16]XNV!$S$240</f>
        <v>0</v>
      </c>
      <c r="T240" s="301">
        <f>[16]XNV!$T$240</f>
        <v>0</v>
      </c>
      <c r="U240" s="301"/>
      <c r="V240" s="475">
        <f>(SUM(I240:S240)+(0.5*T240)+(0.5*H240))/12</f>
        <v>0</v>
      </c>
      <c r="Y240" s="475">
        <f>T240</f>
        <v>0</v>
      </c>
      <c r="Z240" s="475">
        <f t="shared" si="277"/>
        <v>0</v>
      </c>
      <c r="AA240" s="301">
        <f>V240</f>
        <v>0</v>
      </c>
      <c r="AB240" s="301">
        <f>T240</f>
        <v>0</v>
      </c>
      <c r="AC240" s="301">
        <f t="shared" si="272"/>
        <v>0</v>
      </c>
      <c r="AD240" s="301">
        <f>AC240-T240</f>
        <v>0</v>
      </c>
      <c r="AE240" s="216">
        <f t="shared" ref="AE240" si="318">+AE239+1</f>
        <v>233</v>
      </c>
      <c r="AF240" s="216" t="e">
        <f t="shared" si="315"/>
        <v>#REF!</v>
      </c>
      <c r="AG240" s="1">
        <v>-4409.9610540416979</v>
      </c>
      <c r="AH240" s="137"/>
      <c r="AI240" s="47"/>
      <c r="AJ240" s="47" t="s">
        <v>542</v>
      </c>
      <c r="AK240" s="47"/>
      <c r="AL240" s="7">
        <f>+T240</f>
        <v>0</v>
      </c>
      <c r="AM240" s="10">
        <f>AC240</f>
        <v>0</v>
      </c>
      <c r="AN240" s="10">
        <f>AM240-AL240</f>
        <v>0</v>
      </c>
      <c r="AO240" s="1">
        <f t="shared" si="275"/>
        <v>0</v>
      </c>
    </row>
    <row r="241" spans="1:41">
      <c r="A241" s="500">
        <f t="shared" si="269"/>
        <v>1170</v>
      </c>
      <c r="B241" s="137"/>
      <c r="C241" s="47"/>
      <c r="D241" s="47" t="s">
        <v>543</v>
      </c>
      <c r="H241" s="301">
        <f>[16]XNV!$H$241</f>
        <v>0</v>
      </c>
      <c r="I241" s="301">
        <f>[16]XNV!$I$241</f>
        <v>0</v>
      </c>
      <c r="J241" s="301">
        <f>[16]XNV!$J$241</f>
        <v>0</v>
      </c>
      <c r="K241" s="301">
        <f>[16]XNV!$K$241</f>
        <v>0</v>
      </c>
      <c r="L241" s="301">
        <f>[16]XNV!$L$241</f>
        <v>0</v>
      </c>
      <c r="M241" s="301">
        <f>[16]XNV!$M$241</f>
        <v>0</v>
      </c>
      <c r="N241" s="301">
        <f>[16]XNV!$N$241</f>
        <v>0</v>
      </c>
      <c r="O241" s="301">
        <f>[16]XNV!$O$241</f>
        <v>0</v>
      </c>
      <c r="P241" s="301">
        <f>[16]XNV!$P$241</f>
        <v>0</v>
      </c>
      <c r="Q241" s="301">
        <f>[16]XNV!$Q$241</f>
        <v>0</v>
      </c>
      <c r="R241" s="301">
        <f>[16]XNV!$R$241</f>
        <v>0</v>
      </c>
      <c r="S241" s="301">
        <f>[16]XNV!$S$241</f>
        <v>0</v>
      </c>
      <c r="T241" s="301">
        <f>[16]XNV!$T$241</f>
        <v>0</v>
      </c>
      <c r="U241" s="301"/>
      <c r="V241" s="475">
        <f>(SUM(I241:S241)+(0.5*T241)+(0.5*H241))/12</f>
        <v>0</v>
      </c>
      <c r="Y241" s="475">
        <f>T241</f>
        <v>0</v>
      </c>
      <c r="Z241" s="475">
        <f t="shared" si="277"/>
        <v>0</v>
      </c>
      <c r="AA241" s="301">
        <f>V241</f>
        <v>0</v>
      </c>
      <c r="AB241" s="301">
        <f>T241</f>
        <v>0</v>
      </c>
      <c r="AC241" s="301">
        <f t="shared" si="272"/>
        <v>0</v>
      </c>
      <c r="AD241" s="301">
        <f>AC241-T241</f>
        <v>0</v>
      </c>
      <c r="AE241" s="216">
        <f t="shared" ref="AE241" si="319">+AE240+1</f>
        <v>234</v>
      </c>
      <c r="AF241" s="216" t="e">
        <f t="shared" si="315"/>
        <v>#REF!</v>
      </c>
      <c r="AG241" s="1">
        <v>-128660.37894595833</v>
      </c>
      <c r="AH241" s="137"/>
      <c r="AI241" s="47"/>
      <c r="AJ241" s="47" t="s">
        <v>543</v>
      </c>
      <c r="AK241" s="47"/>
      <c r="AL241" s="7">
        <f>+T241</f>
        <v>0</v>
      </c>
      <c r="AM241" s="10">
        <f>AC241</f>
        <v>0</v>
      </c>
      <c r="AN241" s="10">
        <f>AM241-AL241</f>
        <v>0</v>
      </c>
      <c r="AO241" s="1">
        <f t="shared" si="275"/>
        <v>0</v>
      </c>
    </row>
    <row r="242" spans="1:41">
      <c r="A242" s="500">
        <f t="shared" si="269"/>
        <v>1171</v>
      </c>
      <c r="B242" s="137"/>
      <c r="C242" s="47"/>
      <c r="D242" s="47" t="s">
        <v>544</v>
      </c>
      <c r="H242" s="301">
        <f>[16]XNV!$H$242</f>
        <v>0</v>
      </c>
      <c r="I242" s="301">
        <f>[16]XNV!$I$242</f>
        <v>0</v>
      </c>
      <c r="J242" s="301">
        <f>[16]XNV!$J$242</f>
        <v>0</v>
      </c>
      <c r="K242" s="301">
        <f>[16]XNV!$K$242</f>
        <v>0</v>
      </c>
      <c r="L242" s="301">
        <f>[16]XNV!$L$242</f>
        <v>0</v>
      </c>
      <c r="M242" s="301">
        <f>[16]XNV!$M$242</f>
        <v>0</v>
      </c>
      <c r="N242" s="301">
        <f>[16]XNV!$N$242</f>
        <v>0</v>
      </c>
      <c r="O242" s="301">
        <f>[16]XNV!$O$242</f>
        <v>0</v>
      </c>
      <c r="P242" s="301">
        <f>[16]XNV!$P$242</f>
        <v>0</v>
      </c>
      <c r="Q242" s="301">
        <f>[16]XNV!$Q$242</f>
        <v>0</v>
      </c>
      <c r="R242" s="301">
        <f>[16]XNV!$R$242</f>
        <v>0</v>
      </c>
      <c r="S242" s="301">
        <f>[16]XNV!$S$242</f>
        <v>0</v>
      </c>
      <c r="T242" s="301">
        <f>[16]XNV!$T$242</f>
        <v>0</v>
      </c>
      <c r="U242" s="301"/>
      <c r="V242" s="475">
        <f>(SUM(I242:S242)+(0.5*T242)+(0.5*H242))/12</f>
        <v>0</v>
      </c>
      <c r="Y242" s="475">
        <f>T242</f>
        <v>0</v>
      </c>
      <c r="Z242" s="475">
        <f t="shared" si="277"/>
        <v>0</v>
      </c>
      <c r="AA242" s="301">
        <f>V242</f>
        <v>0</v>
      </c>
      <c r="AB242" s="301">
        <f>T242</f>
        <v>0</v>
      </c>
      <c r="AC242" s="301">
        <f t="shared" si="272"/>
        <v>0</v>
      </c>
      <c r="AD242" s="301">
        <f>AC242-T242</f>
        <v>0</v>
      </c>
      <c r="AE242" s="216">
        <f t="shared" ref="AE242" si="320">+AE241+1</f>
        <v>235</v>
      </c>
      <c r="AF242" s="216" t="e">
        <f t="shared" si="315"/>
        <v>#REF!</v>
      </c>
      <c r="AG242" s="1">
        <v>-1204.2600000000002</v>
      </c>
      <c r="AH242" s="137"/>
      <c r="AI242" s="47"/>
      <c r="AJ242" s="47" t="s">
        <v>544</v>
      </c>
      <c r="AK242" s="47"/>
      <c r="AL242" s="7">
        <f>+T242</f>
        <v>0</v>
      </c>
      <c r="AM242" s="359">
        <f>AC242</f>
        <v>0</v>
      </c>
      <c r="AN242" s="359">
        <f>AM242-AL242</f>
        <v>0</v>
      </c>
      <c r="AO242" s="1">
        <f t="shared" si="275"/>
        <v>0</v>
      </c>
    </row>
    <row r="243" spans="1:41">
      <c r="A243" s="500">
        <f t="shared" si="269"/>
        <v>1172</v>
      </c>
      <c r="B243" s="137"/>
      <c r="C243" s="47"/>
      <c r="D243" s="47" t="s">
        <v>145</v>
      </c>
      <c r="H243" s="1064">
        <f t="shared" ref="H243:T243" si="321">SUM(H239:H242)</f>
        <v>0</v>
      </c>
      <c r="I243" s="1064">
        <f t="shared" si="321"/>
        <v>0</v>
      </c>
      <c r="J243" s="1064">
        <f t="shared" si="321"/>
        <v>0</v>
      </c>
      <c r="K243" s="1064">
        <f t="shared" si="321"/>
        <v>0</v>
      </c>
      <c r="L243" s="1064">
        <f t="shared" si="321"/>
        <v>0</v>
      </c>
      <c r="M243" s="1064">
        <f t="shared" si="321"/>
        <v>0</v>
      </c>
      <c r="N243" s="1064">
        <f t="shared" si="321"/>
        <v>0</v>
      </c>
      <c r="O243" s="1064">
        <f t="shared" si="321"/>
        <v>0</v>
      </c>
      <c r="P243" s="1064">
        <f t="shared" si="321"/>
        <v>0</v>
      </c>
      <c r="Q243" s="1064">
        <f t="shared" si="321"/>
        <v>0</v>
      </c>
      <c r="R243" s="1064">
        <f t="shared" si="321"/>
        <v>0</v>
      </c>
      <c r="S243" s="1064">
        <f t="shared" si="321"/>
        <v>0</v>
      </c>
      <c r="T243" s="1064">
        <f t="shared" si="321"/>
        <v>0</v>
      </c>
      <c r="U243" s="323"/>
      <c r="V243" s="512">
        <f>(SUM(I243:S243)+(0.5*T243)+(0.5*H243))/12</f>
        <v>0</v>
      </c>
      <c r="Y243" s="512">
        <f>T243</f>
        <v>0</v>
      </c>
      <c r="Z243" s="512">
        <f t="shared" si="277"/>
        <v>0</v>
      </c>
      <c r="AA243" s="323">
        <f>V243</f>
        <v>0</v>
      </c>
      <c r="AB243" s="323">
        <f>T243</f>
        <v>0</v>
      </c>
      <c r="AC243" s="323">
        <f t="shared" si="272"/>
        <v>0</v>
      </c>
      <c r="AD243" s="323">
        <f>SUM(AD239:AD242)</f>
        <v>0</v>
      </c>
      <c r="AE243" s="216">
        <f t="shared" ref="AE243" si="322">+AE242+1</f>
        <v>236</v>
      </c>
      <c r="AF243" s="216" t="e">
        <f t="shared" si="315"/>
        <v>#REF!</v>
      </c>
      <c r="AG243" s="1">
        <v>-152393.28000000006</v>
      </c>
      <c r="AH243" s="137"/>
      <c r="AI243" s="47"/>
      <c r="AJ243" s="47" t="s">
        <v>145</v>
      </c>
      <c r="AK243" s="47"/>
      <c r="AL243" s="140">
        <f>SUM(AL239:AL242)</f>
        <v>0</v>
      </c>
      <c r="AM243" s="10">
        <f>AC243</f>
        <v>0</v>
      </c>
      <c r="AN243" s="10">
        <f>AM243-AL243</f>
        <v>0</v>
      </c>
      <c r="AO243" s="1">
        <f t="shared" si="275"/>
        <v>0</v>
      </c>
    </row>
    <row r="244" spans="1:41">
      <c r="A244" s="500">
        <f t="shared" si="269"/>
        <v>1173</v>
      </c>
      <c r="B244" s="137"/>
      <c r="C244" s="47"/>
      <c r="D244" s="47"/>
      <c r="AA244"/>
      <c r="AC244">
        <f t="shared" si="272"/>
        <v>0</v>
      </c>
      <c r="AE244" s="216">
        <f t="shared" ref="AE244" si="323">+AE243+1</f>
        <v>237</v>
      </c>
      <c r="AF244" s="216" t="e">
        <f t="shared" si="315"/>
        <v>#REF!</v>
      </c>
      <c r="AG244" s="1">
        <v>0</v>
      </c>
      <c r="AH244" s="137"/>
      <c r="AI244" s="47"/>
      <c r="AJ244" s="47"/>
      <c r="AK244" s="47"/>
      <c r="AL244" s="7"/>
      <c r="AO244" s="1">
        <f t="shared" si="275"/>
        <v>0</v>
      </c>
    </row>
    <row r="245" spans="1:41">
      <c r="A245" s="500">
        <f t="shared" si="269"/>
        <v>1174</v>
      </c>
      <c r="B245" s="137">
        <v>2820</v>
      </c>
      <c r="C245" s="47" t="s">
        <v>434</v>
      </c>
      <c r="D245" s="47"/>
      <c r="AA245"/>
      <c r="AC245">
        <f t="shared" si="272"/>
        <v>0</v>
      </c>
      <c r="AE245" s="216">
        <f t="shared" ref="AE245" si="324">+AE244+1</f>
        <v>238</v>
      </c>
      <c r="AF245" s="216" t="e">
        <f t="shared" si="315"/>
        <v>#REF!</v>
      </c>
      <c r="AG245" s="1">
        <v>0</v>
      </c>
      <c r="AH245" s="137">
        <v>2820</v>
      </c>
      <c r="AI245" s="47" t="s">
        <v>434</v>
      </c>
      <c r="AJ245" s="47"/>
      <c r="AK245" s="47"/>
      <c r="AL245" s="7"/>
      <c r="AO245" s="1">
        <f t="shared" si="275"/>
        <v>0</v>
      </c>
    </row>
    <row r="246" spans="1:41">
      <c r="A246" s="500">
        <f t="shared" si="269"/>
        <v>1175</v>
      </c>
      <c r="B246" s="137"/>
      <c r="C246" s="47"/>
      <c r="D246" s="47" t="s">
        <v>399</v>
      </c>
      <c r="H246" s="301">
        <f>[16]XNV!$H$246</f>
        <v>-36065261.259999998</v>
      </c>
      <c r="I246" s="301">
        <f>[16]XNV!$I$246</f>
        <v>-37355769.68</v>
      </c>
      <c r="J246" s="301">
        <f>[16]XNV!$J$246</f>
        <v>-37978269.789999999</v>
      </c>
      <c r="K246" s="301">
        <f>[16]XNV!$K$246</f>
        <v>-38356978.229999997</v>
      </c>
      <c r="L246" s="301">
        <f>[16]XNV!$L$246</f>
        <v>-38767331.490000002</v>
      </c>
      <c r="M246" s="301">
        <f>[16]XNV!$M$246</f>
        <v>-43428098.020000003</v>
      </c>
      <c r="N246" s="301">
        <f>[16]XNV!$N$246</f>
        <v>-44252448.700000003</v>
      </c>
      <c r="O246" s="301">
        <f>[16]XNV!$O$246</f>
        <v>-45123197.700000003</v>
      </c>
      <c r="P246" s="301">
        <f>[16]XNV!$P$246</f>
        <v>-46074013.700000003</v>
      </c>
      <c r="Q246" s="301">
        <f>[16]XNV!$Q$246</f>
        <v>-44335336.979999997</v>
      </c>
      <c r="R246" s="301">
        <f>[16]XNV!$R$246</f>
        <v>-45257455.259999998</v>
      </c>
      <c r="S246" s="301">
        <f>[16]XNV!$S$246</f>
        <v>-46173674.259999998</v>
      </c>
      <c r="T246" s="301">
        <f>[16]XNV!$T$246</f>
        <v>-47791328.950000003</v>
      </c>
      <c r="U246" s="301"/>
      <c r="V246" s="475">
        <f>(SUM(I246:S246)+(0.5*T246)+(0.5*H246))/12</f>
        <v>-42419239.076250002</v>
      </c>
      <c r="Y246" s="475">
        <f>T246</f>
        <v>-47791328.950000003</v>
      </c>
      <c r="Z246" s="475">
        <f t="shared" si="277"/>
        <v>-42419239.076250002</v>
      </c>
      <c r="AA246" s="301">
        <f t="shared" ref="AA246:AA251" si="325">V246</f>
        <v>-42419239.076250002</v>
      </c>
      <c r="AB246" s="301">
        <f>T246</f>
        <v>-47791328.950000003</v>
      </c>
      <c r="AC246" s="301">
        <f t="shared" si="272"/>
        <v>-42419239.076250002</v>
      </c>
      <c r="AD246" s="301">
        <f>AC246-T246</f>
        <v>5372089.8737500012</v>
      </c>
      <c r="AE246" s="216">
        <f t="shared" ref="AE246" si="326">+AE245+1</f>
        <v>239</v>
      </c>
      <c r="AF246" s="216" t="e">
        <f t="shared" si="315"/>
        <v>#REF!</v>
      </c>
      <c r="AG246" s="1">
        <v>490695.907083333</v>
      </c>
      <c r="AH246" s="137"/>
      <c r="AI246" s="47"/>
      <c r="AJ246" s="47" t="s">
        <v>399</v>
      </c>
      <c r="AK246" s="47"/>
      <c r="AL246" s="7">
        <f>+T246</f>
        <v>-47791328.950000003</v>
      </c>
      <c r="AM246" s="10">
        <f>AC246</f>
        <v>-42419239.076250002</v>
      </c>
      <c r="AN246" s="10">
        <f>AM246-AL246</f>
        <v>5372089.8737500012</v>
      </c>
      <c r="AO246" s="1">
        <f t="shared" si="275"/>
        <v>0</v>
      </c>
    </row>
    <row r="247" spans="1:41">
      <c r="A247" s="500">
        <f t="shared" si="269"/>
        <v>1176</v>
      </c>
      <c r="B247" s="137"/>
      <c r="C247" s="47"/>
      <c r="D247" s="47" t="s">
        <v>542</v>
      </c>
      <c r="H247" s="301">
        <f>[16]XNV!$H$247</f>
        <v>-8486889.9900000002</v>
      </c>
      <c r="I247" s="301">
        <f>[16]XNV!$I$247</f>
        <v>-8486889.9900000002</v>
      </c>
      <c r="J247" s="301">
        <f>[16]XNV!$J$247</f>
        <v>-8486889.9900000002</v>
      </c>
      <c r="K247" s="301">
        <f>[16]XNV!$K$247</f>
        <v>-8486889.9900000002</v>
      </c>
      <c r="L247" s="301">
        <f>[16]XNV!$L$247</f>
        <v>-8486889.9900000002</v>
      </c>
      <c r="M247" s="301">
        <f>[16]XNV!$M$247</f>
        <v>-8486889.9900000002</v>
      </c>
      <c r="N247" s="301">
        <f>[16]XNV!$N$247</f>
        <v>-8486889.9900000002</v>
      </c>
      <c r="O247" s="301">
        <f>[16]XNV!$O$247</f>
        <v>-8486889.9900000002</v>
      </c>
      <c r="P247" s="301">
        <f>[16]XNV!$P$247</f>
        <v>-8486889.9900000002</v>
      </c>
      <c r="Q247" s="301">
        <f>[16]XNV!$Q$247</f>
        <v>-8486889.9900000002</v>
      </c>
      <c r="R247" s="301">
        <f>[16]XNV!$R$247</f>
        <v>-8486889.9900000002</v>
      </c>
      <c r="S247" s="301">
        <f>[16]XNV!$S$247</f>
        <v>-8486889.9900000002</v>
      </c>
      <c r="T247" s="301">
        <f>[16]XNV!$T$247</f>
        <v>-8486889.9900000002</v>
      </c>
      <c r="U247" s="301"/>
      <c r="V247" s="475">
        <f>(SUM(I247:S247)+(0.5*T247)+(0.5*H247))/12</f>
        <v>-8486889.9900000002</v>
      </c>
      <c r="Y247" s="475">
        <f>T247</f>
        <v>-8486889.9900000002</v>
      </c>
      <c r="Z247" s="475">
        <f t="shared" si="277"/>
        <v>-8486889.9900000002</v>
      </c>
      <c r="AA247" s="301">
        <f t="shared" si="325"/>
        <v>-8486889.9900000002</v>
      </c>
      <c r="AB247" s="301">
        <f>T247</f>
        <v>-8486889.9900000002</v>
      </c>
      <c r="AC247" s="301">
        <f t="shared" si="272"/>
        <v>-8486889.9900000002</v>
      </c>
      <c r="AD247" s="301">
        <f>AC247-T247</f>
        <v>0</v>
      </c>
      <c r="AE247" s="216">
        <f t="shared" ref="AE247" si="327">+AE246+1</f>
        <v>240</v>
      </c>
      <c r="AF247" s="216" t="e">
        <f t="shared" si="315"/>
        <v>#REF!</v>
      </c>
      <c r="AG247" s="1">
        <v>322263.73945215996</v>
      </c>
      <c r="AH247" s="137"/>
      <c r="AI247" s="47"/>
      <c r="AJ247" s="47" t="s">
        <v>542</v>
      </c>
      <c r="AK247" s="47"/>
      <c r="AL247" s="7">
        <f>+T247</f>
        <v>-8486889.9900000002</v>
      </c>
      <c r="AM247" s="10">
        <f>AC247</f>
        <v>-8486889.9900000002</v>
      </c>
      <c r="AN247" s="10">
        <f>AM247-AL247</f>
        <v>0</v>
      </c>
      <c r="AO247" s="1">
        <f t="shared" si="275"/>
        <v>0</v>
      </c>
    </row>
    <row r="248" spans="1:41">
      <c r="A248" s="500">
        <f t="shared" si="269"/>
        <v>1177</v>
      </c>
      <c r="B248" s="137"/>
      <c r="C248" s="47"/>
      <c r="D248" s="47" t="s">
        <v>543</v>
      </c>
      <c r="H248" s="301">
        <f>[16]XNV!$H$248</f>
        <v>-257559818.18000001</v>
      </c>
      <c r="I248" s="301">
        <f>[16]XNV!$I$248</f>
        <v>-257559818.18000001</v>
      </c>
      <c r="J248" s="301">
        <f>[16]XNV!$J$248</f>
        <v>-257559818.18000001</v>
      </c>
      <c r="K248" s="301">
        <f>[16]XNV!$K$248</f>
        <v>-257559818.18000001</v>
      </c>
      <c r="L248" s="301">
        <f>[16]XNV!$L$248</f>
        <v>-257559818.18000001</v>
      </c>
      <c r="M248" s="301">
        <f>[16]XNV!$M$248</f>
        <v>-257559818.18000001</v>
      </c>
      <c r="N248" s="301">
        <f>[16]XNV!$N$248</f>
        <v>-257559818.18000001</v>
      </c>
      <c r="O248" s="301">
        <f>[16]XNV!$O$248</f>
        <v>-257559818.18000001</v>
      </c>
      <c r="P248" s="301">
        <f>[16]XNV!$P$248</f>
        <v>-257559818.18000001</v>
      </c>
      <c r="Q248" s="301">
        <f>[16]XNV!$Q$248</f>
        <v>-257559818.18000001</v>
      </c>
      <c r="R248" s="301">
        <f>[16]XNV!$R$248</f>
        <v>-257559818.18000001</v>
      </c>
      <c r="S248" s="301">
        <f>[16]XNV!$S$248</f>
        <v>-257559818.18000001</v>
      </c>
      <c r="T248" s="301">
        <f>[16]XNV!$T$248</f>
        <v>-257559818.18000001</v>
      </c>
      <c r="U248" s="301"/>
      <c r="V248" s="475">
        <f>(SUM(I248:S248)+(0.5*T248)+(0.5*H248))/12</f>
        <v>-257559818.18000004</v>
      </c>
      <c r="Y248" s="475">
        <f>T248</f>
        <v>-257559818.18000001</v>
      </c>
      <c r="Z248" s="475">
        <f t="shared" si="277"/>
        <v>-257559818.18000004</v>
      </c>
      <c r="AA248" s="301">
        <f t="shared" si="325"/>
        <v>-257559818.18000004</v>
      </c>
      <c r="AB248" s="301">
        <f>T248</f>
        <v>-257559818.18000001</v>
      </c>
      <c r="AC248" s="301">
        <f t="shared" si="272"/>
        <v>-257559818.18000004</v>
      </c>
      <c r="AD248" s="301">
        <f>AC248-T248</f>
        <v>0</v>
      </c>
      <c r="AE248" s="216">
        <f t="shared" ref="AE248" si="328">+AE247+1</f>
        <v>241</v>
      </c>
      <c r="AF248" s="216" t="e">
        <f t="shared" si="315"/>
        <v>#REF!</v>
      </c>
      <c r="AG248" s="1">
        <v>6334715.3038811982</v>
      </c>
      <c r="AH248" s="137"/>
      <c r="AI248" s="47"/>
      <c r="AJ248" s="47" t="s">
        <v>543</v>
      </c>
      <c r="AK248" s="47"/>
      <c r="AL248" s="7">
        <f>+T248</f>
        <v>-257559818.18000001</v>
      </c>
      <c r="AM248" s="10">
        <f>AC248</f>
        <v>-257559818.18000004</v>
      </c>
      <c r="AN248" s="10">
        <f>AM248-AL248</f>
        <v>0</v>
      </c>
      <c r="AO248" s="1">
        <f t="shared" si="275"/>
        <v>0</v>
      </c>
    </row>
    <row r="249" spans="1:41">
      <c r="A249" s="500">
        <f t="shared" si="269"/>
        <v>1178</v>
      </c>
      <c r="B249" s="137"/>
      <c r="C249" s="47"/>
      <c r="D249" s="47" t="s">
        <v>544</v>
      </c>
      <c r="H249" s="301">
        <f>[16]XNV!$H$249</f>
        <v>18498267.710000001</v>
      </c>
      <c r="I249" s="301">
        <f>[16]XNV!$I$249</f>
        <v>18740603.43</v>
      </c>
      <c r="J249" s="301">
        <f>[16]XNV!$J$249</f>
        <v>18857624.449999999</v>
      </c>
      <c r="K249" s="301">
        <f>[16]XNV!$K$249</f>
        <v>18926183.329999998</v>
      </c>
      <c r="L249" s="301">
        <f>[16]XNV!$L$249</f>
        <v>18785706.600000001</v>
      </c>
      <c r="M249" s="301">
        <f>[16]XNV!$M$249</f>
        <v>19658589.780000001</v>
      </c>
      <c r="N249" s="301">
        <f>[16]XNV!$N$249</f>
        <v>19906632.43</v>
      </c>
      <c r="O249" s="301">
        <f>[16]XNV!$O$249</f>
        <v>20069873.93</v>
      </c>
      <c r="P249" s="301">
        <f>[16]XNV!$P$249</f>
        <v>20248106.5</v>
      </c>
      <c r="Q249" s="301">
        <f>[16]XNV!$Q$249</f>
        <v>17564839.280000001</v>
      </c>
      <c r="R249" s="301">
        <f>[16]XNV!$R$249</f>
        <v>17731615.129999999</v>
      </c>
      <c r="S249" s="301">
        <f>[16]XNV!$S$249</f>
        <v>17897326.129999999</v>
      </c>
      <c r="T249" s="301">
        <f>[16]XNV!$T$249</f>
        <v>18189687.82</v>
      </c>
      <c r="U249" s="301"/>
      <c r="V249" s="475">
        <f>(SUM(I249:S249)+(0.5*T249)+(0.5*H249))/12</f>
        <v>18894256.562916666</v>
      </c>
      <c r="Y249" s="475">
        <f>T249</f>
        <v>18189687.82</v>
      </c>
      <c r="Z249" s="475">
        <f t="shared" si="277"/>
        <v>18894256.562916666</v>
      </c>
      <c r="AA249" s="301">
        <f t="shared" si="325"/>
        <v>18894256.562916666</v>
      </c>
      <c r="AB249" s="301">
        <f>T249</f>
        <v>18189687.82</v>
      </c>
      <c r="AC249" s="301">
        <f t="shared" si="272"/>
        <v>18894256.562916666</v>
      </c>
      <c r="AD249" s="301">
        <f>AC249-T249</f>
        <v>704568.74291666597</v>
      </c>
      <c r="AE249" s="216">
        <f t="shared" ref="AE249" si="329">+AE248+1</f>
        <v>242</v>
      </c>
      <c r="AF249" s="216" t="e">
        <f t="shared" si="315"/>
        <v>#REF!</v>
      </c>
      <c r="AG249" s="1">
        <v>8388933.2416666672</v>
      </c>
      <c r="AH249" s="137"/>
      <c r="AI249" s="47"/>
      <c r="AJ249" s="47" t="s">
        <v>544</v>
      </c>
      <c r="AK249" s="47"/>
      <c r="AL249" s="7">
        <f>+T249</f>
        <v>18189687.82</v>
      </c>
      <c r="AM249" s="359">
        <f>AC249</f>
        <v>18894256.562916666</v>
      </c>
      <c r="AN249" s="359">
        <f>AM249-AL249</f>
        <v>704568.74291666597</v>
      </c>
      <c r="AO249" s="1">
        <f t="shared" si="275"/>
        <v>0</v>
      </c>
    </row>
    <row r="250" spans="1:41">
      <c r="A250" s="500">
        <f t="shared" si="269"/>
        <v>1179</v>
      </c>
      <c r="B250" s="137"/>
      <c r="C250" s="47"/>
      <c r="D250" s="47" t="s">
        <v>145</v>
      </c>
      <c r="H250" s="1064">
        <f t="shared" ref="H250:T250" si="330">SUM(H246:H249)</f>
        <v>-283613701.72000003</v>
      </c>
      <c r="I250" s="1064">
        <f t="shared" si="330"/>
        <v>-284661874.42000002</v>
      </c>
      <c r="J250" s="1064">
        <f t="shared" si="330"/>
        <v>-285167353.51000005</v>
      </c>
      <c r="K250" s="1064">
        <f t="shared" si="330"/>
        <v>-285477503.06999999</v>
      </c>
      <c r="L250" s="1064">
        <f t="shared" si="330"/>
        <v>-286028333.06</v>
      </c>
      <c r="M250" s="1064">
        <f t="shared" si="330"/>
        <v>-289816216.40999997</v>
      </c>
      <c r="N250" s="1064">
        <f t="shared" si="330"/>
        <v>-290392524.44</v>
      </c>
      <c r="O250" s="1064">
        <f t="shared" si="330"/>
        <v>-291100031.94</v>
      </c>
      <c r="P250" s="1064">
        <f t="shared" si="330"/>
        <v>-291872615.37</v>
      </c>
      <c r="Q250" s="1064">
        <f t="shared" si="330"/>
        <v>-292817205.87</v>
      </c>
      <c r="R250" s="1064">
        <f t="shared" si="330"/>
        <v>-293572548.30000001</v>
      </c>
      <c r="S250" s="1064">
        <f t="shared" si="330"/>
        <v>-294323056.30000001</v>
      </c>
      <c r="T250" s="1064">
        <f t="shared" si="330"/>
        <v>-295648349.30000001</v>
      </c>
      <c r="U250" s="323"/>
      <c r="V250" s="512">
        <f>SUM(V246:V249)</f>
        <v>-289571690.6833334</v>
      </c>
      <c r="Y250" s="512">
        <f>T250</f>
        <v>-295648349.30000001</v>
      </c>
      <c r="Z250" s="512">
        <f t="shared" si="277"/>
        <v>-289571690.6833334</v>
      </c>
      <c r="AA250" s="323">
        <f t="shared" si="325"/>
        <v>-289571690.6833334</v>
      </c>
      <c r="AB250" s="323">
        <f>T250</f>
        <v>-295648349.30000001</v>
      </c>
      <c r="AC250" s="323">
        <f t="shared" si="272"/>
        <v>-289571690.6833334</v>
      </c>
      <c r="AD250" s="323">
        <f>AC250-T250</f>
        <v>6076658.616666615</v>
      </c>
      <c r="AE250" s="216">
        <f t="shared" ref="AE250" si="331">+AE249+1</f>
        <v>243</v>
      </c>
      <c r="AF250" s="216" t="e">
        <f t="shared" si="315"/>
        <v>#REF!</v>
      </c>
      <c r="AG250" s="1">
        <v>15536608.192083389</v>
      </c>
      <c r="AH250" s="137"/>
      <c r="AI250" s="47"/>
      <c r="AJ250" s="47" t="s">
        <v>145</v>
      </c>
      <c r="AK250" s="47"/>
      <c r="AL250" s="140">
        <f>SUM(AL246:AL249)</f>
        <v>-295648349.30000001</v>
      </c>
      <c r="AM250" s="10">
        <f>AC250</f>
        <v>-289571690.6833334</v>
      </c>
      <c r="AN250" s="10">
        <f>AM250-AL250</f>
        <v>6076658.616666615</v>
      </c>
      <c r="AO250" s="1">
        <f t="shared" si="275"/>
        <v>0</v>
      </c>
    </row>
    <row r="251" spans="1:41">
      <c r="A251" s="500">
        <f t="shared" si="269"/>
        <v>1180</v>
      </c>
      <c r="B251" s="137"/>
      <c r="C251" s="47"/>
      <c r="D251" s="47"/>
      <c r="V251" s="47"/>
      <c r="Z251" s="3">
        <f t="shared" si="277"/>
        <v>0</v>
      </c>
      <c r="AA251" s="301">
        <f t="shared" si="325"/>
        <v>0</v>
      </c>
      <c r="AC251">
        <f t="shared" si="272"/>
        <v>0</v>
      </c>
      <c r="AE251" s="216">
        <f t="shared" ref="AE251" si="332">+AE250+1</f>
        <v>244</v>
      </c>
      <c r="AF251" s="216" t="e">
        <f t="shared" si="315"/>
        <v>#REF!</v>
      </c>
      <c r="AG251" s="1">
        <v>0</v>
      </c>
      <c r="AH251" s="137"/>
      <c r="AI251" s="47"/>
      <c r="AJ251" s="47"/>
      <c r="AK251" s="47"/>
      <c r="AL251" s="7"/>
      <c r="AO251" s="1">
        <f t="shared" si="275"/>
        <v>0</v>
      </c>
    </row>
    <row r="252" spans="1:41">
      <c r="A252" s="500">
        <f t="shared" si="269"/>
        <v>1181</v>
      </c>
      <c r="B252" s="137">
        <v>2821</v>
      </c>
      <c r="C252" s="47" t="s">
        <v>435</v>
      </c>
      <c r="D252" s="47"/>
      <c r="AA252"/>
      <c r="AC252">
        <f t="shared" si="272"/>
        <v>0</v>
      </c>
      <c r="AE252" s="216">
        <f t="shared" ref="AE252" si="333">+AE251+1</f>
        <v>245</v>
      </c>
      <c r="AF252" s="216" t="e">
        <f t="shared" si="315"/>
        <v>#REF!</v>
      </c>
      <c r="AG252" s="1">
        <v>0</v>
      </c>
      <c r="AH252" s="137">
        <v>2821</v>
      </c>
      <c r="AI252" s="47" t="s">
        <v>435</v>
      </c>
      <c r="AJ252" s="47"/>
      <c r="AK252" s="47"/>
      <c r="AL252" s="7"/>
      <c r="AO252" s="1">
        <f t="shared" si="275"/>
        <v>0</v>
      </c>
    </row>
    <row r="253" spans="1:41">
      <c r="A253" s="500">
        <f t="shared" si="269"/>
        <v>1182</v>
      </c>
      <c r="B253" s="137"/>
      <c r="C253" s="47"/>
      <c r="D253" s="47" t="s">
        <v>399</v>
      </c>
      <c r="H253" s="301">
        <f>[16]XNV!$H$253</f>
        <v>-700755.31</v>
      </c>
      <c r="I253" s="301">
        <f>[16]XNV!$I$253</f>
        <v>-700755.31</v>
      </c>
      <c r="J253" s="301">
        <f>[16]XNV!$J$253</f>
        <v>-700755.31</v>
      </c>
      <c r="K253" s="301">
        <f>[16]XNV!$K$253</f>
        <v>-700755.31</v>
      </c>
      <c r="L253" s="301">
        <f>[16]XNV!$L$253</f>
        <v>-700755.31</v>
      </c>
      <c r="M253" s="301">
        <f>[16]XNV!$M$253</f>
        <v>-700755.31</v>
      </c>
      <c r="N253" s="301">
        <f>[16]XNV!$N$253</f>
        <v>-700755.31</v>
      </c>
      <c r="O253" s="301">
        <f>[16]XNV!$O$253</f>
        <v>-700755.31</v>
      </c>
      <c r="P253" s="301">
        <f>[16]XNV!$P$253</f>
        <v>-700755.31</v>
      </c>
      <c r="Q253" s="301">
        <f>[16]XNV!$Q$253</f>
        <v>-700755.31</v>
      </c>
      <c r="R253" s="301">
        <f>[16]XNV!$R$253</f>
        <v>-700755.31</v>
      </c>
      <c r="S253" s="301">
        <f>[16]XNV!$S$253</f>
        <v>-700755.31</v>
      </c>
      <c r="T253" s="301">
        <f>[16]XNV!$T$253</f>
        <v>-700755.31</v>
      </c>
      <c r="U253" s="301"/>
      <c r="V253" s="475">
        <f>(SUM(I253:S253)+(0.5*T253)+(0.5*H253))/12</f>
        <v>-700755.31000000017</v>
      </c>
      <c r="Y253" s="475">
        <f>T253</f>
        <v>-700755.31</v>
      </c>
      <c r="Z253" s="475">
        <f t="shared" si="277"/>
        <v>-700755.31000000017</v>
      </c>
      <c r="AA253" s="301">
        <f>V253</f>
        <v>-700755.31000000017</v>
      </c>
      <c r="AB253" s="301">
        <f>T253</f>
        <v>-700755.31</v>
      </c>
      <c r="AC253" s="301">
        <f t="shared" si="272"/>
        <v>-700755.31000000017</v>
      </c>
      <c r="AD253" s="301">
        <f>AC253-T253</f>
        <v>0</v>
      </c>
      <c r="AE253" s="216">
        <f t="shared" ref="AE253" si="334">+AE252+1</f>
        <v>246</v>
      </c>
      <c r="AF253" s="216" t="e">
        <f t="shared" si="315"/>
        <v>#REF!</v>
      </c>
      <c r="AG253" s="1">
        <v>-380885.41749999975</v>
      </c>
      <c r="AH253" s="137"/>
      <c r="AI253" s="47"/>
      <c r="AJ253" s="47" t="s">
        <v>399</v>
      </c>
      <c r="AK253" s="47"/>
      <c r="AL253" s="7">
        <f>+T253</f>
        <v>-700755.31</v>
      </c>
      <c r="AM253" s="10">
        <f>AC253</f>
        <v>-700755.31000000017</v>
      </c>
      <c r="AN253" s="10">
        <f>AM253-AL253</f>
        <v>0</v>
      </c>
      <c r="AO253" s="1">
        <f t="shared" si="275"/>
        <v>0</v>
      </c>
    </row>
    <row r="254" spans="1:41">
      <c r="A254" s="500">
        <f t="shared" si="269"/>
        <v>1183</v>
      </c>
      <c r="B254" s="137"/>
      <c r="C254" s="47"/>
      <c r="D254" s="47" t="s">
        <v>542</v>
      </c>
      <c r="H254" s="301">
        <f>[16]XNV!$H$254</f>
        <v>0</v>
      </c>
      <c r="I254" s="301">
        <f>[16]XNV!$I$254</f>
        <v>0</v>
      </c>
      <c r="J254" s="301">
        <f>[16]XNV!$J$254</f>
        <v>0</v>
      </c>
      <c r="K254" s="301">
        <f>[16]XNV!$K$254</f>
        <v>0</v>
      </c>
      <c r="L254" s="301">
        <f>[16]XNV!$L$254</f>
        <v>0</v>
      </c>
      <c r="M254" s="301">
        <f>[16]XNV!$M$254</f>
        <v>0</v>
      </c>
      <c r="N254" s="301">
        <f>[16]XNV!$N$254</f>
        <v>0</v>
      </c>
      <c r="O254" s="301">
        <f>[16]XNV!$O$254</f>
        <v>0</v>
      </c>
      <c r="P254" s="301">
        <f>[16]XNV!$P$254</f>
        <v>0</v>
      </c>
      <c r="Q254" s="301">
        <f>[16]XNV!$Q$254</f>
        <v>0</v>
      </c>
      <c r="R254" s="301">
        <f>[16]XNV!$R$254</f>
        <v>0</v>
      </c>
      <c r="S254" s="301">
        <f>[16]XNV!$S$254</f>
        <v>0</v>
      </c>
      <c r="T254" s="301">
        <f>[16]XNV!$T$254</f>
        <v>0</v>
      </c>
      <c r="U254" s="301"/>
      <c r="V254" s="475">
        <f>(SUM(I254:S254)+(0.5*T254)+(0.5*H254))/12</f>
        <v>0</v>
      </c>
      <c r="Y254" s="475">
        <f>T254</f>
        <v>0</v>
      </c>
      <c r="Z254" s="475">
        <f t="shared" si="277"/>
        <v>0</v>
      </c>
      <c r="AA254" s="301">
        <f>V254</f>
        <v>0</v>
      </c>
      <c r="AB254" s="301">
        <f>T254</f>
        <v>0</v>
      </c>
      <c r="AC254" s="301">
        <f t="shared" si="272"/>
        <v>0</v>
      </c>
      <c r="AD254" s="301">
        <f>AC254-T254</f>
        <v>0</v>
      </c>
      <c r="AE254" s="216">
        <f t="shared" ref="AE254" si="335">+AE253+1</f>
        <v>247</v>
      </c>
      <c r="AF254" s="216" t="e">
        <f t="shared" si="315"/>
        <v>#REF!</v>
      </c>
      <c r="AG254" s="1">
        <v>0</v>
      </c>
      <c r="AH254" s="137"/>
      <c r="AI254" s="47"/>
      <c r="AJ254" s="47" t="s">
        <v>542</v>
      </c>
      <c r="AK254" s="47"/>
      <c r="AL254" s="7">
        <f>+T254</f>
        <v>0</v>
      </c>
      <c r="AM254" s="10">
        <f>AC254</f>
        <v>0</v>
      </c>
      <c r="AN254" s="10">
        <f>AM254-AL254</f>
        <v>0</v>
      </c>
      <c r="AO254" s="1">
        <f t="shared" si="275"/>
        <v>0</v>
      </c>
    </row>
    <row r="255" spans="1:41">
      <c r="A255" s="500">
        <f t="shared" si="269"/>
        <v>1184</v>
      </c>
      <c r="B255" s="137"/>
      <c r="C255" s="47"/>
      <c r="D255" s="47" t="s">
        <v>543</v>
      </c>
      <c r="H255" s="301">
        <f>[16]XNV!$H$255</f>
        <v>-64071192.340000004</v>
      </c>
      <c r="I255" s="301">
        <f>[16]XNV!$I$255</f>
        <v>-64071192.340000004</v>
      </c>
      <c r="J255" s="301">
        <f>[16]XNV!$J$255</f>
        <v>-64071192.340000004</v>
      </c>
      <c r="K255" s="301">
        <f>[16]XNV!$K$255</f>
        <v>-64071192.340000004</v>
      </c>
      <c r="L255" s="301">
        <f>[16]XNV!$L$255</f>
        <v>-64071192.340000004</v>
      </c>
      <c r="M255" s="301">
        <f>[16]XNV!$M$255</f>
        <v>-64071192.340000004</v>
      </c>
      <c r="N255" s="301">
        <f>[16]XNV!$N$255</f>
        <v>-64071192.340000004</v>
      </c>
      <c r="O255" s="301">
        <f>[16]XNV!$O$255</f>
        <v>-64071192.340000004</v>
      </c>
      <c r="P255" s="301">
        <f>[16]XNV!$P$255</f>
        <v>-64071192.340000004</v>
      </c>
      <c r="Q255" s="301">
        <f>[16]XNV!$Q$255</f>
        <v>-64071192.340000004</v>
      </c>
      <c r="R255" s="301">
        <f>[16]XNV!$R$255</f>
        <v>-64071192.340000004</v>
      </c>
      <c r="S255" s="301">
        <f>[16]XNV!$S$255</f>
        <v>-64071192.340000004</v>
      </c>
      <c r="T255" s="301">
        <f>[16]XNV!$T$255</f>
        <v>-64071192.340000004</v>
      </c>
      <c r="U255" s="301"/>
      <c r="V255" s="475">
        <f>(SUM(I255:S255)+(0.5*T255)+(0.5*H255))/12</f>
        <v>-64071192.340000011</v>
      </c>
      <c r="Y255" s="475">
        <f>T255</f>
        <v>-64071192.340000004</v>
      </c>
      <c r="Z255" s="475">
        <f t="shared" si="277"/>
        <v>-64071192.340000011</v>
      </c>
      <c r="AA255" s="301">
        <f>V255</f>
        <v>-64071192.340000011</v>
      </c>
      <c r="AB255" s="301">
        <f>T255</f>
        <v>-64071192.340000004</v>
      </c>
      <c r="AC255" s="301">
        <f t="shared" si="272"/>
        <v>-64071192.340000011</v>
      </c>
      <c r="AD255" s="301">
        <f>AC255-T255</f>
        <v>0</v>
      </c>
      <c r="AE255" s="216">
        <f t="shared" ref="AE255" si="336">+AE254+1</f>
        <v>248</v>
      </c>
      <c r="AF255" s="216" t="e">
        <f t="shared" si="315"/>
        <v>#REF!</v>
      </c>
      <c r="AG255" s="1">
        <v>3849029.2158333361</v>
      </c>
      <c r="AH255" s="137"/>
      <c r="AI255" s="47"/>
      <c r="AJ255" s="47" t="s">
        <v>543</v>
      </c>
      <c r="AK255" s="47"/>
      <c r="AL255" s="7">
        <f>+T255</f>
        <v>-64071192.340000004</v>
      </c>
      <c r="AM255" s="10">
        <f>AC255</f>
        <v>-64071192.340000011</v>
      </c>
      <c r="AN255" s="10">
        <f>AM255-AL255</f>
        <v>0</v>
      </c>
      <c r="AO255" s="1">
        <f t="shared" si="275"/>
        <v>0</v>
      </c>
    </row>
    <row r="256" spans="1:41">
      <c r="A256" s="500">
        <f t="shared" si="269"/>
        <v>1185</v>
      </c>
      <c r="B256" s="137"/>
      <c r="C256" s="47"/>
      <c r="D256" s="47" t="s">
        <v>544</v>
      </c>
      <c r="H256" s="301">
        <f>[16]XNV!$H$256</f>
        <v>-685390.5</v>
      </c>
      <c r="I256" s="301">
        <f>[16]XNV!$I$256</f>
        <v>-927726.23</v>
      </c>
      <c r="J256" s="301">
        <f>[16]XNV!$J$256</f>
        <v>-1044747.25</v>
      </c>
      <c r="K256" s="301">
        <f>[16]XNV!$K$256</f>
        <v>-1113305.25</v>
      </c>
      <c r="L256" s="301">
        <f>[16]XNV!$L$256</f>
        <v>-972828.6</v>
      </c>
      <c r="M256" s="301">
        <f>[16]XNV!$M$256</f>
        <v>-1845711.78</v>
      </c>
      <c r="N256" s="301">
        <f>[16]XNV!$N$256</f>
        <v>-2093755.35</v>
      </c>
      <c r="O256" s="301">
        <f>[16]XNV!$O$256</f>
        <v>-2256996.4</v>
      </c>
      <c r="P256" s="301">
        <f>[16]XNV!$P$256</f>
        <v>-2435228.15</v>
      </c>
      <c r="Q256" s="301">
        <f>[16]XNV!$Q$256</f>
        <v>248039.98</v>
      </c>
      <c r="R256" s="301">
        <f>[16]XNV!$R$256</f>
        <v>81264.13</v>
      </c>
      <c r="S256" s="301">
        <f>[16]XNV!$S$256</f>
        <v>-84445.87</v>
      </c>
      <c r="T256" s="301">
        <f>[16]XNV!$T$256</f>
        <v>-376805.87</v>
      </c>
      <c r="U256" s="301"/>
      <c r="V256" s="475">
        <f>(SUM(I256:S256)+(0.5*T256)+(0.5*H256))/12</f>
        <v>-1081378.2462500001</v>
      </c>
      <c r="Y256" s="475">
        <f>T256</f>
        <v>-376805.87</v>
      </c>
      <c r="Z256" s="475">
        <f t="shared" si="277"/>
        <v>-1081378.2462500001</v>
      </c>
      <c r="AA256" s="301">
        <f>V256</f>
        <v>-1081378.2462500001</v>
      </c>
      <c r="AB256" s="301">
        <f>T256</f>
        <v>-376805.87</v>
      </c>
      <c r="AC256" s="301">
        <f t="shared" si="272"/>
        <v>-1081378.2462500001</v>
      </c>
      <c r="AD256" s="301">
        <f>AC256-T256</f>
        <v>-704572.37625000009</v>
      </c>
      <c r="AE256" s="216">
        <f t="shared" ref="AE256" si="337">+AE255+1</f>
        <v>249</v>
      </c>
      <c r="AF256" s="216" t="e">
        <f t="shared" si="315"/>
        <v>#REF!</v>
      </c>
      <c r="AG256" s="1">
        <v>577714.94374999998</v>
      </c>
      <c r="AH256" s="137"/>
      <c r="AI256" s="47"/>
      <c r="AJ256" s="47" t="s">
        <v>544</v>
      </c>
      <c r="AK256" s="47"/>
      <c r="AL256" s="7">
        <f>+T256</f>
        <v>-376805.87</v>
      </c>
      <c r="AM256" s="359">
        <f>AC256</f>
        <v>-1081378.2462500001</v>
      </c>
      <c r="AN256" s="359">
        <f>AM256-AL256</f>
        <v>-704572.37625000009</v>
      </c>
      <c r="AO256" s="1">
        <f t="shared" si="275"/>
        <v>0</v>
      </c>
    </row>
    <row r="257" spans="1:41">
      <c r="A257" s="500">
        <f t="shared" si="269"/>
        <v>1186</v>
      </c>
      <c r="B257" s="137"/>
      <c r="C257" s="47"/>
      <c r="D257" s="47" t="s">
        <v>145</v>
      </c>
      <c r="H257" s="1064">
        <f t="shared" ref="H257:T257" si="338">SUM(H253:H256)</f>
        <v>-65457338.150000006</v>
      </c>
      <c r="I257" s="1064">
        <f t="shared" si="338"/>
        <v>-65699673.880000003</v>
      </c>
      <c r="J257" s="1064">
        <f t="shared" si="338"/>
        <v>-65816694.900000006</v>
      </c>
      <c r="K257" s="1064">
        <f t="shared" si="338"/>
        <v>-65885252.900000006</v>
      </c>
      <c r="L257" s="1064">
        <f t="shared" si="338"/>
        <v>-65744776.250000007</v>
      </c>
      <c r="M257" s="1064">
        <f t="shared" si="338"/>
        <v>-66617659.430000007</v>
      </c>
      <c r="N257" s="1064">
        <f t="shared" si="338"/>
        <v>-66865703.000000007</v>
      </c>
      <c r="O257" s="1064">
        <f t="shared" si="338"/>
        <v>-67028944.050000004</v>
      </c>
      <c r="P257" s="1064">
        <f t="shared" si="338"/>
        <v>-67207175.800000012</v>
      </c>
      <c r="Q257" s="1064">
        <f t="shared" si="338"/>
        <v>-64523907.670000009</v>
      </c>
      <c r="R257" s="1064">
        <f t="shared" si="338"/>
        <v>-64690683.520000003</v>
      </c>
      <c r="S257" s="1064">
        <f t="shared" si="338"/>
        <v>-64856393.520000003</v>
      </c>
      <c r="T257" s="1064">
        <f t="shared" si="338"/>
        <v>-65148753.520000003</v>
      </c>
      <c r="U257" s="323"/>
      <c r="V257" s="512">
        <f>SUM(V253:V256)</f>
        <v>-65853325.896250017</v>
      </c>
      <c r="Y257" s="512">
        <f>T257</f>
        <v>-65148753.520000003</v>
      </c>
      <c r="Z257" s="512">
        <f t="shared" si="277"/>
        <v>-65853325.896250017</v>
      </c>
      <c r="AA257" s="323">
        <f>V257</f>
        <v>-65853325.896250017</v>
      </c>
      <c r="AB257" s="323">
        <f>T257</f>
        <v>-65148753.520000003</v>
      </c>
      <c r="AC257" s="323">
        <f t="shared" si="272"/>
        <v>-65853325.896250017</v>
      </c>
      <c r="AD257" s="323">
        <f>AC257-T257</f>
        <v>-704572.37625001371</v>
      </c>
      <c r="AE257" s="216">
        <f t="shared" ref="AE257" si="339">+AE256+1</f>
        <v>250</v>
      </c>
      <c r="AF257" s="216" t="e">
        <f t="shared" si="315"/>
        <v>#REF!</v>
      </c>
      <c r="AG257" s="1">
        <v>4045858.7420833372</v>
      </c>
      <c r="AH257" s="137"/>
      <c r="AI257" s="47"/>
      <c r="AJ257" s="47" t="s">
        <v>145</v>
      </c>
      <c r="AK257" s="47"/>
      <c r="AL257" s="140">
        <f>SUM(AL253:AL256)</f>
        <v>-65148753.520000003</v>
      </c>
      <c r="AM257" s="10">
        <f>AC257</f>
        <v>-65853325.896250017</v>
      </c>
      <c r="AN257" s="10">
        <f>AM257-AL257</f>
        <v>-704572.37625001371</v>
      </c>
      <c r="AO257" s="1">
        <f t="shared" si="275"/>
        <v>0</v>
      </c>
    </row>
    <row r="258" spans="1:41">
      <c r="A258" s="500">
        <f t="shared" si="269"/>
        <v>1187</v>
      </c>
      <c r="B258" s="137"/>
      <c r="C258" s="47"/>
      <c r="D258" s="47"/>
      <c r="AA258"/>
      <c r="AC258">
        <f t="shared" si="272"/>
        <v>0</v>
      </c>
      <c r="AE258" s="216">
        <f t="shared" ref="AE258" si="340">+AE257+1</f>
        <v>251</v>
      </c>
      <c r="AF258" s="216" t="e">
        <f t="shared" si="315"/>
        <v>#REF!</v>
      </c>
      <c r="AG258" s="1">
        <v>0</v>
      </c>
      <c r="AH258" s="137"/>
      <c r="AI258" s="47"/>
      <c r="AJ258" s="47"/>
      <c r="AK258" s="47"/>
      <c r="AL258" s="7"/>
      <c r="AO258" s="1">
        <f t="shared" si="275"/>
        <v>0</v>
      </c>
    </row>
    <row r="259" spans="1:41">
      <c r="A259" s="500">
        <f t="shared" si="269"/>
        <v>1188</v>
      </c>
      <c r="B259" s="876" t="s">
        <v>1190</v>
      </c>
      <c r="C259" s="877" t="s">
        <v>1191</v>
      </c>
      <c r="D259" s="47"/>
      <c r="AA259"/>
      <c r="AC259">
        <f t="shared" si="272"/>
        <v>0</v>
      </c>
      <c r="AE259" s="216">
        <f t="shared" ref="AE259" si="341">+AE258+1</f>
        <v>252</v>
      </c>
      <c r="AF259" s="216" t="e">
        <f t="shared" si="315"/>
        <v>#REF!</v>
      </c>
      <c r="AG259" s="1">
        <v>0</v>
      </c>
      <c r="AH259" s="137" t="s">
        <v>147</v>
      </c>
      <c r="AI259" s="47" t="s">
        <v>146</v>
      </c>
      <c r="AJ259" s="47"/>
      <c r="AK259" s="47"/>
      <c r="AL259" s="7"/>
      <c r="AO259" s="1">
        <f t="shared" si="275"/>
        <v>0</v>
      </c>
    </row>
    <row r="260" spans="1:41">
      <c r="A260" s="500">
        <f t="shared" si="269"/>
        <v>1189</v>
      </c>
      <c r="B260" s="136"/>
      <c r="C260" s="47" t="s">
        <v>544</v>
      </c>
      <c r="D260" s="47"/>
      <c r="H260" s="301">
        <f>[16]XNV!$H$260</f>
        <v>143856701.21000001</v>
      </c>
      <c r="I260" s="301">
        <f>[16]XNV!$I$260</f>
        <v>145063651.12</v>
      </c>
      <c r="J260" s="301">
        <f>[16]XNV!$J$260</f>
        <v>146399670.28</v>
      </c>
      <c r="K260" s="301">
        <f>[16]XNV!$K$260</f>
        <v>147756775.84</v>
      </c>
      <c r="L260" s="301">
        <f>[16]XNV!$L$260</f>
        <v>149096384.34999999</v>
      </c>
      <c r="M260" s="301">
        <f>[16]XNV!$M$260</f>
        <v>156225056.22999999</v>
      </c>
      <c r="N260" s="301">
        <f>[16]XNV!$N$260</f>
        <v>158620260.49000001</v>
      </c>
      <c r="O260" s="301">
        <f>[16]XNV!$O$260</f>
        <v>160938185.88999999</v>
      </c>
      <c r="P260" s="301">
        <f>[16]XNV!$P$260</f>
        <v>163229880.97999999</v>
      </c>
      <c r="Q260" s="301">
        <f>[16]XNV!$Q$260</f>
        <v>165137571.50999999</v>
      </c>
      <c r="R260" s="301">
        <f>[16]XNV!$R$260</f>
        <v>167339559.28</v>
      </c>
      <c r="S260" s="301">
        <f>[16]XNV!$S$260</f>
        <v>169549192.13</v>
      </c>
      <c r="T260" s="301">
        <f>[16]XNV!$T$260</f>
        <v>171694786.80000001</v>
      </c>
      <c r="U260" s="301"/>
      <c r="V260" s="475">
        <f>(SUM(I260:S260)+(0.5*T260)+(0.5*H260))/12</f>
        <v>157260994.34208333</v>
      </c>
      <c r="Y260" s="475">
        <f>T260</f>
        <v>171694786.80000001</v>
      </c>
      <c r="Z260" s="475">
        <f t="shared" si="277"/>
        <v>157260994.34208333</v>
      </c>
      <c r="AA260" s="301">
        <f>V260</f>
        <v>157260994.34208333</v>
      </c>
      <c r="AB260" s="301">
        <f>T260</f>
        <v>171694786.80000001</v>
      </c>
      <c r="AC260" s="301">
        <f t="shared" si="272"/>
        <v>157260994.34208333</v>
      </c>
      <c r="AD260" s="301">
        <f>AC260-T260</f>
        <v>-14433792.457916677</v>
      </c>
      <c r="AE260" s="216">
        <f t="shared" ref="AE260" si="342">+AE259+1</f>
        <v>253</v>
      </c>
      <c r="AF260" s="216" t="e">
        <f t="shared" si="315"/>
        <v>#REF!</v>
      </c>
      <c r="AG260" s="1">
        <v>0</v>
      </c>
      <c r="AH260" s="136"/>
      <c r="AI260" s="47" t="s">
        <v>544</v>
      </c>
      <c r="AJ260" s="47"/>
      <c r="AK260" s="47"/>
      <c r="AL260" s="7">
        <f>+T260</f>
        <v>171694786.80000001</v>
      </c>
      <c r="AM260" s="359">
        <f>AC260</f>
        <v>157260994.34208333</v>
      </c>
      <c r="AN260" s="359">
        <f>AM260-AL260</f>
        <v>-14433792.457916677</v>
      </c>
      <c r="AO260" s="1">
        <f t="shared" si="275"/>
        <v>0</v>
      </c>
    </row>
    <row r="261" spans="1:41">
      <c r="A261" s="500">
        <f t="shared" si="269"/>
        <v>1190</v>
      </c>
      <c r="B261" s="136"/>
      <c r="C261" s="47" t="s">
        <v>145</v>
      </c>
      <c r="D261" s="47"/>
      <c r="H261" s="1064">
        <f t="shared" ref="H261:T261" si="343">+H260</f>
        <v>143856701.21000001</v>
      </c>
      <c r="I261" s="1064">
        <f t="shared" si="343"/>
        <v>145063651.12</v>
      </c>
      <c r="J261" s="1064">
        <f t="shared" si="343"/>
        <v>146399670.28</v>
      </c>
      <c r="K261" s="1064">
        <f t="shared" si="343"/>
        <v>147756775.84</v>
      </c>
      <c r="L261" s="1064">
        <f t="shared" si="343"/>
        <v>149096384.34999999</v>
      </c>
      <c r="M261" s="1064">
        <f t="shared" si="343"/>
        <v>156225056.22999999</v>
      </c>
      <c r="N261" s="1064">
        <f t="shared" si="343"/>
        <v>158620260.49000001</v>
      </c>
      <c r="O261" s="1064">
        <f t="shared" si="343"/>
        <v>160938185.88999999</v>
      </c>
      <c r="P261" s="1064">
        <f t="shared" si="343"/>
        <v>163229880.97999999</v>
      </c>
      <c r="Q261" s="1064">
        <f t="shared" si="343"/>
        <v>165137571.50999999</v>
      </c>
      <c r="R261" s="1064">
        <f t="shared" si="343"/>
        <v>167339559.28</v>
      </c>
      <c r="S261" s="1064">
        <f t="shared" si="343"/>
        <v>169549192.13</v>
      </c>
      <c r="T261" s="1064">
        <f t="shared" si="343"/>
        <v>171694786.80000001</v>
      </c>
      <c r="U261" s="323"/>
      <c r="V261" s="512">
        <f>+V260</f>
        <v>157260994.34208333</v>
      </c>
      <c r="Y261" s="512">
        <f>T261</f>
        <v>171694786.80000001</v>
      </c>
      <c r="Z261" s="512">
        <f t="shared" si="277"/>
        <v>157260994.34208333</v>
      </c>
      <c r="AA261" s="323">
        <f>V261</f>
        <v>157260994.34208333</v>
      </c>
      <c r="AB261" s="323">
        <f>T261</f>
        <v>171694786.80000001</v>
      </c>
      <c r="AC261" s="323">
        <f t="shared" si="272"/>
        <v>157260994.34208333</v>
      </c>
      <c r="AD261" s="323">
        <f>AC261-T261</f>
        <v>-14433792.457916677</v>
      </c>
      <c r="AE261" s="216">
        <f t="shared" ref="AE261" si="344">+AE260+1</f>
        <v>254</v>
      </c>
      <c r="AF261" s="216" t="e">
        <f t="shared" si="315"/>
        <v>#REF!</v>
      </c>
      <c r="AG261" s="1">
        <v>0</v>
      </c>
      <c r="AH261" s="136"/>
      <c r="AI261" s="47" t="s">
        <v>145</v>
      </c>
      <c r="AJ261" s="47"/>
      <c r="AK261" s="47"/>
      <c r="AL261" s="140">
        <f>SUM(AL260)</f>
        <v>171694786.80000001</v>
      </c>
      <c r="AM261" s="10">
        <f>AC261</f>
        <v>157260994.34208333</v>
      </c>
      <c r="AN261" s="10">
        <f>AM261-AL261</f>
        <v>-14433792.457916677</v>
      </c>
      <c r="AO261" s="1">
        <f t="shared" si="275"/>
        <v>0</v>
      </c>
    </row>
    <row r="262" spans="1:41" ht="13.5" thickBot="1">
      <c r="A262" s="500">
        <f t="shared" si="269"/>
        <v>1191</v>
      </c>
      <c r="B262" s="136"/>
      <c r="C262" s="47"/>
      <c r="D262" s="47"/>
      <c r="H262" s="470"/>
      <c r="I262" s="470"/>
      <c r="J262" s="470"/>
      <c r="K262" s="470"/>
      <c r="L262" s="470"/>
      <c r="M262" s="470"/>
      <c r="N262" s="470"/>
      <c r="O262" s="470"/>
      <c r="P262" s="470"/>
      <c r="Q262" s="470"/>
      <c r="R262" s="470"/>
      <c r="S262" s="470"/>
      <c r="T262" s="470"/>
      <c r="U262" s="470"/>
      <c r="V262" s="513"/>
      <c r="Y262" s="513"/>
      <c r="Z262" s="513"/>
      <c r="AA262" s="470"/>
      <c r="AB262" s="470"/>
      <c r="AC262" s="470">
        <f t="shared" si="272"/>
        <v>0</v>
      </c>
      <c r="AD262" s="470"/>
      <c r="AE262" s="216">
        <f t="shared" ref="AE262" si="345">+AE261+1</f>
        <v>255</v>
      </c>
      <c r="AF262" s="216" t="e">
        <f t="shared" si="315"/>
        <v>#REF!</v>
      </c>
      <c r="AG262" s="1">
        <v>0</v>
      </c>
      <c r="AH262" s="136"/>
      <c r="AI262" s="47"/>
      <c r="AJ262" s="47"/>
      <c r="AK262" s="47"/>
      <c r="AL262" s="24"/>
      <c r="AM262" s="79"/>
      <c r="AN262" s="79"/>
      <c r="AO262" s="1">
        <f t="shared" si="275"/>
        <v>0</v>
      </c>
    </row>
    <row r="263" spans="1:41" ht="13.5" thickTop="1">
      <c r="A263" s="500">
        <f t="shared" si="269"/>
        <v>1192</v>
      </c>
      <c r="B263" s="116" t="s">
        <v>610</v>
      </c>
      <c r="C263" s="47"/>
      <c r="D263" s="47"/>
      <c r="H263" s="301"/>
      <c r="I263" s="301"/>
      <c r="J263" s="301"/>
      <c r="K263" s="301"/>
      <c r="L263" s="301"/>
      <c r="M263" s="301"/>
      <c r="N263" s="301"/>
      <c r="O263" s="301"/>
      <c r="P263" s="301"/>
      <c r="Q263" s="301"/>
      <c r="R263" s="301"/>
      <c r="S263" s="301"/>
      <c r="T263" s="301"/>
      <c r="U263" s="301"/>
      <c r="V263" s="475"/>
      <c r="Y263" s="475"/>
      <c r="Z263" s="475"/>
      <c r="AA263" s="301"/>
      <c r="AB263" s="301"/>
      <c r="AC263" s="301">
        <f t="shared" si="272"/>
        <v>0</v>
      </c>
      <c r="AD263" s="301"/>
      <c r="AE263" s="216">
        <f t="shared" ref="AE263" si="346">+AE262+1</f>
        <v>256</v>
      </c>
      <c r="AF263" s="216" t="e">
        <f t="shared" si="315"/>
        <v>#REF!</v>
      </c>
      <c r="AG263" s="1">
        <v>0</v>
      </c>
      <c r="AH263" s="116" t="s">
        <v>610</v>
      </c>
      <c r="AI263" s="47"/>
      <c r="AJ263" s="47"/>
      <c r="AK263" s="47"/>
      <c r="AL263" s="7"/>
      <c r="AO263" s="1">
        <f t="shared" si="275"/>
        <v>0</v>
      </c>
    </row>
    <row r="264" spans="1:41">
      <c r="A264" s="500">
        <f t="shared" si="269"/>
        <v>1193</v>
      </c>
      <c r="B264" s="136"/>
      <c r="C264" s="47" t="s">
        <v>399</v>
      </c>
      <c r="D264" s="47"/>
      <c r="H264" s="277">
        <f t="shared" ref="H264:T264" si="347">H203+H211+H218+H239+H246+H253</f>
        <v>-27728337.969999995</v>
      </c>
      <c r="I264" s="277">
        <f t="shared" si="347"/>
        <v>-21197466.049999997</v>
      </c>
      <c r="J264" s="277">
        <f t="shared" si="347"/>
        <v>-12691311.629999997</v>
      </c>
      <c r="K264" s="277">
        <f t="shared" si="347"/>
        <v>1895037.3600000017</v>
      </c>
      <c r="L264" s="277">
        <f t="shared" si="347"/>
        <v>13977989.409999998</v>
      </c>
      <c r="M264" s="277">
        <f t="shared" si="347"/>
        <v>10591160.869999992</v>
      </c>
      <c r="N264" s="277">
        <f t="shared" si="347"/>
        <v>3165625.6199999922</v>
      </c>
      <c r="O264" s="277">
        <f t="shared" si="347"/>
        <v>-7657851.7500000056</v>
      </c>
      <c r="P264" s="277">
        <f t="shared" si="347"/>
        <v>-20924123.129999999</v>
      </c>
      <c r="Q264" s="277">
        <f t="shared" si="347"/>
        <v>-29152421.309999999</v>
      </c>
      <c r="R264" s="277">
        <f t="shared" si="347"/>
        <v>-37994642.859999999</v>
      </c>
      <c r="S264" s="277">
        <f t="shared" si="347"/>
        <v>-34002635.880000003</v>
      </c>
      <c r="T264" s="277">
        <f t="shared" si="347"/>
        <v>-28538185.699999999</v>
      </c>
      <c r="U264" s="277"/>
      <c r="V264" s="421">
        <f>V203+V211+V218+V239+V246+V253</f>
        <v>-13510325.098750001</v>
      </c>
      <c r="Y264" s="421">
        <f>T264</f>
        <v>-28538185.699999999</v>
      </c>
      <c r="Z264" s="421">
        <f t="shared" si="277"/>
        <v>-13510325.098750001</v>
      </c>
      <c r="AA264" s="277">
        <f>V264</f>
        <v>-13510325.098750001</v>
      </c>
      <c r="AB264" s="277">
        <f>T264</f>
        <v>-28538185.699999999</v>
      </c>
      <c r="AC264" s="277">
        <f t="shared" si="272"/>
        <v>-13510325.098750001</v>
      </c>
      <c r="AD264" s="277">
        <f>AD203+AD211+AD218+AD239+AD246+AD253</f>
        <v>5372089.8737500012</v>
      </c>
      <c r="AE264" s="216">
        <f t="shared" ref="AE264" si="348">+AE263+1</f>
        <v>257</v>
      </c>
      <c r="AF264" s="216" t="e">
        <f t="shared" si="315"/>
        <v>#REF!</v>
      </c>
      <c r="AG264" s="1">
        <v>-2303232.7258333368</v>
      </c>
      <c r="AH264" s="136"/>
      <c r="AI264" s="47" t="s">
        <v>399</v>
      </c>
      <c r="AJ264" s="47"/>
      <c r="AK264" s="47"/>
      <c r="AL264" s="277">
        <f t="shared" ref="AL264" si="349">AL203+AL211+AL218+AL239+AL246+AL253</f>
        <v>-28538185.699999999</v>
      </c>
      <c r="AM264" s="10">
        <f>AC264</f>
        <v>-13510325.098750001</v>
      </c>
      <c r="AN264" s="10">
        <f>AM264-AL264</f>
        <v>15027860.601249998</v>
      </c>
      <c r="AO264" s="1">
        <f t="shared" si="275"/>
        <v>0</v>
      </c>
    </row>
    <row r="265" spans="1:41">
      <c r="A265" s="500">
        <f t="shared" si="269"/>
        <v>1194</v>
      </c>
      <c r="B265" s="136"/>
      <c r="C265" s="47" t="s">
        <v>542</v>
      </c>
      <c r="D265" s="47"/>
      <c r="H265" s="277">
        <f t="shared" ref="H265:T265" si="350">H198+H212+H219+H225+H230+H240+H247+H254</f>
        <v>-7940623.6855878392</v>
      </c>
      <c r="I265" s="277">
        <f t="shared" si="350"/>
        <v>-7905408.9990045289</v>
      </c>
      <c r="J265" s="277">
        <f t="shared" si="350"/>
        <v>-7945996.7289088974</v>
      </c>
      <c r="K265" s="277">
        <f t="shared" si="350"/>
        <v>-7943581.4710108172</v>
      </c>
      <c r="L265" s="277">
        <f t="shared" si="350"/>
        <v>-7905623.7898000637</v>
      </c>
      <c r="M265" s="277">
        <f t="shared" si="350"/>
        <v>-7902283.3412845926</v>
      </c>
      <c r="N265" s="277">
        <f t="shared" si="350"/>
        <v>-7882063.0664203214</v>
      </c>
      <c r="O265" s="277">
        <f t="shared" si="350"/>
        <v>-7844821.8802802246</v>
      </c>
      <c r="P265" s="277">
        <f t="shared" si="350"/>
        <v>-7807261.0511070266</v>
      </c>
      <c r="Q265" s="277">
        <f t="shared" si="350"/>
        <v>-7723521.7228003219</v>
      </c>
      <c r="R265" s="277">
        <f t="shared" si="350"/>
        <v>-7642594.5600220496</v>
      </c>
      <c r="S265" s="277">
        <f t="shared" si="350"/>
        <v>-7634169.3986272169</v>
      </c>
      <c r="T265" s="277">
        <f t="shared" si="350"/>
        <v>-7531867.4832127504</v>
      </c>
      <c r="U265" s="277"/>
      <c r="V265" s="421">
        <f>V198+V212+V219+V225+V230+V240+V247+V254</f>
        <v>-7822797.63280553</v>
      </c>
      <c r="Y265" s="421">
        <f>T265</f>
        <v>-7531867.4832127504</v>
      </c>
      <c r="Z265" s="421">
        <f t="shared" si="277"/>
        <v>-7822797.63280553</v>
      </c>
      <c r="AA265" s="277">
        <f>AA198+AA212+AA219+AA225+AA230+AA240+AA247+AA254</f>
        <v>-7822797.63280553</v>
      </c>
      <c r="AB265" s="277">
        <f>AB198+AB212+AB219+AB225+AB230+AB240+AB247+AB254</f>
        <v>-7531867.4832127504</v>
      </c>
      <c r="AC265" s="277">
        <f t="shared" si="272"/>
        <v>-7822797.63280553</v>
      </c>
      <c r="AD265" s="277">
        <f>AD198+AD212+AD219+AD225+AD230+AD240+AD247+AD254</f>
        <v>-290930.14959277946</v>
      </c>
      <c r="AE265" s="216">
        <f t="shared" ref="AE265" si="351">+AE264+1</f>
        <v>258</v>
      </c>
      <c r="AF265" s="216" t="e">
        <f t="shared" si="315"/>
        <v>#REF!</v>
      </c>
      <c r="AG265" s="1">
        <v>202393.20413769607</v>
      </c>
      <c r="AH265" s="136"/>
      <c r="AI265" s="47" t="s">
        <v>542</v>
      </c>
      <c r="AJ265" s="47"/>
      <c r="AK265" s="47"/>
      <c r="AL265" s="277">
        <f t="shared" ref="AL265" si="352">AL198+AL212+AL219+AL225+AL230+AL240+AL247+AL254</f>
        <v>-7531867.4832127504</v>
      </c>
      <c r="AM265" s="10">
        <f>AC265</f>
        <v>-7822797.63280553</v>
      </c>
      <c r="AN265" s="10">
        <f>AM265-AL265</f>
        <v>-290930.14959277958</v>
      </c>
      <c r="AO265" s="1">
        <f t="shared" si="275"/>
        <v>0</v>
      </c>
    </row>
    <row r="266" spans="1:41">
      <c r="A266" s="500">
        <f t="shared" si="269"/>
        <v>1195</v>
      </c>
      <c r="B266" s="136"/>
      <c r="C266" s="47" t="s">
        <v>543</v>
      </c>
      <c r="D266" s="47"/>
      <c r="H266" s="277">
        <f t="shared" ref="H266:T266" si="353">H199+H213+H220+H226+H231+H241+H248+H255</f>
        <v>-301690436.89441216</v>
      </c>
      <c r="I266" s="277">
        <f t="shared" si="353"/>
        <v>-300395352.67099547</v>
      </c>
      <c r="J266" s="277">
        <f t="shared" si="353"/>
        <v>-301582159.82109112</v>
      </c>
      <c r="K266" s="277">
        <f t="shared" si="353"/>
        <v>-301409563.49898922</v>
      </c>
      <c r="L266" s="277">
        <f t="shared" si="353"/>
        <v>-300572140.20019996</v>
      </c>
      <c r="M266" s="277">
        <f t="shared" si="353"/>
        <v>-300567601.8787154</v>
      </c>
      <c r="N266" s="277">
        <f t="shared" si="353"/>
        <v>-299885861.03357971</v>
      </c>
      <c r="O266" s="277">
        <f t="shared" si="353"/>
        <v>-299842641.03971982</v>
      </c>
      <c r="P266" s="277">
        <f t="shared" si="353"/>
        <v>-297228885.55889297</v>
      </c>
      <c r="Q266" s="277">
        <f t="shared" si="353"/>
        <v>-294492568.37719965</v>
      </c>
      <c r="R266" s="277">
        <f t="shared" si="353"/>
        <v>-291647492.71997797</v>
      </c>
      <c r="S266" s="277">
        <f t="shared" si="353"/>
        <v>-292040587.0213728</v>
      </c>
      <c r="T266" s="277">
        <f t="shared" si="353"/>
        <v>-288545096.03678727</v>
      </c>
      <c r="U266" s="277"/>
      <c r="V266" s="421">
        <f>V199+V213+V220+V226+V231+V241+V248+V255</f>
        <v>-297898551.69052786</v>
      </c>
      <c r="Y266" s="421">
        <f>T266</f>
        <v>-288545096.03678727</v>
      </c>
      <c r="Z266" s="421">
        <f t="shared" si="277"/>
        <v>-297898551.69052786</v>
      </c>
      <c r="AA266" s="277">
        <f t="shared" ref="AA266:AB266" si="354">AA199+AA213+AA220+AA226+AA231+AA241+AA248+AA255</f>
        <v>-297898551.69052786</v>
      </c>
      <c r="AB266" s="277">
        <f t="shared" si="354"/>
        <v>-288545096.03678727</v>
      </c>
      <c r="AC266" s="277">
        <f t="shared" si="272"/>
        <v>-297898551.69052786</v>
      </c>
      <c r="AD266" s="277">
        <f>AD199+AD213+AD220+AD226+AD231+AD241+AD248+AD255</f>
        <v>-9353455.6537405513</v>
      </c>
      <c r="AE266" s="216">
        <f t="shared" ref="AE266" si="355">+AE265+1</f>
        <v>259</v>
      </c>
      <c r="AF266" s="216" t="e">
        <f t="shared" si="315"/>
        <v>#REF!</v>
      </c>
      <c r="AG266" s="1">
        <v>7521507.6041956618</v>
      </c>
      <c r="AH266" s="136"/>
      <c r="AI266" s="47" t="s">
        <v>543</v>
      </c>
      <c r="AJ266" s="47"/>
      <c r="AK266" s="47"/>
      <c r="AL266" s="277">
        <f t="shared" ref="AL266" si="356">AL199+AL213+AL220+AL226+AL231+AL241+AL248+AL255</f>
        <v>-288545096.03678727</v>
      </c>
      <c r="AM266" s="10">
        <f>AC266</f>
        <v>-297898551.69052786</v>
      </c>
      <c r="AN266" s="10">
        <f>AM266-AL266</f>
        <v>-9353455.6537405849</v>
      </c>
      <c r="AO266" s="1">
        <f t="shared" si="275"/>
        <v>0</v>
      </c>
    </row>
    <row r="267" spans="1:41">
      <c r="A267" s="500">
        <f t="shared" ref="A267:A279" si="357">+A266+1</f>
        <v>1196</v>
      </c>
      <c r="B267" s="136"/>
      <c r="C267" s="47" t="s">
        <v>544</v>
      </c>
      <c r="D267" s="47"/>
      <c r="H267" s="277">
        <f t="shared" ref="H267:T267" si="358">H207+H214+H221+H235+H242+H249+H256+H260</f>
        <v>223368720.06999999</v>
      </c>
      <c r="I267" s="277">
        <f t="shared" si="358"/>
        <v>223904884.50999999</v>
      </c>
      <c r="J267" s="277">
        <f t="shared" si="358"/>
        <v>224269924.65000001</v>
      </c>
      <c r="K267" s="277">
        <f t="shared" si="358"/>
        <v>226241448.79000002</v>
      </c>
      <c r="L267" s="277">
        <f t="shared" si="358"/>
        <v>226751651.63999999</v>
      </c>
      <c r="M267" s="277">
        <f t="shared" si="358"/>
        <v>225486178.57999998</v>
      </c>
      <c r="N267" s="277">
        <f t="shared" si="358"/>
        <v>195360323.28</v>
      </c>
      <c r="O267" s="277">
        <f t="shared" si="358"/>
        <v>198703819.22</v>
      </c>
      <c r="P267" s="277">
        <f t="shared" si="358"/>
        <v>198760129.56999999</v>
      </c>
      <c r="Q267" s="277">
        <f t="shared" si="358"/>
        <v>200469656.5</v>
      </c>
      <c r="R267" s="277">
        <f t="shared" si="358"/>
        <v>202573051.55000001</v>
      </c>
      <c r="S267" s="277">
        <f t="shared" si="358"/>
        <v>203977438.15000001</v>
      </c>
      <c r="T267" s="277">
        <f t="shared" si="358"/>
        <v>206138849.72000003</v>
      </c>
      <c r="U267" s="277"/>
      <c r="V267" s="421">
        <f>V207+V214+V221+V235+V242+V249+V256+V260</f>
        <v>211771024.27791667</v>
      </c>
      <c r="Y267" s="421">
        <f>T267</f>
        <v>206138849.72000003</v>
      </c>
      <c r="Z267" s="421">
        <f t="shared" si="277"/>
        <v>211771024.27791667</v>
      </c>
      <c r="AA267" s="277">
        <f t="shared" ref="AA267:AB267" si="359">AA207+AA214+AA221+AA235+AA242+AA249+AA256+AA260</f>
        <v>211771024.27791667</v>
      </c>
      <c r="AB267" s="277">
        <f t="shared" si="359"/>
        <v>206138849.72000003</v>
      </c>
      <c r="AC267" s="277">
        <f t="shared" si="272"/>
        <v>211771024.27791667</v>
      </c>
      <c r="AD267" s="277">
        <f>AD207+AD214+AD221+AD235+AD242+AD249+AD256+AD260</f>
        <v>5632174.5579166524</v>
      </c>
      <c r="AE267" s="216">
        <f t="shared" ref="AE267" si="360">+AE266+1</f>
        <v>260</v>
      </c>
      <c r="AF267" s="216" t="e">
        <f t="shared" si="315"/>
        <v>#REF!</v>
      </c>
      <c r="AG267" s="1">
        <v>7616626.3645833321</v>
      </c>
      <c r="AH267" s="136"/>
      <c r="AI267" s="47" t="s">
        <v>544</v>
      </c>
      <c r="AJ267" s="47"/>
      <c r="AK267" s="47"/>
      <c r="AL267" s="277">
        <f t="shared" ref="AL267" si="361">AL207+AL214+AL221+AL235+AL242+AL249+AL256+AL260</f>
        <v>206138849.72000003</v>
      </c>
      <c r="AM267" s="10">
        <f>AC267</f>
        <v>211771024.27791667</v>
      </c>
      <c r="AN267" s="10">
        <f>AM267-AL267</f>
        <v>5632174.5579166412</v>
      </c>
      <c r="AO267" s="1">
        <f t="shared" si="275"/>
        <v>0</v>
      </c>
    </row>
    <row r="268" spans="1:41" ht="13.5" thickBot="1">
      <c r="A268" s="500">
        <f t="shared" si="357"/>
        <v>1197</v>
      </c>
      <c r="B268" s="136"/>
      <c r="C268" s="47"/>
      <c r="D268" s="47"/>
      <c r="E268" s="1"/>
      <c r="F268" s="1"/>
      <c r="G268" s="1"/>
      <c r="H268" s="424"/>
      <c r="I268" s="424"/>
      <c r="J268" s="424"/>
      <c r="K268" s="424"/>
      <c r="L268" s="424"/>
      <c r="M268" s="424"/>
      <c r="N268" s="424"/>
      <c r="O268" s="424"/>
      <c r="P268" s="424"/>
      <c r="Q268" s="424"/>
      <c r="R268" s="424"/>
      <c r="S268" s="424"/>
      <c r="T268" s="424"/>
      <c r="U268" s="424"/>
      <c r="V268" s="514"/>
      <c r="Y268" s="514"/>
      <c r="Z268" s="514"/>
      <c r="AA268" s="424"/>
      <c r="AB268" s="424"/>
      <c r="AC268" s="424">
        <f t="shared" ref="AC268:AC279" si="362">HLOOKUP($AC$8,RateBaseScenarios,AE268,FALSE)</f>
        <v>0</v>
      </c>
      <c r="AD268" s="424"/>
      <c r="AE268" s="216">
        <f t="shared" ref="AE268" si="363">+AE267+1</f>
        <v>261</v>
      </c>
      <c r="AF268" s="216" t="e">
        <f t="shared" si="315"/>
        <v>#REF!</v>
      </c>
      <c r="AG268" s="1">
        <v>0</v>
      </c>
      <c r="AH268" s="136"/>
      <c r="AI268" s="47"/>
      <c r="AJ268" s="47"/>
      <c r="AK268" s="47"/>
      <c r="AL268" s="24"/>
      <c r="AM268" s="79"/>
      <c r="AN268" s="79"/>
      <c r="AO268" s="1">
        <f t="shared" si="275"/>
        <v>0</v>
      </c>
    </row>
    <row r="269" spans="1:41" ht="13.5" thickTop="1">
      <c r="A269" s="500">
        <f t="shared" si="357"/>
        <v>1198</v>
      </c>
      <c r="B269" s="136"/>
      <c r="C269" s="47"/>
      <c r="D269" s="47"/>
      <c r="E269" s="1"/>
      <c r="F269" s="1"/>
      <c r="G269" s="1"/>
      <c r="H269" s="277"/>
      <c r="I269" s="277"/>
      <c r="J269" s="277"/>
      <c r="K269" s="277"/>
      <c r="L269" s="277"/>
      <c r="M269" s="277"/>
      <c r="N269" s="277"/>
      <c r="O269" s="277"/>
      <c r="P269" s="277"/>
      <c r="Q269" s="277"/>
      <c r="R269" s="277"/>
      <c r="S269" s="277"/>
      <c r="T269" s="277"/>
      <c r="U269" s="277"/>
      <c r="V269" s="421"/>
      <c r="Y269" s="421"/>
      <c r="Z269" s="421"/>
      <c r="AA269" s="277"/>
      <c r="AB269" s="277"/>
      <c r="AC269" s="277">
        <f t="shared" si="362"/>
        <v>0</v>
      </c>
      <c r="AD269" s="277"/>
      <c r="AE269" s="216">
        <f t="shared" ref="AE269" si="364">+AE268+1</f>
        <v>262</v>
      </c>
      <c r="AF269" s="216" t="e">
        <f t="shared" si="315"/>
        <v>#REF!</v>
      </c>
      <c r="AG269" s="1">
        <v>0</v>
      </c>
      <c r="AH269" s="136"/>
      <c r="AI269" s="47"/>
      <c r="AJ269" s="47"/>
      <c r="AK269" s="47"/>
      <c r="AL269" s="7"/>
      <c r="AO269" s="1">
        <f t="shared" ref="AO269:AO279" si="365">+AL269-T269</f>
        <v>0</v>
      </c>
    </row>
    <row r="270" spans="1:41">
      <c r="A270" s="500">
        <f t="shared" si="357"/>
        <v>1199</v>
      </c>
      <c r="B270" s="136"/>
      <c r="C270" s="141" t="s">
        <v>610</v>
      </c>
      <c r="D270" s="47"/>
      <c r="H270" s="301">
        <f t="shared" ref="H270:T270" si="366">+H261+H257+H250+H243+H236+H232+H227+H222+H215+H208+H200+H204</f>
        <v>-113990678.47999999</v>
      </c>
      <c r="I270" s="301">
        <f t="shared" si="366"/>
        <v>-105593343.20999999</v>
      </c>
      <c r="J270" s="301">
        <f t="shared" si="366"/>
        <v>-97949543.530000031</v>
      </c>
      <c r="K270" s="301">
        <f t="shared" si="366"/>
        <v>-81216658.819999993</v>
      </c>
      <c r="L270" s="301">
        <f t="shared" si="366"/>
        <v>-67748122.940000027</v>
      </c>
      <c r="M270" s="301">
        <f t="shared" si="366"/>
        <v>-72392545.769999981</v>
      </c>
      <c r="N270" s="301">
        <f t="shared" si="366"/>
        <v>-109241975.19999996</v>
      </c>
      <c r="O270" s="301">
        <f t="shared" si="366"/>
        <v>-116641495.45000005</v>
      </c>
      <c r="P270" s="301">
        <f t="shared" si="366"/>
        <v>-127200140.17000008</v>
      </c>
      <c r="Q270" s="301">
        <f t="shared" si="366"/>
        <v>-130898854.91</v>
      </c>
      <c r="R270" s="301">
        <f t="shared" si="366"/>
        <v>-134711678.59000003</v>
      </c>
      <c r="S270" s="301">
        <f t="shared" si="366"/>
        <v>-129699954.15000001</v>
      </c>
      <c r="T270" s="301">
        <f t="shared" si="366"/>
        <v>-118476299.5</v>
      </c>
      <c r="U270" s="301"/>
      <c r="V270" s="475">
        <f>+V261+V257+V250+V243+V236+V232+V227+V222+V215+V208+V200+V204</f>
        <v>-107460650.14416677</v>
      </c>
      <c r="Y270" s="475">
        <f>+Y261+Y257+Y250+Y243+Y236+Y232+Y227+Y222+Y215+Y208+Y200+Y204</f>
        <v>-118476299.5</v>
      </c>
      <c r="Z270" s="475">
        <f>+Z261+Z257+Z250+Z243+Z236+Z232+Z227+Z222+Z215+Z208+Z200+Z204</f>
        <v>-117116420.87166676</v>
      </c>
      <c r="AA270" s="301">
        <f t="shared" ref="AA270:AB270" si="367">+AA261+AA257+AA250+AA243+AA236+AA232+AA227+AA222+AA215+AA208+AA200+AA204</f>
        <v>-107460650.14416677</v>
      </c>
      <c r="AB270" s="301">
        <f t="shared" si="367"/>
        <v>-118476299.5</v>
      </c>
      <c r="AC270" s="301">
        <f t="shared" si="362"/>
        <v>-117116420.87166676</v>
      </c>
      <c r="AD270" s="301">
        <f>+AD261+AD257+AD250+AD243+AD236+AD232+AD227+AD222+AD215+AD208+AD200+AD204</f>
        <v>1359878.6283332556</v>
      </c>
      <c r="AE270" s="216">
        <f t="shared" ref="AE270" si="368">+AE269+1</f>
        <v>263</v>
      </c>
      <c r="AF270" s="216" t="e">
        <f t="shared" si="315"/>
        <v>#REF!</v>
      </c>
      <c r="AG270" s="1">
        <v>13037294.447083391</v>
      </c>
      <c r="AH270" s="136"/>
      <c r="AI270" s="141" t="s">
        <v>610</v>
      </c>
      <c r="AJ270" s="47"/>
      <c r="AK270" s="47"/>
      <c r="AL270" s="301">
        <f>+AL261+AL257+AL250+AL243+AL236+AL232+AL227+AL222+AL215+AL208+AL200+AL204</f>
        <v>-118476299.5</v>
      </c>
      <c r="AM270" s="10">
        <f>AC270</f>
        <v>-117116420.87166676</v>
      </c>
      <c r="AN270" s="10">
        <f>AD270</f>
        <v>1359878.6283332556</v>
      </c>
      <c r="AO270" s="1">
        <f t="shared" si="365"/>
        <v>0</v>
      </c>
    </row>
    <row r="271" spans="1:41">
      <c r="A271" s="500">
        <f t="shared" si="357"/>
        <v>1200</v>
      </c>
      <c r="B271" s="136"/>
      <c r="C271" s="47"/>
      <c r="D271" s="47"/>
      <c r="H271" s="301"/>
      <c r="I271" s="301"/>
      <c r="J271" s="301"/>
      <c r="K271" s="301"/>
      <c r="L271" s="301"/>
      <c r="M271" s="301"/>
      <c r="N271" s="301"/>
      <c r="O271" s="301"/>
      <c r="P271" s="301"/>
      <c r="Q271" s="301"/>
      <c r="R271" s="301"/>
      <c r="S271" s="301"/>
      <c r="T271" s="301"/>
      <c r="U271" s="301"/>
      <c r="V271" s="475"/>
      <c r="Y271" s="475"/>
      <c r="Z271" s="475"/>
      <c r="AA271" s="301"/>
      <c r="AB271" s="301"/>
      <c r="AC271" s="301">
        <f t="shared" si="362"/>
        <v>0</v>
      </c>
      <c r="AD271" s="301"/>
      <c r="AE271" s="216">
        <f t="shared" ref="AE271" si="369">+AE270+1</f>
        <v>264</v>
      </c>
      <c r="AF271" s="216" t="e">
        <f t="shared" si="315"/>
        <v>#REF!</v>
      </c>
      <c r="AG271" s="1">
        <v>0</v>
      </c>
      <c r="AH271" s="136"/>
      <c r="AI271" s="47"/>
      <c r="AJ271" s="47"/>
      <c r="AK271" s="47"/>
      <c r="AL271" s="7"/>
      <c r="AO271" s="1">
        <f t="shared" si="365"/>
        <v>0</v>
      </c>
    </row>
    <row r="272" spans="1:41">
      <c r="A272" s="500">
        <f t="shared" si="357"/>
        <v>1201</v>
      </c>
      <c r="B272" s="116" t="s">
        <v>631</v>
      </c>
      <c r="C272" s="47"/>
      <c r="D272" s="47"/>
      <c r="H272" s="277"/>
      <c r="I272" s="277"/>
      <c r="J272" s="277"/>
      <c r="K272" s="277"/>
      <c r="L272" s="277"/>
      <c r="M272" s="277"/>
      <c r="N272" s="277"/>
      <c r="O272" s="277"/>
      <c r="P272" s="277"/>
      <c r="Q272" s="277"/>
      <c r="R272" s="277"/>
      <c r="S272" s="277"/>
      <c r="T272" s="277"/>
      <c r="U272" s="277"/>
      <c r="V272" s="421"/>
      <c r="X272" s="63" t="s">
        <v>936</v>
      </c>
      <c r="Y272" s="421"/>
      <c r="Z272" s="421"/>
      <c r="AA272" s="277"/>
      <c r="AB272" s="277"/>
      <c r="AC272" s="277">
        <f t="shared" si="362"/>
        <v>0</v>
      </c>
      <c r="AD272" s="277"/>
      <c r="AE272" s="216">
        <f t="shared" ref="AE272" si="370">+AE271+1</f>
        <v>265</v>
      </c>
      <c r="AF272" s="216" t="e">
        <f t="shared" si="315"/>
        <v>#REF!</v>
      </c>
      <c r="AG272" s="1">
        <v>0</v>
      </c>
      <c r="AH272" s="116" t="s">
        <v>631</v>
      </c>
      <c r="AI272" s="47"/>
      <c r="AJ272" s="47"/>
      <c r="AK272" s="47"/>
      <c r="AL272" s="49"/>
      <c r="AO272" s="1">
        <f t="shared" si="365"/>
        <v>0</v>
      </c>
    </row>
    <row r="273" spans="1:55">
      <c r="A273" s="500">
        <f t="shared" si="357"/>
        <v>1202</v>
      </c>
      <c r="B273" s="116"/>
      <c r="C273" s="47" t="s">
        <v>399</v>
      </c>
      <c r="D273" s="47"/>
      <c r="H273" s="301">
        <f t="shared" ref="H273:T273" si="371">H186+H264</f>
        <v>-26171046.52</v>
      </c>
      <c r="I273" s="301">
        <f t="shared" si="371"/>
        <v>-19670558.489999998</v>
      </c>
      <c r="J273" s="301">
        <f t="shared" si="371"/>
        <v>-11181734.100000003</v>
      </c>
      <c r="K273" s="301">
        <f t="shared" si="371"/>
        <v>3344297.9399999962</v>
      </c>
      <c r="L273" s="301">
        <f t="shared" si="371"/>
        <v>15370258.370000003</v>
      </c>
      <c r="M273" s="301">
        <f t="shared" si="371"/>
        <v>11922478.54999999</v>
      </c>
      <c r="N273" s="301">
        <f t="shared" si="371"/>
        <v>4435908.4399999976</v>
      </c>
      <c r="O273" s="301">
        <f t="shared" si="371"/>
        <v>-6453366.4500000123</v>
      </c>
      <c r="P273" s="301">
        <f t="shared" si="371"/>
        <v>-19782380.559999999</v>
      </c>
      <c r="Q273" s="301">
        <f t="shared" si="371"/>
        <v>-28048366.629999995</v>
      </c>
      <c r="R273" s="301">
        <f t="shared" si="371"/>
        <v>-36934365.140000001</v>
      </c>
      <c r="S273" s="301">
        <f t="shared" si="371"/>
        <v>-32986464.540000003</v>
      </c>
      <c r="T273" s="301">
        <f t="shared" si="371"/>
        <v>-27563399.539999995</v>
      </c>
      <c r="U273" s="301"/>
      <c r="V273" s="475">
        <f>V186+V264</f>
        <v>-12237626.303333336</v>
      </c>
      <c r="Y273" s="475">
        <f t="shared" ref="Y273:AB276" si="372">Y186+Y264</f>
        <v>-27563399.539999995</v>
      </c>
      <c r="Z273" s="475">
        <f t="shared" si="372"/>
        <v>-12237626.303333336</v>
      </c>
      <c r="AA273" s="301">
        <f t="shared" ref="AA273" si="373">AA186+AA264</f>
        <v>-12237626.303333336</v>
      </c>
      <c r="AB273" s="301">
        <f t="shared" si="372"/>
        <v>-27563399.539999995</v>
      </c>
      <c r="AC273" s="301">
        <f t="shared" si="362"/>
        <v>-12237626.303333336</v>
      </c>
      <c r="AD273" s="301">
        <f>AD186+AD264</f>
        <v>5670002.5091666626</v>
      </c>
      <c r="AE273" s="216">
        <f t="shared" ref="AE273" si="374">+AE272+1</f>
        <v>266</v>
      </c>
      <c r="AF273" s="216" t="e">
        <f t="shared" si="315"/>
        <v>#REF!</v>
      </c>
      <c r="AG273" s="1">
        <v>-1966842.8445833456</v>
      </c>
      <c r="AH273" s="116"/>
      <c r="AI273" s="47" t="s">
        <v>399</v>
      </c>
      <c r="AJ273" s="47"/>
      <c r="AK273" s="47"/>
      <c r="AL273" s="7">
        <f>AL186+AL264</f>
        <v>-27563399.539999995</v>
      </c>
      <c r="AM273" s="10">
        <f>AC273</f>
        <v>-12237626.303333336</v>
      </c>
      <c r="AN273" s="10">
        <f>AM273-AL273</f>
        <v>15325773.236666659</v>
      </c>
      <c r="AO273" s="1">
        <f t="shared" si="365"/>
        <v>0</v>
      </c>
    </row>
    <row r="274" spans="1:55">
      <c r="A274" s="500">
        <f t="shared" si="357"/>
        <v>1203</v>
      </c>
      <c r="B274" s="116"/>
      <c r="C274" s="47" t="s">
        <v>542</v>
      </c>
      <c r="D274" s="47"/>
      <c r="H274" s="301">
        <f t="shared" ref="H274:T274" si="375">H187+H265</f>
        <v>57441130.914412156</v>
      </c>
      <c r="I274" s="301">
        <f t="shared" si="375"/>
        <v>57638178.420995452</v>
      </c>
      <c r="J274" s="301">
        <f t="shared" si="375"/>
        <v>58892671.861091122</v>
      </c>
      <c r="K274" s="301">
        <f t="shared" si="375"/>
        <v>59395541.188989177</v>
      </c>
      <c r="L274" s="301">
        <f t="shared" si="375"/>
        <v>59490186.570199937</v>
      </c>
      <c r="M274" s="301">
        <f t="shared" si="375"/>
        <v>59480190.798715405</v>
      </c>
      <c r="N274" s="301">
        <f t="shared" si="375"/>
        <v>59622689.253579669</v>
      </c>
      <c r="O274" s="301">
        <f t="shared" si="375"/>
        <v>59684949.229719773</v>
      </c>
      <c r="P274" s="301">
        <f t="shared" si="375"/>
        <v>59026188.378892995</v>
      </c>
      <c r="Q274" s="301">
        <f t="shared" si="375"/>
        <v>59874783.877199672</v>
      </c>
      <c r="R274" s="301">
        <f t="shared" si="375"/>
        <v>59889464.829977937</v>
      </c>
      <c r="S274" s="301">
        <f t="shared" si="375"/>
        <v>59918500.871372767</v>
      </c>
      <c r="T274" s="301">
        <f t="shared" si="375"/>
        <v>60104096.046787232</v>
      </c>
      <c r="U274" s="301"/>
      <c r="V274" s="475">
        <f>V187+V265</f>
        <v>59307163.230111152</v>
      </c>
      <c r="Y274" s="475">
        <f t="shared" si="372"/>
        <v>60104096.046787232</v>
      </c>
      <c r="Z274" s="475">
        <f t="shared" si="372"/>
        <v>59307163.230111152</v>
      </c>
      <c r="AA274" s="301">
        <f t="shared" ref="AA274" si="376">AA187+AA265</f>
        <v>59307163.230111152</v>
      </c>
      <c r="AB274" s="301">
        <f t="shared" si="372"/>
        <v>60104096.046787232</v>
      </c>
      <c r="AC274" s="301">
        <f t="shared" si="362"/>
        <v>59307163.230111152</v>
      </c>
      <c r="AD274" s="301">
        <f>AD187+AD265</f>
        <v>-796932.81667608756</v>
      </c>
      <c r="AE274" s="216">
        <f t="shared" ref="AE274" si="377">+AE273+1</f>
        <v>267</v>
      </c>
      <c r="AF274" s="216" t="e">
        <f t="shared" si="315"/>
        <v>#REF!</v>
      </c>
      <c r="AG274" s="1">
        <v>-2537564.9341122974</v>
      </c>
      <c r="AH274" s="116"/>
      <c r="AI274" s="47" t="s">
        <v>542</v>
      </c>
      <c r="AJ274" s="47"/>
      <c r="AK274" s="47"/>
      <c r="AL274" s="7">
        <f>AL187+AL265</f>
        <v>60104096.046787232</v>
      </c>
      <c r="AM274" s="10">
        <f>AC274</f>
        <v>59307163.230111152</v>
      </c>
      <c r="AN274" s="10">
        <f>AM274-AL274</f>
        <v>-796932.81667608023</v>
      </c>
      <c r="AO274" s="1">
        <f t="shared" si="365"/>
        <v>0</v>
      </c>
    </row>
    <row r="275" spans="1:55">
      <c r="A275" s="500">
        <f t="shared" si="357"/>
        <v>1204</v>
      </c>
      <c r="B275" s="116"/>
      <c r="C275" s="47" t="s">
        <v>543</v>
      </c>
      <c r="D275" s="47"/>
      <c r="H275" s="301">
        <f t="shared" ref="H275:T275" si="378">H188+H266</f>
        <v>2131840017.4751601</v>
      </c>
      <c r="I275" s="301">
        <f t="shared" si="378"/>
        <v>2142874326.1985762</v>
      </c>
      <c r="J275" s="301">
        <f t="shared" si="378"/>
        <v>2150052047.9784808</v>
      </c>
      <c r="K275" s="301">
        <f t="shared" si="378"/>
        <v>2165399122.6905832</v>
      </c>
      <c r="L275" s="301">
        <f t="shared" si="378"/>
        <v>2237973980.9493728</v>
      </c>
      <c r="M275" s="301">
        <f t="shared" si="378"/>
        <v>2252390640.0808563</v>
      </c>
      <c r="N275" s="301">
        <f t="shared" si="378"/>
        <v>2449396655.6659918</v>
      </c>
      <c r="O275" s="301">
        <f t="shared" si="378"/>
        <v>2484021529.5698519</v>
      </c>
      <c r="P275" s="301">
        <f t="shared" si="378"/>
        <v>2494417113.0106783</v>
      </c>
      <c r="Q275" s="301">
        <f t="shared" si="378"/>
        <v>2537066272.3923721</v>
      </c>
      <c r="R275" s="301">
        <f t="shared" si="378"/>
        <v>2543710682.8395944</v>
      </c>
      <c r="S275" s="301">
        <f t="shared" si="378"/>
        <v>2557116417.0781984</v>
      </c>
      <c r="T275" s="301">
        <f t="shared" si="378"/>
        <v>2575825965.5727844</v>
      </c>
      <c r="U275" s="301"/>
      <c r="V275" s="475">
        <f>V188+V266</f>
        <v>2364020981.6648769</v>
      </c>
      <c r="Y275" s="475">
        <f t="shared" si="372"/>
        <v>2575825965.5727844</v>
      </c>
      <c r="Z275" s="475">
        <f t="shared" si="372"/>
        <v>2364020981.6648769</v>
      </c>
      <c r="AA275" s="301">
        <f t="shared" ref="AA275" si="379">AA188+AA266</f>
        <v>2364020981.6648769</v>
      </c>
      <c r="AB275" s="301">
        <f t="shared" si="372"/>
        <v>2575825965.5727844</v>
      </c>
      <c r="AC275" s="301">
        <f t="shared" si="362"/>
        <v>2364020981.6648769</v>
      </c>
      <c r="AD275" s="301">
        <f>AD188+AD266</f>
        <v>-211804983.90790763</v>
      </c>
      <c r="AE275" s="216">
        <f t="shared" ref="AE275" si="380">+AE274+1</f>
        <v>268</v>
      </c>
      <c r="AF275" s="216" t="e">
        <f t="shared" si="315"/>
        <v>#REF!</v>
      </c>
      <c r="AG275" s="1">
        <v>-51135642.170471482</v>
      </c>
      <c r="AH275" s="116"/>
      <c r="AI275" s="47" t="s">
        <v>543</v>
      </c>
      <c r="AJ275" s="47"/>
      <c r="AK275" s="47"/>
      <c r="AL275" s="7">
        <f>AL188+AL266</f>
        <v>2575825965.5727844</v>
      </c>
      <c r="AM275" s="10">
        <f>AC275</f>
        <v>2364020981.6648769</v>
      </c>
      <c r="AN275" s="10">
        <f>AM275-AL275</f>
        <v>-211804983.90790749</v>
      </c>
      <c r="AO275" s="1">
        <f t="shared" si="365"/>
        <v>0</v>
      </c>
    </row>
    <row r="276" spans="1:55">
      <c r="A276" s="500">
        <f t="shared" si="357"/>
        <v>1205</v>
      </c>
      <c r="B276" s="116"/>
      <c r="C276" s="47" t="s">
        <v>544</v>
      </c>
      <c r="D276" s="47"/>
      <c r="H276" s="301">
        <f t="shared" ref="H276:T276" si="381">H189+H267</f>
        <v>159573692.81</v>
      </c>
      <c r="I276" s="301">
        <f t="shared" si="381"/>
        <v>160303991.85999992</v>
      </c>
      <c r="J276" s="301">
        <f t="shared" si="381"/>
        <v>160562831.24000001</v>
      </c>
      <c r="K276" s="301">
        <f t="shared" si="381"/>
        <v>162359489.30000001</v>
      </c>
      <c r="L276" s="301">
        <f t="shared" si="381"/>
        <v>162473035.74000001</v>
      </c>
      <c r="M276" s="301">
        <f t="shared" si="381"/>
        <v>169304813.87</v>
      </c>
      <c r="N276" s="301">
        <f t="shared" si="381"/>
        <v>145733342.43000001</v>
      </c>
      <c r="O276" s="301">
        <f t="shared" si="381"/>
        <v>149676219.66</v>
      </c>
      <c r="P276" s="301">
        <f t="shared" si="381"/>
        <v>149866955.44999999</v>
      </c>
      <c r="Q276" s="301">
        <f t="shared" si="381"/>
        <v>152710799.52000001</v>
      </c>
      <c r="R276" s="301">
        <f t="shared" si="381"/>
        <v>157540787.06000003</v>
      </c>
      <c r="S276" s="301">
        <f t="shared" si="381"/>
        <v>156695416.00999999</v>
      </c>
      <c r="T276" s="301">
        <f t="shared" si="381"/>
        <v>159004878</v>
      </c>
      <c r="U276" s="301"/>
      <c r="V276" s="475">
        <f>V189+V267</f>
        <v>157209747.29541662</v>
      </c>
      <c r="Y276" s="475">
        <f t="shared" si="372"/>
        <v>159004878</v>
      </c>
      <c r="Z276" s="475">
        <f t="shared" si="372"/>
        <v>157209747.29541662</v>
      </c>
      <c r="AA276" s="301">
        <f t="shared" ref="AA276" si="382">AA189+AA267</f>
        <v>157209747.29541662</v>
      </c>
      <c r="AB276" s="301">
        <f t="shared" si="372"/>
        <v>159004878</v>
      </c>
      <c r="AC276" s="301">
        <f t="shared" si="362"/>
        <v>157209747.29541662</v>
      </c>
      <c r="AD276" s="301">
        <f>AD189+AD267</f>
        <v>-1795130.7045833655</v>
      </c>
      <c r="AE276" s="216">
        <f t="shared" ref="AE276" si="383">+AE275+1</f>
        <v>269</v>
      </c>
      <c r="AF276" s="216" t="e">
        <f t="shared" si="315"/>
        <v>#REF!</v>
      </c>
      <c r="AG276" s="1">
        <v>7187208.999999959</v>
      </c>
      <c r="AH276" s="116"/>
      <c r="AI276" s="47" t="s">
        <v>544</v>
      </c>
      <c r="AJ276" s="47"/>
      <c r="AK276" s="47"/>
      <c r="AL276" s="7">
        <f>AL189+AL267</f>
        <v>159004878</v>
      </c>
      <c r="AM276" s="10">
        <f>AC276</f>
        <v>157209747.29541662</v>
      </c>
      <c r="AN276" s="10">
        <f>AM276-AL276</f>
        <v>-1795130.7045833766</v>
      </c>
      <c r="AO276" s="1">
        <f t="shared" si="365"/>
        <v>0</v>
      </c>
    </row>
    <row r="277" spans="1:55" ht="13.5" thickBot="1">
      <c r="A277" s="500">
        <f t="shared" si="357"/>
        <v>1206</v>
      </c>
      <c r="B277" s="116"/>
      <c r="C277" s="265" t="s">
        <v>145</v>
      </c>
      <c r="D277" s="47"/>
      <c r="H277" s="470">
        <f t="shared" ref="H277:T277" si="384">SUM(H273:H276)</f>
        <v>2322683794.6795721</v>
      </c>
      <c r="I277" s="470">
        <f t="shared" si="384"/>
        <v>2341145937.9895716</v>
      </c>
      <c r="J277" s="470">
        <f t="shared" si="384"/>
        <v>2358325816.9795723</v>
      </c>
      <c r="K277" s="470">
        <f t="shared" si="384"/>
        <v>2390498451.1195726</v>
      </c>
      <c r="L277" s="470">
        <f t="shared" si="384"/>
        <v>2475307461.6295729</v>
      </c>
      <c r="M277" s="470">
        <f t="shared" si="384"/>
        <v>2493098123.2995715</v>
      </c>
      <c r="N277" s="470">
        <f t="shared" si="384"/>
        <v>2659188595.7895713</v>
      </c>
      <c r="O277" s="470">
        <f t="shared" si="384"/>
        <v>2686929332.0095716</v>
      </c>
      <c r="P277" s="470">
        <f t="shared" si="384"/>
        <v>2683527876.2795711</v>
      </c>
      <c r="Q277" s="470">
        <f t="shared" si="384"/>
        <v>2721603489.1595716</v>
      </c>
      <c r="R277" s="470">
        <f t="shared" si="384"/>
        <v>2724206569.5895724</v>
      </c>
      <c r="S277" s="470">
        <f t="shared" si="384"/>
        <v>2740743869.4195709</v>
      </c>
      <c r="T277" s="470">
        <f t="shared" si="384"/>
        <v>2767371540.0795717</v>
      </c>
      <c r="U277" s="470"/>
      <c r="V277" s="513">
        <f t="shared" ref="V277" si="385">SUM(V273:V276)</f>
        <v>2568300265.8870716</v>
      </c>
      <c r="Y277" s="513"/>
      <c r="Z277" s="513"/>
      <c r="AA277" s="470"/>
      <c r="AB277" s="470"/>
      <c r="AC277" s="470">
        <f t="shared" si="362"/>
        <v>0</v>
      </c>
      <c r="AD277" s="470"/>
      <c r="AE277" s="216">
        <f t="shared" ref="AE277" si="386">+AE276+1</f>
        <v>270</v>
      </c>
      <c r="AF277" s="216" t="e">
        <f t="shared" si="315"/>
        <v>#REF!</v>
      </c>
      <c r="AG277" s="1">
        <v>0</v>
      </c>
      <c r="AH277" s="116"/>
      <c r="AI277" s="47"/>
      <c r="AJ277" s="47"/>
      <c r="AK277" s="47"/>
      <c r="AL277" s="24"/>
      <c r="AM277" s="79"/>
      <c r="AN277" s="79"/>
      <c r="AO277" s="1"/>
    </row>
    <row r="278" spans="1:55" ht="13.5" thickTop="1">
      <c r="A278" s="500">
        <f t="shared" si="357"/>
        <v>1207</v>
      </c>
      <c r="B278" s="116"/>
      <c r="C278" s="47"/>
      <c r="D278" s="47"/>
      <c r="H278" s="301"/>
      <c r="I278" s="301"/>
      <c r="J278" s="301"/>
      <c r="K278" s="301"/>
      <c r="L278" s="301"/>
      <c r="M278" s="301"/>
      <c r="N278" s="301"/>
      <c r="O278" s="301"/>
      <c r="P278" s="301"/>
      <c r="Q278" s="301"/>
      <c r="R278" s="301"/>
      <c r="S278" s="301"/>
      <c r="T278" s="301"/>
      <c r="U278" s="301"/>
      <c r="V278" s="475"/>
      <c r="Y278" s="475"/>
      <c r="Z278" s="475"/>
      <c r="AA278" s="301"/>
      <c r="AB278" s="301"/>
      <c r="AC278" s="301">
        <f t="shared" si="362"/>
        <v>0</v>
      </c>
      <c r="AD278" s="301"/>
      <c r="AE278" s="216">
        <f t="shared" ref="AE278" si="387">+AE277+1</f>
        <v>271</v>
      </c>
      <c r="AF278" s="216" t="e">
        <f t="shared" si="315"/>
        <v>#REF!</v>
      </c>
      <c r="AG278" s="1">
        <v>0</v>
      </c>
      <c r="AH278" s="387"/>
      <c r="AI278" s="387"/>
      <c r="AJ278" s="387"/>
      <c r="AK278" s="387"/>
      <c r="AL278" s="387"/>
      <c r="AM278" s="387"/>
      <c r="AN278" s="387"/>
      <c r="AO278" s="1">
        <f t="shared" si="365"/>
        <v>0</v>
      </c>
      <c r="AP278" s="387"/>
      <c r="AQ278" s="387"/>
      <c r="AR278" s="387"/>
      <c r="AT278" s="387"/>
      <c r="AU278" s="387"/>
      <c r="AV278" s="387"/>
      <c r="AW278" s="387"/>
      <c r="AX278" s="387"/>
      <c r="AY278" s="387"/>
      <c r="AZ278" s="387"/>
      <c r="BA278" s="387"/>
      <c r="BB278" s="387"/>
      <c r="BC278" s="387"/>
    </row>
    <row r="279" spans="1:55">
      <c r="A279" s="500">
        <f t="shared" si="357"/>
        <v>1208</v>
      </c>
      <c r="B279" s="136"/>
      <c r="C279" s="141" t="s">
        <v>631</v>
      </c>
      <c r="D279" s="47"/>
      <c r="H279" s="301">
        <f t="shared" ref="H279:T279" si="388">H192+H270</f>
        <v>2322683794.6795726</v>
      </c>
      <c r="I279" s="301">
        <f t="shared" si="388"/>
        <v>2341145937.9895716</v>
      </c>
      <c r="J279" s="301">
        <f t="shared" si="388"/>
        <v>2358325816.9795718</v>
      </c>
      <c r="K279" s="301">
        <f t="shared" si="388"/>
        <v>2390498451.1195722</v>
      </c>
      <c r="L279" s="301">
        <f t="shared" si="388"/>
        <v>2475307461.6295729</v>
      </c>
      <c r="M279" s="301">
        <f t="shared" si="388"/>
        <v>2493098123.299572</v>
      </c>
      <c r="N279" s="301">
        <f t="shared" si="388"/>
        <v>2659188595.7895718</v>
      </c>
      <c r="O279" s="301">
        <f t="shared" si="388"/>
        <v>2686929332.009572</v>
      </c>
      <c r="P279" s="301">
        <f t="shared" si="388"/>
        <v>2683527876.2795715</v>
      </c>
      <c r="Q279" s="301">
        <f t="shared" si="388"/>
        <v>2721603489.1595721</v>
      </c>
      <c r="R279" s="301">
        <f t="shared" si="388"/>
        <v>2724206569.5895724</v>
      </c>
      <c r="S279" s="301">
        <f t="shared" si="388"/>
        <v>2740743869.4195714</v>
      </c>
      <c r="T279" s="301">
        <f t="shared" si="388"/>
        <v>2767371540.0795717</v>
      </c>
      <c r="U279" s="301"/>
      <c r="V279" s="475">
        <f>V192+V270</f>
        <v>2568300265.8870711</v>
      </c>
      <c r="Y279" s="475">
        <f>Y192+Y270</f>
        <v>2767371540.0795717</v>
      </c>
      <c r="Z279" s="475">
        <f>Z192+Z270</f>
        <v>2558644495.1595712</v>
      </c>
      <c r="AA279" s="301">
        <f>AA192+AA270</f>
        <v>2568300265.8870711</v>
      </c>
      <c r="AB279" s="301">
        <f>AB192+AB270</f>
        <v>2767371540.0795717</v>
      </c>
      <c r="AC279" s="301">
        <f t="shared" si="362"/>
        <v>2558644495.1595712</v>
      </c>
      <c r="AD279" s="301">
        <f>AD192+AD270</f>
        <v>-208727044.92000037</v>
      </c>
      <c r="AE279" s="216">
        <f t="shared" ref="AE279" si="389">+AE278+1</f>
        <v>272</v>
      </c>
      <c r="AF279" s="216" t="e">
        <f t="shared" si="315"/>
        <v>#REF!</v>
      </c>
      <c r="AG279" s="1">
        <v>-48452840.949167334</v>
      </c>
      <c r="AH279" s="387"/>
      <c r="AI279" s="387" t="s">
        <v>631</v>
      </c>
      <c r="AJ279" s="387"/>
      <c r="AK279" s="387"/>
      <c r="AL279" s="387">
        <f>AL192+AL270</f>
        <v>2767371540.0795717</v>
      </c>
      <c r="AM279" s="387">
        <f>AC279</f>
        <v>2558644495.1595712</v>
      </c>
      <c r="AN279" s="387">
        <f>AD279</f>
        <v>-208727044.92000037</v>
      </c>
      <c r="AO279" s="1">
        <f t="shared" si="365"/>
        <v>0</v>
      </c>
      <c r="AP279" s="387"/>
      <c r="AQ279" s="387"/>
      <c r="AR279" s="387"/>
      <c r="AT279" s="387"/>
      <c r="AU279" s="387"/>
      <c r="AV279" s="387"/>
      <c r="AW279" s="387"/>
      <c r="AX279" s="387"/>
      <c r="AY279" s="387"/>
      <c r="AZ279" s="387"/>
      <c r="BA279" s="387"/>
      <c r="BB279" s="387"/>
      <c r="BC279" s="387"/>
    </row>
    <row r="281" spans="1:55">
      <c r="C281" s="63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V281" s="84"/>
      <c r="Y281" s="475"/>
      <c r="Z281" s="84"/>
      <c r="AA281" s="84"/>
      <c r="AB281" s="1"/>
      <c r="AC281" s="1"/>
    </row>
    <row r="282" spans="1:55" s="70" customFormat="1">
      <c r="H282" s="117"/>
      <c r="I282" s="117"/>
      <c r="J282" s="117"/>
      <c r="K282" s="117"/>
      <c r="L282" s="117"/>
      <c r="M282" s="117"/>
      <c r="N282" s="117"/>
      <c r="O282" s="117"/>
      <c r="P282" s="117"/>
      <c r="Q282" s="117"/>
      <c r="R282" s="117"/>
      <c r="S282" s="117"/>
      <c r="T282" s="117"/>
      <c r="V282" s="2"/>
      <c r="Y282" s="92"/>
      <c r="Z282" s="2"/>
      <c r="AA282" s="2"/>
      <c r="AB282" s="117"/>
      <c r="AC282" s="117"/>
    </row>
  </sheetData>
  <mergeCells count="4">
    <mergeCell ref="B10:E10"/>
    <mergeCell ref="D9:E9"/>
    <mergeCell ref="AJ9:AK9"/>
    <mergeCell ref="AH10:AK10"/>
  </mergeCells>
  <phoneticPr fontId="0" type="noConversion"/>
  <dataValidations count="1">
    <dataValidation showInputMessage="1" showErrorMessage="1" sqref="Y8:AB8" xr:uid="{00000000-0002-0000-0900-000000000000}"/>
  </dataValidations>
  <printOptions horizontalCentered="1"/>
  <pageMargins left="0.7" right="0.7" top="0.75" bottom="0.75" header="0.3" footer="0.3"/>
  <pageSetup scale="64" fitToHeight="4" pageOrder="overThenDown" orientation="portrait" r:id="rId1"/>
  <headerFooter alignWithMargins="0"/>
  <rowBreaks count="3" manualBreakCount="3">
    <brk id="81" min="33" max="39" man="1"/>
    <brk id="155" min="33" max="39" man="1"/>
    <brk id="228" min="33" max="3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126</vt:i4>
      </vt:variant>
    </vt:vector>
  </HeadingPairs>
  <TitlesOfParts>
    <vt:vector size="155" baseType="lpstr">
      <vt:lpstr>Control Panel</vt:lpstr>
      <vt:lpstr>Comp</vt:lpstr>
      <vt:lpstr>WYO DEPR EXPENSE</vt:lpstr>
      <vt:lpstr>Summaries</vt:lpstr>
      <vt:lpstr>Adjustments</vt:lpstr>
      <vt:lpstr>ROR-Model</vt:lpstr>
      <vt:lpstr>Report</vt:lpstr>
      <vt:lpstr>Taxes</vt:lpstr>
      <vt:lpstr>Rate Base</vt:lpstr>
      <vt:lpstr>Transition Costs</vt:lpstr>
      <vt:lpstr>EXPENSES</vt:lpstr>
      <vt:lpstr>ENERGY EFFICIENCY SERVICES ADJ</vt:lpstr>
      <vt:lpstr>Und Stor</vt:lpstr>
      <vt:lpstr>Wexpro</vt:lpstr>
      <vt:lpstr>RESERVE ACCRUAL</vt:lpstr>
      <vt:lpstr>Donations</vt:lpstr>
      <vt:lpstr>Advertising</vt:lpstr>
      <vt:lpstr>Incentive</vt:lpstr>
      <vt:lpstr>Sporting Events</vt:lpstr>
      <vt:lpstr>Pension Adjustment</vt:lpstr>
      <vt:lpstr>Revenue</vt:lpstr>
      <vt:lpstr>Booked June 2023 Rev</vt:lpstr>
      <vt:lpstr>Other Rev</vt:lpstr>
      <vt:lpstr>Lab Adj</vt:lpstr>
      <vt:lpstr>Corp Overhead Adj</vt:lpstr>
      <vt:lpstr>Bad Debt</vt:lpstr>
      <vt:lpstr>Capital Str</vt:lpstr>
      <vt:lpstr>Utah Allocation</vt:lpstr>
      <vt:lpstr>ALLOCATIONS&amp;PRETAX</vt:lpstr>
      <vt:lpstr>'Lab Adj'!Adjustments</vt:lpstr>
      <vt:lpstr>Adjustments</vt:lpstr>
      <vt:lpstr>ADVERTISESUMMARY1</vt:lpstr>
      <vt:lpstr>Advertisingscenario</vt:lpstr>
      <vt:lpstr>'Lab Adj'!ALLOCATIONS</vt:lpstr>
      <vt:lpstr>ALLOCATIONS</vt:lpstr>
      <vt:lpstr>'Lab Adj'!BadDebtScenario</vt:lpstr>
      <vt:lpstr>BadDebtScenario</vt:lpstr>
      <vt:lpstr>BADDEBTSUMMARY1</vt:lpstr>
      <vt:lpstr>BADDEBTSUMMARY2</vt:lpstr>
      <vt:lpstr>BOOKED_DEC_2006</vt:lpstr>
      <vt:lpstr>'Lab Adj'!CapStr</vt:lpstr>
      <vt:lpstr>CapStr</vt:lpstr>
      <vt:lpstr>'Lab Adj'!COMM_REV_CO</vt:lpstr>
      <vt:lpstr>COMM_REV_CO</vt:lpstr>
      <vt:lpstr>'Lab Adj'!COMM_REV_ID</vt:lpstr>
      <vt:lpstr>COMM_REV_ID</vt:lpstr>
      <vt:lpstr>'Lab Adj'!COMM_REV_UT</vt:lpstr>
      <vt:lpstr>COMM_REV_UT</vt:lpstr>
      <vt:lpstr>'Lab Adj'!COMM_REV_WY</vt:lpstr>
      <vt:lpstr>COMM_REV_WY</vt:lpstr>
      <vt:lpstr>CONTROLPANEL</vt:lpstr>
      <vt:lpstr>Decouple1</vt:lpstr>
      <vt:lpstr>Decouple2</vt:lpstr>
      <vt:lpstr>Decouple2A</vt:lpstr>
      <vt:lpstr>Decouple2B</vt:lpstr>
      <vt:lpstr>Decouple3</vt:lpstr>
      <vt:lpstr>Decouple8</vt:lpstr>
      <vt:lpstr>'Lab Adj'!DEP_TAX_ADJ</vt:lpstr>
      <vt:lpstr>DON_ADJ_UT</vt:lpstr>
      <vt:lpstr>DON_ADJ_WY</vt:lpstr>
      <vt:lpstr>'Lab Adj'!DONATIONSSCENARIO</vt:lpstr>
      <vt:lpstr>DONATIONSSCENARIO</vt:lpstr>
      <vt:lpstr>DONATIONSSUMMARY</vt:lpstr>
      <vt:lpstr>DPUORIGINAL1</vt:lpstr>
      <vt:lpstr>DSM</vt:lpstr>
      <vt:lpstr>DSM_Accounting_Adjustment</vt:lpstr>
      <vt:lpstr>DSMPRINT</vt:lpstr>
      <vt:lpstr>events</vt:lpstr>
      <vt:lpstr>EXPENSE_SENARIOS</vt:lpstr>
      <vt:lpstr>EXPENSES</vt:lpstr>
      <vt:lpstr>EXPENSESCENARIO</vt:lpstr>
      <vt:lpstr>GrossPlantFormula</vt:lpstr>
      <vt:lpstr>GrossPlantNumber</vt:lpstr>
      <vt:lpstr>INCENTIVESUMMARY</vt:lpstr>
      <vt:lpstr>Insentives_QGC</vt:lpstr>
      <vt:lpstr>'Lab Adj'!INSENTIVESCENARIO</vt:lpstr>
      <vt:lpstr>INSENTIVESCENARIO</vt:lpstr>
      <vt:lpstr>'Lab Adj'!JurisRORNumber</vt:lpstr>
      <vt:lpstr>JurisRORNumber</vt:lpstr>
      <vt:lpstr>'Lab Adj'!LABORSCENARIO</vt:lpstr>
      <vt:lpstr>LABORTAB</vt:lpstr>
      <vt:lpstr>MODEL</vt:lpstr>
      <vt:lpstr>OtherRevScenarios</vt:lpstr>
      <vt:lpstr>Adjustments!Print_Area</vt:lpstr>
      <vt:lpstr>Advertising!Print_Area</vt:lpstr>
      <vt:lpstr>'ALLOCATIONS&amp;PRETAX'!Print_Area</vt:lpstr>
      <vt:lpstr>'Bad Debt'!Print_Area</vt:lpstr>
      <vt:lpstr>'Booked June 2023 Rev'!Print_Area</vt:lpstr>
      <vt:lpstr>'Capital Str'!Print_Area</vt:lpstr>
      <vt:lpstr>'Control Panel'!Print_Area</vt:lpstr>
      <vt:lpstr>Donations!Print_Area</vt:lpstr>
      <vt:lpstr>'ENERGY EFFICIENCY SERVICES ADJ'!Print_Area</vt:lpstr>
      <vt:lpstr>EXPENSES!Print_Area</vt:lpstr>
      <vt:lpstr>Incentive!Print_Area</vt:lpstr>
      <vt:lpstr>'Lab Adj'!Print_Area</vt:lpstr>
      <vt:lpstr>'Other Rev'!Print_Area</vt:lpstr>
      <vt:lpstr>'Rate Base'!Print_Area</vt:lpstr>
      <vt:lpstr>Report!Print_Area</vt:lpstr>
      <vt:lpstr>'RESERVE ACCRUAL'!Print_Area</vt:lpstr>
      <vt:lpstr>Revenue!Print_Area</vt:lpstr>
      <vt:lpstr>'ROR-Model'!Print_Area</vt:lpstr>
      <vt:lpstr>'Sporting Events'!Print_Area</vt:lpstr>
      <vt:lpstr>Taxes!Print_Area</vt:lpstr>
      <vt:lpstr>'Transition Costs'!Print_Area</vt:lpstr>
      <vt:lpstr>'Und Stor'!Print_Area</vt:lpstr>
      <vt:lpstr>'Utah Allocation'!Print_Area</vt:lpstr>
      <vt:lpstr>Wexpro!Print_Area</vt:lpstr>
      <vt:lpstr>'WYO DEPR EXPENSE'!Print_Area</vt:lpstr>
      <vt:lpstr>Adjustments!Print_Titles</vt:lpstr>
      <vt:lpstr>'Booked June 2023 Rev'!Print_Titles</vt:lpstr>
      <vt:lpstr>EXPENSES!Print_Titles</vt:lpstr>
      <vt:lpstr>'Other Rev'!Print_Titles</vt:lpstr>
      <vt:lpstr>'Rate Base'!Print_Titles</vt:lpstr>
      <vt:lpstr>Revenue!Print_Titles</vt:lpstr>
      <vt:lpstr>'ROR-Model'!Print_Titles</vt:lpstr>
      <vt:lpstr>Summaries!Print_Titles</vt:lpstr>
      <vt:lpstr>'Lab Adj'!PT_OTH_REV_UT</vt:lpstr>
      <vt:lpstr>PT_OTH_REV_UT</vt:lpstr>
      <vt:lpstr>'Lab Adj'!PT_OTH_REV_WY</vt:lpstr>
      <vt:lpstr>PT_OTH_REV_WY</vt:lpstr>
      <vt:lpstr>QGC_UTAH_Bad_Debt</vt:lpstr>
      <vt:lpstr>RateBaseFormula</vt:lpstr>
      <vt:lpstr>RateBaseNumber</vt:lpstr>
      <vt:lpstr>'Lab Adj'!RateBaseScenarios</vt:lpstr>
      <vt:lpstr>RateBaseScenarios</vt:lpstr>
      <vt:lpstr>report</vt:lpstr>
      <vt:lpstr>REPORT1</vt:lpstr>
      <vt:lpstr>RESERVE</vt:lpstr>
      <vt:lpstr>Reserve_Accrual_Adjustment</vt:lpstr>
      <vt:lpstr>RESERVEACCRUALSCENARIO</vt:lpstr>
      <vt:lpstr>'Lab Adj'!RevenueScenarios</vt:lpstr>
      <vt:lpstr>RevenueScenarios</vt:lpstr>
      <vt:lpstr>SalesFormula</vt:lpstr>
      <vt:lpstr>SalesNumber</vt:lpstr>
      <vt:lpstr>'Lab Adj'!Scenarios</vt:lpstr>
      <vt:lpstr>Scenarios</vt:lpstr>
      <vt:lpstr>'Lab Adj'!SNG_REV_ID</vt:lpstr>
      <vt:lpstr>SNG_REV_ID</vt:lpstr>
      <vt:lpstr>'Lab Adj'!SNG_REV_UT</vt:lpstr>
      <vt:lpstr>SNG_REV_UT</vt:lpstr>
      <vt:lpstr>'Lab Adj'!SNG_REV_WY</vt:lpstr>
      <vt:lpstr>SNG_REV_WY</vt:lpstr>
      <vt:lpstr>Summaries</vt:lpstr>
      <vt:lpstr>SYSRORNumber</vt:lpstr>
      <vt:lpstr>'Lab Adj'!Taxes</vt:lpstr>
      <vt:lpstr>Taxes</vt:lpstr>
      <vt:lpstr>UNDERGROUND_STORAGE</vt:lpstr>
      <vt:lpstr>UNDERGROUND_STORAGE_RANGE</vt:lpstr>
      <vt:lpstr>UTAHSUMMARY</vt:lpstr>
      <vt:lpstr>WCCFormula</vt:lpstr>
      <vt:lpstr>WEX_ADJ_101_PROD</vt:lpstr>
      <vt:lpstr>'Lab Adj'!WEX_ADJ_108_PROD</vt:lpstr>
      <vt:lpstr>WEX_ADJ_108_PROD</vt:lpstr>
      <vt:lpstr>'Lab Adj'!WEX_ADJ_111_PROD</vt:lpstr>
      <vt:lpstr>WEX_ADJ_111_PROD</vt:lpstr>
    </vt:vector>
  </TitlesOfParts>
  <Company>Questar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QUESTAR</dc:creator>
  <cp:lastModifiedBy>Fred Nass</cp:lastModifiedBy>
  <cp:lastPrinted>2023-04-12T21:38:28Z</cp:lastPrinted>
  <dcterms:created xsi:type="dcterms:W3CDTF">2001-05-16T20:00:24Z</dcterms:created>
  <dcterms:modified xsi:type="dcterms:W3CDTF">2023-10-13T15:26:44Z</dcterms:modified>
</cp:coreProperties>
</file>